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filterPrivacy="1" codeName="ThisWorkbook" hidePivotFieldList="1"/>
  <xr:revisionPtr revIDLastSave="2" documentId="8_{7688CC0C-AE8E-42E6-A42E-6AE845278F25}" xr6:coauthVersionLast="47" xr6:coauthVersionMax="47" xr10:uidLastSave="{D7EDE32D-83B8-49AE-86D2-34F2351B052C}"/>
  <workbookProtection workbookAlgorithmName="SHA-512" workbookHashValue="IQpztfRTy3TrwsxEsdgqOp9aBNBpYgEilFXzfJ5IHvzSoUi/pPdLnors9EvogZ+H11IoZ1Tj2eMWKB/OqbrrkA==" workbookSaltValue="eXbpeINn8qlAEQYS5Q5BKg==" workbookSpinCount="100000" lockStructure="1"/>
  <bookViews>
    <workbookView xWindow="-98" yWindow="-98" windowWidth="19396" windowHeight="11475" xr2:uid="{66CCED4F-E905-404C-AEC9-468925F775AD}"/>
  </bookViews>
  <sheets>
    <sheet name="View By Unit" sheetId="95" r:id="rId1"/>
    <sheet name="DropDownNameList" sheetId="118" state="hidden" r:id="rId2"/>
    <sheet name="SummaryTable" sheetId="92" state="hidden" r:id="rId3"/>
    <sheet name="NamedFields" sheetId="103" state="hidden" r:id="rId4"/>
    <sheet name="NameCoding" sheetId="119" state="hidden" r:id="rId5"/>
    <sheet name="allFYs" sheetId="90" state="hidden" r:id="rId6"/>
  </sheets>
  <externalReferences>
    <externalReference r:id="rId7"/>
  </externalReferences>
  <definedNames>
    <definedName name="AgenciesOverspentTable">#REF!</definedName>
    <definedName name="NoScore" localSheetId="4">[1]NamedFields!$C$6</definedName>
    <definedName name="NoScore">NamedFields!#REF!</definedName>
    <definedName name="NotFound" localSheetId="4">[1]NamedFields!$C$5</definedName>
    <definedName name="NotFound">NamedFields!$C$5</definedName>
    <definedName name="NotFoundAllYears" localSheetId="4">[1]NamedFields!$C$7</definedName>
    <definedName name="NotFoundAllYears">NamedFields!$C$6</definedName>
    <definedName name="ViewByTypeTab">#REF!</definedName>
    <definedName name="ZeroBudgetNoSpending" localSheetId="4">[1]NamedFields!$C$4</definedName>
    <definedName name="ZeroBudgetNoSpending">NamedFields!$C$4</definedName>
    <definedName name="ZeroBudgetWithSpending" localSheetId="4">[1]NamedFields!$C$3</definedName>
    <definedName name="ZeroBudgetWithSpending">NamedFields!$C$3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0" i="119" l="1"/>
  <c r="C147" i="119"/>
  <c r="C146" i="119"/>
  <c r="C148" i="119"/>
  <c r="C141" i="119"/>
  <c r="C142" i="119"/>
  <c r="D142" i="119" s="1" a="1"/>
  <c r="D142" i="119" s="1"/>
  <c r="C182" i="92" s="1"/>
  <c r="C144" i="119"/>
  <c r="D144" i="119" s="1" a="1"/>
  <c r="D144" i="119" s="1"/>
  <c r="C180" i="92" s="1"/>
  <c r="C145" i="119"/>
  <c r="D145" i="119" s="1" a="1"/>
  <c r="D145" i="119" s="1"/>
  <c r="C181" i="92" s="1"/>
  <c r="C143" i="119"/>
  <c r="D143" i="119" s="1" a="1"/>
  <c r="D143" i="119" s="1"/>
  <c r="C183" i="92" s="1"/>
  <c r="C139" i="119"/>
  <c r="D139" i="119" s="1" a="1"/>
  <c r="D139" i="119" s="1"/>
  <c r="C177" i="92" s="1"/>
  <c r="C140" i="119"/>
  <c r="D140" i="119" s="1" a="1"/>
  <c r="D140" i="119" s="1"/>
  <c r="C178" i="92" s="1"/>
  <c r="C138" i="119"/>
  <c r="D138" i="119" s="1" a="1"/>
  <c r="D138" i="119" s="1"/>
  <c r="C174" i="92" s="1"/>
  <c r="C136" i="119"/>
  <c r="C137" i="119"/>
  <c r="C135" i="119"/>
  <c r="D135" i="119" s="1" a="1"/>
  <c r="D135" i="119" s="1"/>
  <c r="C176" i="92" s="1"/>
  <c r="C130" i="119"/>
  <c r="C131" i="119"/>
  <c r="D131" i="119" s="1" a="1"/>
  <c r="D131" i="119" s="1"/>
  <c r="C170" i="92" s="1"/>
  <c r="C132" i="119"/>
  <c r="D132" i="119" s="1" a="1"/>
  <c r="D132" i="119" s="1"/>
  <c r="C172" i="92" s="1"/>
  <c r="C129" i="119"/>
  <c r="D129" i="119" s="1" a="1"/>
  <c r="D129" i="119" s="1"/>
  <c r="C171" i="92" s="1"/>
  <c r="C133" i="119"/>
  <c r="D133" i="119" s="1" a="1"/>
  <c r="D133" i="119" s="1"/>
  <c r="C167" i="92" s="1"/>
  <c r="C134" i="119"/>
  <c r="D134" i="119" s="1" a="1"/>
  <c r="D134" i="119" s="1"/>
  <c r="C169" i="92" s="1"/>
  <c r="C126" i="119"/>
  <c r="D126" i="119" s="1" a="1"/>
  <c r="D126" i="119" s="1"/>
  <c r="C166" i="92" s="1"/>
  <c r="C125" i="119"/>
  <c r="D125" i="119" s="1" a="1"/>
  <c r="D125" i="119" s="1"/>
  <c r="C164" i="92" s="1"/>
  <c r="C124" i="119"/>
  <c r="D124" i="119" s="1" a="1"/>
  <c r="D124" i="119" s="1"/>
  <c r="C162" i="92" s="1"/>
  <c r="C127" i="119"/>
  <c r="C128" i="119"/>
  <c r="C122" i="119"/>
  <c r="D122" i="119" s="1" a="1"/>
  <c r="D122" i="119" s="1"/>
  <c r="C160" i="92" s="1"/>
  <c r="C123" i="119"/>
  <c r="D123" i="119" s="1" a="1"/>
  <c r="D123" i="119" s="1"/>
  <c r="C161" i="92" s="1"/>
  <c r="C119" i="119"/>
  <c r="D119" i="119" s="1" a="1"/>
  <c r="D119" i="119" s="1"/>
  <c r="C157" i="92" s="1"/>
  <c r="C118" i="119"/>
  <c r="D118" i="119" s="1" a="1"/>
  <c r="D118" i="119" s="1"/>
  <c r="C156" i="92" s="1"/>
  <c r="C121" i="119"/>
  <c r="D121" i="119" s="1" a="1"/>
  <c r="D121" i="119" s="1"/>
  <c r="C158" i="92" s="1"/>
  <c r="C120" i="119"/>
  <c r="D120" i="119" s="1" a="1"/>
  <c r="D120" i="119" s="1"/>
  <c r="C159" i="92" s="1"/>
  <c r="C116" i="119"/>
  <c r="D116" i="119" s="1" a="1"/>
  <c r="D116" i="119" s="1"/>
  <c r="C154" i="92" s="1"/>
  <c r="C117" i="119"/>
  <c r="D117" i="119" s="1" a="1"/>
  <c r="D117" i="119" s="1"/>
  <c r="C155" i="92" s="1"/>
  <c r="C115" i="119"/>
  <c r="D115" i="119" s="1" a="1"/>
  <c r="D115" i="119" s="1"/>
  <c r="C153" i="92" s="1"/>
  <c r="C112" i="119"/>
  <c r="D112" i="119" s="1" a="1"/>
  <c r="D112" i="119" s="1"/>
  <c r="C150" i="92" s="1"/>
  <c r="C114" i="119"/>
  <c r="C113" i="119"/>
  <c r="C109" i="119"/>
  <c r="C110" i="119"/>
  <c r="C111" i="119"/>
  <c r="C108" i="119"/>
  <c r="D108" i="119" s="1" a="1"/>
  <c r="D108" i="119" s="1"/>
  <c r="C146" i="92" s="1"/>
  <c r="C105" i="119"/>
  <c r="D105" i="119" s="1" a="1"/>
  <c r="D105" i="119" s="1"/>
  <c r="C144" i="92" s="1"/>
  <c r="C107" i="119"/>
  <c r="D107" i="119" s="1" a="1"/>
  <c r="D107" i="119" s="1"/>
  <c r="C145" i="92" s="1"/>
  <c r="C106" i="119"/>
  <c r="D106" i="119" s="1" a="1"/>
  <c r="D106" i="119" s="1"/>
  <c r="C143" i="92" s="1"/>
  <c r="C104" i="119"/>
  <c r="D104" i="119" s="1" a="1"/>
  <c r="D104" i="119" s="1"/>
  <c r="C142" i="92" s="1"/>
  <c r="C103" i="119"/>
  <c r="D103" i="119" s="1" a="1"/>
  <c r="D103" i="119" s="1"/>
  <c r="C141" i="92" s="1"/>
  <c r="C102" i="119"/>
  <c r="D102" i="119" s="1" a="1"/>
  <c r="D102" i="119" s="1"/>
  <c r="C140" i="92" s="1"/>
  <c r="D150" i="119" a="1"/>
  <c r="D150" i="119" s="1"/>
  <c r="C188" i="92" s="1"/>
  <c r="D147" i="119" a="1"/>
  <c r="D147" i="119" s="1"/>
  <c r="C184" i="92" s="1"/>
  <c r="D146" i="119" a="1"/>
  <c r="D146" i="119" s="1"/>
  <c r="C185" i="92" s="1"/>
  <c r="D148" i="119" a="1"/>
  <c r="D148" i="119" s="1"/>
  <c r="C186" i="92" s="1"/>
  <c r="D141" i="119" a="1"/>
  <c r="D141" i="119" s="1"/>
  <c r="C179" i="92" s="1"/>
  <c r="D136" i="119" a="1"/>
  <c r="D136" i="119" s="1"/>
  <c r="C173" i="92" s="1"/>
  <c r="D137" i="119" a="1"/>
  <c r="D137" i="119" s="1"/>
  <c r="C175" i="92" s="1"/>
  <c r="D130" i="119" a="1"/>
  <c r="D130" i="119" s="1"/>
  <c r="C168" i="92" s="1"/>
  <c r="D127" i="119" a="1"/>
  <c r="D127" i="119" s="1"/>
  <c r="C163" i="92" s="1"/>
  <c r="D128" i="119" a="1"/>
  <c r="D128" i="119" s="1"/>
  <c r="C165" i="92" s="1"/>
  <c r="D114" i="119" a="1"/>
  <c r="D114" i="119" s="1"/>
  <c r="C151" i="92" s="1"/>
  <c r="D113" i="119" a="1"/>
  <c r="D113" i="119" s="1"/>
  <c r="C152" i="92" s="1"/>
  <c r="D109" i="119" a="1"/>
  <c r="D109" i="119" s="1"/>
  <c r="C147" i="92" s="1"/>
  <c r="D110" i="119" a="1"/>
  <c r="D110" i="119" s="1"/>
  <c r="C148" i="92" s="1"/>
  <c r="D111" i="119" a="1"/>
  <c r="D111" i="119" s="1"/>
  <c r="C149" i="92" s="1"/>
  <c r="E150" i="119" a="1"/>
  <c r="E150" i="119" s="1"/>
  <c r="E147" i="119" a="1"/>
  <c r="E147" i="119" s="1"/>
  <c r="E146" i="119" a="1"/>
  <c r="E146" i="119" s="1"/>
  <c r="E148" i="119" a="1"/>
  <c r="E148" i="119" s="1"/>
  <c r="E141" i="119" a="1"/>
  <c r="E141" i="119" s="1"/>
  <c r="E142" i="119" a="1"/>
  <c r="E142" i="119" s="1"/>
  <c r="E144" i="119" a="1"/>
  <c r="E144" i="119" s="1"/>
  <c r="E145" i="119" a="1"/>
  <c r="E145" i="119" s="1"/>
  <c r="E143" i="119" a="1"/>
  <c r="E143" i="119" s="1"/>
  <c r="E139" i="119" a="1"/>
  <c r="E139" i="119" s="1"/>
  <c r="E140" i="119" a="1"/>
  <c r="E140" i="119" s="1"/>
  <c r="E138" i="119" a="1"/>
  <c r="E138" i="119" s="1"/>
  <c r="E136" i="119" a="1"/>
  <c r="E136" i="119" s="1"/>
  <c r="E137" i="119" a="1"/>
  <c r="E137" i="119" s="1"/>
  <c r="E135" i="119" a="1"/>
  <c r="E135" i="119" s="1"/>
  <c r="E130" i="119" a="1"/>
  <c r="E130" i="119" s="1"/>
  <c r="E131" i="119" a="1"/>
  <c r="E131" i="119" s="1"/>
  <c r="E132" i="119" a="1"/>
  <c r="E132" i="119" s="1"/>
  <c r="E129" i="119" a="1"/>
  <c r="E129" i="119" s="1"/>
  <c r="E133" i="119" a="1"/>
  <c r="E133" i="119" s="1"/>
  <c r="E134" i="119" a="1"/>
  <c r="E134" i="119" s="1"/>
  <c r="E126" i="119" a="1"/>
  <c r="E126" i="119" s="1"/>
  <c r="E125" i="119" a="1"/>
  <c r="E125" i="119" s="1"/>
  <c r="E124" i="119" a="1"/>
  <c r="E124" i="119" s="1"/>
  <c r="E127" i="119" a="1"/>
  <c r="E127" i="119" s="1"/>
  <c r="E128" i="119" a="1"/>
  <c r="E128" i="119" s="1"/>
  <c r="E122" i="119" a="1"/>
  <c r="E122" i="119" s="1"/>
  <c r="E123" i="119" a="1"/>
  <c r="E123" i="119" s="1"/>
  <c r="E119" i="119" a="1"/>
  <c r="E119" i="119" s="1"/>
  <c r="E118" i="119" a="1"/>
  <c r="E118" i="119" s="1"/>
  <c r="E121" i="119" a="1"/>
  <c r="E121" i="119" s="1"/>
  <c r="E120" i="119" a="1"/>
  <c r="E120" i="119" s="1"/>
  <c r="E116" i="119" a="1"/>
  <c r="E116" i="119" s="1"/>
  <c r="E117" i="119" a="1"/>
  <c r="E117" i="119" s="1"/>
  <c r="E115" i="119" a="1"/>
  <c r="E115" i="119" s="1"/>
  <c r="E112" i="119" a="1"/>
  <c r="E112" i="119" s="1"/>
  <c r="E114" i="119" a="1"/>
  <c r="E114" i="119" s="1"/>
  <c r="E113" i="119" a="1"/>
  <c r="E113" i="119" s="1"/>
  <c r="E109" i="119" a="1"/>
  <c r="E109" i="119" s="1"/>
  <c r="E110" i="119" a="1"/>
  <c r="E110" i="119" s="1"/>
  <c r="E111" i="119" a="1"/>
  <c r="E111" i="119" s="1"/>
  <c r="E108" i="119" a="1"/>
  <c r="E108" i="119" s="1"/>
  <c r="E105" i="119" a="1"/>
  <c r="E105" i="119" s="1"/>
  <c r="E107" i="119" a="1"/>
  <c r="E107" i="119" s="1"/>
  <c r="E106" i="119" a="1"/>
  <c r="E106" i="119" s="1"/>
  <c r="E104" i="119" a="1"/>
  <c r="E104" i="119" s="1"/>
  <c r="E103" i="119" a="1"/>
  <c r="E103" i="119" s="1"/>
  <c r="E102" i="119" a="1"/>
  <c r="E102" i="119" s="1"/>
  <c r="C149" i="119"/>
  <c r="D149" i="119" s="1" a="1"/>
  <c r="D149" i="119" s="1"/>
  <c r="C187" i="92" s="1"/>
  <c r="E149" i="119" a="1"/>
  <c r="E149" i="119" s="1"/>
  <c r="E5" i="92"/>
  <c r="E6" i="92"/>
  <c r="E7" i="92"/>
  <c r="E8" i="92"/>
  <c r="E9" i="92"/>
  <c r="E10" i="92"/>
  <c r="E11" i="92"/>
  <c r="E12" i="92"/>
  <c r="E13" i="92"/>
  <c r="E14" i="92"/>
  <c r="E15" i="92"/>
  <c r="E16" i="92"/>
  <c r="E17" i="92"/>
  <c r="E18" i="92"/>
  <c r="E19" i="92"/>
  <c r="E20" i="92"/>
  <c r="E21" i="92"/>
  <c r="E22" i="92"/>
  <c r="E23" i="92"/>
  <c r="E24" i="92"/>
  <c r="E25" i="92"/>
  <c r="E26" i="92"/>
  <c r="E27" i="92"/>
  <c r="E28" i="92"/>
  <c r="E29" i="92"/>
  <c r="E30" i="92"/>
  <c r="E31" i="92"/>
  <c r="E32" i="92"/>
  <c r="E33" i="92"/>
  <c r="E34" i="92"/>
  <c r="E35" i="92"/>
  <c r="E36" i="92"/>
  <c r="E37" i="92"/>
  <c r="E38" i="92"/>
  <c r="E39" i="92"/>
  <c r="E40" i="92"/>
  <c r="E41" i="92"/>
  <c r="E42" i="92"/>
  <c r="E43" i="92"/>
  <c r="E44" i="92"/>
  <c r="E45" i="92"/>
  <c r="E46" i="92"/>
  <c r="E47" i="92"/>
  <c r="E48" i="92"/>
  <c r="E49" i="92"/>
  <c r="E50" i="92"/>
  <c r="E51" i="92"/>
  <c r="E52" i="92"/>
  <c r="E53" i="92"/>
  <c r="E54" i="92"/>
  <c r="E55" i="92"/>
  <c r="E56" i="92"/>
  <c r="E57" i="92"/>
  <c r="E58" i="92"/>
  <c r="E59" i="92"/>
  <c r="E60" i="92"/>
  <c r="E61" i="92"/>
  <c r="E62" i="92"/>
  <c r="E63" i="92"/>
  <c r="E64" i="92"/>
  <c r="E65" i="92"/>
  <c r="E66" i="92"/>
  <c r="E67" i="92"/>
  <c r="E68" i="92"/>
  <c r="E69" i="92"/>
  <c r="E70" i="92"/>
  <c r="E71" i="92"/>
  <c r="E72" i="92"/>
  <c r="E73" i="92"/>
  <c r="E74" i="92"/>
  <c r="E75" i="92"/>
  <c r="E76" i="92"/>
  <c r="E77" i="92"/>
  <c r="E78" i="92"/>
  <c r="E79" i="92"/>
  <c r="E80" i="92"/>
  <c r="E81" i="92"/>
  <c r="E82" i="92"/>
  <c r="E83" i="92"/>
  <c r="E84" i="92"/>
  <c r="E85" i="92"/>
  <c r="E86" i="92"/>
  <c r="E87" i="92"/>
  <c r="E88" i="92"/>
  <c r="E89" i="92"/>
  <c r="E90" i="92"/>
  <c r="E91" i="92"/>
  <c r="E92" i="92"/>
  <c r="E93" i="92"/>
  <c r="E94" i="92"/>
  <c r="E95" i="92"/>
  <c r="E96" i="92"/>
  <c r="E97" i="92"/>
  <c r="E98" i="92"/>
  <c r="E99" i="92"/>
  <c r="E100" i="92"/>
  <c r="E101" i="92"/>
  <c r="E102" i="92"/>
  <c r="E103" i="92"/>
  <c r="E104" i="92"/>
  <c r="E105" i="92"/>
  <c r="E106" i="92"/>
  <c r="E107" i="92"/>
  <c r="E108" i="92"/>
  <c r="E109" i="92"/>
  <c r="E110" i="92"/>
  <c r="E111" i="92"/>
  <c r="E112" i="92"/>
  <c r="E113" i="92"/>
  <c r="E114" i="92"/>
  <c r="E115" i="92"/>
  <c r="E116" i="92"/>
  <c r="E117" i="92"/>
  <c r="E118" i="92"/>
  <c r="E119" i="92"/>
  <c r="E120" i="92"/>
  <c r="E121" i="92"/>
  <c r="E122" i="92"/>
  <c r="E123" i="92"/>
  <c r="E124" i="92"/>
  <c r="E125" i="92"/>
  <c r="E126" i="92"/>
  <c r="E127" i="92"/>
  <c r="E128" i="92"/>
  <c r="E129" i="92"/>
  <c r="E130" i="92"/>
  <c r="E131" i="92"/>
  <c r="E132" i="92"/>
  <c r="E187" i="92"/>
  <c r="E188" i="92"/>
  <c r="E184" i="92"/>
  <c r="E185" i="92"/>
  <c r="E186" i="92"/>
  <c r="E179" i="92"/>
  <c r="E182" i="92"/>
  <c r="E180" i="92"/>
  <c r="E181" i="92"/>
  <c r="E183" i="92"/>
  <c r="E177" i="92"/>
  <c r="E178" i="92"/>
  <c r="E174" i="92"/>
  <c r="E173" i="92"/>
  <c r="E175" i="92"/>
  <c r="E176" i="92"/>
  <c r="E168" i="92"/>
  <c r="E170" i="92"/>
  <c r="E172" i="92"/>
  <c r="E171" i="92"/>
  <c r="E167" i="92"/>
  <c r="E169" i="92"/>
  <c r="E166" i="92"/>
  <c r="E164" i="92"/>
  <c r="E162" i="92"/>
  <c r="E163" i="92"/>
  <c r="E165" i="92"/>
  <c r="E160" i="92"/>
  <c r="E161" i="92"/>
  <c r="E157" i="92"/>
  <c r="E156" i="92"/>
  <c r="E158" i="92"/>
  <c r="E159" i="92"/>
  <c r="E154" i="92"/>
  <c r="E155" i="92"/>
  <c r="E153" i="92"/>
  <c r="E150" i="92"/>
  <c r="E151" i="92"/>
  <c r="E152" i="92"/>
  <c r="E147" i="92"/>
  <c r="E148" i="92"/>
  <c r="E149" i="92"/>
  <c r="E146" i="92"/>
  <c r="E144" i="92"/>
  <c r="E145" i="92"/>
  <c r="E143" i="92"/>
  <c r="E142" i="92"/>
  <c r="E141" i="92"/>
  <c r="E140" i="92"/>
  <c r="E137" i="92"/>
  <c r="E135" i="92"/>
  <c r="E138" i="92"/>
  <c r="E136" i="92"/>
  <c r="E134" i="92"/>
  <c r="E139" i="92"/>
  <c r="E133" i="92"/>
  <c r="D5" i="92"/>
  <c r="D6" i="92"/>
  <c r="D7" i="92"/>
  <c r="D8" i="92"/>
  <c r="D9" i="92"/>
  <c r="D10" i="92"/>
  <c r="D11" i="92"/>
  <c r="D12" i="92"/>
  <c r="D13" i="92"/>
  <c r="D14" i="92"/>
  <c r="D15" i="92"/>
  <c r="D16" i="92"/>
  <c r="D17" i="92"/>
  <c r="D18" i="92"/>
  <c r="D19" i="92"/>
  <c r="D20" i="92"/>
  <c r="D21" i="92"/>
  <c r="D22" i="92"/>
  <c r="D23" i="92"/>
  <c r="D24" i="92"/>
  <c r="D25" i="92"/>
  <c r="D26" i="92"/>
  <c r="D27" i="92"/>
  <c r="D28" i="92"/>
  <c r="D29" i="92"/>
  <c r="D30" i="92"/>
  <c r="D31" i="92"/>
  <c r="D32" i="92"/>
  <c r="D33" i="92"/>
  <c r="D34" i="92"/>
  <c r="D35" i="92"/>
  <c r="D36" i="92"/>
  <c r="D37" i="92"/>
  <c r="D38" i="92"/>
  <c r="D39" i="92"/>
  <c r="D40" i="92"/>
  <c r="D41" i="92"/>
  <c r="D42" i="92"/>
  <c r="D43" i="92"/>
  <c r="D44" i="92"/>
  <c r="D45" i="92"/>
  <c r="D46" i="92"/>
  <c r="D47" i="92"/>
  <c r="D48" i="92"/>
  <c r="D49" i="92"/>
  <c r="D50" i="92"/>
  <c r="D51" i="92"/>
  <c r="D52" i="92"/>
  <c r="D53" i="92"/>
  <c r="D54" i="92"/>
  <c r="D55" i="92"/>
  <c r="D56" i="92"/>
  <c r="D57" i="92"/>
  <c r="D58" i="92"/>
  <c r="D59" i="92"/>
  <c r="D60" i="92"/>
  <c r="D61" i="92"/>
  <c r="D62" i="92"/>
  <c r="D63" i="92"/>
  <c r="D64" i="92"/>
  <c r="D65" i="92"/>
  <c r="D66" i="92"/>
  <c r="D67" i="92"/>
  <c r="D68" i="92"/>
  <c r="D69" i="92"/>
  <c r="D70" i="92"/>
  <c r="D71" i="92"/>
  <c r="D72" i="92"/>
  <c r="D73" i="92"/>
  <c r="D74" i="92"/>
  <c r="D75" i="92"/>
  <c r="D76" i="92"/>
  <c r="D77" i="92"/>
  <c r="D78" i="92"/>
  <c r="D79" i="92"/>
  <c r="D80" i="92"/>
  <c r="D81" i="92"/>
  <c r="D82" i="92"/>
  <c r="D83" i="92"/>
  <c r="D84" i="92"/>
  <c r="D85" i="92"/>
  <c r="D86" i="92"/>
  <c r="D87" i="92"/>
  <c r="D88" i="92"/>
  <c r="D89" i="92"/>
  <c r="D90" i="92"/>
  <c r="D91" i="92"/>
  <c r="D92" i="92"/>
  <c r="D93" i="92"/>
  <c r="D94" i="92"/>
  <c r="D95" i="92"/>
  <c r="D96" i="92"/>
  <c r="D97" i="92"/>
  <c r="D98" i="92"/>
  <c r="D99" i="92"/>
  <c r="D100" i="92"/>
  <c r="D101" i="92"/>
  <c r="D102" i="92"/>
  <c r="D103" i="92"/>
  <c r="D104" i="92"/>
  <c r="D105" i="92"/>
  <c r="D106" i="92"/>
  <c r="D107" i="92"/>
  <c r="D108" i="92"/>
  <c r="D109" i="92"/>
  <c r="D110" i="92"/>
  <c r="D111" i="92"/>
  <c r="D112" i="92"/>
  <c r="D113" i="92"/>
  <c r="D114" i="92"/>
  <c r="D115" i="92"/>
  <c r="D116" i="92"/>
  <c r="D117" i="92"/>
  <c r="D118" i="92"/>
  <c r="D119" i="92"/>
  <c r="D120" i="92"/>
  <c r="D121" i="92"/>
  <c r="D122" i="92"/>
  <c r="D123" i="92"/>
  <c r="D124" i="92"/>
  <c r="D125" i="92"/>
  <c r="D126" i="92"/>
  <c r="D127" i="92"/>
  <c r="D128" i="92"/>
  <c r="D129" i="92"/>
  <c r="D130" i="92"/>
  <c r="D131" i="92"/>
  <c r="D132" i="92"/>
  <c r="D187" i="92"/>
  <c r="D188" i="92"/>
  <c r="D184" i="92"/>
  <c r="D185" i="92"/>
  <c r="D186" i="92"/>
  <c r="D179" i="92"/>
  <c r="D182" i="92"/>
  <c r="D180" i="92"/>
  <c r="D181" i="92"/>
  <c r="D183" i="92"/>
  <c r="D177" i="92"/>
  <c r="D178" i="92"/>
  <c r="D174" i="92"/>
  <c r="D173" i="92"/>
  <c r="D175" i="92"/>
  <c r="D176" i="92"/>
  <c r="D168" i="92"/>
  <c r="D170" i="92"/>
  <c r="D172" i="92"/>
  <c r="D171" i="92"/>
  <c r="D167" i="92"/>
  <c r="D169" i="92"/>
  <c r="D166" i="92"/>
  <c r="D164" i="92"/>
  <c r="D162" i="92"/>
  <c r="D163" i="92"/>
  <c r="D165" i="92"/>
  <c r="D160" i="92"/>
  <c r="D161" i="92"/>
  <c r="D157" i="92"/>
  <c r="D156" i="92"/>
  <c r="D158" i="92"/>
  <c r="D159" i="92"/>
  <c r="D154" i="92"/>
  <c r="D155" i="92"/>
  <c r="D153" i="92"/>
  <c r="D150" i="92"/>
  <c r="D151" i="92"/>
  <c r="D152" i="92"/>
  <c r="D147" i="92"/>
  <c r="D148" i="92"/>
  <c r="D149" i="92"/>
  <c r="D146" i="92"/>
  <c r="D144" i="92"/>
  <c r="D145" i="92"/>
  <c r="D143" i="92"/>
  <c r="D142" i="92"/>
  <c r="D141" i="92"/>
  <c r="D140" i="92"/>
  <c r="D137" i="92"/>
  <c r="D135" i="92"/>
  <c r="D138" i="92"/>
  <c r="D136" i="92"/>
  <c r="D134" i="92"/>
  <c r="D139" i="92"/>
  <c r="D133" i="92"/>
  <c r="AA28" i="95"/>
  <c r="AA27" i="95"/>
  <c r="AA26" i="95"/>
  <c r="AA25" i="95"/>
  <c r="AA24" i="95"/>
  <c r="AA23" i="95"/>
  <c r="AA22" i="95"/>
  <c r="AA21" i="95"/>
  <c r="AA20" i="95"/>
  <c r="AA19" i="95"/>
  <c r="AA18" i="95"/>
  <c r="AA17" i="95"/>
  <c r="AA16" i="95"/>
  <c r="AA15" i="95"/>
  <c r="AA14" i="95"/>
  <c r="AA13" i="95"/>
  <c r="AA12" i="95"/>
  <c r="AA11" i="95"/>
  <c r="AA10" i="95"/>
  <c r="AA9" i="95"/>
  <c r="D30" i="95"/>
  <c r="D29" i="95"/>
  <c r="B184" i="92"/>
  <c r="B185" i="92"/>
  <c r="B186" i="92"/>
  <c r="B179" i="92"/>
  <c r="B182" i="92"/>
  <c r="B180" i="92"/>
  <c r="B181" i="92"/>
  <c r="B183" i="92"/>
  <c r="B177" i="92"/>
  <c r="B178" i="92"/>
  <c r="B174" i="92"/>
  <c r="B173" i="92"/>
  <c r="B175" i="92"/>
  <c r="B176" i="92"/>
  <c r="B168" i="92"/>
  <c r="B170" i="92"/>
  <c r="B172" i="92"/>
  <c r="B171" i="92"/>
  <c r="B167" i="92"/>
  <c r="B169" i="92"/>
  <c r="B166" i="92"/>
  <c r="B164" i="92"/>
  <c r="B162" i="92"/>
  <c r="B163" i="92"/>
  <c r="B165" i="92"/>
  <c r="B160" i="92"/>
  <c r="B161" i="92"/>
  <c r="B157" i="92"/>
  <c r="B156" i="92"/>
  <c r="B158" i="92"/>
  <c r="B159" i="92"/>
  <c r="B154" i="92"/>
  <c r="B155" i="92"/>
  <c r="B153" i="92"/>
  <c r="B150" i="92"/>
  <c r="B151" i="92"/>
  <c r="B152" i="92"/>
  <c r="B147" i="92"/>
  <c r="B148" i="92"/>
  <c r="B149" i="92"/>
  <c r="B146" i="92"/>
  <c r="B144" i="92"/>
  <c r="B145" i="92"/>
  <c r="B143" i="92"/>
  <c r="B142" i="92"/>
  <c r="B141" i="92"/>
  <c r="B140" i="92"/>
  <c r="B137" i="92"/>
  <c r="B135" i="92"/>
  <c r="B138" i="92"/>
  <c r="B136" i="92"/>
  <c r="B134" i="92"/>
  <c r="B139" i="92"/>
  <c r="B133" i="92"/>
  <c r="AB184" i="92"/>
  <c r="AB185" i="92"/>
  <c r="AB186" i="92"/>
  <c r="AB179" i="92"/>
  <c r="AB182" i="92"/>
  <c r="AB180" i="92"/>
  <c r="AB181" i="92"/>
  <c r="AB183" i="92"/>
  <c r="AB177" i="92"/>
  <c r="AB178" i="92"/>
  <c r="AB174" i="92"/>
  <c r="AB173" i="92"/>
  <c r="AB175" i="92"/>
  <c r="AB176" i="92"/>
  <c r="AB168" i="92"/>
  <c r="AB170" i="92"/>
  <c r="AB172" i="92"/>
  <c r="AB171" i="92"/>
  <c r="AB167" i="92"/>
  <c r="AB169" i="92"/>
  <c r="AB166" i="92"/>
  <c r="AB164" i="92"/>
  <c r="AB162" i="92"/>
  <c r="AB163" i="92"/>
  <c r="AB165" i="92"/>
  <c r="AB160" i="92"/>
  <c r="AB161" i="92"/>
  <c r="AB157" i="92"/>
  <c r="AB156" i="92"/>
  <c r="AB158" i="92"/>
  <c r="AB159" i="92"/>
  <c r="AB154" i="92"/>
  <c r="AB155" i="92"/>
  <c r="AB153" i="92"/>
  <c r="AB150" i="92"/>
  <c r="AB151" i="92"/>
  <c r="AB152" i="92"/>
  <c r="AB147" i="92"/>
  <c r="AB148" i="92"/>
  <c r="AB149" i="92"/>
  <c r="AB146" i="92"/>
  <c r="AB144" i="92"/>
  <c r="AB145" i="92"/>
  <c r="AB143" i="92"/>
  <c r="AB142" i="92"/>
  <c r="AB141" i="92"/>
  <c r="AB140" i="92"/>
  <c r="AB137" i="92"/>
  <c r="AB135" i="92"/>
  <c r="AB138" i="92"/>
  <c r="AB136" i="92"/>
  <c r="AB134" i="92"/>
  <c r="AB139" i="92"/>
  <c r="AB133" i="92"/>
  <c r="AC184" i="92"/>
  <c r="AC185" i="92"/>
  <c r="AC186" i="92"/>
  <c r="AC179" i="92"/>
  <c r="AC182" i="92"/>
  <c r="AI182" i="92" s="1"/>
  <c r="AC180" i="92"/>
  <c r="AI180" i="92" s="1"/>
  <c r="AC181" i="92"/>
  <c r="AC183" i="92"/>
  <c r="AC177" i="92"/>
  <c r="AI177" i="92" s="1"/>
  <c r="AC178" i="92"/>
  <c r="AI178" i="92" s="1"/>
  <c r="AC174" i="92"/>
  <c r="AI174" i="92" s="1"/>
  <c r="AC173" i="92"/>
  <c r="AI173" i="92" s="1"/>
  <c r="AC175" i="92"/>
  <c r="AI175" i="92" s="1"/>
  <c r="AC176" i="92"/>
  <c r="AI176" i="92" s="1"/>
  <c r="AC168" i="92"/>
  <c r="AC170" i="92"/>
  <c r="AC172" i="92"/>
  <c r="AI172" i="92" s="1"/>
  <c r="AC171" i="92"/>
  <c r="AI171" i="92" s="1"/>
  <c r="AC167" i="92"/>
  <c r="AC169" i="92"/>
  <c r="AI169" i="92" s="1"/>
  <c r="AC166" i="92"/>
  <c r="AI166" i="92" s="1"/>
  <c r="AC164" i="92"/>
  <c r="AI164" i="92" s="1"/>
  <c r="AC162" i="92"/>
  <c r="AI162" i="92" s="1"/>
  <c r="AC163" i="92"/>
  <c r="AI163" i="92" s="1"/>
  <c r="AC165" i="92"/>
  <c r="AI165" i="92" s="1"/>
  <c r="AC160" i="92"/>
  <c r="AI160" i="92" s="1"/>
  <c r="AC161" i="92"/>
  <c r="AC157" i="92"/>
  <c r="AC156" i="92"/>
  <c r="AI156" i="92" s="1"/>
  <c r="AC158" i="92"/>
  <c r="AI158" i="92" s="1"/>
  <c r="AC159" i="92"/>
  <c r="AC154" i="92"/>
  <c r="AI154" i="92" s="1"/>
  <c r="AC155" i="92"/>
  <c r="AI155" i="92" s="1"/>
  <c r="AC153" i="92"/>
  <c r="AC150" i="92"/>
  <c r="AI150" i="92" s="1"/>
  <c r="AC151" i="92"/>
  <c r="AI151" i="92" s="1"/>
  <c r="AC152" i="92"/>
  <c r="AI152" i="92" s="1"/>
  <c r="AC147" i="92"/>
  <c r="AI147" i="92" s="1"/>
  <c r="AC148" i="92"/>
  <c r="AC149" i="92"/>
  <c r="AC146" i="92"/>
  <c r="AI146" i="92" s="1"/>
  <c r="AC144" i="92"/>
  <c r="AC145" i="92"/>
  <c r="AC143" i="92"/>
  <c r="AI143" i="92" s="1"/>
  <c r="AC142" i="92"/>
  <c r="AC141" i="92"/>
  <c r="AI141" i="92" s="1"/>
  <c r="AC140" i="92"/>
  <c r="AI140" i="92" s="1"/>
  <c r="AC137" i="92"/>
  <c r="AI137" i="92" s="1"/>
  <c r="AC135" i="92"/>
  <c r="AI135" i="92" s="1"/>
  <c r="AC138" i="92"/>
  <c r="AI138" i="92" s="1"/>
  <c r="AC136" i="92"/>
  <c r="AC134" i="92"/>
  <c r="AC139" i="92"/>
  <c r="AI139" i="92" s="1"/>
  <c r="AC133" i="92"/>
  <c r="AF184" i="92"/>
  <c r="AF185" i="92"/>
  <c r="AF186" i="92"/>
  <c r="AF179" i="92"/>
  <c r="AF182" i="92"/>
  <c r="AF180" i="92"/>
  <c r="AF181" i="92"/>
  <c r="AF183" i="92"/>
  <c r="AF177" i="92"/>
  <c r="AF178" i="92"/>
  <c r="AF174" i="92"/>
  <c r="AF173" i="92"/>
  <c r="AF175" i="92"/>
  <c r="AF176" i="92"/>
  <c r="AF168" i="92"/>
  <c r="AF170" i="92"/>
  <c r="AF172" i="92"/>
  <c r="AF171" i="92"/>
  <c r="AF167" i="92"/>
  <c r="AF169" i="92"/>
  <c r="AF166" i="92"/>
  <c r="AF164" i="92"/>
  <c r="AF162" i="92"/>
  <c r="AF163" i="92"/>
  <c r="AF165" i="92"/>
  <c r="AF160" i="92"/>
  <c r="AF161" i="92"/>
  <c r="AF157" i="92"/>
  <c r="AF156" i="92"/>
  <c r="AF158" i="92"/>
  <c r="AF159" i="92"/>
  <c r="AF154" i="92"/>
  <c r="AF155" i="92"/>
  <c r="AF153" i="92"/>
  <c r="AF150" i="92"/>
  <c r="AF151" i="92"/>
  <c r="AF152" i="92"/>
  <c r="AF147" i="92"/>
  <c r="AF148" i="92"/>
  <c r="AF149" i="92"/>
  <c r="AF146" i="92"/>
  <c r="AF144" i="92"/>
  <c r="AF145" i="92"/>
  <c r="AF143" i="92"/>
  <c r="AF142" i="92"/>
  <c r="AF141" i="92"/>
  <c r="AF140" i="92"/>
  <c r="AF137" i="92"/>
  <c r="AF135" i="92"/>
  <c r="AF138" i="92"/>
  <c r="AF136" i="92"/>
  <c r="AF134" i="92"/>
  <c r="AF139" i="92"/>
  <c r="AF133" i="92"/>
  <c r="AG184" i="92"/>
  <c r="AG185" i="92"/>
  <c r="AG186" i="92"/>
  <c r="AG179" i="92"/>
  <c r="AG182" i="92"/>
  <c r="AG180" i="92"/>
  <c r="AG181" i="92"/>
  <c r="AG183" i="92"/>
  <c r="AG177" i="92"/>
  <c r="AG178" i="92"/>
  <c r="AG174" i="92"/>
  <c r="AG173" i="92"/>
  <c r="AG175" i="92"/>
  <c r="AG176" i="92"/>
  <c r="AG168" i="92"/>
  <c r="AG170" i="92"/>
  <c r="AG172" i="92"/>
  <c r="AG171" i="92"/>
  <c r="AG167" i="92"/>
  <c r="AG169" i="92"/>
  <c r="AG166" i="92"/>
  <c r="AG164" i="92"/>
  <c r="AG162" i="92"/>
  <c r="AG163" i="92"/>
  <c r="AG165" i="92"/>
  <c r="AG160" i="92"/>
  <c r="AG161" i="92"/>
  <c r="AG157" i="92"/>
  <c r="AG156" i="92"/>
  <c r="AG158" i="92"/>
  <c r="AG159" i="92"/>
  <c r="AG154" i="92"/>
  <c r="AG155" i="92"/>
  <c r="AG153" i="92"/>
  <c r="AG150" i="92"/>
  <c r="AG151" i="92"/>
  <c r="AG152" i="92"/>
  <c r="AG147" i="92"/>
  <c r="AG148" i="92"/>
  <c r="AG149" i="92"/>
  <c r="AG146" i="92"/>
  <c r="AG144" i="92"/>
  <c r="AG145" i="92"/>
  <c r="AG143" i="92"/>
  <c r="AG142" i="92"/>
  <c r="AG141" i="92"/>
  <c r="AG140" i="92"/>
  <c r="AG137" i="92"/>
  <c r="AG135" i="92"/>
  <c r="AG138" i="92"/>
  <c r="AG136" i="92"/>
  <c r="AG134" i="92"/>
  <c r="AG139" i="92"/>
  <c r="AG133" i="92"/>
  <c r="AH184" i="92"/>
  <c r="AH185" i="92"/>
  <c r="AH186" i="92"/>
  <c r="AH179" i="92"/>
  <c r="AH182" i="92"/>
  <c r="AH180" i="92"/>
  <c r="AH181" i="92"/>
  <c r="AH183" i="92"/>
  <c r="AH177" i="92"/>
  <c r="AH178" i="92"/>
  <c r="AH174" i="92"/>
  <c r="AH173" i="92"/>
  <c r="AH175" i="92"/>
  <c r="AH176" i="92"/>
  <c r="AH168" i="92"/>
  <c r="AH170" i="92"/>
  <c r="AH172" i="92"/>
  <c r="AH171" i="92"/>
  <c r="AH167" i="92"/>
  <c r="AH169" i="92"/>
  <c r="AH166" i="92"/>
  <c r="AH164" i="92"/>
  <c r="AH162" i="92"/>
  <c r="AH163" i="92"/>
  <c r="AH165" i="92"/>
  <c r="AH160" i="92"/>
  <c r="AH161" i="92"/>
  <c r="AH157" i="92"/>
  <c r="AH156" i="92"/>
  <c r="AH158" i="92"/>
  <c r="AH159" i="92"/>
  <c r="AH154" i="92"/>
  <c r="AH155" i="92"/>
  <c r="AH153" i="92"/>
  <c r="AH150" i="92"/>
  <c r="AH151" i="92"/>
  <c r="AH152" i="92"/>
  <c r="AH147" i="92"/>
  <c r="AH148" i="92"/>
  <c r="AH149" i="92"/>
  <c r="AH146" i="92"/>
  <c r="AH144" i="92"/>
  <c r="AH145" i="92"/>
  <c r="AH143" i="92"/>
  <c r="AH142" i="92"/>
  <c r="AH141" i="92"/>
  <c r="AH140" i="92"/>
  <c r="AH137" i="92"/>
  <c r="AH135" i="92"/>
  <c r="AH138" i="92"/>
  <c r="AH136" i="92"/>
  <c r="AH134" i="92"/>
  <c r="AH139" i="92"/>
  <c r="AH133" i="92"/>
  <c r="AI184" i="92"/>
  <c r="AI185" i="92"/>
  <c r="AI186" i="92"/>
  <c r="AI181" i="92"/>
  <c r="AI183" i="92"/>
  <c r="AI144" i="92"/>
  <c r="B187" i="92"/>
  <c r="B188" i="92"/>
  <c r="AB187" i="92"/>
  <c r="AB188" i="92"/>
  <c r="AC187" i="92"/>
  <c r="AI187" i="92" s="1"/>
  <c r="AC188" i="92"/>
  <c r="AF187" i="92"/>
  <c r="AF188" i="92"/>
  <c r="AG187" i="92"/>
  <c r="AG188" i="92"/>
  <c r="AH187" i="92"/>
  <c r="AH188" i="92"/>
  <c r="AI142" i="92" l="1"/>
  <c r="AI153" i="92"/>
  <c r="AI159" i="92"/>
  <c r="AI133" i="92"/>
  <c r="AI167" i="92"/>
  <c r="AI145" i="92"/>
  <c r="AI134" i="92"/>
  <c r="AI149" i="92"/>
  <c r="AI157" i="92"/>
  <c r="AI170" i="92"/>
  <c r="AI179" i="92"/>
  <c r="AI136" i="92"/>
  <c r="AI148" i="92"/>
  <c r="AI161" i="92"/>
  <c r="AI168" i="92"/>
  <c r="AI188" i="92"/>
  <c r="C41" i="119" l="1"/>
  <c r="D41" i="119" s="1" a="1"/>
  <c r="D41" i="119" s="1"/>
  <c r="C8" i="92" s="1"/>
  <c r="C8" i="119"/>
  <c r="D8" i="119" s="1" a="1"/>
  <c r="D8" i="119" s="1"/>
  <c r="C9" i="92" s="1"/>
  <c r="C90" i="119"/>
  <c r="D90" i="119" s="1" a="1"/>
  <c r="D90" i="119" s="1"/>
  <c r="C11" i="92" s="1"/>
  <c r="C7" i="119"/>
  <c r="D7" i="119" s="1" a="1"/>
  <c r="D7" i="119" s="1"/>
  <c r="C16" i="92" s="1"/>
  <c r="C3" i="119"/>
  <c r="D3" i="119" s="1" a="1"/>
  <c r="D3" i="119" s="1"/>
  <c r="C19" i="92" s="1"/>
  <c r="C21" i="119"/>
  <c r="D21" i="119" s="1" a="1"/>
  <c r="D21" i="119" s="1"/>
  <c r="C35" i="92" s="1"/>
  <c r="C13" i="119"/>
  <c r="D13" i="119" s="1" a="1"/>
  <c r="D13" i="119" s="1"/>
  <c r="C32" i="92" s="1"/>
  <c r="C151" i="119"/>
  <c r="D151" i="119" s="1" a="1"/>
  <c r="D151" i="119" s="1"/>
  <c r="C55" i="92" s="1"/>
  <c r="C2" i="119"/>
  <c r="D2" i="119" s="1" a="1"/>
  <c r="D2" i="119" s="1"/>
  <c r="C56" i="92" s="1"/>
  <c r="C172" i="119"/>
  <c r="D172" i="119" s="1" a="1"/>
  <c r="D172" i="119" s="1"/>
  <c r="C63" i="92" s="1"/>
  <c r="C9" i="119"/>
  <c r="D9" i="119" s="1" a="1"/>
  <c r="D9" i="119" s="1"/>
  <c r="C66" i="92" s="1"/>
  <c r="C156" i="119"/>
  <c r="D156" i="119" s="1" a="1"/>
  <c r="D156" i="119" s="1"/>
  <c r="C68" i="92" s="1"/>
  <c r="C77" i="119"/>
  <c r="D77" i="119" s="1" a="1"/>
  <c r="D77" i="119" s="1"/>
  <c r="C72" i="92" s="1"/>
  <c r="C45" i="119"/>
  <c r="D45" i="119" s="1" a="1"/>
  <c r="D45" i="119" s="1"/>
  <c r="C74" i="92" s="1"/>
  <c r="C33" i="119"/>
  <c r="D33" i="119" s="1" a="1"/>
  <c r="D33" i="119" s="1"/>
  <c r="C76" i="92" s="1"/>
  <c r="C88" i="119"/>
  <c r="D88" i="119" s="1" a="1"/>
  <c r="D88" i="119" s="1"/>
  <c r="C77" i="92" s="1"/>
  <c r="C76" i="119"/>
  <c r="D76" i="119" s="1" a="1"/>
  <c r="D76" i="119" s="1"/>
  <c r="C78" i="92" s="1"/>
  <c r="C31" i="119"/>
  <c r="D31" i="119" s="1" a="1"/>
  <c r="D31" i="119" s="1"/>
  <c r="C79" i="92" s="1"/>
  <c r="C17" i="119"/>
  <c r="D17" i="119" s="1" a="1"/>
  <c r="D17" i="119" s="1"/>
  <c r="C80" i="92" s="1"/>
  <c r="C11" i="119"/>
  <c r="D11" i="119" s="1" a="1"/>
  <c r="D11" i="119" s="1"/>
  <c r="C82" i="92" s="1"/>
  <c r="C15" i="119"/>
  <c r="D15" i="119" s="1" a="1"/>
  <c r="D15" i="119" s="1"/>
  <c r="C83" i="92" s="1"/>
  <c r="C91" i="119"/>
  <c r="D91" i="119" s="1" a="1"/>
  <c r="D91" i="119" s="1"/>
  <c r="C87" i="92" s="1"/>
  <c r="C27" i="119"/>
  <c r="D27" i="119" s="1" a="1"/>
  <c r="D27" i="119" s="1"/>
  <c r="C88" i="92" s="1"/>
  <c r="C18" i="119"/>
  <c r="D18" i="119" s="1" a="1"/>
  <c r="D18" i="119" s="1"/>
  <c r="C89" i="92" s="1"/>
  <c r="C97" i="119"/>
  <c r="D97" i="119" s="1" a="1"/>
  <c r="D97" i="119" s="1"/>
  <c r="C91" i="92" s="1"/>
  <c r="C6" i="119"/>
  <c r="D6" i="119" s="1" a="1"/>
  <c r="D6" i="119" s="1"/>
  <c r="C92" i="92" s="1"/>
  <c r="C4" i="119"/>
  <c r="D4" i="119" s="1" a="1"/>
  <c r="D4" i="119" s="1"/>
  <c r="C98" i="92" s="1"/>
  <c r="C5" i="119"/>
  <c r="D5" i="119" s="1" a="1"/>
  <c r="D5" i="119" s="1"/>
  <c r="C99" i="92" s="1"/>
  <c r="C19" i="119"/>
  <c r="D19" i="119" s="1" a="1"/>
  <c r="D19" i="119" s="1"/>
  <c r="C102" i="92" s="1"/>
  <c r="C10" i="119"/>
  <c r="D10" i="119" s="1" a="1"/>
  <c r="D10" i="119" s="1"/>
  <c r="C103" i="92" s="1"/>
  <c r="C99" i="119"/>
  <c r="D99" i="119" s="1" a="1"/>
  <c r="D99" i="119" s="1"/>
  <c r="C107" i="92" s="1"/>
  <c r="C14" i="119"/>
  <c r="D14" i="119" s="1" a="1"/>
  <c r="D14" i="119" s="1"/>
  <c r="C110" i="92" s="1"/>
  <c r="C26" i="119"/>
  <c r="D26" i="119" s="1" a="1"/>
  <c r="D26" i="119" s="1"/>
  <c r="C111" i="92" s="1"/>
  <c r="C30" i="119"/>
  <c r="D30" i="119" s="1" a="1"/>
  <c r="D30" i="119" s="1"/>
  <c r="C115" i="92" s="1"/>
  <c r="C16" i="119"/>
  <c r="D16" i="119" s="1" a="1"/>
  <c r="D16" i="119" s="1"/>
  <c r="C124" i="92" s="1"/>
  <c r="C87" i="119"/>
  <c r="D87" i="119" s="1" a="1"/>
  <c r="D87" i="119" s="1"/>
  <c r="C125" i="92" s="1"/>
  <c r="C12" i="119"/>
  <c r="D12" i="119" s="1" a="1"/>
  <c r="D12" i="119" s="1"/>
  <c r="C128" i="92" s="1"/>
  <c r="C101" i="119"/>
  <c r="D101" i="119" s="1" a="1"/>
  <c r="D101" i="119" s="1"/>
  <c r="C137" i="92" s="1"/>
  <c r="C166" i="119"/>
  <c r="D166" i="119" s="1" a="1"/>
  <c r="D166" i="119" s="1"/>
  <c r="C10" i="92" s="1"/>
  <c r="C24" i="119"/>
  <c r="D24" i="119" s="1" a="1"/>
  <c r="D24" i="119" s="1"/>
  <c r="C15" i="92" s="1"/>
  <c r="C38" i="119"/>
  <c r="D38" i="119" s="1" a="1"/>
  <c r="D38" i="119" s="1"/>
  <c r="C34" i="92" s="1"/>
  <c r="C47" i="119"/>
  <c r="D47" i="119" s="1" a="1"/>
  <c r="D47" i="119" s="1"/>
  <c r="C42" i="92" s="1"/>
  <c r="C165" i="119"/>
  <c r="D165" i="119" s="1" a="1"/>
  <c r="D165" i="119" s="1"/>
  <c r="C60" i="92" s="1"/>
  <c r="C163" i="119"/>
  <c r="D163" i="119" s="1" a="1"/>
  <c r="D163" i="119" s="1"/>
  <c r="C32" i="119"/>
  <c r="D32" i="119" s="1" a="1"/>
  <c r="D32" i="119" s="1"/>
  <c r="C75" i="92" s="1"/>
  <c r="C20" i="119"/>
  <c r="D20" i="119" s="1" a="1"/>
  <c r="D20" i="119" s="1"/>
  <c r="C85" i="92" s="1"/>
  <c r="C46" i="119"/>
  <c r="D46" i="119" s="1" a="1"/>
  <c r="D46" i="119" s="1"/>
  <c r="C96" i="92" s="1"/>
  <c r="C34" i="119"/>
  <c r="D34" i="119" s="1" a="1"/>
  <c r="D34" i="119" s="1"/>
  <c r="C105" i="92" s="1"/>
  <c r="C22" i="119"/>
  <c r="D22" i="119" s="1" a="1"/>
  <c r="D22" i="119" s="1"/>
  <c r="C109" i="92" s="1"/>
  <c r="C37" i="119"/>
  <c r="D37" i="119" s="1" a="1"/>
  <c r="D37" i="119" s="1"/>
  <c r="C117" i="92" s="1"/>
  <c r="C43" i="119"/>
  <c r="D43" i="119" s="1" a="1"/>
  <c r="D43" i="119" s="1"/>
  <c r="C118" i="92" s="1"/>
  <c r="C100" i="119"/>
  <c r="D100" i="119" s="1" a="1"/>
  <c r="D100" i="119" s="1"/>
  <c r="C136" i="92" s="1"/>
  <c r="C42" i="119"/>
  <c r="D42" i="119" s="1" a="1"/>
  <c r="D42" i="119" s="1"/>
  <c r="C14" i="92" s="1"/>
  <c r="C52" i="119"/>
  <c r="D52" i="119" s="1" a="1"/>
  <c r="D52" i="119" s="1"/>
  <c r="C18" i="92" s="1"/>
  <c r="C85" i="119"/>
  <c r="D85" i="119" s="1" a="1"/>
  <c r="D85" i="119" s="1"/>
  <c r="C20" i="92" s="1"/>
  <c r="C53" i="119"/>
  <c r="D53" i="119" s="1" a="1"/>
  <c r="D53" i="119" s="1"/>
  <c r="C21" i="92" s="1"/>
  <c r="C55" i="119"/>
  <c r="D55" i="119" s="1" a="1"/>
  <c r="D55" i="119" s="1"/>
  <c r="C27" i="92" s="1"/>
  <c r="C57" i="119"/>
  <c r="D57" i="119" s="1" a="1"/>
  <c r="D57" i="119" s="1"/>
  <c r="C30" i="92" s="1"/>
  <c r="C78" i="119"/>
  <c r="D78" i="119" s="1" a="1"/>
  <c r="D78" i="119" s="1"/>
  <c r="C43" i="92" s="1"/>
  <c r="C54" i="119"/>
  <c r="D54" i="119" s="1" a="1"/>
  <c r="D54" i="119" s="1"/>
  <c r="C46" i="92" s="1"/>
  <c r="C60" i="119"/>
  <c r="D60" i="119" s="1" a="1"/>
  <c r="D60" i="119" s="1"/>
  <c r="C51" i="92" s="1"/>
  <c r="C49" i="119"/>
  <c r="D49" i="119" s="1" a="1"/>
  <c r="D49" i="119" s="1"/>
  <c r="C57" i="92" s="1"/>
  <c r="C23" i="119"/>
  <c r="D23" i="119" s="1" a="1"/>
  <c r="D23" i="119" s="1"/>
  <c r="C59" i="92" s="1"/>
  <c r="C44" i="119"/>
  <c r="D44" i="119" s="1" a="1"/>
  <c r="D44" i="119" s="1"/>
  <c r="C65" i="92" s="1"/>
  <c r="C48" i="119"/>
  <c r="D48" i="119" s="1" a="1"/>
  <c r="D48" i="119" s="1"/>
  <c r="C67" i="92" s="1"/>
  <c r="C58" i="119"/>
  <c r="D58" i="119" s="1" a="1"/>
  <c r="D58" i="119" s="1"/>
  <c r="C73" i="92" s="1"/>
  <c r="C72" i="119"/>
  <c r="D72" i="119" s="1" a="1"/>
  <c r="D72" i="119" s="1"/>
  <c r="C81" i="92" s="1"/>
  <c r="C86" i="119"/>
  <c r="D86" i="119" s="1" a="1"/>
  <c r="D86" i="119" s="1"/>
  <c r="C84" i="92" s="1"/>
  <c r="C51" i="119"/>
  <c r="D51" i="119" s="1" a="1"/>
  <c r="D51" i="119" s="1"/>
  <c r="C86" i="92" s="1"/>
  <c r="C89" i="119"/>
  <c r="D89" i="119" s="1" a="1"/>
  <c r="D89" i="119" s="1"/>
  <c r="C112" i="92" s="1"/>
  <c r="C59" i="119"/>
  <c r="D59" i="119" s="1" a="1"/>
  <c r="D59" i="119" s="1"/>
  <c r="C90" i="92" s="1"/>
  <c r="C56" i="119"/>
  <c r="D56" i="119" s="1" a="1"/>
  <c r="D56" i="119" s="1"/>
  <c r="C97" i="92" s="1"/>
  <c r="C98" i="119"/>
  <c r="D98" i="119" s="1" a="1"/>
  <c r="D98" i="119" s="1"/>
  <c r="C106" i="92" s="1"/>
  <c r="C50" i="119"/>
  <c r="D50" i="119" s="1" a="1"/>
  <c r="D50" i="119" s="1"/>
  <c r="C108" i="92" s="1"/>
  <c r="C159" i="119"/>
  <c r="D159" i="119" s="1" a="1"/>
  <c r="D159" i="119" s="1"/>
  <c r="C114" i="92" s="1"/>
  <c r="C184" i="119"/>
  <c r="D184" i="119" s="1" a="1"/>
  <c r="D184" i="119" s="1"/>
  <c r="C138" i="92" s="1"/>
  <c r="C29" i="119"/>
  <c r="D29" i="119" s="1" a="1"/>
  <c r="D29" i="119" s="1"/>
  <c r="C28" i="92" s="1"/>
  <c r="C69" i="119"/>
  <c r="D69" i="119" s="1" a="1"/>
  <c r="D69" i="119" s="1"/>
  <c r="C40" i="92" s="1"/>
  <c r="C62" i="119"/>
  <c r="D62" i="119" s="1" a="1"/>
  <c r="D62" i="119" s="1"/>
  <c r="C47" i="92" s="1"/>
  <c r="C63" i="119"/>
  <c r="D63" i="119" s="1" a="1"/>
  <c r="D63" i="119" s="1"/>
  <c r="C48" i="92" s="1"/>
  <c r="C174" i="119"/>
  <c r="D174" i="119" s="1" a="1"/>
  <c r="D174" i="119" s="1"/>
  <c r="C6" i="92" s="1"/>
  <c r="C61" i="119"/>
  <c r="D61" i="119" s="1" a="1"/>
  <c r="D61" i="119" s="1"/>
  <c r="C50" i="92" s="1"/>
  <c r="C175" i="119"/>
  <c r="D175" i="119" s="1" a="1"/>
  <c r="D175" i="119" s="1"/>
  <c r="C7" i="92" s="1"/>
  <c r="C28" i="119"/>
  <c r="D28" i="119" s="1" a="1"/>
  <c r="D28" i="119" s="1"/>
  <c r="C49" i="92" s="1"/>
  <c r="C66" i="119"/>
  <c r="D66" i="119" s="1" a="1"/>
  <c r="D66" i="119" s="1"/>
  <c r="C52" i="92" s="1"/>
  <c r="C161" i="119"/>
  <c r="D161" i="119" s="1" a="1"/>
  <c r="D161" i="119" s="1"/>
  <c r="C70" i="92" s="1"/>
  <c r="C68" i="119"/>
  <c r="D68" i="119" s="1" a="1"/>
  <c r="D68" i="119" s="1"/>
  <c r="C93" i="92" s="1"/>
  <c r="C64" i="119"/>
  <c r="D64" i="119" s="1" a="1"/>
  <c r="D64" i="119" s="1"/>
  <c r="C104" i="92" s="1"/>
  <c r="C67" i="119"/>
  <c r="D67" i="119" s="1" a="1"/>
  <c r="D67" i="119" s="1"/>
  <c r="C122" i="92" s="1"/>
  <c r="C65" i="119"/>
  <c r="D65" i="119" s="1" a="1"/>
  <c r="D65" i="119" s="1"/>
  <c r="C123" i="92" s="1"/>
  <c r="C162" i="119"/>
  <c r="D162" i="119" s="1" a="1"/>
  <c r="D162" i="119" s="1"/>
  <c r="C126" i="92" s="1"/>
  <c r="C152" i="119"/>
  <c r="D152" i="119" s="1" a="1"/>
  <c r="D152" i="119" s="1"/>
  <c r="C127" i="92" s="1"/>
  <c r="C160" i="119"/>
  <c r="D160" i="119" s="1" a="1"/>
  <c r="D160" i="119" s="1"/>
  <c r="C129" i="92" s="1"/>
  <c r="C92" i="119"/>
  <c r="D92" i="119" s="1" a="1"/>
  <c r="D92" i="119" s="1"/>
  <c r="C12" i="92" s="1"/>
  <c r="C181" i="119"/>
  <c r="D181" i="119" s="1" a="1"/>
  <c r="D181" i="119" s="1"/>
  <c r="C134" i="92" s="1"/>
  <c r="C25" i="119"/>
  <c r="D25" i="119" s="1" a="1"/>
  <c r="D25" i="119" s="1"/>
  <c r="C24" i="92" s="1"/>
  <c r="C93" i="119"/>
  <c r="D93" i="119" s="1" a="1"/>
  <c r="D93" i="119" s="1"/>
  <c r="C25" i="92" s="1"/>
  <c r="C70" i="119"/>
  <c r="D70" i="119" s="1" a="1"/>
  <c r="D70" i="119" s="1"/>
  <c r="C22" i="92" s="1"/>
  <c r="C73" i="119"/>
  <c r="D73" i="119" s="1" a="1"/>
  <c r="D73" i="119" s="1"/>
  <c r="C33" i="92" s="1"/>
  <c r="C74" i="119"/>
  <c r="D74" i="119" s="1" a="1"/>
  <c r="D74" i="119" s="1"/>
  <c r="C36" i="92" s="1"/>
  <c r="C75" i="119"/>
  <c r="D75" i="119" s="1" a="1"/>
  <c r="D75" i="119" s="1"/>
  <c r="C44" i="92" s="1"/>
  <c r="C164" i="119"/>
  <c r="D164" i="119" s="1" a="1"/>
  <c r="D164" i="119" s="1"/>
  <c r="C71" i="92" s="1"/>
  <c r="C71" i="119"/>
  <c r="D71" i="119" s="1" a="1"/>
  <c r="D71" i="119" s="1"/>
  <c r="C94" i="92" s="1"/>
  <c r="C94" i="119"/>
  <c r="D94" i="119" s="1" a="1"/>
  <c r="D94" i="119" s="1"/>
  <c r="C100" i="92" s="1"/>
  <c r="C84" i="119"/>
  <c r="D84" i="119" s="1" a="1"/>
  <c r="D84" i="119" s="1"/>
  <c r="C5" i="92" s="1"/>
  <c r="C36" i="119"/>
  <c r="D36" i="119" s="1" a="1"/>
  <c r="D36" i="119" s="1"/>
  <c r="C26" i="92" s="1"/>
  <c r="C35" i="119"/>
  <c r="D35" i="119" s="1" a="1"/>
  <c r="D35" i="119" s="1"/>
  <c r="C38" i="92" s="1"/>
  <c r="C80" i="119"/>
  <c r="D80" i="119" s="1" a="1"/>
  <c r="D80" i="119" s="1"/>
  <c r="C29" i="92" s="1"/>
  <c r="C96" i="119"/>
  <c r="D96" i="119" s="1" a="1"/>
  <c r="D96" i="119" s="1"/>
  <c r="C31" i="92" s="1"/>
  <c r="C95" i="119"/>
  <c r="D95" i="119" s="1" a="1"/>
  <c r="D95" i="119" s="1"/>
  <c r="C37" i="92" s="1"/>
  <c r="C83" i="119"/>
  <c r="D83" i="119" s="1" a="1"/>
  <c r="D83" i="119" s="1"/>
  <c r="C39" i="92" s="1"/>
  <c r="C82" i="119"/>
  <c r="D82" i="119" s="1" a="1"/>
  <c r="D82" i="119" s="1"/>
  <c r="C41" i="92" s="1"/>
  <c r="C79" i="119"/>
  <c r="D79" i="119" s="1" a="1"/>
  <c r="D79" i="119" s="1"/>
  <c r="C45" i="92" s="1"/>
  <c r="C81" i="119"/>
  <c r="D81" i="119" s="1" a="1"/>
  <c r="D81" i="119" s="1"/>
  <c r="C95" i="92" s="1"/>
  <c r="C40" i="119"/>
  <c r="D40" i="119" s="1" a="1"/>
  <c r="D40" i="119" s="1"/>
  <c r="C101" i="92" s="1"/>
  <c r="C39" i="119"/>
  <c r="D39" i="119" s="1" a="1"/>
  <c r="D39" i="119" s="1"/>
  <c r="C116" i="92" s="1"/>
  <c r="C167" i="119"/>
  <c r="D167" i="119" s="1" a="1"/>
  <c r="D167" i="119" s="1"/>
  <c r="C131" i="92" s="1"/>
  <c r="C168" i="119"/>
  <c r="D168" i="119" s="1" a="1"/>
  <c r="D168" i="119" s="1"/>
  <c r="C130" i="92" s="1"/>
  <c r="C154" i="119"/>
  <c r="D154" i="119" s="1" a="1"/>
  <c r="D154" i="119" s="1"/>
  <c r="C119" i="92" s="1"/>
  <c r="C176" i="119"/>
  <c r="D176" i="119" s="1" a="1"/>
  <c r="D176" i="119" s="1"/>
  <c r="C23" i="92" s="1"/>
  <c r="C177" i="119"/>
  <c r="D177" i="119" s="1" a="1"/>
  <c r="D177" i="119" s="1"/>
  <c r="C13" i="92" s="1"/>
  <c r="C178" i="119"/>
  <c r="D178" i="119" s="1" a="1"/>
  <c r="D178" i="119" s="1"/>
  <c r="C121" i="92" s="1"/>
  <c r="C179" i="119"/>
  <c r="D179" i="119" s="1" a="1"/>
  <c r="D179" i="119" s="1"/>
  <c r="C64" i="92" s="1"/>
  <c r="C171" i="119"/>
  <c r="D171" i="119" s="1" a="1"/>
  <c r="D171" i="119" s="1"/>
  <c r="C53" i="92" s="1"/>
  <c r="C155" i="119"/>
  <c r="D155" i="119" s="1" a="1"/>
  <c r="D155" i="119" s="1"/>
  <c r="C120" i="92" s="1"/>
  <c r="C158" i="119"/>
  <c r="D158" i="119" s="1" a="1"/>
  <c r="D158" i="119" s="1"/>
  <c r="C17" i="92" s="1"/>
  <c r="C169" i="119"/>
  <c r="D169" i="119" s="1" a="1"/>
  <c r="D169" i="119" s="1"/>
  <c r="C58" i="92" s="1"/>
  <c r="C157" i="119"/>
  <c r="D157" i="119" s="1" a="1"/>
  <c r="D157" i="119" s="1"/>
  <c r="C54" i="92" s="1"/>
  <c r="C173" i="119"/>
  <c r="D173" i="119" s="1" a="1"/>
  <c r="D173" i="119" s="1"/>
  <c r="C132" i="92" s="1"/>
  <c r="C182" i="119"/>
  <c r="D182" i="119" s="1" a="1"/>
  <c r="D182" i="119" s="1"/>
  <c r="C135" i="92" s="1"/>
  <c r="C170" i="119"/>
  <c r="D170" i="119" s="1" a="1"/>
  <c r="D170" i="119" s="1"/>
  <c r="C113" i="92" s="1"/>
  <c r="C183" i="119"/>
  <c r="D183" i="119" s="1" a="1"/>
  <c r="D183" i="119" s="1"/>
  <c r="C139" i="92" s="1"/>
  <c r="C180" i="119"/>
  <c r="D180" i="119" s="1" a="1"/>
  <c r="D180" i="119" s="1"/>
  <c r="C133" i="92" s="1"/>
  <c r="C153" i="119"/>
  <c r="D153" i="119" s="1" a="1"/>
  <c r="D153" i="119" s="1"/>
  <c r="C69" i="92" s="1"/>
  <c r="D304" i="118"/>
  <c r="D303" i="118"/>
  <c r="D302" i="118"/>
  <c r="D301" i="118"/>
  <c r="D300" i="118"/>
  <c r="D299" i="118"/>
  <c r="D298" i="118"/>
  <c r="D297" i="118"/>
  <c r="D296" i="118"/>
  <c r="D295" i="118"/>
  <c r="D294" i="118"/>
  <c r="D293" i="118"/>
  <c r="D292" i="118"/>
  <c r="D291" i="118"/>
  <c r="D290" i="118"/>
  <c r="D289" i="118"/>
  <c r="D288" i="118"/>
  <c r="D287" i="118"/>
  <c r="D286" i="118"/>
  <c r="D285" i="118"/>
  <c r="D284" i="118"/>
  <c r="D283" i="118"/>
  <c r="D282" i="118"/>
  <c r="D281" i="118"/>
  <c r="D280" i="118"/>
  <c r="D279" i="118"/>
  <c r="D278" i="118"/>
  <c r="D277" i="118"/>
  <c r="D276" i="118"/>
  <c r="D275" i="118"/>
  <c r="D274" i="118"/>
  <c r="D273" i="118"/>
  <c r="D272" i="118"/>
  <c r="D271" i="118"/>
  <c r="D270" i="118"/>
  <c r="D269" i="118"/>
  <c r="D268" i="118"/>
  <c r="D267" i="118"/>
  <c r="D266" i="118"/>
  <c r="D265" i="118"/>
  <c r="D264" i="118"/>
  <c r="D263" i="118"/>
  <c r="D262" i="118"/>
  <c r="D261" i="118"/>
  <c r="D260" i="118"/>
  <c r="D259" i="118"/>
  <c r="D258" i="118"/>
  <c r="D257" i="118"/>
  <c r="D256" i="118"/>
  <c r="D255" i="118"/>
  <c r="D254" i="118"/>
  <c r="D253" i="118"/>
  <c r="D252" i="118"/>
  <c r="D251" i="118"/>
  <c r="D250" i="118"/>
  <c r="D249" i="118"/>
  <c r="D248" i="118"/>
  <c r="D247" i="118"/>
  <c r="D246" i="118"/>
  <c r="D245" i="118"/>
  <c r="D244" i="118"/>
  <c r="D243" i="118"/>
  <c r="D242" i="118"/>
  <c r="D241" i="118"/>
  <c r="D240" i="118"/>
  <c r="D239" i="118"/>
  <c r="D238" i="118"/>
  <c r="D237" i="118"/>
  <c r="D236" i="118"/>
  <c r="D235" i="118"/>
  <c r="D234" i="118"/>
  <c r="D233" i="118"/>
  <c r="D232" i="118"/>
  <c r="D231" i="118"/>
  <c r="D230" i="118"/>
  <c r="D229" i="118"/>
  <c r="D228" i="118"/>
  <c r="D227" i="118"/>
  <c r="D226" i="118"/>
  <c r="D225" i="118"/>
  <c r="D224" i="118"/>
  <c r="D223" i="118"/>
  <c r="D222" i="118"/>
  <c r="D221" i="118"/>
  <c r="D220" i="118"/>
  <c r="D219" i="118"/>
  <c r="D218" i="118"/>
  <c r="D217" i="118"/>
  <c r="D216" i="118"/>
  <c r="D215" i="118"/>
  <c r="D214" i="118"/>
  <c r="D213" i="118"/>
  <c r="D212" i="118"/>
  <c r="D211" i="118"/>
  <c r="D210" i="118"/>
  <c r="D209" i="118"/>
  <c r="D208" i="118"/>
  <c r="D207" i="118"/>
  <c r="D206" i="118"/>
  <c r="D205" i="118"/>
  <c r="D204" i="118"/>
  <c r="D203" i="118"/>
  <c r="D202" i="118"/>
  <c r="D201" i="118"/>
  <c r="D200" i="118"/>
  <c r="D199" i="118"/>
  <c r="D198" i="118"/>
  <c r="D197" i="118"/>
  <c r="D196" i="118"/>
  <c r="D195" i="118"/>
  <c r="D194" i="118"/>
  <c r="D193" i="118"/>
  <c r="D192" i="118"/>
  <c r="D191" i="118"/>
  <c r="D190" i="118"/>
  <c r="D189" i="118"/>
  <c r="D188" i="118"/>
  <c r="D187" i="118"/>
  <c r="D186" i="118"/>
  <c r="D185" i="118"/>
  <c r="D184" i="118"/>
  <c r="D183" i="118"/>
  <c r="D182" i="118"/>
  <c r="D181" i="118"/>
  <c r="D180" i="118"/>
  <c r="D179" i="118"/>
  <c r="D178" i="118"/>
  <c r="D177" i="118"/>
  <c r="D176" i="118"/>
  <c r="D175" i="118"/>
  <c r="D174" i="118"/>
  <c r="D173" i="118"/>
  <c r="D172" i="118"/>
  <c r="D171" i="118"/>
  <c r="D170" i="118"/>
  <c r="D169" i="118"/>
  <c r="D168" i="118"/>
  <c r="D167" i="118"/>
  <c r="D166" i="118"/>
  <c r="D165" i="118"/>
  <c r="D164" i="118"/>
  <c r="D163" i="118"/>
  <c r="D162" i="118"/>
  <c r="D161" i="118"/>
  <c r="D160" i="118"/>
  <c r="D159" i="118"/>
  <c r="D158" i="118"/>
  <c r="D157" i="118"/>
  <c r="D156" i="118"/>
  <c r="D155" i="118"/>
  <c r="D154" i="118"/>
  <c r="D153" i="118"/>
  <c r="D152" i="118"/>
  <c r="D151" i="118"/>
  <c r="D150" i="118"/>
  <c r="D149" i="118"/>
  <c r="D148" i="118"/>
  <c r="D147" i="118"/>
  <c r="D146" i="118"/>
  <c r="D145" i="118"/>
  <c r="D144" i="118"/>
  <c r="D143" i="118"/>
  <c r="D142" i="118"/>
  <c r="D141" i="118"/>
  <c r="D140" i="118"/>
  <c r="D139" i="118"/>
  <c r="D138" i="118"/>
  <c r="D137" i="118"/>
  <c r="D136" i="118"/>
  <c r="D135" i="118"/>
  <c r="D134" i="118"/>
  <c r="D133" i="118"/>
  <c r="D132" i="118"/>
  <c r="D131" i="118"/>
  <c r="D130" i="118"/>
  <c r="D129" i="118"/>
  <c r="D128" i="118"/>
  <c r="D127" i="118"/>
  <c r="D126" i="118"/>
  <c r="D125" i="118"/>
  <c r="D124" i="118"/>
  <c r="D123" i="118"/>
  <c r="D122" i="118"/>
  <c r="D121" i="118"/>
  <c r="D120" i="118"/>
  <c r="D119" i="118"/>
  <c r="D118" i="118"/>
  <c r="D117" i="118"/>
  <c r="D116" i="118"/>
  <c r="D115" i="118"/>
  <c r="D114" i="118"/>
  <c r="D113" i="118"/>
  <c r="D112" i="118"/>
  <c r="D111" i="118"/>
  <c r="D110" i="118"/>
  <c r="D109" i="118"/>
  <c r="D108" i="118"/>
  <c r="D107" i="118"/>
  <c r="D106" i="118"/>
  <c r="D105" i="118"/>
  <c r="D104" i="118"/>
  <c r="D103" i="118"/>
  <c r="D102" i="118"/>
  <c r="D101" i="118"/>
  <c r="D100" i="118"/>
  <c r="D99" i="118"/>
  <c r="D98" i="118"/>
  <c r="D97" i="118"/>
  <c r="D96" i="118"/>
  <c r="D95" i="118"/>
  <c r="D94" i="118"/>
  <c r="D93" i="118"/>
  <c r="D92" i="118"/>
  <c r="D91" i="118"/>
  <c r="D90" i="118"/>
  <c r="D89" i="118"/>
  <c r="D88" i="118"/>
  <c r="D87" i="118"/>
  <c r="D86" i="118"/>
  <c r="D85" i="118"/>
  <c r="D84" i="118"/>
  <c r="D83" i="118"/>
  <c r="D82" i="118"/>
  <c r="D81" i="118"/>
  <c r="D80" i="118"/>
  <c r="D79" i="118"/>
  <c r="D78" i="118"/>
  <c r="D77" i="118"/>
  <c r="D76" i="118"/>
  <c r="D75" i="118"/>
  <c r="D74" i="118"/>
  <c r="D73" i="118"/>
  <c r="D72" i="118"/>
  <c r="D71" i="118"/>
  <c r="D70" i="118"/>
  <c r="D69" i="118"/>
  <c r="D68" i="118"/>
  <c r="D67" i="118"/>
  <c r="D66" i="118"/>
  <c r="D65" i="118"/>
  <c r="D64" i="118"/>
  <c r="D63" i="118"/>
  <c r="D62" i="118"/>
  <c r="D61" i="118"/>
  <c r="D60" i="118"/>
  <c r="D59" i="118"/>
  <c r="D58" i="118"/>
  <c r="D57" i="118"/>
  <c r="D56" i="118"/>
  <c r="D55" i="118"/>
  <c r="D54" i="118"/>
  <c r="D53" i="118"/>
  <c r="D52" i="118"/>
  <c r="D51" i="118"/>
  <c r="D50" i="118"/>
  <c r="D49" i="118"/>
  <c r="D48" i="118"/>
  <c r="D47" i="118"/>
  <c r="D46" i="118"/>
  <c r="D45" i="118"/>
  <c r="D44" i="118"/>
  <c r="D43" i="118"/>
  <c r="D42" i="118"/>
  <c r="D41" i="118"/>
  <c r="D40" i="118"/>
  <c r="D39" i="118"/>
  <c r="D38" i="118"/>
  <c r="D37" i="118"/>
  <c r="D36" i="118"/>
  <c r="D35" i="118"/>
  <c r="D34" i="118"/>
  <c r="D33" i="118"/>
  <c r="D32" i="118"/>
  <c r="D31" i="118"/>
  <c r="D30" i="118"/>
  <c r="D29" i="118"/>
  <c r="D28" i="118"/>
  <c r="D27" i="118"/>
  <c r="D26" i="118"/>
  <c r="D25" i="118"/>
  <c r="D24" i="118"/>
  <c r="D23" i="118"/>
  <c r="D22" i="118"/>
  <c r="D21" i="118"/>
  <c r="D20" i="118"/>
  <c r="D19" i="118"/>
  <c r="D18" i="118"/>
  <c r="D17" i="118"/>
  <c r="D16" i="118"/>
  <c r="D15" i="118"/>
  <c r="D14" i="118"/>
  <c r="D13" i="118"/>
  <c r="D12" i="118"/>
  <c r="D11" i="118"/>
  <c r="D10" i="118"/>
  <c r="D9" i="118"/>
  <c r="D8" i="118"/>
  <c r="D7" i="118"/>
  <c r="D6" i="118"/>
  <c r="D5" i="118"/>
  <c r="D4" i="118"/>
  <c r="D3" i="118"/>
  <c r="E41" i="119" a="1"/>
  <c r="E41" i="119" s="1"/>
  <c r="E8" i="119" a="1"/>
  <c r="E8" i="119" s="1"/>
  <c r="E90" i="119" a="1"/>
  <c r="E90" i="119" s="1"/>
  <c r="E7" i="119" a="1"/>
  <c r="E7" i="119" s="1"/>
  <c r="E3" i="119" a="1"/>
  <c r="E3" i="119" s="1"/>
  <c r="E21" i="119" a="1"/>
  <c r="E21" i="119" s="1"/>
  <c r="E13" i="119" a="1"/>
  <c r="E13" i="119" s="1"/>
  <c r="E151" i="119" a="1"/>
  <c r="E151" i="119" s="1"/>
  <c r="E2" i="119" a="1"/>
  <c r="E2" i="119" s="1"/>
  <c r="E172" i="119" a="1"/>
  <c r="E172" i="119" s="1"/>
  <c r="E9" i="119" a="1"/>
  <c r="E9" i="119" s="1"/>
  <c r="E156" i="119" a="1"/>
  <c r="E156" i="119" s="1"/>
  <c r="E77" i="119" a="1"/>
  <c r="E77" i="119" s="1"/>
  <c r="E45" i="119" a="1"/>
  <c r="E45" i="119" s="1"/>
  <c r="E33" i="119" a="1"/>
  <c r="E33" i="119" s="1"/>
  <c r="E88" i="119" a="1"/>
  <c r="E88" i="119" s="1"/>
  <c r="E76" i="119" a="1"/>
  <c r="E76" i="119" s="1"/>
  <c r="E31" i="119" a="1"/>
  <c r="E31" i="119" s="1"/>
  <c r="E17" i="119" a="1"/>
  <c r="E17" i="119" s="1"/>
  <c r="E11" i="119" a="1"/>
  <c r="E11" i="119" s="1"/>
  <c r="E15" i="119" a="1"/>
  <c r="E15" i="119" s="1"/>
  <c r="E91" i="119" a="1"/>
  <c r="E91" i="119" s="1"/>
  <c r="E27" i="119" a="1"/>
  <c r="E27" i="119" s="1"/>
  <c r="E18" i="119" a="1"/>
  <c r="E18" i="119" s="1"/>
  <c r="E97" i="119" a="1"/>
  <c r="E97" i="119" s="1"/>
  <c r="E6" i="119" a="1"/>
  <c r="E6" i="119" s="1"/>
  <c r="E4" i="119" a="1"/>
  <c r="E4" i="119" s="1"/>
  <c r="E5" i="119" a="1"/>
  <c r="E5" i="119" s="1"/>
  <c r="E19" i="119" a="1"/>
  <c r="E19" i="119" s="1"/>
  <c r="E10" i="119" a="1"/>
  <c r="E10" i="119" s="1"/>
  <c r="E99" i="119" a="1"/>
  <c r="E99" i="119" s="1"/>
  <c r="E14" i="119" a="1"/>
  <c r="E14" i="119" s="1"/>
  <c r="E26" i="119" a="1"/>
  <c r="E26" i="119" s="1"/>
  <c r="E30" i="119" a="1"/>
  <c r="E30" i="119" s="1"/>
  <c r="E16" i="119" a="1"/>
  <c r="E16" i="119" s="1"/>
  <c r="E87" i="119" a="1"/>
  <c r="E87" i="119" s="1"/>
  <c r="E12" i="119" a="1"/>
  <c r="E12" i="119" s="1"/>
  <c r="E101" i="119" a="1"/>
  <c r="E101" i="119" s="1"/>
  <c r="E166" i="119" a="1"/>
  <c r="E166" i="119" s="1"/>
  <c r="E24" i="119" a="1"/>
  <c r="E24" i="119" s="1"/>
  <c r="E38" i="119" a="1"/>
  <c r="E38" i="119" s="1"/>
  <c r="E47" i="119" a="1"/>
  <c r="E47" i="119" s="1"/>
  <c r="E165" i="119" a="1"/>
  <c r="E165" i="119" s="1"/>
  <c r="E163" i="119" a="1"/>
  <c r="E163" i="119" s="1"/>
  <c r="E32" i="119" a="1"/>
  <c r="E32" i="119" s="1"/>
  <c r="E20" i="119" a="1"/>
  <c r="E20" i="119" s="1"/>
  <c r="E46" i="119" a="1"/>
  <c r="E46" i="119" s="1"/>
  <c r="E34" i="119" a="1"/>
  <c r="E34" i="119" s="1"/>
  <c r="E22" i="119" a="1"/>
  <c r="E22" i="119" s="1"/>
  <c r="E37" i="119" a="1"/>
  <c r="E37" i="119" s="1"/>
  <c r="E43" i="119" a="1"/>
  <c r="E43" i="119" s="1"/>
  <c r="E100" i="119" a="1"/>
  <c r="E100" i="119" s="1"/>
  <c r="E42" i="119" a="1"/>
  <c r="E42" i="119" s="1"/>
  <c r="E52" i="119" a="1"/>
  <c r="E52" i="119" s="1"/>
  <c r="E85" i="119" a="1"/>
  <c r="E85" i="119" s="1"/>
  <c r="E53" i="119" a="1"/>
  <c r="E53" i="119" s="1"/>
  <c r="E55" i="119" a="1"/>
  <c r="E55" i="119" s="1"/>
  <c r="E57" i="119" a="1"/>
  <c r="E57" i="119" s="1"/>
  <c r="E78" i="119" a="1"/>
  <c r="E78" i="119" s="1"/>
  <c r="E54" i="119" a="1"/>
  <c r="E54" i="119" s="1"/>
  <c r="E60" i="119" a="1"/>
  <c r="E60" i="119" s="1"/>
  <c r="E49" i="119" a="1"/>
  <c r="E49" i="119" s="1"/>
  <c r="E23" i="119" a="1"/>
  <c r="E23" i="119" s="1"/>
  <c r="E44" i="119" a="1"/>
  <c r="E44" i="119" s="1"/>
  <c r="E48" i="119" a="1"/>
  <c r="E48" i="119" s="1"/>
  <c r="E58" i="119" a="1"/>
  <c r="E58" i="119" s="1"/>
  <c r="E72" i="119" a="1"/>
  <c r="E72" i="119" s="1"/>
  <c r="E86" i="119" a="1"/>
  <c r="E86" i="119" s="1"/>
  <c r="E51" i="119" a="1"/>
  <c r="E51" i="119" s="1"/>
  <c r="E89" i="119" a="1"/>
  <c r="E89" i="119" s="1"/>
  <c r="E59" i="119" a="1"/>
  <c r="E59" i="119" s="1"/>
  <c r="E56" i="119" a="1"/>
  <c r="E56" i="119" s="1"/>
  <c r="E98" i="119" a="1"/>
  <c r="E98" i="119" s="1"/>
  <c r="E50" i="119" a="1"/>
  <c r="E50" i="119" s="1"/>
  <c r="E159" i="119" a="1"/>
  <c r="E159" i="119" s="1"/>
  <c r="E184" i="119" a="1"/>
  <c r="E184" i="119" s="1"/>
  <c r="E29" i="119" a="1"/>
  <c r="E29" i="119" s="1"/>
  <c r="E69" i="119" a="1"/>
  <c r="E69" i="119" s="1"/>
  <c r="E62" i="119" a="1"/>
  <c r="E62" i="119" s="1"/>
  <c r="E63" i="119" a="1"/>
  <c r="E63" i="119" s="1"/>
  <c r="E174" i="119" a="1"/>
  <c r="E174" i="119" s="1"/>
  <c r="E61" i="119" a="1"/>
  <c r="E61" i="119" s="1"/>
  <c r="E175" i="119" a="1"/>
  <c r="E175" i="119" s="1"/>
  <c r="E28" i="119" a="1"/>
  <c r="E28" i="119" s="1"/>
  <c r="E66" i="119" a="1"/>
  <c r="E66" i="119" s="1"/>
  <c r="E161" i="119" a="1"/>
  <c r="E161" i="119" s="1"/>
  <c r="E68" i="119" a="1"/>
  <c r="E68" i="119" s="1"/>
  <c r="E64" i="119" a="1"/>
  <c r="E64" i="119" s="1"/>
  <c r="E67" i="119" a="1"/>
  <c r="E67" i="119" s="1"/>
  <c r="E65" i="119" a="1"/>
  <c r="E65" i="119" s="1"/>
  <c r="E162" i="119" a="1"/>
  <c r="E162" i="119" s="1"/>
  <c r="E152" i="119" a="1"/>
  <c r="E152" i="119" s="1"/>
  <c r="E160" i="119" a="1"/>
  <c r="E160" i="119" s="1"/>
  <c r="E92" i="119" a="1"/>
  <c r="E92" i="119" s="1"/>
  <c r="E181" i="119" a="1"/>
  <c r="E181" i="119" s="1"/>
  <c r="E25" i="119" a="1"/>
  <c r="E25" i="119" s="1"/>
  <c r="E93" i="119" a="1"/>
  <c r="E93" i="119" s="1"/>
  <c r="E70" i="119" a="1"/>
  <c r="E70" i="119" s="1"/>
  <c r="E73" i="119" a="1"/>
  <c r="E73" i="119" s="1"/>
  <c r="E74" i="119" a="1"/>
  <c r="E74" i="119" s="1"/>
  <c r="E75" i="119" a="1"/>
  <c r="E75" i="119" s="1"/>
  <c r="E164" i="119" a="1"/>
  <c r="E164" i="119" s="1"/>
  <c r="E71" i="119" a="1"/>
  <c r="E71" i="119" s="1"/>
  <c r="E94" i="119" a="1"/>
  <c r="E94" i="119" s="1"/>
  <c r="E84" i="119" a="1"/>
  <c r="E84" i="119" s="1"/>
  <c r="E36" i="119" a="1"/>
  <c r="E36" i="119" s="1"/>
  <c r="E35" i="119" a="1"/>
  <c r="E35" i="119" s="1"/>
  <c r="E80" i="119" a="1"/>
  <c r="E80" i="119" s="1"/>
  <c r="E96" i="119" a="1"/>
  <c r="E96" i="119" s="1"/>
  <c r="E95" i="119" a="1"/>
  <c r="E95" i="119" s="1"/>
  <c r="E83" i="119" a="1"/>
  <c r="E83" i="119" s="1"/>
  <c r="E82" i="119" a="1"/>
  <c r="E82" i="119" s="1"/>
  <c r="E79" i="119" a="1"/>
  <c r="E79" i="119" s="1"/>
  <c r="E81" i="119" a="1"/>
  <c r="E81" i="119" s="1"/>
  <c r="E40" i="119" a="1"/>
  <c r="E40" i="119" s="1"/>
  <c r="E39" i="119" a="1"/>
  <c r="E39" i="119" s="1"/>
  <c r="E167" i="119" a="1"/>
  <c r="E167" i="119" s="1"/>
  <c r="E168" i="119" a="1"/>
  <c r="E168" i="119" s="1"/>
  <c r="E154" i="119" a="1"/>
  <c r="E154" i="119" s="1"/>
  <c r="E176" i="119" a="1"/>
  <c r="E176" i="119" s="1"/>
  <c r="E177" i="119" a="1"/>
  <c r="E177" i="119" s="1"/>
  <c r="E178" i="119" a="1"/>
  <c r="E178" i="119" s="1"/>
  <c r="E179" i="119" a="1"/>
  <c r="E179" i="119" s="1"/>
  <c r="E171" i="119" a="1"/>
  <c r="E171" i="119" s="1"/>
  <c r="E155" i="119" a="1"/>
  <c r="E155" i="119" s="1"/>
  <c r="E158" i="119" a="1"/>
  <c r="E158" i="119" s="1"/>
  <c r="E169" i="119" a="1"/>
  <c r="E169" i="119" s="1"/>
  <c r="E157" i="119" a="1"/>
  <c r="E157" i="119" s="1"/>
  <c r="E173" i="119" a="1"/>
  <c r="E173" i="119" s="1"/>
  <c r="E182" i="119" a="1"/>
  <c r="E182" i="119" s="1"/>
  <c r="E170" i="119" a="1"/>
  <c r="E170" i="119" s="1"/>
  <c r="E183" i="119" a="1"/>
  <c r="E183" i="119" s="1"/>
  <c r="E180" i="119" a="1"/>
  <c r="E180" i="119" s="1"/>
  <c r="E153" i="119" a="1"/>
  <c r="E153" i="119" s="1"/>
  <c r="C61" i="92" l="1"/>
  <c r="C62" i="92"/>
  <c r="G1" i="118" l="1" a="1"/>
  <c r="G1" i="118" s="1"/>
  <c r="B2" i="118"/>
  <c r="C3" i="118" s="1" a="1"/>
  <c r="AC2" i="92"/>
  <c r="K2418" i="90"/>
  <c r="L2418" i="90" s="1"/>
  <c r="K2419" i="90"/>
  <c r="K2420" i="90"/>
  <c r="K2421" i="90"/>
  <c r="K2422" i="90"/>
  <c r="K2423" i="90"/>
  <c r="L2423" i="90" s="1"/>
  <c r="K2424" i="90"/>
  <c r="K2425" i="90"/>
  <c r="L2425" i="90" s="1"/>
  <c r="K2426" i="90"/>
  <c r="L2426" i="90" s="1"/>
  <c r="K2427" i="90"/>
  <c r="L2427" i="90" s="1"/>
  <c r="K2428" i="90"/>
  <c r="L2428" i="90" s="1"/>
  <c r="K2429" i="90"/>
  <c r="L2429" i="90" s="1"/>
  <c r="K2430" i="90"/>
  <c r="L2430" i="90" s="1"/>
  <c r="K2431" i="90"/>
  <c r="K2432" i="90"/>
  <c r="K2433" i="90"/>
  <c r="K2434" i="90"/>
  <c r="K2435" i="90"/>
  <c r="K2436" i="90"/>
  <c r="K2437" i="90"/>
  <c r="K2438" i="90"/>
  <c r="L2438" i="90" s="1"/>
  <c r="K2439" i="90"/>
  <c r="L2439" i="90" s="1"/>
  <c r="K2440" i="90"/>
  <c r="L2440" i="90" s="1"/>
  <c r="K2441" i="90"/>
  <c r="L2441" i="90" s="1"/>
  <c r="K2442" i="90"/>
  <c r="K2443" i="90"/>
  <c r="K2444" i="90"/>
  <c r="K2445" i="90"/>
  <c r="K2446" i="90"/>
  <c r="L2446" i="90" s="1"/>
  <c r="K2447" i="90"/>
  <c r="L2447" i="90" s="1"/>
  <c r="K2448" i="90"/>
  <c r="L2448" i="90" s="1"/>
  <c r="K2449" i="90"/>
  <c r="L2449" i="90" s="1"/>
  <c r="K2450" i="90"/>
  <c r="L2450" i="90" s="1"/>
  <c r="K2451" i="90"/>
  <c r="L2451" i="90" s="1"/>
  <c r="K2452" i="90"/>
  <c r="L2452" i="90" s="1"/>
  <c r="K2453" i="90"/>
  <c r="L2453" i="90" s="1"/>
  <c r="K2454" i="90"/>
  <c r="L2454" i="90" s="1"/>
  <c r="K2455" i="90"/>
  <c r="K2456" i="90"/>
  <c r="K2457" i="90"/>
  <c r="K2458" i="90"/>
  <c r="K2459" i="90"/>
  <c r="K2460" i="90"/>
  <c r="K2461" i="90"/>
  <c r="K2462" i="90"/>
  <c r="K2463" i="90"/>
  <c r="K2464" i="90"/>
  <c r="K2465" i="90"/>
  <c r="L2465" i="90" s="1"/>
  <c r="K2466" i="90"/>
  <c r="L2466" i="90" s="1"/>
  <c r="K2467" i="90"/>
  <c r="K2468" i="90"/>
  <c r="K2469" i="90"/>
  <c r="K2470" i="90"/>
  <c r="K2471" i="90"/>
  <c r="K2472" i="90"/>
  <c r="K2473" i="90"/>
  <c r="K2474" i="90"/>
  <c r="K2475" i="90"/>
  <c r="K2476" i="90"/>
  <c r="K2477" i="90"/>
  <c r="K2478" i="90"/>
  <c r="K2479" i="90"/>
  <c r="K2480" i="90"/>
  <c r="K2481" i="90"/>
  <c r="K2482" i="90"/>
  <c r="K2483" i="90"/>
  <c r="L2483" i="90" s="1"/>
  <c r="K2484" i="90"/>
  <c r="L2484" i="90" s="1"/>
  <c r="K2485" i="90"/>
  <c r="L2485" i="90" s="1"/>
  <c r="K2486" i="90"/>
  <c r="L2486" i="90" s="1"/>
  <c r="K2487" i="90"/>
  <c r="L2487" i="90" s="1"/>
  <c r="K2488" i="90"/>
  <c r="L2488" i="90" s="1"/>
  <c r="K2489" i="90"/>
  <c r="L2489" i="90" s="1"/>
  <c r="K2490" i="90"/>
  <c r="L2490" i="90" s="1"/>
  <c r="K2491" i="90"/>
  <c r="K2492" i="90"/>
  <c r="K2493" i="90"/>
  <c r="K2494" i="90"/>
  <c r="K2495" i="90"/>
  <c r="K2496" i="90"/>
  <c r="K2497" i="90"/>
  <c r="K2498" i="90"/>
  <c r="K2499" i="90"/>
  <c r="L2499" i="90" s="1"/>
  <c r="K2500" i="90"/>
  <c r="L2500" i="90" s="1"/>
  <c r="K2501" i="90"/>
  <c r="L2501" i="90" s="1"/>
  <c r="K2502" i="90"/>
  <c r="K2503" i="90"/>
  <c r="K2504" i="90"/>
  <c r="L2504" i="90" s="1"/>
  <c r="K2505" i="90"/>
  <c r="L2505" i="90" s="1"/>
  <c r="K2506" i="90"/>
  <c r="L2506" i="90" s="1"/>
  <c r="K2507" i="90"/>
  <c r="L2507" i="90" s="1"/>
  <c r="K2508" i="90"/>
  <c r="L2508" i="90" s="1"/>
  <c r="K2509" i="90"/>
  <c r="L2509" i="90" s="1"/>
  <c r="K2510" i="90"/>
  <c r="L2510" i="90" s="1"/>
  <c r="K2511" i="90"/>
  <c r="L2511" i="90" s="1"/>
  <c r="K2512" i="90"/>
  <c r="L2512" i="90" s="1"/>
  <c r="K2513" i="90"/>
  <c r="L2513" i="90" s="1"/>
  <c r="K2514" i="90"/>
  <c r="L2514" i="90" s="1"/>
  <c r="K2515" i="90"/>
  <c r="K2516" i="90"/>
  <c r="K2517" i="90"/>
  <c r="L2517" i="90" s="1"/>
  <c r="K2518" i="90"/>
  <c r="L2518" i="90" s="1"/>
  <c r="K2519" i="90"/>
  <c r="L2519" i="90" s="1"/>
  <c r="K2520" i="90"/>
  <c r="L2520" i="90" s="1"/>
  <c r="K2521" i="90"/>
  <c r="L2521" i="90" s="1"/>
  <c r="K2522" i="90"/>
  <c r="L2522" i="90" s="1"/>
  <c r="K2523" i="90"/>
  <c r="L2523" i="90" s="1"/>
  <c r="K2524" i="90"/>
  <c r="L2524" i="90" s="1"/>
  <c r="K2525" i="90"/>
  <c r="L2525" i="90" s="1"/>
  <c r="K2526" i="90"/>
  <c r="K2527" i="90"/>
  <c r="K2528" i="90"/>
  <c r="K2529" i="90"/>
  <c r="K2530" i="90"/>
  <c r="K2531" i="90"/>
  <c r="L2531" i="90" s="1"/>
  <c r="K2532" i="90"/>
  <c r="L2532" i="90" s="1"/>
  <c r="K2533" i="90"/>
  <c r="L2533" i="90" s="1"/>
  <c r="K2534" i="90"/>
  <c r="L2534" i="90" s="1"/>
  <c r="K2535" i="90"/>
  <c r="L2535" i="90" s="1"/>
  <c r="K2536" i="90"/>
  <c r="L2536" i="90" s="1"/>
  <c r="K2537" i="90"/>
  <c r="L2537" i="90" s="1"/>
  <c r="K2538" i="90"/>
  <c r="L2538" i="90" s="1"/>
  <c r="K2539" i="90"/>
  <c r="K2540" i="90"/>
  <c r="L2540" i="90" s="1"/>
  <c r="K2541" i="90"/>
  <c r="L2541" i="90" s="1"/>
  <c r="K2542" i="90"/>
  <c r="L2542" i="90" s="1"/>
  <c r="K2543" i="90"/>
  <c r="K2544" i="90"/>
  <c r="K2545" i="90"/>
  <c r="L2545" i="90" s="1"/>
  <c r="L2491" i="90"/>
  <c r="L2492" i="90"/>
  <c r="L2493" i="90"/>
  <c r="L2494" i="90"/>
  <c r="L2515" i="90"/>
  <c r="L2516" i="90"/>
  <c r="L2526" i="90"/>
  <c r="L2527" i="90"/>
  <c r="L2528" i="90"/>
  <c r="L2529" i="90"/>
  <c r="L2530" i="90"/>
  <c r="L2539" i="90"/>
  <c r="L2495" i="90"/>
  <c r="L2496" i="90"/>
  <c r="L2497" i="90"/>
  <c r="L2498" i="90"/>
  <c r="L2502" i="90"/>
  <c r="L2503" i="90"/>
  <c r="L2543" i="90"/>
  <c r="L2544" i="90"/>
  <c r="L2419" i="90"/>
  <c r="L2420" i="90"/>
  <c r="L2421" i="90"/>
  <c r="L2422" i="90"/>
  <c r="L2431" i="90"/>
  <c r="L2432" i="90"/>
  <c r="L2433" i="90"/>
  <c r="L2434" i="90"/>
  <c r="L2435" i="90"/>
  <c r="L2436" i="90"/>
  <c r="L2437" i="90"/>
  <c r="L2442" i="90"/>
  <c r="L2443" i="90"/>
  <c r="L2444" i="90"/>
  <c r="L2445" i="90"/>
  <c r="L2456" i="90"/>
  <c r="L2457" i="90"/>
  <c r="L2458" i="90"/>
  <c r="L2459" i="90"/>
  <c r="L2461" i="90"/>
  <c r="L2462" i="90"/>
  <c r="L2463" i="90"/>
  <c r="L2464" i="90"/>
  <c r="L2467" i="90"/>
  <c r="L2468" i="90"/>
  <c r="L2469" i="90"/>
  <c r="L2470" i="90"/>
  <c r="L2471" i="90"/>
  <c r="L2473" i="90"/>
  <c r="L2474" i="90"/>
  <c r="L2475" i="90"/>
  <c r="L2476" i="90"/>
  <c r="L2477" i="90"/>
  <c r="L2478" i="90"/>
  <c r="L2479" i="90"/>
  <c r="L2480" i="90"/>
  <c r="L2481" i="90"/>
  <c r="L2482" i="90"/>
  <c r="L2424" i="90"/>
  <c r="L2455" i="90"/>
  <c r="L2460" i="90"/>
  <c r="L2472" i="90"/>
  <c r="C3" i="118" l="1"/>
  <c r="AB6" i="95" l="1"/>
  <c r="AI3" i="92" l="1"/>
  <c r="AI2" i="92" s="1"/>
  <c r="AF36" i="92"/>
  <c r="AF68" i="92"/>
  <c r="AF124" i="92"/>
  <c r="AF15" i="92"/>
  <c r="AF50" i="92"/>
  <c r="AF70" i="92"/>
  <c r="AF51" i="92"/>
  <c r="AF90" i="92"/>
  <c r="AF126" i="92"/>
  <c r="AF53" i="92"/>
  <c r="AF39" i="92"/>
  <c r="AF130" i="92"/>
  <c r="AF119" i="92"/>
  <c r="AF120" i="92"/>
  <c r="AF9" i="92"/>
  <c r="AF11" i="92"/>
  <c r="AF35" i="92"/>
  <c r="AF74" i="92"/>
  <c r="AF77" i="92"/>
  <c r="AF110" i="92"/>
  <c r="AF125" i="92"/>
  <c r="AF19" i="92"/>
  <c r="AF62" i="92"/>
  <c r="AF21" i="92"/>
  <c r="AF103" i="92"/>
  <c r="AF30" i="92"/>
  <c r="AF46" i="92"/>
  <c r="AF59" i="92"/>
  <c r="AF65" i="92"/>
  <c r="AF67" i="92"/>
  <c r="AF73" i="92"/>
  <c r="AF81" i="92"/>
  <c r="AF86" i="92"/>
  <c r="AF106" i="92"/>
  <c r="AF28" i="92"/>
  <c r="AF40" i="92"/>
  <c r="AF7" i="92"/>
  <c r="AF49" i="92"/>
  <c r="AF129" i="92"/>
  <c r="AF12" i="92"/>
  <c r="AF71" i="92"/>
  <c r="AF94" i="92"/>
  <c r="AF38" i="92"/>
  <c r="AF41" i="92"/>
  <c r="AF95" i="92"/>
  <c r="AF116" i="92"/>
  <c r="AF5" i="92"/>
  <c r="AF55" i="92"/>
  <c r="AF13" i="92"/>
  <c r="AF83" i="92"/>
  <c r="AF88" i="92"/>
  <c r="AF82" i="92"/>
  <c r="AF111" i="92"/>
  <c r="AF128" i="92"/>
  <c r="AF42" i="92"/>
  <c r="AF100" i="92"/>
  <c r="AF122" i="92"/>
  <c r="AF22" i="92"/>
  <c r="AF8" i="92"/>
  <c r="AF89" i="92"/>
  <c r="AF98" i="92"/>
  <c r="AF107" i="92"/>
  <c r="AF121" i="92"/>
  <c r="AF17" i="92"/>
  <c r="AF54" i="92"/>
  <c r="AF10" i="92"/>
  <c r="AF60" i="92"/>
  <c r="AF44" i="92"/>
  <c r="AF123" i="92"/>
  <c r="AF131" i="92"/>
  <c r="AF132" i="92"/>
  <c r="AF115" i="92"/>
  <c r="AF45" i="92"/>
  <c r="AF25" i="92"/>
  <c r="AF85" i="92"/>
  <c r="AF48" i="92"/>
  <c r="AF29" i="92"/>
  <c r="AF63" i="92"/>
  <c r="AF33" i="92"/>
  <c r="AF57" i="92"/>
  <c r="AF114" i="92"/>
  <c r="AF32" i="92"/>
  <c r="AF80" i="92"/>
  <c r="AF52" i="92"/>
  <c r="AF108" i="92"/>
  <c r="AF58" i="92"/>
  <c r="AF104" i="92"/>
  <c r="AF66" i="92"/>
  <c r="AF47" i="92"/>
  <c r="AF92" i="92"/>
  <c r="AF69" i="92"/>
  <c r="AF75" i="92"/>
  <c r="AF96" i="92"/>
  <c r="AF105" i="92"/>
  <c r="AF109" i="92"/>
  <c r="AF118" i="92"/>
  <c r="AF24" i="92"/>
  <c r="AF93" i="92"/>
  <c r="AF72" i="92"/>
  <c r="AF23" i="92"/>
  <c r="AF113" i="92"/>
  <c r="AF102" i="92"/>
  <c r="AF16" i="92"/>
  <c r="AF87" i="92"/>
  <c r="AF56" i="92"/>
  <c r="AF76" i="92"/>
  <c r="AF78" i="92"/>
  <c r="AF79" i="92"/>
  <c r="AF91" i="92"/>
  <c r="AF99" i="92"/>
  <c r="AF34" i="92"/>
  <c r="AF61" i="92"/>
  <c r="AF117" i="92"/>
  <c r="AF14" i="92"/>
  <c r="AF18" i="92"/>
  <c r="AF20" i="92"/>
  <c r="AF27" i="92"/>
  <c r="AF43" i="92"/>
  <c r="AF84" i="92"/>
  <c r="AF112" i="92"/>
  <c r="AF97" i="92"/>
  <c r="AF6" i="92"/>
  <c r="AF127" i="92"/>
  <c r="AF26" i="92"/>
  <c r="AF37" i="92"/>
  <c r="AF101" i="92"/>
  <c r="AF64" i="92"/>
  <c r="AF31" i="92"/>
  <c r="AE3" i="92"/>
  <c r="AE2" i="92" s="1"/>
  <c r="AD3" i="92"/>
  <c r="AD2" i="92" s="1"/>
  <c r="X3" i="92"/>
  <c r="W3" i="92"/>
  <c r="V3" i="92"/>
  <c r="U3" i="92"/>
  <c r="T3" i="92"/>
  <c r="S3" i="92"/>
  <c r="R3" i="92"/>
  <c r="Q3" i="92"/>
  <c r="P3" i="92"/>
  <c r="O3" i="92"/>
  <c r="N3" i="92"/>
  <c r="M3" i="92"/>
  <c r="L3" i="92"/>
  <c r="K3" i="92"/>
  <c r="J3" i="92"/>
  <c r="I3" i="92"/>
  <c r="H3" i="92"/>
  <c r="G3" i="92"/>
  <c r="F3" i="92"/>
  <c r="D3" i="92"/>
  <c r="C3" i="92"/>
  <c r="A3" i="92"/>
  <c r="B3" i="92"/>
  <c r="AG114" i="92"/>
  <c r="AG104" i="92"/>
  <c r="AG85" i="92"/>
  <c r="AG121" i="92"/>
  <c r="AG22" i="92"/>
  <c r="AG45" i="92"/>
  <c r="AG96" i="92"/>
  <c r="AG16" i="92"/>
  <c r="AG32" i="92"/>
  <c r="AG107" i="92"/>
  <c r="AG8" i="92"/>
  <c r="AG20" i="92"/>
  <c r="AG112" i="92"/>
  <c r="AG79" i="92"/>
  <c r="AG101" i="92"/>
  <c r="AG86" i="92"/>
  <c r="AG12" i="92"/>
  <c r="AG49" i="92"/>
  <c r="AG17" i="92"/>
  <c r="AG97" i="92"/>
  <c r="AG68" i="92"/>
  <c r="AG122" i="92"/>
  <c r="AG38" i="92"/>
  <c r="AG84" i="92"/>
  <c r="AG44" i="92"/>
  <c r="AG46" i="92"/>
  <c r="AG21" i="92"/>
  <c r="AG130" i="92"/>
  <c r="AG127" i="92"/>
  <c r="AG41" i="92"/>
  <c r="AG19" i="92"/>
  <c r="AG116" i="92"/>
  <c r="AG54" i="92"/>
  <c r="AG26" i="92"/>
  <c r="AG125" i="92"/>
  <c r="AG43" i="92"/>
  <c r="AG80" i="92"/>
  <c r="AG94" i="92"/>
  <c r="AG57" i="92"/>
  <c r="AG113" i="92"/>
  <c r="AG73" i="92"/>
  <c r="AG77" i="92"/>
  <c r="AG99" i="92"/>
  <c r="AG59" i="92"/>
  <c r="AG78" i="92"/>
  <c r="AG118" i="92"/>
  <c r="AG103" i="92"/>
  <c r="AG83" i="92"/>
  <c r="AG67" i="92"/>
  <c r="AG90" i="92"/>
  <c r="AG69" i="92"/>
  <c r="AG33" i="92"/>
  <c r="AG129" i="92"/>
  <c r="AG89" i="92"/>
  <c r="AG28" i="92"/>
  <c r="AG117" i="92"/>
  <c r="AG37" i="92"/>
  <c r="AG93" i="92"/>
  <c r="AG74" i="92"/>
  <c r="AG15" i="92"/>
  <c r="AG7" i="92"/>
  <c r="AG11" i="92"/>
  <c r="AG87" i="92"/>
  <c r="AG39" i="92"/>
  <c r="AG81" i="92"/>
  <c r="AG42" i="92"/>
  <c r="AG30" i="92"/>
  <c r="AG55" i="92"/>
  <c r="AG60" i="92"/>
  <c r="AG119" i="92"/>
  <c r="AG95" i="92"/>
  <c r="AG123" i="92"/>
  <c r="AG24" i="92"/>
  <c r="AG102" i="92"/>
  <c r="AG52" i="92"/>
  <c r="AG9" i="92"/>
  <c r="AG106" i="92"/>
  <c r="AG62" i="92"/>
  <c r="AG108" i="92"/>
  <c r="AG120" i="92"/>
  <c r="AG36" i="92"/>
  <c r="AG75" i="92"/>
  <c r="AG48" i="92"/>
  <c r="AG131" i="92"/>
  <c r="AG64" i="92"/>
  <c r="AG13" i="92"/>
  <c r="AG115" i="92"/>
  <c r="AG58" i="92"/>
  <c r="AG132" i="92"/>
  <c r="AG18" i="92"/>
  <c r="AG105" i="92"/>
  <c r="AG82" i="92"/>
  <c r="AG10" i="92"/>
  <c r="AG40" i="92"/>
  <c r="AG124" i="92"/>
  <c r="AG91" i="92"/>
  <c r="AG92" i="92"/>
  <c r="AG109" i="92"/>
  <c r="AG88" i="92"/>
  <c r="AG76" i="92"/>
  <c r="AG71" i="92"/>
  <c r="AG65" i="92"/>
  <c r="AG50" i="92"/>
  <c r="AG14" i="92"/>
  <c r="AG111" i="92"/>
  <c r="AG35" i="92"/>
  <c r="AG110" i="92"/>
  <c r="AG34" i="92"/>
  <c r="AG72" i="92"/>
  <c r="AG6" i="92"/>
  <c r="AG53" i="92"/>
  <c r="AG23" i="92"/>
  <c r="AG61" i="92"/>
  <c r="AG128" i="92"/>
  <c r="AG27" i="92"/>
  <c r="AG25" i="92"/>
  <c r="AG98" i="92"/>
  <c r="AG100" i="92"/>
  <c r="AG56" i="92"/>
  <c r="AG51" i="92"/>
  <c r="AG126" i="92"/>
  <c r="AG66" i="92"/>
  <c r="AG47" i="92"/>
  <c r="AG5" i="92"/>
  <c r="AG70" i="92"/>
  <c r="AG31" i="92"/>
  <c r="AG63" i="92"/>
  <c r="AG29" i="92"/>
  <c r="AC114" i="92"/>
  <c r="AC104" i="92"/>
  <c r="AC85" i="92"/>
  <c r="AC121" i="92"/>
  <c r="AC22" i="92"/>
  <c r="AC45" i="92"/>
  <c r="AC96" i="92"/>
  <c r="AC16" i="92"/>
  <c r="AC32" i="92"/>
  <c r="AC107" i="92"/>
  <c r="AC8" i="92"/>
  <c r="AC20" i="92"/>
  <c r="AC112" i="92"/>
  <c r="AC79" i="92"/>
  <c r="AC101" i="92"/>
  <c r="AC86" i="92"/>
  <c r="AC12" i="92"/>
  <c r="AC49" i="92"/>
  <c r="AC17" i="92"/>
  <c r="AC97" i="92"/>
  <c r="AC68" i="92"/>
  <c r="AC122" i="92"/>
  <c r="AC38" i="92"/>
  <c r="AC84" i="92"/>
  <c r="AC44" i="92"/>
  <c r="AC46" i="92"/>
  <c r="AC21" i="92"/>
  <c r="AC130" i="92"/>
  <c r="AC127" i="92"/>
  <c r="AC41" i="92"/>
  <c r="AC19" i="92"/>
  <c r="AC116" i="92"/>
  <c r="AC54" i="92"/>
  <c r="AC26" i="92"/>
  <c r="AC125" i="92"/>
  <c r="AC43" i="92"/>
  <c r="AC80" i="92"/>
  <c r="AC94" i="92"/>
  <c r="AC57" i="92"/>
  <c r="AC113" i="92"/>
  <c r="AC73" i="92"/>
  <c r="AC77" i="92"/>
  <c r="AC99" i="92"/>
  <c r="AC59" i="92"/>
  <c r="AC78" i="92"/>
  <c r="AC118" i="92"/>
  <c r="AC103" i="92"/>
  <c r="AC83" i="92"/>
  <c r="AC67" i="92"/>
  <c r="AC90" i="92"/>
  <c r="AC69" i="92"/>
  <c r="AC33" i="92"/>
  <c r="AC129" i="92"/>
  <c r="AC89" i="92"/>
  <c r="AC28" i="92"/>
  <c r="AC117" i="92"/>
  <c r="AC37" i="92"/>
  <c r="AC93" i="92"/>
  <c r="AC74" i="92"/>
  <c r="AC15" i="92"/>
  <c r="AC7" i="92"/>
  <c r="AC11" i="92"/>
  <c r="AC87" i="92"/>
  <c r="AC39" i="92"/>
  <c r="AC81" i="92"/>
  <c r="AC42" i="92"/>
  <c r="AC30" i="92"/>
  <c r="AC55" i="92"/>
  <c r="AC60" i="92"/>
  <c r="AC119" i="92"/>
  <c r="AC95" i="92"/>
  <c r="AC123" i="92"/>
  <c r="AC24" i="92"/>
  <c r="AC102" i="92"/>
  <c r="AC52" i="92"/>
  <c r="AC9" i="92"/>
  <c r="AC106" i="92"/>
  <c r="AC62" i="92"/>
  <c r="AC108" i="92"/>
  <c r="AC120" i="92"/>
  <c r="AC36" i="92"/>
  <c r="AC75" i="92"/>
  <c r="AC48" i="92"/>
  <c r="AC131" i="92"/>
  <c r="AC64" i="92"/>
  <c r="AC13" i="92"/>
  <c r="AC115" i="92"/>
  <c r="AC58" i="92"/>
  <c r="AC132" i="92"/>
  <c r="AC18" i="92"/>
  <c r="AC105" i="92"/>
  <c r="AC82" i="92"/>
  <c r="AC10" i="92"/>
  <c r="AC40" i="92"/>
  <c r="AC124" i="92"/>
  <c r="AC91" i="92"/>
  <c r="AC92" i="92"/>
  <c r="AC109" i="92"/>
  <c r="AC88" i="92"/>
  <c r="AC76" i="92"/>
  <c r="AC71" i="92"/>
  <c r="AC65" i="92"/>
  <c r="AC50" i="92"/>
  <c r="AC14" i="92"/>
  <c r="AC111" i="92"/>
  <c r="AC35" i="92"/>
  <c r="AC110" i="92"/>
  <c r="AC34" i="92"/>
  <c r="AC72" i="92"/>
  <c r="AC6" i="92"/>
  <c r="AC53" i="92"/>
  <c r="AC23" i="92"/>
  <c r="AC61" i="92"/>
  <c r="AC128" i="92"/>
  <c r="AC27" i="92"/>
  <c r="AC25" i="92"/>
  <c r="AC98" i="92"/>
  <c r="AC100" i="92"/>
  <c r="AC56" i="92"/>
  <c r="AC51" i="92"/>
  <c r="AC126" i="92"/>
  <c r="AC66" i="92"/>
  <c r="AC47" i="92"/>
  <c r="AC5" i="92"/>
  <c r="AC70" i="92"/>
  <c r="AC31" i="92"/>
  <c r="AC63" i="92"/>
  <c r="AC29" i="92"/>
  <c r="AF3" i="92"/>
  <c r="AF2" i="92" s="1"/>
  <c r="AB114" i="92"/>
  <c r="AB104" i="92"/>
  <c r="AB85" i="92"/>
  <c r="AB121" i="92"/>
  <c r="AB22" i="92"/>
  <c r="AB45" i="92"/>
  <c r="AB96" i="92"/>
  <c r="AB16" i="92"/>
  <c r="AB32" i="92"/>
  <c r="AB107" i="92"/>
  <c r="AB8" i="92"/>
  <c r="AB20" i="92"/>
  <c r="AB112" i="92"/>
  <c r="AB79" i="92"/>
  <c r="AB101" i="92"/>
  <c r="AB86" i="92"/>
  <c r="AB12" i="92"/>
  <c r="AB49" i="92"/>
  <c r="AB17" i="92"/>
  <c r="AB97" i="92"/>
  <c r="AB68" i="92"/>
  <c r="AB122" i="92"/>
  <c r="AB38" i="92"/>
  <c r="AB84" i="92"/>
  <c r="AB44" i="92"/>
  <c r="AB46" i="92"/>
  <c r="AB21" i="92"/>
  <c r="AB130" i="92"/>
  <c r="AB127" i="92"/>
  <c r="AB41" i="92"/>
  <c r="AB19" i="92"/>
  <c r="AB116" i="92"/>
  <c r="AB54" i="92"/>
  <c r="AB26" i="92"/>
  <c r="AB125" i="92"/>
  <c r="AB43" i="92"/>
  <c r="AB80" i="92"/>
  <c r="AB94" i="92"/>
  <c r="AB57" i="92"/>
  <c r="AB113" i="92"/>
  <c r="AB73" i="92"/>
  <c r="AB77" i="92"/>
  <c r="AB99" i="92"/>
  <c r="AB59" i="92"/>
  <c r="AB78" i="92"/>
  <c r="AB118" i="92"/>
  <c r="AB103" i="92"/>
  <c r="AB83" i="92"/>
  <c r="AB67" i="92"/>
  <c r="AB90" i="92"/>
  <c r="AB69" i="92"/>
  <c r="AB33" i="92"/>
  <c r="AB129" i="92"/>
  <c r="AB89" i="92"/>
  <c r="AB28" i="92"/>
  <c r="AB117" i="92"/>
  <c r="AB37" i="92"/>
  <c r="AB93" i="92"/>
  <c r="AB74" i="92"/>
  <c r="AB15" i="92"/>
  <c r="AB7" i="92"/>
  <c r="AB11" i="92"/>
  <c r="AB87" i="92"/>
  <c r="AB39" i="92"/>
  <c r="AB81" i="92"/>
  <c r="AB42" i="92"/>
  <c r="AB30" i="92"/>
  <c r="AB55" i="92"/>
  <c r="AB60" i="92"/>
  <c r="AB119" i="92"/>
  <c r="AB95" i="92"/>
  <c r="AB123" i="92"/>
  <c r="AB24" i="92"/>
  <c r="AB102" i="92"/>
  <c r="AB52" i="92"/>
  <c r="AB9" i="92"/>
  <c r="AB106" i="92"/>
  <c r="AB62" i="92"/>
  <c r="AB108" i="92"/>
  <c r="AB120" i="92"/>
  <c r="AB36" i="92"/>
  <c r="AB75" i="92"/>
  <c r="AB48" i="92"/>
  <c r="AB131" i="92"/>
  <c r="AB64" i="92"/>
  <c r="AB13" i="92"/>
  <c r="AB115" i="92"/>
  <c r="AB58" i="92"/>
  <c r="AB132" i="92"/>
  <c r="AB18" i="92"/>
  <c r="AB105" i="92"/>
  <c r="AB82" i="92"/>
  <c r="AB10" i="92"/>
  <c r="AB40" i="92"/>
  <c r="AB124" i="92"/>
  <c r="AB91" i="92"/>
  <c r="AB92" i="92"/>
  <c r="AB109" i="92"/>
  <c r="AB88" i="92"/>
  <c r="AB76" i="92"/>
  <c r="AB71" i="92"/>
  <c r="AB65" i="92"/>
  <c r="AB50" i="92"/>
  <c r="AB14" i="92"/>
  <c r="AB111" i="92"/>
  <c r="AB35" i="92"/>
  <c r="AB110" i="92"/>
  <c r="AB34" i="92"/>
  <c r="AB72" i="92"/>
  <c r="AB6" i="92"/>
  <c r="AB53" i="92"/>
  <c r="AB23" i="92"/>
  <c r="AB61" i="92"/>
  <c r="AB128" i="92"/>
  <c r="AB27" i="92"/>
  <c r="AB25" i="92"/>
  <c r="AB98" i="92"/>
  <c r="AB100" i="92"/>
  <c r="AB56" i="92"/>
  <c r="AB51" i="92"/>
  <c r="AB126" i="92"/>
  <c r="AB66" i="92"/>
  <c r="AB47" i="92"/>
  <c r="AB5" i="92"/>
  <c r="AB70" i="92"/>
  <c r="AB31" i="92"/>
  <c r="AB63" i="92"/>
  <c r="AB29" i="92"/>
  <c r="B66" i="92"/>
  <c r="B47" i="92"/>
  <c r="B32" i="92"/>
  <c r="B70" i="92"/>
  <c r="B100" i="92"/>
  <c r="B65" i="92"/>
  <c r="B10" i="92"/>
  <c r="B124" i="92"/>
  <c r="B126" i="92"/>
  <c r="B51" i="92"/>
  <c r="B110" i="92"/>
  <c r="B128" i="92"/>
  <c r="B27" i="92"/>
  <c r="B14" i="92"/>
  <c r="B109" i="92"/>
  <c r="B111" i="92"/>
  <c r="B31" i="92"/>
  <c r="B5" i="92"/>
  <c r="B36" i="92"/>
  <c r="B107" i="92"/>
  <c r="B16" i="92"/>
  <c r="B103" i="92"/>
  <c r="B24" i="92"/>
  <c r="B87" i="92"/>
  <c r="B120" i="92"/>
  <c r="B35" i="92"/>
  <c r="B98" i="92"/>
  <c r="B18" i="92"/>
  <c r="B56" i="92"/>
  <c r="B92" i="92"/>
  <c r="B25" i="92"/>
  <c r="B53" i="92"/>
  <c r="B23" i="92"/>
  <c r="B61" i="92"/>
  <c r="B34" i="92"/>
  <c r="B72" i="92"/>
  <c r="B71" i="92"/>
  <c r="B91" i="92"/>
  <c r="B50" i="92"/>
  <c r="B88" i="92"/>
  <c r="B6" i="92"/>
  <c r="B132" i="92"/>
  <c r="B40" i="92"/>
  <c r="B82" i="92"/>
  <c r="B76" i="92"/>
  <c r="B105" i="92"/>
  <c r="B63" i="92"/>
  <c r="B29" i="92"/>
  <c r="B108" i="92"/>
  <c r="B19" i="92"/>
  <c r="B45" i="92"/>
  <c r="B20" i="92"/>
  <c r="B30" i="92"/>
  <c r="B122" i="92"/>
  <c r="B90" i="92"/>
  <c r="B125" i="92"/>
  <c r="B77" i="92"/>
  <c r="B106" i="92"/>
  <c r="B93" i="92"/>
  <c r="B49" i="92"/>
  <c r="B81" i="92"/>
  <c r="B33" i="92"/>
  <c r="B9" i="92"/>
  <c r="B15" i="92"/>
  <c r="B17" i="92"/>
  <c r="B68" i="92"/>
  <c r="B48" i="92"/>
  <c r="B127" i="92"/>
  <c r="B11" i="92"/>
  <c r="B112" i="92"/>
  <c r="B119" i="92"/>
  <c r="B62" i="92"/>
  <c r="B55" i="92"/>
  <c r="B69" i="92"/>
  <c r="B54" i="92"/>
  <c r="B12" i="92"/>
  <c r="B83" i="92"/>
  <c r="B116" i="92"/>
  <c r="B7" i="92"/>
  <c r="B94" i="92"/>
  <c r="B57" i="92"/>
  <c r="B38" i="92"/>
  <c r="B95" i="92"/>
  <c r="B99" i="92"/>
  <c r="B73" i="92"/>
  <c r="B28" i="92"/>
  <c r="B79" i="92"/>
  <c r="B129" i="92"/>
  <c r="B84" i="92"/>
  <c r="B60" i="92"/>
  <c r="B39" i="92"/>
  <c r="B42" i="92"/>
  <c r="B8" i="92"/>
  <c r="B26" i="92"/>
  <c r="B41" i="92"/>
  <c r="B43" i="92"/>
  <c r="B74" i="92"/>
  <c r="B130" i="92"/>
  <c r="B67" i="92"/>
  <c r="B96" i="92"/>
  <c r="B117" i="92"/>
  <c r="B44" i="92"/>
  <c r="B85" i="92"/>
  <c r="B131" i="92"/>
  <c r="B75" i="92"/>
  <c r="B113" i="92"/>
  <c r="B21" i="92"/>
  <c r="B86" i="92"/>
  <c r="B59" i="92"/>
  <c r="B89" i="92"/>
  <c r="B114" i="92"/>
  <c r="B80" i="92"/>
  <c r="B52" i="92"/>
  <c r="B46" i="92"/>
  <c r="B37" i="92"/>
  <c r="B64" i="92"/>
  <c r="B97" i="92"/>
  <c r="B118" i="92"/>
  <c r="B102" i="92"/>
  <c r="B13" i="92"/>
  <c r="B115" i="92"/>
  <c r="B123" i="92"/>
  <c r="B78" i="92"/>
  <c r="B101" i="92"/>
  <c r="B22" i="92"/>
  <c r="B121" i="92"/>
  <c r="B58" i="92"/>
  <c r="B104" i="92"/>
  <c r="K1414" i="90"/>
  <c r="L1414" i="90" s="1"/>
  <c r="AJ3" i="92"/>
  <c r="AH3" i="92"/>
  <c r="AH2" i="92" s="1"/>
  <c r="AG3" i="92"/>
  <c r="AG2" i="92" s="1"/>
  <c r="AJ181" i="92" l="1"/>
  <c r="AJ167" i="92"/>
  <c r="AJ159" i="92"/>
  <c r="AJ145" i="92"/>
  <c r="AN184" i="92"/>
  <c r="AN175" i="92"/>
  <c r="AN165" i="92"/>
  <c r="AN152" i="92"/>
  <c r="AN135" i="92"/>
  <c r="AO181" i="92"/>
  <c r="AO167" i="92"/>
  <c r="AO159" i="92"/>
  <c r="AO145" i="92"/>
  <c r="AJ177" i="92"/>
  <c r="AJ164" i="92"/>
  <c r="AJ150" i="92"/>
  <c r="AJ137" i="92"/>
  <c r="AN176" i="92"/>
  <c r="AN161" i="92"/>
  <c r="AN149" i="92"/>
  <c r="AN139" i="92"/>
  <c r="AO173" i="92"/>
  <c r="AO165" i="92"/>
  <c r="AO147" i="92"/>
  <c r="AO136" i="92"/>
  <c r="AJ173" i="92"/>
  <c r="AJ160" i="92"/>
  <c r="AJ149" i="92"/>
  <c r="AJ133" i="92"/>
  <c r="AN168" i="92"/>
  <c r="AN156" i="92"/>
  <c r="AN145" i="92"/>
  <c r="AO186" i="92"/>
  <c r="AO172" i="92"/>
  <c r="AO154" i="92"/>
  <c r="AO141" i="92"/>
  <c r="AJ168" i="92"/>
  <c r="AJ158" i="92"/>
  <c r="AJ141" i="92"/>
  <c r="AN173" i="92"/>
  <c r="AN158" i="92"/>
  <c r="AN142" i="92"/>
  <c r="AO180" i="92"/>
  <c r="AO164" i="92"/>
  <c r="AO152" i="92"/>
  <c r="AO139" i="92"/>
  <c r="AJ179" i="92"/>
  <c r="AJ166" i="92"/>
  <c r="AJ147" i="92"/>
  <c r="AN170" i="92"/>
  <c r="AN154" i="92"/>
  <c r="AN137" i="92"/>
  <c r="AO174" i="92"/>
  <c r="AO157" i="92"/>
  <c r="AO142" i="92"/>
  <c r="AJ174" i="92"/>
  <c r="AJ157" i="92"/>
  <c r="AJ142" i="92"/>
  <c r="AN182" i="92"/>
  <c r="AN166" i="92"/>
  <c r="AN147" i="92"/>
  <c r="AO184" i="92"/>
  <c r="AO171" i="92"/>
  <c r="AO150" i="92"/>
  <c r="AO134" i="92"/>
  <c r="AJ184" i="92"/>
  <c r="AJ169" i="92"/>
  <c r="AJ146" i="92"/>
  <c r="AN171" i="92"/>
  <c r="AN151" i="92"/>
  <c r="AO179" i="92"/>
  <c r="AO163" i="92"/>
  <c r="AO143" i="92"/>
  <c r="AJ185" i="92"/>
  <c r="AJ163" i="92"/>
  <c r="AJ140" i="92"/>
  <c r="AN183" i="92"/>
  <c r="AN159" i="92"/>
  <c r="AN134" i="92"/>
  <c r="AO166" i="92"/>
  <c r="AO144" i="92"/>
  <c r="AJ186" i="92"/>
  <c r="AJ165" i="92"/>
  <c r="AJ135" i="92"/>
  <c r="AN177" i="92"/>
  <c r="AN155" i="92"/>
  <c r="AN133" i="92"/>
  <c r="AO162" i="92"/>
  <c r="AO140" i="92"/>
  <c r="AJ182" i="92"/>
  <c r="AJ161" i="92"/>
  <c r="AJ138" i="92"/>
  <c r="AN178" i="92"/>
  <c r="AN153" i="92"/>
  <c r="AO185" i="92"/>
  <c r="AO160" i="92"/>
  <c r="AO137" i="92"/>
  <c r="AJ175" i="92"/>
  <c r="AJ148" i="92"/>
  <c r="AN179" i="92"/>
  <c r="AN150" i="92"/>
  <c r="AO178" i="92"/>
  <c r="AO148" i="92"/>
  <c r="AJ170" i="92"/>
  <c r="AJ143" i="92"/>
  <c r="AN181" i="92"/>
  <c r="AN146" i="92"/>
  <c r="AO176" i="92"/>
  <c r="AO146" i="92"/>
  <c r="AJ172" i="92"/>
  <c r="AJ139" i="92"/>
  <c r="AN157" i="92"/>
  <c r="AO168" i="92"/>
  <c r="AO133" i="92"/>
  <c r="AJ187" i="92"/>
  <c r="AJ171" i="92"/>
  <c r="AN185" i="92"/>
  <c r="AN148" i="92"/>
  <c r="AO170" i="92"/>
  <c r="AJ162" i="92"/>
  <c r="AN186" i="92"/>
  <c r="AN144" i="92"/>
  <c r="AO169" i="92"/>
  <c r="AJ155" i="92"/>
  <c r="AN172" i="92"/>
  <c r="AN140" i="92"/>
  <c r="AO158" i="92"/>
  <c r="AJ153" i="92"/>
  <c r="AN167" i="92"/>
  <c r="AN138" i="92"/>
  <c r="AO155" i="92"/>
  <c r="AJ154" i="92"/>
  <c r="AN162" i="92"/>
  <c r="AO153" i="92"/>
  <c r="AJ151" i="92"/>
  <c r="AN163" i="92"/>
  <c r="AO151" i="92"/>
  <c r="AN187" i="92"/>
  <c r="AJ134" i="92"/>
  <c r="AN136" i="92"/>
  <c r="AJ144" i="92"/>
  <c r="AO161" i="92"/>
  <c r="AJ136" i="92"/>
  <c r="AN180" i="92"/>
  <c r="AO156" i="92"/>
  <c r="AN188" i="92"/>
  <c r="AN174" i="92"/>
  <c r="AO149" i="92"/>
  <c r="AO187" i="92"/>
  <c r="AJ183" i="92"/>
  <c r="AN141" i="92"/>
  <c r="AO177" i="92"/>
  <c r="AO175" i="92"/>
  <c r="AJ188" i="92"/>
  <c r="AO135" i="92"/>
  <c r="AO188" i="92"/>
  <c r="AJ180" i="92"/>
  <c r="AJ178" i="92"/>
  <c r="AN169" i="92"/>
  <c r="AJ176" i="92"/>
  <c r="AN164" i="92"/>
  <c r="AN143" i="92"/>
  <c r="AO182" i="92"/>
  <c r="AO183" i="92"/>
  <c r="AJ156" i="92"/>
  <c r="AJ152" i="92"/>
  <c r="AN160" i="92"/>
  <c r="AO138" i="92"/>
  <c r="AJ1" i="92"/>
  <c r="AJ36" i="92"/>
  <c r="AN36" i="92"/>
  <c r="AJ88" i="92"/>
  <c r="AJ114" i="92"/>
  <c r="AN114" i="92"/>
  <c r="AN82" i="92"/>
  <c r="AK3" i="92"/>
  <c r="AN10" i="92"/>
  <c r="AJ76" i="92"/>
  <c r="AJ85" i="92"/>
  <c r="AJ101" i="92"/>
  <c r="AJ46" i="92"/>
  <c r="AJ94" i="92"/>
  <c r="AJ90" i="92"/>
  <c r="AJ11" i="92"/>
  <c r="AJ102" i="92"/>
  <c r="AJ64" i="92"/>
  <c r="AJ92" i="92"/>
  <c r="AJ72" i="92"/>
  <c r="AJ51" i="92"/>
  <c r="AN112" i="92"/>
  <c r="AN84" i="92"/>
  <c r="AN43" i="92"/>
  <c r="AN83" i="92"/>
  <c r="AN15" i="92"/>
  <c r="AN123" i="92"/>
  <c r="AN131" i="92"/>
  <c r="AN124" i="92"/>
  <c r="AN110" i="92"/>
  <c r="AN100" i="92"/>
  <c r="AJ16" i="92"/>
  <c r="AJ97" i="92"/>
  <c r="AJ19" i="92"/>
  <c r="AJ99" i="92"/>
  <c r="AJ28" i="92"/>
  <c r="AJ30" i="92"/>
  <c r="AJ108" i="92"/>
  <c r="AJ18" i="92"/>
  <c r="AJ65" i="92"/>
  <c r="AJ61" i="92"/>
  <c r="AJ5" i="92"/>
  <c r="AN45" i="92"/>
  <c r="AN49" i="92"/>
  <c r="AN127" i="92"/>
  <c r="AN73" i="92"/>
  <c r="AN129" i="92"/>
  <c r="AN81" i="92"/>
  <c r="AN106" i="92"/>
  <c r="AN58" i="92"/>
  <c r="AN76" i="92"/>
  <c r="AN53" i="92"/>
  <c r="AN66" i="92"/>
  <c r="AJ45" i="92"/>
  <c r="AJ68" i="92"/>
  <c r="AJ26" i="92"/>
  <c r="AJ83" i="92"/>
  <c r="AJ87" i="92"/>
  <c r="AJ106" i="92"/>
  <c r="AJ105" i="92"/>
  <c r="AJ111" i="92"/>
  <c r="AJ100" i="92"/>
  <c r="AN8" i="92"/>
  <c r="AN44" i="92"/>
  <c r="AN57" i="92"/>
  <c r="AN89" i="92"/>
  <c r="AN55" i="92"/>
  <c r="AN75" i="92"/>
  <c r="AN91" i="92"/>
  <c r="AN6" i="92"/>
  <c r="AN47" i="92"/>
  <c r="AJ96" i="92"/>
  <c r="AJ125" i="92"/>
  <c r="AJ67" i="92"/>
  <c r="AJ39" i="92"/>
  <c r="AJ62" i="92"/>
  <c r="AJ82" i="92"/>
  <c r="AJ35" i="92"/>
  <c r="AJ56" i="92"/>
  <c r="AN20" i="92"/>
  <c r="AN46" i="92"/>
  <c r="AN113" i="92"/>
  <c r="AN28" i="92"/>
  <c r="AN60" i="92"/>
  <c r="AN48" i="92"/>
  <c r="AN92" i="92"/>
  <c r="AN5" i="92"/>
  <c r="AJ20" i="92"/>
  <c r="AJ44" i="92"/>
  <c r="AJ113" i="92"/>
  <c r="AJ89" i="92"/>
  <c r="AJ60" i="92"/>
  <c r="AJ48" i="92"/>
  <c r="AJ91" i="92"/>
  <c r="AJ47" i="92"/>
  <c r="AN85" i="92"/>
  <c r="AN12" i="92"/>
  <c r="AN19" i="92"/>
  <c r="AN78" i="92"/>
  <c r="AN74" i="92"/>
  <c r="AN102" i="92"/>
  <c r="AN115" i="92"/>
  <c r="AN65" i="92"/>
  <c r="AN27" i="92"/>
  <c r="AN29" i="92"/>
  <c r="AO5" i="92"/>
  <c r="AJ12" i="92"/>
  <c r="AJ43" i="92"/>
  <c r="AJ117" i="92"/>
  <c r="AJ24" i="92"/>
  <c r="AJ10" i="92"/>
  <c r="AJ53" i="92"/>
  <c r="AJ29" i="92"/>
  <c r="AN16" i="92"/>
  <c r="AN21" i="92"/>
  <c r="AN118" i="92"/>
  <c r="AN39" i="92"/>
  <c r="AN50" i="92"/>
  <c r="AN51" i="92"/>
  <c r="AJ49" i="92"/>
  <c r="AJ80" i="92"/>
  <c r="AJ37" i="92"/>
  <c r="AJ52" i="92"/>
  <c r="AJ40" i="92"/>
  <c r="AJ23" i="92"/>
  <c r="AN32" i="92"/>
  <c r="AN130" i="92"/>
  <c r="AN103" i="92"/>
  <c r="AN42" i="92"/>
  <c r="AN64" i="92"/>
  <c r="AN14" i="92"/>
  <c r="AJ17" i="92"/>
  <c r="AJ57" i="92"/>
  <c r="AJ93" i="92"/>
  <c r="AJ9" i="92"/>
  <c r="AJ124" i="92"/>
  <c r="AJ128" i="92"/>
  <c r="AN107" i="92"/>
  <c r="AN41" i="92"/>
  <c r="AN67" i="92"/>
  <c r="AN30" i="92"/>
  <c r="AN13" i="92"/>
  <c r="AN111" i="92"/>
  <c r="AN126" i="92"/>
  <c r="AJ104" i="92"/>
  <c r="AJ21" i="92"/>
  <c r="AJ69" i="92"/>
  <c r="AJ120" i="92"/>
  <c r="AJ71" i="92"/>
  <c r="AJ70" i="92"/>
  <c r="AN90" i="92"/>
  <c r="AN52" i="92"/>
  <c r="AN109" i="92"/>
  <c r="AN70" i="92"/>
  <c r="AJ121" i="92"/>
  <c r="AJ130" i="92"/>
  <c r="AJ33" i="92"/>
  <c r="AJ50" i="92"/>
  <c r="AJ31" i="92"/>
  <c r="AN122" i="92"/>
  <c r="AN69" i="92"/>
  <c r="AN9" i="92"/>
  <c r="AN88" i="92"/>
  <c r="AN31" i="92"/>
  <c r="AJ107" i="92"/>
  <c r="AJ116" i="92"/>
  <c r="AJ15" i="92"/>
  <c r="AJ34" i="92"/>
  <c r="AN22" i="92"/>
  <c r="AN54" i="92"/>
  <c r="AN37" i="92"/>
  <c r="AN120" i="92"/>
  <c r="AN34" i="92"/>
  <c r="AJ8" i="92"/>
  <c r="AJ54" i="92"/>
  <c r="AJ7" i="92"/>
  <c r="AJ13" i="92"/>
  <c r="AJ6" i="92"/>
  <c r="AN96" i="92"/>
  <c r="AN26" i="92"/>
  <c r="AN93" i="92"/>
  <c r="AN72" i="92"/>
  <c r="AO29" i="92"/>
  <c r="AJ86" i="92"/>
  <c r="AJ129" i="92"/>
  <c r="AJ132" i="92"/>
  <c r="AJ63" i="92"/>
  <c r="AN38" i="92"/>
  <c r="AN87" i="92"/>
  <c r="AN71" i="92"/>
  <c r="AJ122" i="92"/>
  <c r="AJ74" i="92"/>
  <c r="AJ109" i="92"/>
  <c r="AN116" i="92"/>
  <c r="AN119" i="92"/>
  <c r="AN35" i="92"/>
  <c r="AJ41" i="92"/>
  <c r="AJ119" i="92"/>
  <c r="AJ110" i="92"/>
  <c r="AN121" i="92"/>
  <c r="AN77" i="92"/>
  <c r="AN108" i="92"/>
  <c r="AN25" i="92"/>
  <c r="AJ73" i="92"/>
  <c r="AJ95" i="92"/>
  <c r="AJ27" i="92"/>
  <c r="AN79" i="92"/>
  <c r="AN99" i="92"/>
  <c r="AN132" i="92"/>
  <c r="AN98" i="92"/>
  <c r="AJ112" i="92"/>
  <c r="AJ55" i="92"/>
  <c r="AJ126" i="92"/>
  <c r="AN104" i="92"/>
  <c r="AN7" i="92"/>
  <c r="AN128" i="92"/>
  <c r="AJ79" i="92"/>
  <c r="AJ123" i="92"/>
  <c r="AJ66" i="92"/>
  <c r="AN101" i="92"/>
  <c r="AN11" i="92"/>
  <c r="AN56" i="92"/>
  <c r="AJ118" i="92"/>
  <c r="AJ98" i="92"/>
  <c r="AN86" i="92"/>
  <c r="AN62" i="92"/>
  <c r="AJ32" i="92"/>
  <c r="AJ131" i="92"/>
  <c r="AN80" i="92"/>
  <c r="AN40" i="92"/>
  <c r="AJ59" i="92"/>
  <c r="AN68" i="92"/>
  <c r="AN23" i="92"/>
  <c r="AJ78" i="92"/>
  <c r="AN125" i="92"/>
  <c r="AN61" i="92"/>
  <c r="AO120" i="92"/>
  <c r="AJ75" i="92"/>
  <c r="AN117" i="92"/>
  <c r="AJ77" i="92"/>
  <c r="AN18" i="92"/>
  <c r="AJ103" i="92"/>
  <c r="AN105" i="92"/>
  <c r="AJ58" i="92"/>
  <c r="AN17" i="92"/>
  <c r="AJ38" i="92"/>
  <c r="AJ42" i="92"/>
  <c r="AN94" i="92"/>
  <c r="AJ115" i="92"/>
  <c r="AN59" i="92"/>
  <c r="AJ14" i="92"/>
  <c r="AN63" i="92"/>
  <c r="AJ25" i="92"/>
  <c r="AJ22" i="92"/>
  <c r="AN97" i="92"/>
  <c r="AJ84" i="92"/>
  <c r="AN33" i="92"/>
  <c r="AJ81" i="92"/>
  <c r="AN95" i="92"/>
  <c r="AN24" i="92"/>
  <c r="AJ127" i="92"/>
  <c r="AO3" i="92"/>
  <c r="AP3" i="92"/>
  <c r="AQ3" i="92"/>
  <c r="AP166" i="92" l="1"/>
  <c r="AD166" i="92"/>
  <c r="AE166" i="92" s="1"/>
  <c r="AD152" i="92"/>
  <c r="AE152" i="92" s="1"/>
  <c r="AP152" i="92"/>
  <c r="AP186" i="92"/>
  <c r="AD186" i="92"/>
  <c r="AE186" i="92" s="1"/>
  <c r="AP156" i="92"/>
  <c r="AD156" i="92"/>
  <c r="AE156" i="92" s="1"/>
  <c r="AP144" i="92"/>
  <c r="AD144" i="92"/>
  <c r="AE144" i="92" s="1"/>
  <c r="AD143" i="92"/>
  <c r="AE143" i="92" s="1"/>
  <c r="AP143" i="92"/>
  <c r="AP157" i="92"/>
  <c r="AD157" i="92"/>
  <c r="AE157" i="92" s="1"/>
  <c r="AP135" i="92"/>
  <c r="AD135" i="92"/>
  <c r="AE135" i="92" s="1"/>
  <c r="AP153" i="92"/>
  <c r="AD153" i="92"/>
  <c r="AE153" i="92" s="1"/>
  <c r="AD171" i="92"/>
  <c r="AE171" i="92" s="1"/>
  <c r="AP171" i="92"/>
  <c r="AP170" i="92"/>
  <c r="AD170" i="92"/>
  <c r="AE170" i="92" s="1"/>
  <c r="AD138" i="92"/>
  <c r="AE138" i="92" s="1"/>
  <c r="AP146" i="92"/>
  <c r="AD146" i="92"/>
  <c r="AE146" i="92" s="1"/>
  <c r="AD174" i="92"/>
  <c r="AE174" i="92" s="1"/>
  <c r="AP174" i="92"/>
  <c r="AP138" i="92"/>
  <c r="AP134" i="92"/>
  <c r="AD134" i="92"/>
  <c r="AE134" i="92" s="1"/>
  <c r="AP187" i="92"/>
  <c r="AD187" i="92"/>
  <c r="AE187" i="92" s="1"/>
  <c r="AD161" i="92"/>
  <c r="AE161" i="92" s="1"/>
  <c r="AP161" i="92"/>
  <c r="AP169" i="92"/>
  <c r="AD169" i="92"/>
  <c r="AE169" i="92" s="1"/>
  <c r="AP162" i="92"/>
  <c r="AD162" i="92"/>
  <c r="AE162" i="92" s="1"/>
  <c r="AP165" i="92"/>
  <c r="AD165" i="92"/>
  <c r="AE165" i="92" s="1"/>
  <c r="AD183" i="92"/>
  <c r="AE183" i="92" s="1"/>
  <c r="AP183" i="92"/>
  <c r="AP182" i="92"/>
  <c r="AD182" i="92"/>
  <c r="AE182" i="92" s="1"/>
  <c r="AP184" i="92"/>
  <c r="AD184" i="92"/>
  <c r="AE184" i="92" s="1"/>
  <c r="AP142" i="92"/>
  <c r="AD142" i="92"/>
  <c r="AE142" i="92" s="1"/>
  <c r="AP133" i="92"/>
  <c r="AD133" i="92"/>
  <c r="AE133" i="92" s="1"/>
  <c r="AD137" i="92"/>
  <c r="AE137" i="92" s="1"/>
  <c r="AP137" i="92"/>
  <c r="AP188" i="92"/>
  <c r="AD188" i="92"/>
  <c r="AE188" i="92" s="1"/>
  <c r="AP176" i="92"/>
  <c r="AD176" i="92"/>
  <c r="AE176" i="92" s="1"/>
  <c r="AD155" i="92"/>
  <c r="AE155" i="92" s="1"/>
  <c r="AP155" i="92"/>
  <c r="AP140" i="92"/>
  <c r="AD140" i="92"/>
  <c r="AE140" i="92" s="1"/>
  <c r="AP149" i="92"/>
  <c r="AD149" i="92"/>
  <c r="AE149" i="92" s="1"/>
  <c r="AP150" i="92"/>
  <c r="AD150" i="92"/>
  <c r="AE150" i="92" s="1"/>
  <c r="AP145" i="92"/>
  <c r="AD145" i="92"/>
  <c r="AE145" i="92" s="1"/>
  <c r="AD136" i="92"/>
  <c r="AE136" i="92" s="1"/>
  <c r="AP136" i="92"/>
  <c r="AP151" i="92"/>
  <c r="AD151" i="92"/>
  <c r="AE151" i="92" s="1"/>
  <c r="AP139" i="92"/>
  <c r="AD139" i="92"/>
  <c r="AE139" i="92" s="1"/>
  <c r="AD148" i="92"/>
  <c r="AE148" i="92" s="1"/>
  <c r="AP148" i="92"/>
  <c r="AP163" i="92"/>
  <c r="AD163" i="92"/>
  <c r="AE163" i="92" s="1"/>
  <c r="AP141" i="92"/>
  <c r="AD141" i="92"/>
  <c r="AE141" i="92" s="1"/>
  <c r="AP160" i="92"/>
  <c r="AD160" i="92"/>
  <c r="AE160" i="92" s="1"/>
  <c r="AP164" i="92"/>
  <c r="AD164" i="92"/>
  <c r="AE164" i="92" s="1"/>
  <c r="AP159" i="92"/>
  <c r="AD159" i="92"/>
  <c r="AE159" i="92" s="1"/>
  <c r="AP178" i="92"/>
  <c r="AD178" i="92"/>
  <c r="AE178" i="92" s="1"/>
  <c r="AP172" i="92"/>
  <c r="AD172" i="92"/>
  <c r="AE172" i="92" s="1"/>
  <c r="AD175" i="92"/>
  <c r="AE175" i="92" s="1"/>
  <c r="AP175" i="92"/>
  <c r="AP185" i="92"/>
  <c r="AD185" i="92"/>
  <c r="AE185" i="92" s="1"/>
  <c r="AD158" i="92"/>
  <c r="AE158" i="92" s="1"/>
  <c r="AP158" i="92"/>
  <c r="AP173" i="92"/>
  <c r="AD173" i="92"/>
  <c r="AE173" i="92" s="1"/>
  <c r="AD177" i="92"/>
  <c r="AE177" i="92" s="1"/>
  <c r="AP177" i="92"/>
  <c r="AP167" i="92"/>
  <c r="AD167" i="92"/>
  <c r="AE167" i="92" s="1"/>
  <c r="AP154" i="92"/>
  <c r="AD154" i="92"/>
  <c r="AE154" i="92" s="1"/>
  <c r="AM181" i="92"/>
  <c r="AM167" i="92"/>
  <c r="AM159" i="92"/>
  <c r="AM145" i="92"/>
  <c r="AM185" i="92"/>
  <c r="AM168" i="92"/>
  <c r="AM157" i="92"/>
  <c r="AM146" i="92"/>
  <c r="AM133" i="92"/>
  <c r="AM174" i="92"/>
  <c r="AM165" i="92"/>
  <c r="AM148" i="92"/>
  <c r="AM139" i="92"/>
  <c r="AM182" i="92"/>
  <c r="AM166" i="92"/>
  <c r="AM151" i="92"/>
  <c r="AM136" i="92"/>
  <c r="AM172" i="92"/>
  <c r="AM153" i="92"/>
  <c r="AM138" i="92"/>
  <c r="AM183" i="92"/>
  <c r="AM163" i="92"/>
  <c r="AM144" i="92"/>
  <c r="AM178" i="92"/>
  <c r="AM158" i="92"/>
  <c r="AM135" i="92"/>
  <c r="AM171" i="92"/>
  <c r="AM149" i="92"/>
  <c r="AM169" i="92"/>
  <c r="AM143" i="92"/>
  <c r="AM164" i="92"/>
  <c r="AM142" i="92"/>
  <c r="AM184" i="92"/>
  <c r="AM156" i="92"/>
  <c r="AM179" i="92"/>
  <c r="AM155" i="92"/>
  <c r="AM176" i="92"/>
  <c r="AM134" i="92"/>
  <c r="AM170" i="92"/>
  <c r="AM162" i="92"/>
  <c r="AM154" i="92"/>
  <c r="AM150" i="92"/>
  <c r="AM175" i="92"/>
  <c r="AM188" i="92"/>
  <c r="AM160" i="92"/>
  <c r="AM141" i="92"/>
  <c r="AM137" i="92"/>
  <c r="AM187" i="92"/>
  <c r="AM173" i="92"/>
  <c r="AM180" i="92"/>
  <c r="AM161" i="92"/>
  <c r="AM177" i="92"/>
  <c r="AM140" i="92"/>
  <c r="AM186" i="92"/>
  <c r="AM152" i="92"/>
  <c r="AM147" i="92"/>
  <c r="AP179" i="92"/>
  <c r="AD179" i="92"/>
  <c r="AE179" i="92" s="1"/>
  <c r="AU3" i="92"/>
  <c r="AQ180" i="92"/>
  <c r="AK180" i="92" s="1"/>
  <c r="AL180" i="92" s="1"/>
  <c r="AQ171" i="92"/>
  <c r="AK171" i="92" s="1"/>
  <c r="AL171" i="92" s="1"/>
  <c r="AQ158" i="92"/>
  <c r="AQ144" i="92"/>
  <c r="AK144" i="92" s="1"/>
  <c r="AL144" i="92" s="1"/>
  <c r="AQ133" i="92"/>
  <c r="AT179" i="92"/>
  <c r="AT170" i="92"/>
  <c r="AT157" i="92"/>
  <c r="AT149" i="92"/>
  <c r="AT134" i="92"/>
  <c r="AU178" i="92"/>
  <c r="AU164" i="92"/>
  <c r="AU153" i="92"/>
  <c r="AU141" i="92"/>
  <c r="AV179" i="92"/>
  <c r="AV170" i="92"/>
  <c r="AV157" i="92"/>
  <c r="AV149" i="92"/>
  <c r="AV134" i="92"/>
  <c r="AQ182" i="92"/>
  <c r="AK182" i="92" s="1"/>
  <c r="AL182" i="92" s="1"/>
  <c r="AQ167" i="92"/>
  <c r="AK167" i="92" s="1"/>
  <c r="AL167" i="92" s="1"/>
  <c r="AQ154" i="92"/>
  <c r="AK154" i="92" s="1"/>
  <c r="AL154" i="92" s="1"/>
  <c r="AQ142" i="92"/>
  <c r="AT177" i="92"/>
  <c r="AT164" i="92"/>
  <c r="AT150" i="92"/>
  <c r="AT137" i="92"/>
  <c r="AU181" i="92"/>
  <c r="AU169" i="92"/>
  <c r="AU155" i="92"/>
  <c r="AU140" i="92"/>
  <c r="AV180" i="92"/>
  <c r="AV167" i="92"/>
  <c r="AV154" i="92"/>
  <c r="AV142" i="92"/>
  <c r="AQ186" i="92"/>
  <c r="AQ172" i="92"/>
  <c r="AK172" i="92" s="1"/>
  <c r="AL172" i="92" s="1"/>
  <c r="AQ155" i="92"/>
  <c r="AK155" i="92" s="1"/>
  <c r="AL155" i="92" s="1"/>
  <c r="AQ140" i="92"/>
  <c r="AK140" i="92" s="1"/>
  <c r="AL140" i="92" s="1"/>
  <c r="AT175" i="92"/>
  <c r="AT161" i="92"/>
  <c r="AT144" i="92"/>
  <c r="AU185" i="92"/>
  <c r="AU170" i="92"/>
  <c r="AU158" i="92"/>
  <c r="AU143" i="92"/>
  <c r="AV182" i="92"/>
  <c r="AV169" i="92"/>
  <c r="AV153" i="92"/>
  <c r="AV137" i="92"/>
  <c r="AQ176" i="92"/>
  <c r="AQ156" i="92"/>
  <c r="AQ141" i="92"/>
  <c r="AT168" i="92"/>
  <c r="AT159" i="92"/>
  <c r="AT141" i="92"/>
  <c r="AU183" i="92"/>
  <c r="AU163" i="92"/>
  <c r="AU148" i="92"/>
  <c r="AU133" i="92"/>
  <c r="AV168" i="92"/>
  <c r="AV159" i="92"/>
  <c r="AV140" i="92"/>
  <c r="AQ174" i="92"/>
  <c r="AQ161" i="92"/>
  <c r="AK161" i="92" s="1"/>
  <c r="AL161" i="92" s="1"/>
  <c r="AQ143" i="92"/>
  <c r="AT184" i="92"/>
  <c r="AT171" i="92"/>
  <c r="AT153" i="92"/>
  <c r="AT136" i="92"/>
  <c r="AU176" i="92"/>
  <c r="AU159" i="92"/>
  <c r="AU135" i="92"/>
  <c r="AV174" i="92"/>
  <c r="AV161" i="92"/>
  <c r="AV143" i="92"/>
  <c r="AQ184" i="92"/>
  <c r="AQ169" i="92"/>
  <c r="AQ151" i="92"/>
  <c r="AK151" i="92" s="1"/>
  <c r="AL151" i="92" s="1"/>
  <c r="AQ134" i="92"/>
  <c r="AK134" i="92" s="1"/>
  <c r="AL134" i="92" s="1"/>
  <c r="AT181" i="92"/>
  <c r="AT163" i="92"/>
  <c r="AT146" i="92"/>
  <c r="AU179" i="92"/>
  <c r="AU166" i="92"/>
  <c r="AU147" i="92"/>
  <c r="AV184" i="92"/>
  <c r="AV171" i="92"/>
  <c r="AV151" i="92"/>
  <c r="AV139" i="92"/>
  <c r="AQ164" i="92"/>
  <c r="AQ149" i="92"/>
  <c r="AW149" i="92" s="1"/>
  <c r="AT169" i="92"/>
  <c r="AT148" i="92"/>
  <c r="AU180" i="92"/>
  <c r="AU161" i="92"/>
  <c r="AU137" i="92"/>
  <c r="AV175" i="92"/>
  <c r="AV150" i="92"/>
  <c r="AQ179" i="92"/>
  <c r="AK179" i="92" s="1"/>
  <c r="AL179" i="92" s="1"/>
  <c r="AQ165" i="92"/>
  <c r="AQ135" i="92"/>
  <c r="AT183" i="92"/>
  <c r="AT158" i="92"/>
  <c r="AT139" i="92"/>
  <c r="AU167" i="92"/>
  <c r="AU144" i="92"/>
  <c r="AV178" i="92"/>
  <c r="AV155" i="92"/>
  <c r="AQ181" i="92"/>
  <c r="AK181" i="92" s="1"/>
  <c r="AL181" i="92" s="1"/>
  <c r="AQ160" i="92"/>
  <c r="AK160" i="92" s="1"/>
  <c r="AL160" i="92" s="1"/>
  <c r="AQ138" i="92"/>
  <c r="AT178" i="92"/>
  <c r="AT154" i="92"/>
  <c r="AT133" i="92"/>
  <c r="AU162" i="92"/>
  <c r="AU145" i="92"/>
  <c r="AV173" i="92"/>
  <c r="AV152" i="92"/>
  <c r="AQ183" i="92"/>
  <c r="AQ157" i="92"/>
  <c r="AK157" i="92" s="1"/>
  <c r="AL157" i="92" s="1"/>
  <c r="AQ136" i="92"/>
  <c r="AK136" i="92" s="1"/>
  <c r="AL136" i="92" s="1"/>
  <c r="AT174" i="92"/>
  <c r="AT155" i="92"/>
  <c r="AU184" i="92"/>
  <c r="AU165" i="92"/>
  <c r="AU142" i="92"/>
  <c r="AV176" i="92"/>
  <c r="AV147" i="92"/>
  <c r="AQ175" i="92"/>
  <c r="AQ146" i="92"/>
  <c r="AT173" i="92"/>
  <c r="AT145" i="92"/>
  <c r="AU168" i="92"/>
  <c r="AU138" i="92"/>
  <c r="AV162" i="92"/>
  <c r="AV138" i="92"/>
  <c r="AQ170" i="92"/>
  <c r="AK170" i="92" s="1"/>
  <c r="AL170" i="92" s="1"/>
  <c r="AQ137" i="92"/>
  <c r="AK137" i="92" s="1"/>
  <c r="AL137" i="92" s="1"/>
  <c r="AT172" i="92"/>
  <c r="AT142" i="92"/>
  <c r="AU171" i="92"/>
  <c r="AU134" i="92"/>
  <c r="AV165" i="92"/>
  <c r="AV133" i="92"/>
  <c r="AQ152" i="92"/>
  <c r="AT180" i="92"/>
  <c r="AT140" i="92"/>
  <c r="AU156" i="92"/>
  <c r="AV183" i="92"/>
  <c r="AV145" i="92"/>
  <c r="AU187" i="92"/>
  <c r="AQ185" i="92"/>
  <c r="AQ147" i="92"/>
  <c r="AK147" i="92" s="1"/>
  <c r="AL147" i="92" s="1"/>
  <c r="AT176" i="92"/>
  <c r="AT135" i="92"/>
  <c r="AU154" i="92"/>
  <c r="AV177" i="92"/>
  <c r="AV141" i="92"/>
  <c r="AQ177" i="92"/>
  <c r="AQ148" i="92"/>
  <c r="AK148" i="92" s="1"/>
  <c r="AL148" i="92" s="1"/>
  <c r="AT167" i="92"/>
  <c r="AT138" i="92"/>
  <c r="AU150" i="92"/>
  <c r="AV172" i="92"/>
  <c r="AV135" i="92"/>
  <c r="AQ168" i="92"/>
  <c r="AT165" i="92"/>
  <c r="AU177" i="92"/>
  <c r="AU149" i="92"/>
  <c r="AV163" i="92"/>
  <c r="AQ166" i="92"/>
  <c r="AK166" i="92" s="1"/>
  <c r="AL166" i="92" s="1"/>
  <c r="AT160" i="92"/>
  <c r="AU174" i="92"/>
  <c r="AU146" i="92"/>
  <c r="AV160" i="92"/>
  <c r="AQ178" i="92"/>
  <c r="AT186" i="92"/>
  <c r="AU175" i="92"/>
  <c r="AV164" i="92"/>
  <c r="AQ173" i="92"/>
  <c r="AK173" i="92" s="1"/>
  <c r="AL173" i="92" s="1"/>
  <c r="AT182" i="92"/>
  <c r="AU172" i="92"/>
  <c r="AV156" i="92"/>
  <c r="AQ153" i="92"/>
  <c r="AT151" i="92"/>
  <c r="AU152" i="92"/>
  <c r="AV144" i="92"/>
  <c r="AQ163" i="92"/>
  <c r="AK163" i="92" s="1"/>
  <c r="AL163" i="92" s="1"/>
  <c r="AT147" i="92"/>
  <c r="AV181" i="92"/>
  <c r="AQ159" i="92"/>
  <c r="AT143" i="92"/>
  <c r="AV166" i="92"/>
  <c r="AQ150" i="92"/>
  <c r="AU186" i="92"/>
  <c r="AV158" i="92"/>
  <c r="AT185" i="92"/>
  <c r="AU151" i="92"/>
  <c r="AV185" i="92"/>
  <c r="AV148" i="92"/>
  <c r="AV186" i="92"/>
  <c r="AT166" i="92"/>
  <c r="AT152" i="92"/>
  <c r="AU182" i="92"/>
  <c r="AU173" i="92"/>
  <c r="AU188" i="92"/>
  <c r="AU157" i="92"/>
  <c r="AT188" i="92"/>
  <c r="AV187" i="92"/>
  <c r="AU136" i="92"/>
  <c r="AV188" i="92"/>
  <c r="AU139" i="92"/>
  <c r="AT162" i="92"/>
  <c r="AQ162" i="92"/>
  <c r="AQ187" i="92"/>
  <c r="AW187" i="92" s="1"/>
  <c r="AQ145" i="92"/>
  <c r="AK145" i="92" s="1"/>
  <c r="AL145" i="92" s="1"/>
  <c r="AQ139" i="92"/>
  <c r="AK139" i="92" s="1"/>
  <c r="AL139" i="92" s="1"/>
  <c r="AT156" i="92"/>
  <c r="AQ188" i="92"/>
  <c r="AK188" i="92" s="1"/>
  <c r="AL188" i="92" s="1"/>
  <c r="AT187" i="92"/>
  <c r="AV146" i="92"/>
  <c r="AU160" i="92"/>
  <c r="AV136" i="92"/>
  <c r="AQ1" i="92"/>
  <c r="AK2" i="92"/>
  <c r="AM2" i="92"/>
  <c r="AL2" i="92"/>
  <c r="AJ2" i="92"/>
  <c r="AN2" i="92"/>
  <c r="AO2" i="92"/>
  <c r="AP2" i="92"/>
  <c r="AD180" i="92"/>
  <c r="AE180" i="92" s="1"/>
  <c r="AP180" i="92"/>
  <c r="AP147" i="92"/>
  <c r="AD147" i="92"/>
  <c r="AE147" i="92" s="1"/>
  <c r="AD168" i="92"/>
  <c r="AE168" i="92" s="1"/>
  <c r="AP168" i="92"/>
  <c r="AD181" i="92"/>
  <c r="AE181" i="92" s="1"/>
  <c r="AP181" i="92"/>
  <c r="AT64" i="92"/>
  <c r="AT127" i="92"/>
  <c r="AT84" i="92"/>
  <c r="AT18" i="92"/>
  <c r="AT34" i="92"/>
  <c r="AT78" i="92"/>
  <c r="AT16" i="92"/>
  <c r="AT72" i="92"/>
  <c r="AT109" i="92"/>
  <c r="AT69" i="92"/>
  <c r="AT104" i="92"/>
  <c r="AT80" i="92"/>
  <c r="AT33" i="92"/>
  <c r="AT85" i="92"/>
  <c r="AT115" i="92"/>
  <c r="AT44" i="92"/>
  <c r="AT17" i="92"/>
  <c r="AT89" i="92"/>
  <c r="AT100" i="92"/>
  <c r="AT82" i="92"/>
  <c r="AT55" i="92"/>
  <c r="AT5" i="92"/>
  <c r="AT38" i="92"/>
  <c r="AT129" i="92"/>
  <c r="AT28" i="92"/>
  <c r="AT73" i="92"/>
  <c r="AT46" i="92"/>
  <c r="AT62" i="92"/>
  <c r="AT77" i="92"/>
  <c r="AT9" i="92"/>
  <c r="AT39" i="92"/>
  <c r="AT51" i="92"/>
  <c r="AT124" i="92"/>
  <c r="AT91" i="92"/>
  <c r="AT108" i="92"/>
  <c r="AT107" i="92"/>
  <c r="AT71" i="92"/>
  <c r="AT35" i="92"/>
  <c r="AT31" i="92"/>
  <c r="AT43" i="92"/>
  <c r="AT87" i="92"/>
  <c r="AT105" i="92"/>
  <c r="AT57" i="92"/>
  <c r="AT132" i="92"/>
  <c r="AT122" i="92"/>
  <c r="AT40" i="92"/>
  <c r="AT30" i="92"/>
  <c r="AT130" i="92"/>
  <c r="AT68" i="92"/>
  <c r="AT117" i="92"/>
  <c r="AT47" i="92"/>
  <c r="AT10" i="92"/>
  <c r="AT95" i="92"/>
  <c r="AT125" i="92"/>
  <c r="AT102" i="92"/>
  <c r="AT92" i="92"/>
  <c r="AT29" i="92"/>
  <c r="AT54" i="92"/>
  <c r="AT111" i="92"/>
  <c r="AT53" i="92"/>
  <c r="AT97" i="92"/>
  <c r="AT79" i="92"/>
  <c r="AT118" i="92"/>
  <c r="AT88" i="92"/>
  <c r="AT94" i="92"/>
  <c r="AT65" i="92"/>
  <c r="AT11" i="92"/>
  <c r="AT15" i="92"/>
  <c r="AT32" i="92"/>
  <c r="AT131" i="92"/>
  <c r="AT22" i="92"/>
  <c r="AT101" i="92"/>
  <c r="AT14" i="92"/>
  <c r="AT113" i="92"/>
  <c r="AT66" i="92"/>
  <c r="AT48" i="92"/>
  <c r="AT106" i="92"/>
  <c r="AT19" i="92"/>
  <c r="AT126" i="92"/>
  <c r="AT112" i="92"/>
  <c r="AT25" i="92"/>
  <c r="AT6" i="92"/>
  <c r="AT23" i="92"/>
  <c r="AT63" i="92"/>
  <c r="AT86" i="92"/>
  <c r="AT50" i="92"/>
  <c r="AT58" i="92"/>
  <c r="AT60" i="92"/>
  <c r="AT76" i="92"/>
  <c r="AT110" i="92"/>
  <c r="AT93" i="92"/>
  <c r="AT8" i="92"/>
  <c r="AT13" i="92"/>
  <c r="AT21" i="92"/>
  <c r="AT24" i="92"/>
  <c r="AT42" i="92"/>
  <c r="AT67" i="92"/>
  <c r="AT96" i="92"/>
  <c r="AT49" i="92"/>
  <c r="AT3" i="92"/>
  <c r="AT37" i="92"/>
  <c r="AT114" i="92"/>
  <c r="AT116" i="92"/>
  <c r="AT74" i="92"/>
  <c r="AR3" i="92"/>
  <c r="AT61" i="92"/>
  <c r="AT103" i="92"/>
  <c r="AT26" i="92"/>
  <c r="AT123" i="92"/>
  <c r="AT41" i="92"/>
  <c r="AT99" i="92"/>
  <c r="AT12" i="92"/>
  <c r="AT119" i="92"/>
  <c r="AT81" i="92"/>
  <c r="AT36" i="92"/>
  <c r="AT52" i="92"/>
  <c r="AT121" i="92"/>
  <c r="AT59" i="92"/>
  <c r="AT56" i="92"/>
  <c r="AT128" i="92"/>
  <c r="AS3" i="92"/>
  <c r="AT98" i="92"/>
  <c r="AT7" i="92"/>
  <c r="AT70" i="92"/>
  <c r="AT83" i="92"/>
  <c r="AT27" i="92"/>
  <c r="AT45" i="92"/>
  <c r="AT20" i="92"/>
  <c r="AT90" i="92"/>
  <c r="AT75" i="92"/>
  <c r="AT120" i="92"/>
  <c r="AM90" i="92"/>
  <c r="AM110" i="92"/>
  <c r="AM81" i="92"/>
  <c r="AM41" i="92"/>
  <c r="AM111" i="92"/>
  <c r="AM54" i="92"/>
  <c r="AM48" i="92"/>
  <c r="AM66" i="92"/>
  <c r="AM23" i="92"/>
  <c r="AM61" i="92"/>
  <c r="AM26" i="92"/>
  <c r="AM126" i="92"/>
  <c r="AM125" i="92"/>
  <c r="AM86" i="92"/>
  <c r="AM95" i="92"/>
  <c r="AM128" i="92"/>
  <c r="AM10" i="92"/>
  <c r="AM29" i="92"/>
  <c r="AM47" i="92"/>
  <c r="AM113" i="92"/>
  <c r="AM117" i="92"/>
  <c r="AM37" i="92"/>
  <c r="AM53" i="92"/>
  <c r="AM19" i="92"/>
  <c r="AM106" i="92"/>
  <c r="AM116" i="92"/>
  <c r="AM42" i="92"/>
  <c r="AM60" i="92"/>
  <c r="AM63" i="92"/>
  <c r="AM92" i="92"/>
  <c r="AM102" i="92"/>
  <c r="AM14" i="92"/>
  <c r="AM101" i="92"/>
  <c r="AM39" i="92"/>
  <c r="AM62" i="92"/>
  <c r="AM28" i="92"/>
  <c r="AM5" i="92"/>
  <c r="AM100" i="92"/>
  <c r="AM44" i="92"/>
  <c r="AM33" i="92"/>
  <c r="AM69" i="92"/>
  <c r="AM16" i="92"/>
  <c r="AM18" i="92"/>
  <c r="AM64" i="92"/>
  <c r="AM130" i="92"/>
  <c r="AM21" i="92"/>
  <c r="AM40" i="92"/>
  <c r="AM122" i="92"/>
  <c r="AM123" i="92"/>
  <c r="AM57" i="92"/>
  <c r="AM75" i="92"/>
  <c r="AM87" i="92"/>
  <c r="AM20" i="92"/>
  <c r="AM31" i="92"/>
  <c r="AM36" i="92"/>
  <c r="AM119" i="92"/>
  <c r="AM103" i="92"/>
  <c r="AM7" i="92"/>
  <c r="AM22" i="92"/>
  <c r="AM131" i="92"/>
  <c r="AM114" i="92"/>
  <c r="AM96" i="92"/>
  <c r="AM56" i="92"/>
  <c r="AM27" i="92"/>
  <c r="AM68" i="92"/>
  <c r="AM120" i="92"/>
  <c r="AM30" i="92"/>
  <c r="AM49" i="92"/>
  <c r="AM8" i="92"/>
  <c r="AM132" i="92"/>
  <c r="AM32" i="92"/>
  <c r="AM105" i="92"/>
  <c r="AM76" i="92"/>
  <c r="AM43" i="92"/>
  <c r="AM124" i="92"/>
  <c r="AM9" i="92"/>
  <c r="AM46" i="92"/>
  <c r="AM129" i="92"/>
  <c r="AM55" i="92"/>
  <c r="AM89" i="92"/>
  <c r="AM115" i="92"/>
  <c r="AM80" i="92"/>
  <c r="AM109" i="92"/>
  <c r="AM78" i="92"/>
  <c r="AM84" i="92"/>
  <c r="AM15" i="92"/>
  <c r="AM11" i="92"/>
  <c r="AM59" i="92"/>
  <c r="AM12" i="92"/>
  <c r="AM13" i="92"/>
  <c r="AM98" i="92"/>
  <c r="AM52" i="92"/>
  <c r="AM118" i="92"/>
  <c r="AM79" i="92"/>
  <c r="AM112" i="92"/>
  <c r="AM50" i="92"/>
  <c r="AM35" i="92"/>
  <c r="AM65" i="92"/>
  <c r="AM71" i="92"/>
  <c r="AM83" i="92"/>
  <c r="AM107" i="92"/>
  <c r="AM45" i="92"/>
  <c r="AM108" i="92"/>
  <c r="AM24" i="92"/>
  <c r="AM91" i="92"/>
  <c r="AM97" i="92"/>
  <c r="AM70" i="92"/>
  <c r="AM74" i="92"/>
  <c r="AM67" i="92"/>
  <c r="AM94" i="92"/>
  <c r="AM88" i="92"/>
  <c r="AM121" i="92"/>
  <c r="AM25" i="92"/>
  <c r="AM58" i="92"/>
  <c r="AM93" i="92"/>
  <c r="AM99" i="92"/>
  <c r="AM6" i="92"/>
  <c r="AM51" i="92"/>
  <c r="AM77" i="92"/>
  <c r="AM73" i="92"/>
  <c r="AM38" i="92"/>
  <c r="AM82" i="92"/>
  <c r="AM17" i="92"/>
  <c r="AM85" i="92"/>
  <c r="AM104" i="92"/>
  <c r="AM72" i="92"/>
  <c r="AM34" i="92"/>
  <c r="AM127" i="92"/>
  <c r="AD55" i="92"/>
  <c r="AD112" i="92"/>
  <c r="AD61" i="92"/>
  <c r="AD102" i="92"/>
  <c r="AD104" i="92"/>
  <c r="AD116" i="92"/>
  <c r="AD86" i="92"/>
  <c r="AD47" i="92"/>
  <c r="AD100" i="92"/>
  <c r="AD108" i="92"/>
  <c r="AD94" i="92"/>
  <c r="AD103" i="92"/>
  <c r="AD111" i="92"/>
  <c r="AD30" i="92"/>
  <c r="AD15" i="92"/>
  <c r="AD10" i="92"/>
  <c r="AD20" i="92"/>
  <c r="AD121" i="92"/>
  <c r="AD17" i="92"/>
  <c r="AD62" i="92"/>
  <c r="AD8" i="92"/>
  <c r="AD22" i="92"/>
  <c r="AD59" i="92"/>
  <c r="AD66" i="92"/>
  <c r="AD46" i="92"/>
  <c r="AD25" i="92"/>
  <c r="AD123" i="92"/>
  <c r="AD27" i="92"/>
  <c r="AD91" i="92"/>
  <c r="AD96" i="92"/>
  <c r="AD105" i="92"/>
  <c r="AD28" i="92"/>
  <c r="AD101" i="92"/>
  <c r="AD98" i="92"/>
  <c r="AD81" i="92"/>
  <c r="AD12" i="92"/>
  <c r="AD125" i="92"/>
  <c r="AD77" i="92"/>
  <c r="AD79" i="92"/>
  <c r="AD95" i="92"/>
  <c r="AD109" i="92"/>
  <c r="AD70" i="92"/>
  <c r="AD48" i="92"/>
  <c r="AD106" i="92"/>
  <c r="AD99" i="92"/>
  <c r="AD85" i="92"/>
  <c r="AD42" i="92"/>
  <c r="AD130" i="92"/>
  <c r="AD37" i="92"/>
  <c r="AD82" i="92"/>
  <c r="AD45" i="92"/>
  <c r="AP5" i="92"/>
  <c r="AD64" i="92"/>
  <c r="AD110" i="92"/>
  <c r="AD80" i="92"/>
  <c r="AD14" i="92"/>
  <c r="AD131" i="92"/>
  <c r="AD73" i="92"/>
  <c r="AD74" i="92"/>
  <c r="AD31" i="92"/>
  <c r="AD71" i="92"/>
  <c r="AD128" i="92"/>
  <c r="AD60" i="92"/>
  <c r="AD87" i="92"/>
  <c r="AD19" i="92"/>
  <c r="AD76" i="92"/>
  <c r="AD6" i="92"/>
  <c r="AD118" i="92"/>
  <c r="AD75" i="92"/>
  <c r="AD50" i="92"/>
  <c r="AD23" i="92"/>
  <c r="AD83" i="92"/>
  <c r="AD97" i="92"/>
  <c r="AD51" i="92"/>
  <c r="AD78" i="92"/>
  <c r="AD32" i="92"/>
  <c r="AD122" i="92"/>
  <c r="AP120" i="92"/>
  <c r="AD89" i="92"/>
  <c r="AD127" i="92"/>
  <c r="AD34" i="92"/>
  <c r="AD69" i="92"/>
  <c r="AD57" i="92"/>
  <c r="AD38" i="92"/>
  <c r="AD124" i="92"/>
  <c r="AD115" i="92"/>
  <c r="AD36" i="92"/>
  <c r="AD9" i="92"/>
  <c r="AD40" i="92"/>
  <c r="AP29" i="92"/>
  <c r="AD113" i="92"/>
  <c r="AD56" i="92"/>
  <c r="AD26" i="92"/>
  <c r="AD16" i="92"/>
  <c r="AD72" i="92"/>
  <c r="AN3" i="92"/>
  <c r="AM3" i="92"/>
  <c r="AL3" i="92"/>
  <c r="AD126" i="92"/>
  <c r="AD33" i="92"/>
  <c r="AD21" i="92"/>
  <c r="AD93" i="92"/>
  <c r="AD52" i="92"/>
  <c r="AD53" i="92"/>
  <c r="AD44" i="92"/>
  <c r="AD35" i="92"/>
  <c r="AD68" i="92"/>
  <c r="AD92" i="92"/>
  <c r="AD13" i="92"/>
  <c r="AD132" i="92"/>
  <c r="AD107" i="92"/>
  <c r="AD49" i="92"/>
  <c r="AD117" i="92"/>
  <c r="AD39" i="92"/>
  <c r="AD65" i="92"/>
  <c r="AD11" i="92"/>
  <c r="AD114" i="92"/>
  <c r="AD63" i="92"/>
  <c r="AD24" i="92"/>
  <c r="AD119" i="92"/>
  <c r="AD7" i="92"/>
  <c r="AD84" i="92"/>
  <c r="AD58" i="92"/>
  <c r="AD41" i="92"/>
  <c r="AD129" i="92"/>
  <c r="AD54" i="92"/>
  <c r="AD43" i="92"/>
  <c r="AD67" i="92"/>
  <c r="AD18" i="92"/>
  <c r="AD90" i="92"/>
  <c r="AD88" i="92"/>
  <c r="AD5" i="92"/>
  <c r="AD120" i="92"/>
  <c r="AD29" i="92"/>
  <c r="H5" i="95"/>
  <c r="AQ96" i="92"/>
  <c r="AQ17" i="92"/>
  <c r="AQ41" i="92"/>
  <c r="AQ77" i="92"/>
  <c r="AQ89" i="92"/>
  <c r="AQ42" i="92"/>
  <c r="AQ62" i="92"/>
  <c r="AQ132" i="92"/>
  <c r="AQ71" i="92"/>
  <c r="AQ23" i="92"/>
  <c r="AQ47" i="92"/>
  <c r="AU121" i="92"/>
  <c r="AU86" i="92"/>
  <c r="AU21" i="92"/>
  <c r="AU57" i="92"/>
  <c r="AU69" i="92"/>
  <c r="AU87" i="92"/>
  <c r="AU52" i="92"/>
  <c r="AU13" i="92"/>
  <c r="AU109" i="92"/>
  <c r="AU6" i="92"/>
  <c r="AV89" i="92"/>
  <c r="AQ16" i="92"/>
  <c r="AQ68" i="92"/>
  <c r="AQ54" i="92"/>
  <c r="AQ118" i="92"/>
  <c r="AQ74" i="92"/>
  <c r="AQ123" i="92"/>
  <c r="AQ92" i="92"/>
  <c r="AQ6" i="92"/>
  <c r="AQ126" i="92"/>
  <c r="AU16" i="92"/>
  <c r="AU68" i="92"/>
  <c r="AU54" i="92"/>
  <c r="AU118" i="92"/>
  <c r="AU74" i="92"/>
  <c r="AU123" i="92"/>
  <c r="AU92" i="92"/>
  <c r="AU66" i="92"/>
  <c r="AQ107" i="92"/>
  <c r="AQ38" i="92"/>
  <c r="AQ80" i="92"/>
  <c r="AQ69" i="92"/>
  <c r="AQ81" i="92"/>
  <c r="AQ120" i="92"/>
  <c r="AQ10" i="92"/>
  <c r="AQ110" i="92"/>
  <c r="AQ51" i="92"/>
  <c r="AU20" i="92"/>
  <c r="AU44" i="92"/>
  <c r="AU113" i="92"/>
  <c r="AU89" i="92"/>
  <c r="AU55" i="92"/>
  <c r="AU75" i="92"/>
  <c r="AU124" i="92"/>
  <c r="AU72" i="92"/>
  <c r="AU47" i="92"/>
  <c r="AQ104" i="92"/>
  <c r="AQ12" i="92"/>
  <c r="AQ116" i="92"/>
  <c r="AQ83" i="92"/>
  <c r="AQ87" i="92"/>
  <c r="AQ108" i="92"/>
  <c r="AQ40" i="92"/>
  <c r="AQ72" i="92"/>
  <c r="AQ5" i="92"/>
  <c r="AU45" i="92"/>
  <c r="AU43" i="92"/>
  <c r="AU33" i="92"/>
  <c r="AU30" i="92"/>
  <c r="AU48" i="92"/>
  <c r="AU88" i="92"/>
  <c r="AU61" i="92"/>
  <c r="AU63" i="92"/>
  <c r="AQ85" i="92"/>
  <c r="AQ49" i="92"/>
  <c r="AQ26" i="92"/>
  <c r="AQ67" i="92"/>
  <c r="AQ39" i="92"/>
  <c r="AQ36" i="92"/>
  <c r="AQ124" i="92"/>
  <c r="AQ70" i="92"/>
  <c r="AU96" i="92"/>
  <c r="AU122" i="92"/>
  <c r="AU80" i="92"/>
  <c r="AU129" i="92"/>
  <c r="AU60" i="92"/>
  <c r="AU131" i="92"/>
  <c r="AU76" i="92"/>
  <c r="AU128" i="92"/>
  <c r="AU29" i="92"/>
  <c r="AQ121" i="92"/>
  <c r="AQ97" i="92"/>
  <c r="AQ125" i="92"/>
  <c r="AQ90" i="92"/>
  <c r="AQ30" i="92"/>
  <c r="AQ75" i="92"/>
  <c r="AQ91" i="92"/>
  <c r="AQ53" i="92"/>
  <c r="AQ31" i="92"/>
  <c r="AU32" i="92"/>
  <c r="AU38" i="92"/>
  <c r="AU94" i="92"/>
  <c r="AU28" i="92"/>
  <c r="AU119" i="92"/>
  <c r="AU64" i="92"/>
  <c r="AU71" i="92"/>
  <c r="AU27" i="92"/>
  <c r="AQ45" i="92"/>
  <c r="AQ122" i="92"/>
  <c r="AQ129" i="92"/>
  <c r="AQ60" i="92"/>
  <c r="AQ131" i="92"/>
  <c r="AQ128" i="92"/>
  <c r="AQ29" i="92"/>
  <c r="AU8" i="92"/>
  <c r="AU46" i="92"/>
  <c r="AU37" i="92"/>
  <c r="AU24" i="92"/>
  <c r="AU50" i="92"/>
  <c r="AU98" i="92"/>
  <c r="AQ112" i="92"/>
  <c r="AQ21" i="92"/>
  <c r="AQ99" i="92"/>
  <c r="AQ93" i="92"/>
  <c r="AQ102" i="92"/>
  <c r="AQ58" i="92"/>
  <c r="AQ14" i="92"/>
  <c r="AQ100" i="92"/>
  <c r="AU114" i="92"/>
  <c r="AU12" i="92"/>
  <c r="AU19" i="92"/>
  <c r="AU103" i="92"/>
  <c r="AU11" i="92"/>
  <c r="AU62" i="92"/>
  <c r="AU82" i="92"/>
  <c r="AU110" i="92"/>
  <c r="AU126" i="92"/>
  <c r="AV5" i="92"/>
  <c r="AQ22" i="92"/>
  <c r="AQ43" i="92"/>
  <c r="AQ33" i="92"/>
  <c r="AQ55" i="92"/>
  <c r="AQ48" i="92"/>
  <c r="AQ109" i="92"/>
  <c r="AQ61" i="92"/>
  <c r="AQ63" i="92"/>
  <c r="AU107" i="92"/>
  <c r="AU84" i="92"/>
  <c r="AU73" i="92"/>
  <c r="AU117" i="92"/>
  <c r="AU95" i="92"/>
  <c r="AU115" i="92"/>
  <c r="AU65" i="92"/>
  <c r="AU25" i="92"/>
  <c r="AQ94" i="92"/>
  <c r="AQ88" i="92"/>
  <c r="AU77" i="92"/>
  <c r="AU58" i="92"/>
  <c r="AQ32" i="92"/>
  <c r="AQ84" i="92"/>
  <c r="AQ57" i="92"/>
  <c r="AQ28" i="92"/>
  <c r="AQ119" i="92"/>
  <c r="AQ64" i="92"/>
  <c r="AQ76" i="92"/>
  <c r="AQ27" i="92"/>
  <c r="AU112" i="92"/>
  <c r="AU130" i="92"/>
  <c r="AU99" i="92"/>
  <c r="AU93" i="92"/>
  <c r="AU102" i="92"/>
  <c r="AU132" i="92"/>
  <c r="AU14" i="92"/>
  <c r="AU100" i="92"/>
  <c r="AV120" i="92"/>
  <c r="AQ8" i="92"/>
  <c r="AQ44" i="92"/>
  <c r="AQ113" i="92"/>
  <c r="AQ117" i="92"/>
  <c r="AQ95" i="92"/>
  <c r="AQ13" i="92"/>
  <c r="AQ65" i="92"/>
  <c r="AQ25" i="92"/>
  <c r="AU79" i="92"/>
  <c r="AU127" i="92"/>
  <c r="AU59" i="92"/>
  <c r="AU15" i="92"/>
  <c r="AU9" i="92"/>
  <c r="AU18" i="92"/>
  <c r="AU111" i="92"/>
  <c r="AU56" i="92"/>
  <c r="AQ20" i="92"/>
  <c r="AQ46" i="92"/>
  <c r="AQ73" i="92"/>
  <c r="AQ37" i="92"/>
  <c r="AQ24" i="92"/>
  <c r="AQ115" i="92"/>
  <c r="AQ50" i="92"/>
  <c r="AQ98" i="92"/>
  <c r="AU101" i="92"/>
  <c r="AU41" i="92"/>
  <c r="AU78" i="92"/>
  <c r="AU7" i="92"/>
  <c r="AU106" i="92"/>
  <c r="AU105" i="92"/>
  <c r="AU35" i="92"/>
  <c r="AU51" i="92"/>
  <c r="AV23" i="92"/>
  <c r="AQ79" i="92"/>
  <c r="AQ52" i="92"/>
  <c r="AU49" i="92"/>
  <c r="AU108" i="92"/>
  <c r="AU39" i="92"/>
  <c r="AQ101" i="92"/>
  <c r="AQ9" i="92"/>
  <c r="AU17" i="92"/>
  <c r="AU120" i="92"/>
  <c r="AQ86" i="92"/>
  <c r="AQ106" i="92"/>
  <c r="AU97" i="92"/>
  <c r="AU36" i="92"/>
  <c r="AQ130" i="92"/>
  <c r="AQ18" i="92"/>
  <c r="AU116" i="92"/>
  <c r="AU10" i="92"/>
  <c r="AQ127" i="92"/>
  <c r="AQ105" i="92"/>
  <c r="AU26" i="92"/>
  <c r="AU40" i="92"/>
  <c r="AQ19" i="92"/>
  <c r="AQ82" i="92"/>
  <c r="AU125" i="92"/>
  <c r="AU91" i="92"/>
  <c r="AQ56" i="92"/>
  <c r="AV31" i="92"/>
  <c r="AQ59" i="92"/>
  <c r="AQ111" i="92"/>
  <c r="AU83" i="92"/>
  <c r="AU34" i="92"/>
  <c r="AQ15" i="92"/>
  <c r="AU5" i="92"/>
  <c r="AQ78" i="92"/>
  <c r="AQ35" i="92"/>
  <c r="AU67" i="92"/>
  <c r="AU53" i="92"/>
  <c r="AU104" i="92"/>
  <c r="AQ103" i="92"/>
  <c r="AQ34" i="92"/>
  <c r="AU90" i="92"/>
  <c r="AU23" i="92"/>
  <c r="AQ7" i="92"/>
  <c r="AU85" i="92"/>
  <c r="AU81" i="92"/>
  <c r="AU70" i="92"/>
  <c r="AV29" i="92"/>
  <c r="AQ114" i="92"/>
  <c r="AQ11" i="92"/>
  <c r="AQ66" i="92"/>
  <c r="AU22" i="92"/>
  <c r="AU42" i="92"/>
  <c r="AU31" i="92"/>
  <c r="AX3" i="92"/>
  <c r="AW3" i="92"/>
  <c r="AV3" i="92"/>
  <c r="K2286" i="90"/>
  <c r="L2286" i="90" s="1"/>
  <c r="K2287" i="90"/>
  <c r="L2287" i="90" s="1"/>
  <c r="K2288" i="90"/>
  <c r="L2288" i="90" s="1"/>
  <c r="K2289" i="90"/>
  <c r="L2289" i="90" s="1"/>
  <c r="K2290" i="90"/>
  <c r="L2290" i="90" s="1"/>
  <c r="K2291" i="90"/>
  <c r="L2291" i="90" s="1"/>
  <c r="K2292" i="90"/>
  <c r="L2292" i="90" s="1"/>
  <c r="K2293" i="90"/>
  <c r="L2293" i="90" s="1"/>
  <c r="K2294" i="90"/>
  <c r="L2294" i="90" s="1"/>
  <c r="K2295" i="90"/>
  <c r="L2295" i="90" s="1"/>
  <c r="K2296" i="90"/>
  <c r="L2296" i="90" s="1"/>
  <c r="K2297" i="90"/>
  <c r="L2297" i="90" s="1"/>
  <c r="K2298" i="90"/>
  <c r="L2298" i="90" s="1"/>
  <c r="K2299" i="90"/>
  <c r="L2299" i="90" s="1"/>
  <c r="K2300" i="90"/>
  <c r="L2300" i="90" s="1"/>
  <c r="K2301" i="90"/>
  <c r="L2301" i="90" s="1"/>
  <c r="K2302" i="90"/>
  <c r="L2302" i="90" s="1"/>
  <c r="K2303" i="90"/>
  <c r="L2303" i="90" s="1"/>
  <c r="K2304" i="90"/>
  <c r="L2304" i="90" s="1"/>
  <c r="K2305" i="90"/>
  <c r="L2305" i="90" s="1"/>
  <c r="K2306" i="90"/>
  <c r="L2306" i="90" s="1"/>
  <c r="K2307" i="90"/>
  <c r="L2307" i="90" s="1"/>
  <c r="K2308" i="90"/>
  <c r="L2308" i="90" s="1"/>
  <c r="K2309" i="90"/>
  <c r="L2309" i="90" s="1"/>
  <c r="K2310" i="90"/>
  <c r="L2310" i="90" s="1"/>
  <c r="K2311" i="90"/>
  <c r="L2311" i="90" s="1"/>
  <c r="K2312" i="90"/>
  <c r="L2312" i="90" s="1"/>
  <c r="K2313" i="90"/>
  <c r="L2313" i="90" s="1"/>
  <c r="K2314" i="90"/>
  <c r="L2314" i="90" s="1"/>
  <c r="K2315" i="90"/>
  <c r="L2315" i="90" s="1"/>
  <c r="K2316" i="90"/>
  <c r="L2316" i="90" s="1"/>
  <c r="K2317" i="90"/>
  <c r="L2317" i="90" s="1"/>
  <c r="K2318" i="90"/>
  <c r="L2318" i="90" s="1"/>
  <c r="K2319" i="90"/>
  <c r="L2319" i="90" s="1"/>
  <c r="K2320" i="90"/>
  <c r="L2320" i="90" s="1"/>
  <c r="K2321" i="90"/>
  <c r="L2321" i="90" s="1"/>
  <c r="K2322" i="90"/>
  <c r="L2322" i="90" s="1"/>
  <c r="K2323" i="90"/>
  <c r="L2323" i="90" s="1"/>
  <c r="K2324" i="90"/>
  <c r="L2324" i="90" s="1"/>
  <c r="K2325" i="90"/>
  <c r="L2325" i="90" s="1"/>
  <c r="K2326" i="90"/>
  <c r="L2326" i="90" s="1"/>
  <c r="K2327" i="90"/>
  <c r="L2327" i="90" s="1"/>
  <c r="K2328" i="90"/>
  <c r="L2328" i="90" s="1"/>
  <c r="K2329" i="90"/>
  <c r="L2329" i="90" s="1"/>
  <c r="K2330" i="90"/>
  <c r="L2330" i="90" s="1"/>
  <c r="K2331" i="90"/>
  <c r="L2331" i="90" s="1"/>
  <c r="K2332" i="90"/>
  <c r="L2332" i="90" s="1"/>
  <c r="K2333" i="90"/>
  <c r="L2333" i="90" s="1"/>
  <c r="K2334" i="90"/>
  <c r="L2334" i="90" s="1"/>
  <c r="K2335" i="90"/>
  <c r="L2335" i="90" s="1"/>
  <c r="K2336" i="90"/>
  <c r="L2336" i="90" s="1"/>
  <c r="K2337" i="90"/>
  <c r="L2337" i="90" s="1"/>
  <c r="K2338" i="90"/>
  <c r="L2338" i="90" s="1"/>
  <c r="K2339" i="90"/>
  <c r="L2339" i="90" s="1"/>
  <c r="K2340" i="90"/>
  <c r="L2340" i="90" s="1"/>
  <c r="K2341" i="90"/>
  <c r="L2341" i="90" s="1"/>
  <c r="K2342" i="90"/>
  <c r="L2342" i="90" s="1"/>
  <c r="K2343" i="90"/>
  <c r="L2343" i="90" s="1"/>
  <c r="K2344" i="90"/>
  <c r="L2344" i="90" s="1"/>
  <c r="K2345" i="90"/>
  <c r="L2345" i="90" s="1"/>
  <c r="K2346" i="90"/>
  <c r="L2346" i="90" s="1"/>
  <c r="K2347" i="90"/>
  <c r="L2347" i="90" s="1"/>
  <c r="K2348" i="90"/>
  <c r="L2348" i="90" s="1"/>
  <c r="K2349" i="90"/>
  <c r="L2349" i="90" s="1"/>
  <c r="K2350" i="90"/>
  <c r="L2350" i="90" s="1"/>
  <c r="K2351" i="90"/>
  <c r="L2351" i="90" s="1"/>
  <c r="K2352" i="90"/>
  <c r="L2352" i="90" s="1"/>
  <c r="K2353" i="90"/>
  <c r="L2353" i="90" s="1"/>
  <c r="K2354" i="90"/>
  <c r="L2354" i="90" s="1"/>
  <c r="K2355" i="90"/>
  <c r="L2355" i="90" s="1"/>
  <c r="K2356" i="90"/>
  <c r="L2356" i="90" s="1"/>
  <c r="K2357" i="90"/>
  <c r="L2357" i="90" s="1"/>
  <c r="K2358" i="90"/>
  <c r="L2358" i="90" s="1"/>
  <c r="K2359" i="90"/>
  <c r="L2359" i="90" s="1"/>
  <c r="K2360" i="90"/>
  <c r="L2360" i="90" s="1"/>
  <c r="K2361" i="90"/>
  <c r="L2361" i="90" s="1"/>
  <c r="K2362" i="90"/>
  <c r="L2362" i="90" s="1"/>
  <c r="K2363" i="90"/>
  <c r="L2363" i="90" s="1"/>
  <c r="K2364" i="90"/>
  <c r="L2364" i="90" s="1"/>
  <c r="K2365" i="90"/>
  <c r="L2365" i="90" s="1"/>
  <c r="K2366" i="90"/>
  <c r="L2366" i="90" s="1"/>
  <c r="K2367" i="90"/>
  <c r="L2367" i="90" s="1"/>
  <c r="K2368" i="90"/>
  <c r="L2368" i="90" s="1"/>
  <c r="K2369" i="90"/>
  <c r="L2369" i="90" s="1"/>
  <c r="K2370" i="90"/>
  <c r="L2370" i="90" s="1"/>
  <c r="K2371" i="90"/>
  <c r="L2371" i="90" s="1"/>
  <c r="K2372" i="90"/>
  <c r="L2372" i="90" s="1"/>
  <c r="K2373" i="90"/>
  <c r="L2373" i="90" s="1"/>
  <c r="K2374" i="90"/>
  <c r="L2374" i="90" s="1"/>
  <c r="K2375" i="90"/>
  <c r="L2375" i="90" s="1"/>
  <c r="K2376" i="90"/>
  <c r="L2376" i="90" s="1"/>
  <c r="K2377" i="90"/>
  <c r="L2377" i="90" s="1"/>
  <c r="K2378" i="90"/>
  <c r="L2378" i="90" s="1"/>
  <c r="K2379" i="90"/>
  <c r="L2379" i="90" s="1"/>
  <c r="K2380" i="90"/>
  <c r="L2380" i="90" s="1"/>
  <c r="K2381" i="90"/>
  <c r="L2381" i="90" s="1"/>
  <c r="K2382" i="90"/>
  <c r="L2382" i="90" s="1"/>
  <c r="K2383" i="90"/>
  <c r="L2383" i="90" s="1"/>
  <c r="K2384" i="90"/>
  <c r="L2384" i="90" s="1"/>
  <c r="K2385" i="90"/>
  <c r="L2385" i="90" s="1"/>
  <c r="K2386" i="90"/>
  <c r="L2386" i="90" s="1"/>
  <c r="K2387" i="90"/>
  <c r="L2387" i="90" s="1"/>
  <c r="K2388" i="90"/>
  <c r="L2388" i="90" s="1"/>
  <c r="K2389" i="90"/>
  <c r="L2389" i="90" s="1"/>
  <c r="K2390" i="90"/>
  <c r="L2390" i="90" s="1"/>
  <c r="K2391" i="90"/>
  <c r="L2391" i="90" s="1"/>
  <c r="K2392" i="90"/>
  <c r="L2392" i="90" s="1"/>
  <c r="K2393" i="90"/>
  <c r="L2393" i="90" s="1"/>
  <c r="K2394" i="90"/>
  <c r="L2394" i="90" s="1"/>
  <c r="K2395" i="90"/>
  <c r="L2395" i="90" s="1"/>
  <c r="K2396" i="90"/>
  <c r="L2396" i="90" s="1"/>
  <c r="K2397" i="90"/>
  <c r="L2397" i="90" s="1"/>
  <c r="K2398" i="90"/>
  <c r="L2398" i="90" s="1"/>
  <c r="K2399" i="90"/>
  <c r="L2399" i="90" s="1"/>
  <c r="K2400" i="90"/>
  <c r="L2400" i="90" s="1"/>
  <c r="K2401" i="90"/>
  <c r="L2401" i="90" s="1"/>
  <c r="K2402" i="90"/>
  <c r="L2402" i="90" s="1"/>
  <c r="K2403" i="90"/>
  <c r="L2403" i="90" s="1"/>
  <c r="K2404" i="90"/>
  <c r="L2404" i="90" s="1"/>
  <c r="K2405" i="90"/>
  <c r="L2405" i="90" s="1"/>
  <c r="K2406" i="90"/>
  <c r="L2406" i="90" s="1"/>
  <c r="K2407" i="90"/>
  <c r="L2407" i="90" s="1"/>
  <c r="K2408" i="90"/>
  <c r="L2408" i="90" s="1"/>
  <c r="K2409" i="90"/>
  <c r="L2409" i="90" s="1"/>
  <c r="K2410" i="90"/>
  <c r="L2410" i="90" s="1"/>
  <c r="K2411" i="90"/>
  <c r="L2411" i="90" s="1"/>
  <c r="K2412" i="90"/>
  <c r="L2412" i="90" s="1"/>
  <c r="K2413" i="90"/>
  <c r="L2413" i="90" s="1"/>
  <c r="K2414" i="90"/>
  <c r="L2414" i="90" s="1"/>
  <c r="K2415" i="90"/>
  <c r="L2415" i="90" s="1"/>
  <c r="K2416" i="90"/>
  <c r="L2416" i="90" s="1"/>
  <c r="K2417" i="90"/>
  <c r="L2417" i="90" s="1"/>
  <c r="K2157" i="90"/>
  <c r="L2157" i="90" s="1"/>
  <c r="K2158" i="90"/>
  <c r="L2158" i="90" s="1"/>
  <c r="K2159" i="90"/>
  <c r="L2159" i="90" s="1"/>
  <c r="K2160" i="90"/>
  <c r="L2160" i="90" s="1"/>
  <c r="K2161" i="90"/>
  <c r="L2161" i="90" s="1"/>
  <c r="K2162" i="90"/>
  <c r="L2162" i="90" s="1"/>
  <c r="K2163" i="90"/>
  <c r="L2163" i="90" s="1"/>
  <c r="K2164" i="90"/>
  <c r="L2164" i="90" s="1"/>
  <c r="K2165" i="90"/>
  <c r="L2165" i="90" s="1"/>
  <c r="K2166" i="90"/>
  <c r="L2166" i="90" s="1"/>
  <c r="K2167" i="90"/>
  <c r="L2167" i="90" s="1"/>
  <c r="K2168" i="90"/>
  <c r="L2168" i="90" s="1"/>
  <c r="K2169" i="90"/>
  <c r="L2169" i="90" s="1"/>
  <c r="K2170" i="90"/>
  <c r="L2170" i="90" s="1"/>
  <c r="K2171" i="90"/>
  <c r="L2171" i="90" s="1"/>
  <c r="K2172" i="90"/>
  <c r="L2172" i="90" s="1"/>
  <c r="K2173" i="90"/>
  <c r="L2173" i="90" s="1"/>
  <c r="K2174" i="90"/>
  <c r="L2174" i="90" s="1"/>
  <c r="K2175" i="90"/>
  <c r="L2175" i="90" s="1"/>
  <c r="K2176" i="90"/>
  <c r="L2176" i="90" s="1"/>
  <c r="K2177" i="90"/>
  <c r="L2177" i="90" s="1"/>
  <c r="K2178" i="90"/>
  <c r="L2178" i="90" s="1"/>
  <c r="K2179" i="90"/>
  <c r="L2179" i="90" s="1"/>
  <c r="K2180" i="90"/>
  <c r="L2180" i="90" s="1"/>
  <c r="K2181" i="90"/>
  <c r="L2181" i="90" s="1"/>
  <c r="K2182" i="90"/>
  <c r="L2182" i="90" s="1"/>
  <c r="K2183" i="90"/>
  <c r="L2183" i="90" s="1"/>
  <c r="K2184" i="90"/>
  <c r="L2184" i="90" s="1"/>
  <c r="K2185" i="90"/>
  <c r="L2185" i="90" s="1"/>
  <c r="K2186" i="90"/>
  <c r="L2186" i="90" s="1"/>
  <c r="K2187" i="90"/>
  <c r="L2187" i="90" s="1"/>
  <c r="K2188" i="90"/>
  <c r="L2188" i="90" s="1"/>
  <c r="K2189" i="90"/>
  <c r="L2189" i="90" s="1"/>
  <c r="K2190" i="90"/>
  <c r="L2190" i="90" s="1"/>
  <c r="K2191" i="90"/>
  <c r="L2191" i="90" s="1"/>
  <c r="K2192" i="90"/>
  <c r="L2192" i="90" s="1"/>
  <c r="K2193" i="90"/>
  <c r="L2193" i="90" s="1"/>
  <c r="K2194" i="90"/>
  <c r="L2194" i="90" s="1"/>
  <c r="K2195" i="90"/>
  <c r="L2195" i="90" s="1"/>
  <c r="K2196" i="90"/>
  <c r="L2196" i="90" s="1"/>
  <c r="K2197" i="90"/>
  <c r="L2197" i="90" s="1"/>
  <c r="K2198" i="90"/>
  <c r="L2198" i="90" s="1"/>
  <c r="K2199" i="90"/>
  <c r="L2199" i="90" s="1"/>
  <c r="K2200" i="90"/>
  <c r="L2200" i="90" s="1"/>
  <c r="K2201" i="90"/>
  <c r="L2201" i="90" s="1"/>
  <c r="K2202" i="90"/>
  <c r="L2202" i="90" s="1"/>
  <c r="K2203" i="90"/>
  <c r="L2203" i="90" s="1"/>
  <c r="K2204" i="90"/>
  <c r="L2204" i="90" s="1"/>
  <c r="K2205" i="90"/>
  <c r="L2205" i="90" s="1"/>
  <c r="K2206" i="90"/>
  <c r="L2206" i="90" s="1"/>
  <c r="K2207" i="90"/>
  <c r="L2207" i="90" s="1"/>
  <c r="K2208" i="90"/>
  <c r="L2208" i="90" s="1"/>
  <c r="K2209" i="90"/>
  <c r="L2209" i="90" s="1"/>
  <c r="K2210" i="90"/>
  <c r="L2210" i="90" s="1"/>
  <c r="K2211" i="90"/>
  <c r="L2211" i="90" s="1"/>
  <c r="K2212" i="90"/>
  <c r="L2212" i="90" s="1"/>
  <c r="K2213" i="90"/>
  <c r="L2213" i="90" s="1"/>
  <c r="K2214" i="90"/>
  <c r="L2214" i="90" s="1"/>
  <c r="K2215" i="90"/>
  <c r="L2215" i="90" s="1"/>
  <c r="K2216" i="90"/>
  <c r="L2216" i="90" s="1"/>
  <c r="K2217" i="90"/>
  <c r="L2217" i="90" s="1"/>
  <c r="K2218" i="90"/>
  <c r="L2218" i="90" s="1"/>
  <c r="K2219" i="90"/>
  <c r="L2219" i="90" s="1"/>
  <c r="K2220" i="90"/>
  <c r="L2220" i="90" s="1"/>
  <c r="K2221" i="90"/>
  <c r="L2221" i="90" s="1"/>
  <c r="K2222" i="90"/>
  <c r="L2222" i="90" s="1"/>
  <c r="K2223" i="90"/>
  <c r="L2223" i="90" s="1"/>
  <c r="K2224" i="90"/>
  <c r="L2224" i="90" s="1"/>
  <c r="K2225" i="90"/>
  <c r="L2225" i="90" s="1"/>
  <c r="K2226" i="90"/>
  <c r="L2226" i="90" s="1"/>
  <c r="K2227" i="90"/>
  <c r="L2227" i="90" s="1"/>
  <c r="K2228" i="90"/>
  <c r="L2228" i="90" s="1"/>
  <c r="K2229" i="90"/>
  <c r="L2229" i="90" s="1"/>
  <c r="K2230" i="90"/>
  <c r="L2230" i="90" s="1"/>
  <c r="K2231" i="90"/>
  <c r="L2231" i="90" s="1"/>
  <c r="K2232" i="90"/>
  <c r="L2232" i="90" s="1"/>
  <c r="K2233" i="90"/>
  <c r="L2233" i="90" s="1"/>
  <c r="K2234" i="90"/>
  <c r="L2234" i="90" s="1"/>
  <c r="K2235" i="90"/>
  <c r="L2235" i="90" s="1"/>
  <c r="K2236" i="90"/>
  <c r="L2236" i="90" s="1"/>
  <c r="K2237" i="90"/>
  <c r="L2237" i="90" s="1"/>
  <c r="K2238" i="90"/>
  <c r="L2238" i="90" s="1"/>
  <c r="K2239" i="90"/>
  <c r="L2239" i="90" s="1"/>
  <c r="K2240" i="90"/>
  <c r="L2240" i="90" s="1"/>
  <c r="K2241" i="90"/>
  <c r="L2241" i="90" s="1"/>
  <c r="K2242" i="90"/>
  <c r="L2242" i="90" s="1"/>
  <c r="K2243" i="90"/>
  <c r="L2243" i="90" s="1"/>
  <c r="K2244" i="90"/>
  <c r="L2244" i="90" s="1"/>
  <c r="K2245" i="90"/>
  <c r="L2245" i="90" s="1"/>
  <c r="K2246" i="90"/>
  <c r="L2246" i="90" s="1"/>
  <c r="K2247" i="90"/>
  <c r="L2247" i="90" s="1"/>
  <c r="K2248" i="90"/>
  <c r="L2248" i="90" s="1"/>
  <c r="K2249" i="90"/>
  <c r="L2249" i="90" s="1"/>
  <c r="K2250" i="90"/>
  <c r="L2250" i="90" s="1"/>
  <c r="K2251" i="90"/>
  <c r="L2251" i="90" s="1"/>
  <c r="K2252" i="90"/>
  <c r="L2252" i="90" s="1"/>
  <c r="K2253" i="90"/>
  <c r="L2253" i="90" s="1"/>
  <c r="K2254" i="90"/>
  <c r="L2254" i="90" s="1"/>
  <c r="K2255" i="90"/>
  <c r="L2255" i="90" s="1"/>
  <c r="K2256" i="90"/>
  <c r="L2256" i="90" s="1"/>
  <c r="K2257" i="90"/>
  <c r="L2257" i="90" s="1"/>
  <c r="K2258" i="90"/>
  <c r="L2258" i="90" s="1"/>
  <c r="K2259" i="90"/>
  <c r="L2259" i="90" s="1"/>
  <c r="K2260" i="90"/>
  <c r="L2260" i="90" s="1"/>
  <c r="K2261" i="90"/>
  <c r="L2261" i="90" s="1"/>
  <c r="K2262" i="90"/>
  <c r="L2262" i="90" s="1"/>
  <c r="K2263" i="90"/>
  <c r="L2263" i="90" s="1"/>
  <c r="K2264" i="90"/>
  <c r="L2264" i="90" s="1"/>
  <c r="K2265" i="90"/>
  <c r="L2265" i="90" s="1"/>
  <c r="K2266" i="90"/>
  <c r="L2266" i="90" s="1"/>
  <c r="K2267" i="90"/>
  <c r="L2267" i="90" s="1"/>
  <c r="K2268" i="90"/>
  <c r="L2268" i="90" s="1"/>
  <c r="K2269" i="90"/>
  <c r="L2269" i="90" s="1"/>
  <c r="K2270" i="90"/>
  <c r="L2270" i="90" s="1"/>
  <c r="K2271" i="90"/>
  <c r="L2271" i="90" s="1"/>
  <c r="K2272" i="90"/>
  <c r="L2272" i="90" s="1"/>
  <c r="K2273" i="90"/>
  <c r="L2273" i="90" s="1"/>
  <c r="K2274" i="90"/>
  <c r="L2274" i="90" s="1"/>
  <c r="K2275" i="90"/>
  <c r="L2275" i="90" s="1"/>
  <c r="K2276" i="90"/>
  <c r="L2276" i="90" s="1"/>
  <c r="K2277" i="90"/>
  <c r="L2277" i="90" s="1"/>
  <c r="K2278" i="90"/>
  <c r="L2278" i="90" s="1"/>
  <c r="K2279" i="90"/>
  <c r="L2279" i="90" s="1"/>
  <c r="K2280" i="90"/>
  <c r="L2280" i="90" s="1"/>
  <c r="K2281" i="90"/>
  <c r="L2281" i="90" s="1"/>
  <c r="K2282" i="90"/>
  <c r="L2282" i="90" s="1"/>
  <c r="K2283" i="90"/>
  <c r="L2283" i="90" s="1"/>
  <c r="K2284" i="90"/>
  <c r="L2284" i="90" s="1"/>
  <c r="K2285" i="90"/>
  <c r="L2285" i="90" s="1"/>
  <c r="K2030" i="90"/>
  <c r="L2030" i="90" s="1"/>
  <c r="K2031" i="90"/>
  <c r="L2031" i="90" s="1"/>
  <c r="K2032" i="90"/>
  <c r="L2032" i="90" s="1"/>
  <c r="K2033" i="90"/>
  <c r="L2033" i="90" s="1"/>
  <c r="K2034" i="90"/>
  <c r="K2035" i="90"/>
  <c r="L2035" i="90" s="1"/>
  <c r="K2036" i="90"/>
  <c r="L2036" i="90" s="1"/>
  <c r="K2037" i="90"/>
  <c r="L2037" i="90" s="1"/>
  <c r="K2038" i="90"/>
  <c r="L2038" i="90" s="1"/>
  <c r="K2039" i="90"/>
  <c r="L2039" i="90" s="1"/>
  <c r="K2040" i="90"/>
  <c r="L2040" i="90" s="1"/>
  <c r="K2041" i="90"/>
  <c r="K2042" i="90"/>
  <c r="L2042" i="90" s="1"/>
  <c r="K2043" i="90"/>
  <c r="K2044" i="90"/>
  <c r="L2044" i="90" s="1"/>
  <c r="K2045" i="90"/>
  <c r="L2045" i="90" s="1"/>
  <c r="K2046" i="90"/>
  <c r="L2046" i="90" s="1"/>
  <c r="K2047" i="90"/>
  <c r="L2047" i="90" s="1"/>
  <c r="K2048" i="90"/>
  <c r="K2049" i="90"/>
  <c r="K2050" i="90"/>
  <c r="L2050" i="90" s="1"/>
  <c r="K2051" i="90"/>
  <c r="L2051" i="90" s="1"/>
  <c r="K2052" i="90"/>
  <c r="K2053" i="90"/>
  <c r="L2053" i="90" s="1"/>
  <c r="K2054" i="90"/>
  <c r="L2054" i="90" s="1"/>
  <c r="K2055" i="90"/>
  <c r="L2055" i="90" s="1"/>
  <c r="K2056" i="90"/>
  <c r="L2056" i="90" s="1"/>
  <c r="K2057" i="90"/>
  <c r="L2057" i="90" s="1"/>
  <c r="K2058" i="90"/>
  <c r="K2059" i="90"/>
  <c r="L2059" i="90" s="1"/>
  <c r="K2060" i="90"/>
  <c r="K2061" i="90"/>
  <c r="L2061" i="90" s="1"/>
  <c r="K2062" i="90"/>
  <c r="L2062" i="90" s="1"/>
  <c r="K2063" i="90"/>
  <c r="K2064" i="90"/>
  <c r="L2064" i="90" s="1"/>
  <c r="K2065" i="90"/>
  <c r="L2065" i="90" s="1"/>
  <c r="K2066" i="90"/>
  <c r="L2066" i="90" s="1"/>
  <c r="K2067" i="90"/>
  <c r="L2067" i="90" s="1"/>
  <c r="K2068" i="90"/>
  <c r="L2068" i="90" s="1"/>
  <c r="K2069" i="90"/>
  <c r="L2069" i="90" s="1"/>
  <c r="K2070" i="90"/>
  <c r="L2070" i="90" s="1"/>
  <c r="K2071" i="90"/>
  <c r="L2071" i="90" s="1"/>
  <c r="K2072" i="90"/>
  <c r="K2073" i="90"/>
  <c r="L2073" i="90" s="1"/>
  <c r="K2074" i="90"/>
  <c r="L2074" i="90" s="1"/>
  <c r="K2075" i="90"/>
  <c r="L2075" i="90" s="1"/>
  <c r="K2076" i="90"/>
  <c r="K2077" i="90"/>
  <c r="L2077" i="90" s="1"/>
  <c r="K2078" i="90"/>
  <c r="L2078" i="90" s="1"/>
  <c r="K2079" i="90"/>
  <c r="L2079" i="90" s="1"/>
  <c r="K2080" i="90"/>
  <c r="L2080" i="90" s="1"/>
  <c r="K2081" i="90"/>
  <c r="L2081" i="90" s="1"/>
  <c r="K2082" i="90"/>
  <c r="L2082" i="90" s="1"/>
  <c r="K2083" i="90"/>
  <c r="L2083" i="90" s="1"/>
  <c r="K2084" i="90"/>
  <c r="K2085" i="90"/>
  <c r="K2086" i="90"/>
  <c r="L2086" i="90" s="1"/>
  <c r="K2087" i="90"/>
  <c r="L2087" i="90" s="1"/>
  <c r="K2088" i="90"/>
  <c r="K2089" i="90"/>
  <c r="L2089" i="90" s="1"/>
  <c r="K2090" i="90"/>
  <c r="L2090" i="90" s="1"/>
  <c r="K2091" i="90"/>
  <c r="K2092" i="90"/>
  <c r="L2092" i="90" s="1"/>
  <c r="K2093" i="90"/>
  <c r="L2093" i="90" s="1"/>
  <c r="K2094" i="90"/>
  <c r="K2095" i="90"/>
  <c r="L2095" i="90" s="1"/>
  <c r="K2096" i="90"/>
  <c r="K2097" i="90"/>
  <c r="K2098" i="90"/>
  <c r="K2099" i="90"/>
  <c r="L2099" i="90" s="1"/>
  <c r="K2100" i="90"/>
  <c r="K2101" i="90"/>
  <c r="L2101" i="90" s="1"/>
  <c r="K2102" i="90"/>
  <c r="L2102" i="90" s="1"/>
  <c r="K2103" i="90"/>
  <c r="L2103" i="90" s="1"/>
  <c r="K2104" i="90"/>
  <c r="L2104" i="90" s="1"/>
  <c r="K2105" i="90"/>
  <c r="L2105" i="90" s="1"/>
  <c r="K2106" i="90"/>
  <c r="K2107" i="90"/>
  <c r="L2107" i="90" s="1"/>
  <c r="K2108" i="90"/>
  <c r="K2109" i="90"/>
  <c r="K2110" i="90"/>
  <c r="K2111" i="90"/>
  <c r="L2111" i="90" s="1"/>
  <c r="K2112" i="90"/>
  <c r="L2112" i="90" s="1"/>
  <c r="K2113" i="90"/>
  <c r="L2113" i="90" s="1"/>
  <c r="K2114" i="90"/>
  <c r="L2114" i="90" s="1"/>
  <c r="K2115" i="90"/>
  <c r="L2115" i="90" s="1"/>
  <c r="K2116" i="90"/>
  <c r="L2116" i="90" s="1"/>
  <c r="K2117" i="90"/>
  <c r="L2117" i="90" s="1"/>
  <c r="K2118" i="90"/>
  <c r="K2119" i="90"/>
  <c r="L2119" i="90" s="1"/>
  <c r="K2120" i="90"/>
  <c r="L2120" i="90" s="1"/>
  <c r="K2121" i="90"/>
  <c r="K2122" i="90"/>
  <c r="K2123" i="90"/>
  <c r="L2123" i="90" s="1"/>
  <c r="K2124" i="90"/>
  <c r="K2125" i="90"/>
  <c r="L2125" i="90" s="1"/>
  <c r="K2126" i="90"/>
  <c r="L2126" i="90" s="1"/>
  <c r="K2127" i="90"/>
  <c r="K2128" i="90"/>
  <c r="L2128" i="90" s="1"/>
  <c r="K2129" i="90"/>
  <c r="L2129" i="90" s="1"/>
  <c r="K2130" i="90"/>
  <c r="K2131" i="90"/>
  <c r="L2131" i="90" s="1"/>
  <c r="K2132" i="90"/>
  <c r="K2133" i="90"/>
  <c r="L2133" i="90" s="1"/>
  <c r="K2134" i="90"/>
  <c r="K2135" i="90"/>
  <c r="L2135" i="90" s="1"/>
  <c r="K2136" i="90"/>
  <c r="L2136" i="90" s="1"/>
  <c r="K2137" i="90"/>
  <c r="L2137" i="90" s="1"/>
  <c r="K2138" i="90"/>
  <c r="L2138" i="90" s="1"/>
  <c r="K2139" i="90"/>
  <c r="L2139" i="90" s="1"/>
  <c r="K2140" i="90"/>
  <c r="L2140" i="90" s="1"/>
  <c r="K2141" i="90"/>
  <c r="L2141" i="90" s="1"/>
  <c r="K2142" i="90"/>
  <c r="K2143" i="90"/>
  <c r="L2143" i="90" s="1"/>
  <c r="K2144" i="90"/>
  <c r="K2145" i="90"/>
  <c r="K2146" i="90"/>
  <c r="L2146" i="90" s="1"/>
  <c r="K2147" i="90"/>
  <c r="L2147" i="90" s="1"/>
  <c r="K2148" i="90"/>
  <c r="L2148" i="90" s="1"/>
  <c r="K2149" i="90"/>
  <c r="L2149" i="90" s="1"/>
  <c r="K2150" i="90"/>
  <c r="K2151" i="90"/>
  <c r="L2151" i="90" s="1"/>
  <c r="K2152" i="90"/>
  <c r="K2153" i="90"/>
  <c r="L2153" i="90" s="1"/>
  <c r="K2154" i="90"/>
  <c r="K2155" i="90"/>
  <c r="L2155" i="90" s="1"/>
  <c r="K2156" i="90"/>
  <c r="K1908" i="90"/>
  <c r="K1909" i="90"/>
  <c r="K1910" i="90"/>
  <c r="K1911" i="90"/>
  <c r="K1912" i="90"/>
  <c r="K1913" i="90"/>
  <c r="K1914" i="90"/>
  <c r="K1915" i="90"/>
  <c r="K1916" i="90"/>
  <c r="K1917" i="90"/>
  <c r="K1918" i="90"/>
  <c r="K1919" i="90"/>
  <c r="K1920" i="90"/>
  <c r="K1921" i="90"/>
  <c r="K1922" i="90"/>
  <c r="K1923" i="90"/>
  <c r="K1924" i="90"/>
  <c r="K1925" i="90"/>
  <c r="K1926" i="90"/>
  <c r="K1927" i="90"/>
  <c r="K1928" i="90"/>
  <c r="K1929" i="90"/>
  <c r="K1930" i="90"/>
  <c r="K1931" i="90"/>
  <c r="K1932" i="90"/>
  <c r="K1933" i="90"/>
  <c r="K1934" i="90"/>
  <c r="K1935" i="90"/>
  <c r="K1936" i="90"/>
  <c r="K1937" i="90"/>
  <c r="K1938" i="90"/>
  <c r="K1939" i="90"/>
  <c r="K1940" i="90"/>
  <c r="K1941" i="90"/>
  <c r="K1942" i="90"/>
  <c r="K1943" i="90"/>
  <c r="K1944" i="90"/>
  <c r="K1945" i="90"/>
  <c r="K1946" i="90"/>
  <c r="K1947" i="90"/>
  <c r="K1948" i="90"/>
  <c r="K1949" i="90"/>
  <c r="K1950" i="90"/>
  <c r="K1951" i="90"/>
  <c r="K1952" i="90"/>
  <c r="K1953" i="90"/>
  <c r="K1954" i="90"/>
  <c r="K1955" i="90"/>
  <c r="K1956" i="90"/>
  <c r="K1957" i="90"/>
  <c r="K1958" i="90"/>
  <c r="K1959" i="90"/>
  <c r="K1960" i="90"/>
  <c r="K1961" i="90"/>
  <c r="K1962" i="90"/>
  <c r="K1963" i="90"/>
  <c r="K1964" i="90"/>
  <c r="K1965" i="90"/>
  <c r="K1966" i="90"/>
  <c r="K1967" i="90"/>
  <c r="K1968" i="90"/>
  <c r="K1969" i="90"/>
  <c r="K1970" i="90"/>
  <c r="K1971" i="90"/>
  <c r="K1972" i="90"/>
  <c r="K1973" i="90"/>
  <c r="K1974" i="90"/>
  <c r="K1975" i="90"/>
  <c r="K1976" i="90"/>
  <c r="K1977" i="90"/>
  <c r="K1978" i="90"/>
  <c r="K1979" i="90"/>
  <c r="K1980" i="90"/>
  <c r="K1981" i="90"/>
  <c r="K1982" i="90"/>
  <c r="K1983" i="90"/>
  <c r="K1984" i="90"/>
  <c r="K1985" i="90"/>
  <c r="K1986" i="90"/>
  <c r="K1987" i="90"/>
  <c r="K1988" i="90"/>
  <c r="K1989" i="90"/>
  <c r="K1990" i="90"/>
  <c r="K1991" i="90"/>
  <c r="K1992" i="90"/>
  <c r="K1993" i="90"/>
  <c r="K1994" i="90"/>
  <c r="K1995" i="90"/>
  <c r="K1996" i="90"/>
  <c r="K1997" i="90"/>
  <c r="K1998" i="90"/>
  <c r="K1999" i="90"/>
  <c r="K2000" i="90"/>
  <c r="K2001" i="90"/>
  <c r="K2002" i="90"/>
  <c r="L2002" i="90" s="1"/>
  <c r="K2003" i="90"/>
  <c r="K2004" i="90"/>
  <c r="K2005" i="90"/>
  <c r="K2006" i="90"/>
  <c r="K2007" i="90"/>
  <c r="K2008" i="90"/>
  <c r="K2009" i="90"/>
  <c r="K2010" i="90"/>
  <c r="K2011" i="90"/>
  <c r="K2012" i="90"/>
  <c r="K2013" i="90"/>
  <c r="K2014" i="90"/>
  <c r="K2015" i="90"/>
  <c r="K2016" i="90"/>
  <c r="K2017" i="90"/>
  <c r="K2018" i="90"/>
  <c r="K2019" i="90"/>
  <c r="K2020" i="90"/>
  <c r="K2021" i="90"/>
  <c r="K2022" i="90"/>
  <c r="K2023" i="90"/>
  <c r="K2024" i="90"/>
  <c r="K2025" i="90"/>
  <c r="K2026" i="90"/>
  <c r="K2027" i="90"/>
  <c r="K2028" i="90"/>
  <c r="K2029" i="90"/>
  <c r="K1785" i="90"/>
  <c r="L1785" i="90" s="1"/>
  <c r="K1786" i="90"/>
  <c r="L1786" i="90" s="1"/>
  <c r="K1787" i="90"/>
  <c r="L1787" i="90" s="1"/>
  <c r="K1788" i="90"/>
  <c r="L1788" i="90" s="1"/>
  <c r="K1789" i="90"/>
  <c r="L1789" i="90" s="1"/>
  <c r="K1790" i="90"/>
  <c r="L1790" i="90" s="1"/>
  <c r="K1791" i="90"/>
  <c r="L1791" i="90" s="1"/>
  <c r="K1792" i="90"/>
  <c r="L1792" i="90" s="1"/>
  <c r="K1793" i="90"/>
  <c r="L1793" i="90" s="1"/>
  <c r="K1794" i="90"/>
  <c r="L1794" i="90" s="1"/>
  <c r="K1795" i="90"/>
  <c r="L1795" i="90" s="1"/>
  <c r="K1796" i="90"/>
  <c r="L1796" i="90" s="1"/>
  <c r="K1797" i="90"/>
  <c r="L1797" i="90" s="1"/>
  <c r="K1798" i="90"/>
  <c r="L1798" i="90" s="1"/>
  <c r="K1799" i="90"/>
  <c r="L1799" i="90" s="1"/>
  <c r="K1800" i="90"/>
  <c r="L1800" i="90" s="1"/>
  <c r="K1801" i="90"/>
  <c r="L1801" i="90" s="1"/>
  <c r="K1802" i="90"/>
  <c r="L1802" i="90" s="1"/>
  <c r="K1803" i="90"/>
  <c r="L1803" i="90" s="1"/>
  <c r="K1804" i="90"/>
  <c r="L1804" i="90" s="1"/>
  <c r="K1805" i="90"/>
  <c r="L1805" i="90" s="1"/>
  <c r="K1806" i="90"/>
  <c r="L1806" i="90" s="1"/>
  <c r="K1807" i="90"/>
  <c r="L1807" i="90" s="1"/>
  <c r="K1808" i="90"/>
  <c r="L1808" i="90" s="1"/>
  <c r="K1809" i="90"/>
  <c r="L1809" i="90" s="1"/>
  <c r="K1810" i="90"/>
  <c r="L1810" i="90" s="1"/>
  <c r="K1811" i="90"/>
  <c r="L1811" i="90" s="1"/>
  <c r="K1812" i="90"/>
  <c r="L1812" i="90" s="1"/>
  <c r="K1813" i="90"/>
  <c r="L1813" i="90" s="1"/>
  <c r="K1814" i="90"/>
  <c r="L1814" i="90" s="1"/>
  <c r="K1815" i="90"/>
  <c r="L1815" i="90" s="1"/>
  <c r="K1816" i="90"/>
  <c r="L1816" i="90" s="1"/>
  <c r="K1817" i="90"/>
  <c r="L1817" i="90" s="1"/>
  <c r="K1818" i="90"/>
  <c r="L1818" i="90" s="1"/>
  <c r="K1819" i="90"/>
  <c r="L1819" i="90" s="1"/>
  <c r="K1820" i="90"/>
  <c r="L1820" i="90" s="1"/>
  <c r="K1821" i="90"/>
  <c r="L1821" i="90" s="1"/>
  <c r="K1822" i="90"/>
  <c r="L1822" i="90" s="1"/>
  <c r="K1823" i="90"/>
  <c r="L1823" i="90" s="1"/>
  <c r="K1824" i="90"/>
  <c r="L1824" i="90" s="1"/>
  <c r="K1825" i="90"/>
  <c r="L1825" i="90" s="1"/>
  <c r="K1826" i="90"/>
  <c r="L1826" i="90" s="1"/>
  <c r="K1827" i="90"/>
  <c r="L1827" i="90" s="1"/>
  <c r="K1828" i="90"/>
  <c r="L1828" i="90" s="1"/>
  <c r="K1829" i="90"/>
  <c r="L1829" i="90" s="1"/>
  <c r="K1830" i="90"/>
  <c r="L1830" i="90" s="1"/>
  <c r="K1831" i="90"/>
  <c r="L1831" i="90" s="1"/>
  <c r="K1832" i="90"/>
  <c r="L1832" i="90" s="1"/>
  <c r="K1833" i="90"/>
  <c r="L1833" i="90" s="1"/>
  <c r="K1834" i="90"/>
  <c r="L1834" i="90" s="1"/>
  <c r="K1835" i="90"/>
  <c r="L1835" i="90" s="1"/>
  <c r="K1836" i="90"/>
  <c r="L1836" i="90" s="1"/>
  <c r="K1837" i="90"/>
  <c r="L1837" i="90" s="1"/>
  <c r="K1838" i="90"/>
  <c r="L1838" i="90" s="1"/>
  <c r="K1839" i="90"/>
  <c r="L1839" i="90" s="1"/>
  <c r="K1840" i="90"/>
  <c r="L1840" i="90" s="1"/>
  <c r="K1841" i="90"/>
  <c r="L1841" i="90" s="1"/>
  <c r="K1842" i="90"/>
  <c r="L1842" i="90" s="1"/>
  <c r="K1843" i="90"/>
  <c r="L1843" i="90" s="1"/>
  <c r="K1844" i="90"/>
  <c r="L1844" i="90" s="1"/>
  <c r="K1845" i="90"/>
  <c r="L1845" i="90" s="1"/>
  <c r="K1846" i="90"/>
  <c r="L1846" i="90" s="1"/>
  <c r="K1847" i="90"/>
  <c r="L1847" i="90" s="1"/>
  <c r="K1848" i="90"/>
  <c r="L1848" i="90" s="1"/>
  <c r="K1849" i="90"/>
  <c r="L1849" i="90" s="1"/>
  <c r="K1850" i="90"/>
  <c r="L1850" i="90" s="1"/>
  <c r="K1851" i="90"/>
  <c r="L1851" i="90" s="1"/>
  <c r="K1852" i="90"/>
  <c r="L1852" i="90" s="1"/>
  <c r="K1853" i="90"/>
  <c r="L1853" i="90" s="1"/>
  <c r="K1854" i="90"/>
  <c r="L1854" i="90" s="1"/>
  <c r="K1855" i="90"/>
  <c r="L1855" i="90" s="1"/>
  <c r="K1856" i="90"/>
  <c r="L1856" i="90" s="1"/>
  <c r="K1857" i="90"/>
  <c r="L1857" i="90" s="1"/>
  <c r="K1858" i="90"/>
  <c r="L1858" i="90" s="1"/>
  <c r="K1859" i="90"/>
  <c r="L1859" i="90" s="1"/>
  <c r="K1860" i="90"/>
  <c r="L1860" i="90" s="1"/>
  <c r="K1861" i="90"/>
  <c r="L1861" i="90" s="1"/>
  <c r="K1862" i="90"/>
  <c r="L1862" i="90" s="1"/>
  <c r="K1863" i="90"/>
  <c r="L1863" i="90" s="1"/>
  <c r="K1864" i="90"/>
  <c r="L1864" i="90" s="1"/>
  <c r="K1865" i="90"/>
  <c r="L1865" i="90" s="1"/>
  <c r="K1866" i="90"/>
  <c r="L1866" i="90" s="1"/>
  <c r="K1867" i="90"/>
  <c r="L1867" i="90" s="1"/>
  <c r="K1868" i="90"/>
  <c r="K1869" i="90"/>
  <c r="L1869" i="90" s="1"/>
  <c r="K1870" i="90"/>
  <c r="L1870" i="90" s="1"/>
  <c r="K1871" i="90"/>
  <c r="L1871" i="90" s="1"/>
  <c r="K1872" i="90"/>
  <c r="L1872" i="90" s="1"/>
  <c r="K1873" i="90"/>
  <c r="L1873" i="90" s="1"/>
  <c r="K1874" i="90"/>
  <c r="L1874" i="90" s="1"/>
  <c r="K1875" i="90"/>
  <c r="L1875" i="90" s="1"/>
  <c r="K1876" i="90"/>
  <c r="L1876" i="90" s="1"/>
  <c r="K1877" i="90"/>
  <c r="L1877" i="90" s="1"/>
  <c r="K1878" i="90"/>
  <c r="L1878" i="90" s="1"/>
  <c r="K1879" i="90"/>
  <c r="L1879" i="90" s="1"/>
  <c r="K1880" i="90"/>
  <c r="L1880" i="90" s="1"/>
  <c r="K1881" i="90"/>
  <c r="L1881" i="90" s="1"/>
  <c r="K1882" i="90"/>
  <c r="L1882" i="90" s="1"/>
  <c r="K1883" i="90"/>
  <c r="L1883" i="90" s="1"/>
  <c r="K1884" i="90"/>
  <c r="L1884" i="90" s="1"/>
  <c r="K1885" i="90"/>
  <c r="L1885" i="90" s="1"/>
  <c r="K1886" i="90"/>
  <c r="L1886" i="90" s="1"/>
  <c r="K1887" i="90"/>
  <c r="L1887" i="90" s="1"/>
  <c r="K1888" i="90"/>
  <c r="L1888" i="90" s="1"/>
  <c r="K1889" i="90"/>
  <c r="L1889" i="90" s="1"/>
  <c r="K1890" i="90"/>
  <c r="L1890" i="90" s="1"/>
  <c r="K1891" i="90"/>
  <c r="L1891" i="90" s="1"/>
  <c r="K1892" i="90"/>
  <c r="L1892" i="90" s="1"/>
  <c r="K1893" i="90"/>
  <c r="L1893" i="90" s="1"/>
  <c r="K1894" i="90"/>
  <c r="L1894" i="90" s="1"/>
  <c r="K1895" i="90"/>
  <c r="L1895" i="90" s="1"/>
  <c r="K1896" i="90"/>
  <c r="L1896" i="90" s="1"/>
  <c r="K1897" i="90"/>
  <c r="L1897" i="90" s="1"/>
  <c r="K1898" i="90"/>
  <c r="L1898" i="90" s="1"/>
  <c r="K1899" i="90"/>
  <c r="L1899" i="90" s="1"/>
  <c r="K1900" i="90"/>
  <c r="L1900" i="90" s="1"/>
  <c r="K1901" i="90"/>
  <c r="L1901" i="90" s="1"/>
  <c r="K1902" i="90"/>
  <c r="L1902" i="90" s="1"/>
  <c r="K1903" i="90"/>
  <c r="L1903" i="90" s="1"/>
  <c r="K1904" i="90"/>
  <c r="L1904" i="90" s="1"/>
  <c r="K1905" i="90"/>
  <c r="K1906" i="90"/>
  <c r="L1906" i="90" s="1"/>
  <c r="K1907" i="90"/>
  <c r="L1907" i="90" s="1"/>
  <c r="K1662" i="90"/>
  <c r="L1662" i="90" s="1"/>
  <c r="K1663" i="90"/>
  <c r="L1663" i="90" s="1"/>
  <c r="K1664" i="90"/>
  <c r="L1664" i="90" s="1"/>
  <c r="K1665" i="90"/>
  <c r="L1665" i="90" s="1"/>
  <c r="K1666" i="90"/>
  <c r="L1666" i="90" s="1"/>
  <c r="K1667" i="90"/>
  <c r="L1667" i="90" s="1"/>
  <c r="K1668" i="90"/>
  <c r="L1668" i="90" s="1"/>
  <c r="K1669" i="90"/>
  <c r="L1669" i="90" s="1"/>
  <c r="K1670" i="90"/>
  <c r="L1670" i="90" s="1"/>
  <c r="K1671" i="90"/>
  <c r="L1671" i="90" s="1"/>
  <c r="K1672" i="90"/>
  <c r="L1672" i="90" s="1"/>
  <c r="K1673" i="90"/>
  <c r="L1673" i="90" s="1"/>
  <c r="K1674" i="90"/>
  <c r="L1674" i="90" s="1"/>
  <c r="K1675" i="90"/>
  <c r="L1675" i="90" s="1"/>
  <c r="K1676" i="90"/>
  <c r="L1676" i="90" s="1"/>
  <c r="K1677" i="90"/>
  <c r="L1677" i="90" s="1"/>
  <c r="K1678" i="90"/>
  <c r="L1678" i="90" s="1"/>
  <c r="K1679" i="90"/>
  <c r="L1679" i="90" s="1"/>
  <c r="K1680" i="90"/>
  <c r="L1680" i="90" s="1"/>
  <c r="K1681" i="90"/>
  <c r="L1681" i="90" s="1"/>
  <c r="K1682" i="90"/>
  <c r="L1682" i="90" s="1"/>
  <c r="K1683" i="90"/>
  <c r="L1683" i="90" s="1"/>
  <c r="K1684" i="90"/>
  <c r="L1684" i="90" s="1"/>
  <c r="K1685" i="90"/>
  <c r="L1685" i="90" s="1"/>
  <c r="K1686" i="90"/>
  <c r="L1686" i="90" s="1"/>
  <c r="K1687" i="90"/>
  <c r="L1687" i="90" s="1"/>
  <c r="K1688" i="90"/>
  <c r="L1688" i="90" s="1"/>
  <c r="K1689" i="90"/>
  <c r="K1690" i="90"/>
  <c r="L1690" i="90" s="1"/>
  <c r="K1691" i="90"/>
  <c r="L1691" i="90" s="1"/>
  <c r="K1692" i="90"/>
  <c r="L1692" i="90" s="1"/>
  <c r="K1693" i="90"/>
  <c r="L1693" i="90" s="1"/>
  <c r="K1694" i="90"/>
  <c r="L1694" i="90" s="1"/>
  <c r="K1695" i="90"/>
  <c r="L1695" i="90" s="1"/>
  <c r="K1696" i="90"/>
  <c r="L1696" i="90" s="1"/>
  <c r="K1697" i="90"/>
  <c r="L1697" i="90" s="1"/>
  <c r="K1698" i="90"/>
  <c r="L1698" i="90" s="1"/>
  <c r="K1699" i="90"/>
  <c r="L1699" i="90" s="1"/>
  <c r="K1700" i="90"/>
  <c r="L1700" i="90" s="1"/>
  <c r="K1701" i="90"/>
  <c r="L1701" i="90" s="1"/>
  <c r="K1702" i="90"/>
  <c r="L1702" i="90" s="1"/>
  <c r="K1703" i="90"/>
  <c r="L1703" i="90" s="1"/>
  <c r="K1704" i="90"/>
  <c r="L1704" i="90" s="1"/>
  <c r="K1705" i="90"/>
  <c r="L1705" i="90" s="1"/>
  <c r="K1706" i="90"/>
  <c r="L1706" i="90" s="1"/>
  <c r="K1707" i="90"/>
  <c r="L1707" i="90" s="1"/>
  <c r="K1708" i="90"/>
  <c r="L1708" i="90" s="1"/>
  <c r="K1709" i="90"/>
  <c r="L1709" i="90" s="1"/>
  <c r="K1710" i="90"/>
  <c r="L1710" i="90" s="1"/>
  <c r="K1711" i="90"/>
  <c r="L1711" i="90" s="1"/>
  <c r="K1712" i="90"/>
  <c r="L1712" i="90" s="1"/>
  <c r="K1713" i="90"/>
  <c r="L1713" i="90" s="1"/>
  <c r="K1714" i="90"/>
  <c r="L1714" i="90" s="1"/>
  <c r="K1715" i="90"/>
  <c r="L1715" i="90" s="1"/>
  <c r="K1716" i="90"/>
  <c r="L1716" i="90" s="1"/>
  <c r="K1717" i="90"/>
  <c r="L1717" i="90" s="1"/>
  <c r="K1718" i="90"/>
  <c r="L1718" i="90" s="1"/>
  <c r="K1719" i="90"/>
  <c r="L1719" i="90" s="1"/>
  <c r="K1720" i="90"/>
  <c r="L1720" i="90" s="1"/>
  <c r="K1721" i="90"/>
  <c r="L1721" i="90" s="1"/>
  <c r="K1722" i="90"/>
  <c r="L1722" i="90" s="1"/>
  <c r="K1723" i="90"/>
  <c r="L1723" i="90" s="1"/>
  <c r="K1724" i="90"/>
  <c r="L1724" i="90" s="1"/>
  <c r="K1725" i="90"/>
  <c r="L1725" i="90" s="1"/>
  <c r="K1726" i="90"/>
  <c r="L1726" i="90" s="1"/>
  <c r="K1727" i="90"/>
  <c r="L1727" i="90" s="1"/>
  <c r="K1728" i="90"/>
  <c r="L1728" i="90" s="1"/>
  <c r="K1729" i="90"/>
  <c r="L1729" i="90" s="1"/>
  <c r="K1730" i="90"/>
  <c r="L1730" i="90" s="1"/>
  <c r="K1731" i="90"/>
  <c r="L1731" i="90" s="1"/>
  <c r="K1732" i="90"/>
  <c r="L1732" i="90" s="1"/>
  <c r="K1733" i="90"/>
  <c r="L1733" i="90" s="1"/>
  <c r="K1734" i="90"/>
  <c r="L1734" i="90" s="1"/>
  <c r="K1735" i="90"/>
  <c r="L1735" i="90" s="1"/>
  <c r="K1736" i="90"/>
  <c r="L1736" i="90" s="1"/>
  <c r="K1737" i="90"/>
  <c r="L1737" i="90" s="1"/>
  <c r="K1738" i="90"/>
  <c r="L1738" i="90" s="1"/>
  <c r="K1739" i="90"/>
  <c r="L1739" i="90" s="1"/>
  <c r="K1740" i="90"/>
  <c r="L1740" i="90" s="1"/>
  <c r="K1741" i="90"/>
  <c r="L1741" i="90" s="1"/>
  <c r="K1742" i="90"/>
  <c r="L1742" i="90" s="1"/>
  <c r="K1743" i="90"/>
  <c r="L1743" i="90" s="1"/>
  <c r="K1744" i="90"/>
  <c r="L1744" i="90" s="1"/>
  <c r="K1745" i="90"/>
  <c r="K1746" i="90"/>
  <c r="L1746" i="90" s="1"/>
  <c r="K1747" i="90"/>
  <c r="L1747" i="90" s="1"/>
  <c r="K1748" i="90"/>
  <c r="L1748" i="90" s="1"/>
  <c r="K1749" i="90"/>
  <c r="L1749" i="90" s="1"/>
  <c r="K1750" i="90"/>
  <c r="L1750" i="90" s="1"/>
  <c r="K1751" i="90"/>
  <c r="L1751" i="90" s="1"/>
  <c r="K1752" i="90"/>
  <c r="L1752" i="90" s="1"/>
  <c r="K1753" i="90"/>
  <c r="L1753" i="90" s="1"/>
  <c r="K1754" i="90"/>
  <c r="L1754" i="90" s="1"/>
  <c r="K1755" i="90"/>
  <c r="L1755" i="90" s="1"/>
  <c r="K1756" i="90"/>
  <c r="L1756" i="90" s="1"/>
  <c r="K1757" i="90"/>
  <c r="L1757" i="90" s="1"/>
  <c r="K1758" i="90"/>
  <c r="L1758" i="90" s="1"/>
  <c r="K1759" i="90"/>
  <c r="L1759" i="90" s="1"/>
  <c r="K1760" i="90"/>
  <c r="L1760" i="90" s="1"/>
  <c r="K1761" i="90"/>
  <c r="L1761" i="90" s="1"/>
  <c r="K1762" i="90"/>
  <c r="L1762" i="90" s="1"/>
  <c r="K1763" i="90"/>
  <c r="L1763" i="90" s="1"/>
  <c r="K1764" i="90"/>
  <c r="L1764" i="90" s="1"/>
  <c r="K1765" i="90"/>
  <c r="L1765" i="90" s="1"/>
  <c r="K1766" i="90"/>
  <c r="L1766" i="90" s="1"/>
  <c r="K1767" i="90"/>
  <c r="L1767" i="90" s="1"/>
  <c r="K1768" i="90"/>
  <c r="L1768" i="90" s="1"/>
  <c r="K1769" i="90"/>
  <c r="L1769" i="90" s="1"/>
  <c r="K1770" i="90"/>
  <c r="L1770" i="90" s="1"/>
  <c r="K1771" i="90"/>
  <c r="L1771" i="90" s="1"/>
  <c r="K1772" i="90"/>
  <c r="L1772" i="90" s="1"/>
  <c r="K1773" i="90"/>
  <c r="L1773" i="90" s="1"/>
  <c r="K1774" i="90"/>
  <c r="L1774" i="90" s="1"/>
  <c r="K1775" i="90"/>
  <c r="L1775" i="90" s="1"/>
  <c r="K1776" i="90"/>
  <c r="L1776" i="90" s="1"/>
  <c r="K1777" i="90"/>
  <c r="L1777" i="90" s="1"/>
  <c r="K1778" i="90"/>
  <c r="L1778" i="90" s="1"/>
  <c r="K1779" i="90"/>
  <c r="L1779" i="90" s="1"/>
  <c r="K1780" i="90"/>
  <c r="L1780" i="90" s="1"/>
  <c r="K1781" i="90"/>
  <c r="K1782" i="90"/>
  <c r="L1782" i="90" s="1"/>
  <c r="K1783" i="90"/>
  <c r="L1783" i="90" s="1"/>
  <c r="K1784" i="90"/>
  <c r="L1784" i="90" s="1"/>
  <c r="K1540" i="90"/>
  <c r="L1540" i="90" s="1"/>
  <c r="K1541" i="90"/>
  <c r="L1541" i="90" s="1"/>
  <c r="K1542" i="90"/>
  <c r="L1542" i="90" s="1"/>
  <c r="K1543" i="90"/>
  <c r="L1543" i="90" s="1"/>
  <c r="K1544" i="90"/>
  <c r="L1544" i="90" s="1"/>
  <c r="K1545" i="90"/>
  <c r="L1545" i="90" s="1"/>
  <c r="K1546" i="90"/>
  <c r="L1546" i="90" s="1"/>
  <c r="K1547" i="90"/>
  <c r="L1547" i="90" s="1"/>
  <c r="K1548" i="90"/>
  <c r="L1548" i="90" s="1"/>
  <c r="K1549" i="90"/>
  <c r="L1549" i="90" s="1"/>
  <c r="K1550" i="90"/>
  <c r="L1550" i="90" s="1"/>
  <c r="K1551" i="90"/>
  <c r="L1551" i="90" s="1"/>
  <c r="K1552" i="90"/>
  <c r="L1552" i="90" s="1"/>
  <c r="K1553" i="90"/>
  <c r="L1553" i="90" s="1"/>
  <c r="K1554" i="90"/>
  <c r="L1554" i="90" s="1"/>
  <c r="K1555" i="90"/>
  <c r="L1555" i="90" s="1"/>
  <c r="K1556" i="90"/>
  <c r="L1556" i="90" s="1"/>
  <c r="K1557" i="90"/>
  <c r="L1557" i="90" s="1"/>
  <c r="K1558" i="90"/>
  <c r="L1558" i="90" s="1"/>
  <c r="K1559" i="90"/>
  <c r="L1559" i="90" s="1"/>
  <c r="K1560" i="90"/>
  <c r="L1560" i="90" s="1"/>
  <c r="K1561" i="90"/>
  <c r="L1561" i="90" s="1"/>
  <c r="K1562" i="90"/>
  <c r="L1562" i="90" s="1"/>
  <c r="K1563" i="90"/>
  <c r="L1563" i="90" s="1"/>
  <c r="K1564" i="90"/>
  <c r="L1564" i="90" s="1"/>
  <c r="K1565" i="90"/>
  <c r="L1565" i="90" s="1"/>
  <c r="K1566" i="90"/>
  <c r="L1566" i="90" s="1"/>
  <c r="K1567" i="90"/>
  <c r="K1568" i="90"/>
  <c r="L1568" i="90" s="1"/>
  <c r="K1569" i="90"/>
  <c r="L1569" i="90" s="1"/>
  <c r="K1570" i="90"/>
  <c r="L1570" i="90" s="1"/>
  <c r="K1571" i="90"/>
  <c r="L1571" i="90" s="1"/>
  <c r="K1572" i="90"/>
  <c r="L1572" i="90" s="1"/>
  <c r="K1573" i="90"/>
  <c r="L1573" i="90" s="1"/>
  <c r="K1574" i="90"/>
  <c r="L1574" i="90" s="1"/>
  <c r="K1575" i="90"/>
  <c r="L1575" i="90" s="1"/>
  <c r="K1576" i="90"/>
  <c r="L1576" i="90" s="1"/>
  <c r="K1577" i="90"/>
  <c r="L1577" i="90" s="1"/>
  <c r="K1578" i="90"/>
  <c r="L1578" i="90" s="1"/>
  <c r="K1579" i="90"/>
  <c r="L1579" i="90" s="1"/>
  <c r="K1580" i="90"/>
  <c r="L1580" i="90" s="1"/>
  <c r="K1581" i="90"/>
  <c r="L1581" i="90" s="1"/>
  <c r="K1582" i="90"/>
  <c r="L1582" i="90" s="1"/>
  <c r="K1583" i="90"/>
  <c r="L1583" i="90" s="1"/>
  <c r="K1584" i="90"/>
  <c r="L1584" i="90" s="1"/>
  <c r="K1585" i="90"/>
  <c r="L1585" i="90" s="1"/>
  <c r="K1586" i="90"/>
  <c r="L1586" i="90" s="1"/>
  <c r="K1587" i="90"/>
  <c r="L1587" i="90" s="1"/>
  <c r="K1588" i="90"/>
  <c r="L1588" i="90" s="1"/>
  <c r="K1589" i="90"/>
  <c r="L1589" i="90" s="1"/>
  <c r="K1590" i="90"/>
  <c r="L1590" i="90" s="1"/>
  <c r="K1591" i="90"/>
  <c r="L1591" i="90" s="1"/>
  <c r="K1592" i="90"/>
  <c r="L1592" i="90" s="1"/>
  <c r="K1593" i="90"/>
  <c r="L1593" i="90" s="1"/>
  <c r="K1594" i="90"/>
  <c r="L1594" i="90" s="1"/>
  <c r="K1595" i="90"/>
  <c r="L1595" i="90" s="1"/>
  <c r="K1596" i="90"/>
  <c r="L1596" i="90" s="1"/>
  <c r="K1597" i="90"/>
  <c r="L1597" i="90" s="1"/>
  <c r="K1598" i="90"/>
  <c r="L1598" i="90" s="1"/>
  <c r="K1599" i="90"/>
  <c r="L1599" i="90" s="1"/>
  <c r="K1600" i="90"/>
  <c r="L1600" i="90" s="1"/>
  <c r="K1601" i="90"/>
  <c r="L1601" i="90" s="1"/>
  <c r="K1602" i="90"/>
  <c r="K1603" i="90"/>
  <c r="L1603" i="90" s="1"/>
  <c r="K1604" i="90"/>
  <c r="L1604" i="90" s="1"/>
  <c r="K1605" i="90"/>
  <c r="L1605" i="90" s="1"/>
  <c r="K1606" i="90"/>
  <c r="L1606" i="90" s="1"/>
  <c r="K1607" i="90"/>
  <c r="L1607" i="90" s="1"/>
  <c r="K1608" i="90"/>
  <c r="L1608" i="90" s="1"/>
  <c r="K1609" i="90"/>
  <c r="L1609" i="90" s="1"/>
  <c r="K1610" i="90"/>
  <c r="L1610" i="90" s="1"/>
  <c r="K1611" i="90"/>
  <c r="L1611" i="90" s="1"/>
  <c r="K1612" i="90"/>
  <c r="L1612" i="90" s="1"/>
  <c r="K1613" i="90"/>
  <c r="L1613" i="90" s="1"/>
  <c r="K1614" i="90"/>
  <c r="L1614" i="90" s="1"/>
  <c r="K1615" i="90"/>
  <c r="L1615" i="90" s="1"/>
  <c r="K1616" i="90"/>
  <c r="L1616" i="90" s="1"/>
  <c r="K1617" i="90"/>
  <c r="L1617" i="90" s="1"/>
  <c r="K1618" i="90"/>
  <c r="L1618" i="90" s="1"/>
  <c r="K1619" i="90"/>
  <c r="L1619" i="90" s="1"/>
  <c r="K1620" i="90"/>
  <c r="L1620" i="90" s="1"/>
  <c r="K1621" i="90"/>
  <c r="K1622" i="90"/>
  <c r="L1622" i="90" s="1"/>
  <c r="K1623" i="90"/>
  <c r="L1623" i="90" s="1"/>
  <c r="K1624" i="90"/>
  <c r="L1624" i="90" s="1"/>
  <c r="K1625" i="90"/>
  <c r="L1625" i="90" s="1"/>
  <c r="K1626" i="90"/>
  <c r="L1626" i="90" s="1"/>
  <c r="K1627" i="90"/>
  <c r="L1627" i="90" s="1"/>
  <c r="K1628" i="90"/>
  <c r="L1628" i="90" s="1"/>
  <c r="K1629" i="90"/>
  <c r="L1629" i="90" s="1"/>
  <c r="K1630" i="90"/>
  <c r="L1630" i="90" s="1"/>
  <c r="K1631" i="90"/>
  <c r="L1631" i="90" s="1"/>
  <c r="K1632" i="90"/>
  <c r="L1632" i="90" s="1"/>
  <c r="K1633" i="90"/>
  <c r="L1633" i="90" s="1"/>
  <c r="K1634" i="90"/>
  <c r="L1634" i="90" s="1"/>
  <c r="K1635" i="90"/>
  <c r="L1635" i="90" s="1"/>
  <c r="K1636" i="90"/>
  <c r="L1636" i="90" s="1"/>
  <c r="K1637" i="90"/>
  <c r="L1637" i="90" s="1"/>
  <c r="K1638" i="90"/>
  <c r="L1638" i="90" s="1"/>
  <c r="K1639" i="90"/>
  <c r="K1640" i="90"/>
  <c r="L1640" i="90" s="1"/>
  <c r="K1641" i="90"/>
  <c r="L1641" i="90" s="1"/>
  <c r="K1642" i="90"/>
  <c r="L1642" i="90" s="1"/>
  <c r="K1643" i="90"/>
  <c r="L1643" i="90" s="1"/>
  <c r="K1644" i="90"/>
  <c r="L1644" i="90" s="1"/>
  <c r="K1645" i="90"/>
  <c r="L1645" i="90" s="1"/>
  <c r="K1646" i="90"/>
  <c r="L1646" i="90" s="1"/>
  <c r="K1647" i="90"/>
  <c r="L1647" i="90" s="1"/>
  <c r="K1648" i="90"/>
  <c r="L1648" i="90" s="1"/>
  <c r="K1649" i="90"/>
  <c r="L1649" i="90" s="1"/>
  <c r="K1650" i="90"/>
  <c r="L1650" i="90" s="1"/>
  <c r="K1651" i="90"/>
  <c r="L1651" i="90" s="1"/>
  <c r="K1652" i="90"/>
  <c r="L1652" i="90" s="1"/>
  <c r="K1653" i="90"/>
  <c r="L1653" i="90" s="1"/>
  <c r="K1654" i="90"/>
  <c r="L1654" i="90" s="1"/>
  <c r="K1655" i="90"/>
  <c r="L1655" i="90" s="1"/>
  <c r="K1656" i="90"/>
  <c r="L1656" i="90" s="1"/>
  <c r="K1657" i="90"/>
  <c r="L1657" i="90" s="1"/>
  <c r="K1658" i="90"/>
  <c r="L1658" i="90" s="1"/>
  <c r="K1659" i="90"/>
  <c r="K1660" i="90"/>
  <c r="L1660" i="90" s="1"/>
  <c r="K1661" i="90"/>
  <c r="L1661" i="90" s="1"/>
  <c r="K1415" i="90"/>
  <c r="L1415" i="90" s="1"/>
  <c r="K1416" i="90"/>
  <c r="L1416" i="90" s="1"/>
  <c r="K1417" i="90"/>
  <c r="L1417" i="90" s="1"/>
  <c r="K1418" i="90"/>
  <c r="L1418" i="90" s="1"/>
  <c r="K1419" i="90"/>
  <c r="L1419" i="90" s="1"/>
  <c r="K1420" i="90"/>
  <c r="L1420" i="90" s="1"/>
  <c r="K1421" i="90"/>
  <c r="L1421" i="90" s="1"/>
  <c r="K1422" i="90"/>
  <c r="L1422" i="90" s="1"/>
  <c r="K1423" i="90"/>
  <c r="L1423" i="90" s="1"/>
  <c r="K1424" i="90"/>
  <c r="L1424" i="90" s="1"/>
  <c r="K1425" i="90"/>
  <c r="L1425" i="90" s="1"/>
  <c r="K1426" i="90"/>
  <c r="L1426" i="90" s="1"/>
  <c r="K1427" i="90"/>
  <c r="L1427" i="90" s="1"/>
  <c r="K1428" i="90"/>
  <c r="L1428" i="90" s="1"/>
  <c r="K1429" i="90"/>
  <c r="L1429" i="90" s="1"/>
  <c r="K1430" i="90"/>
  <c r="L1430" i="90" s="1"/>
  <c r="K1431" i="90"/>
  <c r="L1431" i="90" s="1"/>
  <c r="K1432" i="90"/>
  <c r="L1432" i="90" s="1"/>
  <c r="K1433" i="90"/>
  <c r="L1433" i="90" s="1"/>
  <c r="K1434" i="90"/>
  <c r="L1434" i="90" s="1"/>
  <c r="K1435" i="90"/>
  <c r="L1435" i="90" s="1"/>
  <c r="K1436" i="90"/>
  <c r="L1436" i="90" s="1"/>
  <c r="K1437" i="90"/>
  <c r="L1437" i="90" s="1"/>
  <c r="K1438" i="90"/>
  <c r="L1438" i="90" s="1"/>
  <c r="K1439" i="90"/>
  <c r="L1439" i="90" s="1"/>
  <c r="K1440" i="90"/>
  <c r="L1440" i="90" s="1"/>
  <c r="K1441" i="90"/>
  <c r="L1441" i="90" s="1"/>
  <c r="K1442" i="90"/>
  <c r="K1443" i="90"/>
  <c r="L1443" i="90" s="1"/>
  <c r="K1444" i="90"/>
  <c r="L1444" i="90" s="1"/>
  <c r="K1445" i="90"/>
  <c r="L1445" i="90" s="1"/>
  <c r="K1446" i="90"/>
  <c r="L1446" i="90" s="1"/>
  <c r="K1447" i="90"/>
  <c r="L1447" i="90" s="1"/>
  <c r="K1448" i="90"/>
  <c r="L1448" i="90" s="1"/>
  <c r="K1449" i="90"/>
  <c r="L1449" i="90" s="1"/>
  <c r="K1450" i="90"/>
  <c r="L1450" i="90" s="1"/>
  <c r="K1451" i="90"/>
  <c r="L1451" i="90" s="1"/>
  <c r="K1452" i="90"/>
  <c r="L1452" i="90" s="1"/>
  <c r="K1453" i="90"/>
  <c r="L1453" i="90" s="1"/>
  <c r="K1454" i="90"/>
  <c r="L1454" i="90" s="1"/>
  <c r="K1455" i="90"/>
  <c r="L1455" i="90" s="1"/>
  <c r="K1456" i="90"/>
  <c r="L1456" i="90" s="1"/>
  <c r="K1457" i="90"/>
  <c r="L1457" i="90" s="1"/>
  <c r="K1458" i="90"/>
  <c r="L1458" i="90" s="1"/>
  <c r="K1459" i="90"/>
  <c r="L1459" i="90" s="1"/>
  <c r="K1460" i="90"/>
  <c r="L1460" i="90" s="1"/>
  <c r="K1461" i="90"/>
  <c r="L1461" i="90" s="1"/>
  <c r="K1462" i="90"/>
  <c r="L1462" i="90" s="1"/>
  <c r="K1463" i="90"/>
  <c r="L1463" i="90" s="1"/>
  <c r="K1464" i="90"/>
  <c r="L1464" i="90" s="1"/>
  <c r="K1465" i="90"/>
  <c r="L1465" i="90" s="1"/>
  <c r="K1466" i="90"/>
  <c r="L1466" i="90" s="1"/>
  <c r="K1467" i="90"/>
  <c r="L1467" i="90" s="1"/>
  <c r="K1468" i="90"/>
  <c r="L1468" i="90" s="1"/>
  <c r="K1469" i="90"/>
  <c r="L1469" i="90" s="1"/>
  <c r="K1470" i="90"/>
  <c r="L1470" i="90" s="1"/>
  <c r="K1471" i="90"/>
  <c r="L1471" i="90" s="1"/>
  <c r="K1472" i="90"/>
  <c r="L1472" i="90" s="1"/>
  <c r="K1473" i="90"/>
  <c r="L1473" i="90" s="1"/>
  <c r="K1474" i="90"/>
  <c r="L1474" i="90" s="1"/>
  <c r="K1475" i="90"/>
  <c r="L1475" i="90" s="1"/>
  <c r="K1476" i="90"/>
  <c r="L1476" i="90" s="1"/>
  <c r="K1477" i="90"/>
  <c r="K1478" i="90"/>
  <c r="L1478" i="90" s="1"/>
  <c r="K1479" i="90"/>
  <c r="L1479" i="90" s="1"/>
  <c r="K1480" i="90"/>
  <c r="L1480" i="90" s="1"/>
  <c r="K1481" i="90"/>
  <c r="L1481" i="90" s="1"/>
  <c r="K1482" i="90"/>
  <c r="L1482" i="90" s="1"/>
  <c r="K1483" i="90"/>
  <c r="L1483" i="90" s="1"/>
  <c r="K1484" i="90"/>
  <c r="L1484" i="90" s="1"/>
  <c r="K1485" i="90"/>
  <c r="L1485" i="90" s="1"/>
  <c r="K1486" i="90"/>
  <c r="L1486" i="90" s="1"/>
  <c r="K1487" i="90"/>
  <c r="L1487" i="90" s="1"/>
  <c r="K1488" i="90"/>
  <c r="L1488" i="90" s="1"/>
  <c r="K1489" i="90"/>
  <c r="L1489" i="90" s="1"/>
  <c r="K1490" i="90"/>
  <c r="L1490" i="90" s="1"/>
  <c r="K1491" i="90"/>
  <c r="L1491" i="90" s="1"/>
  <c r="K1492" i="90"/>
  <c r="L1492" i="90" s="1"/>
  <c r="K1493" i="90"/>
  <c r="L1493" i="90" s="1"/>
  <c r="K1494" i="90"/>
  <c r="L1494" i="90" s="1"/>
  <c r="K1495" i="90"/>
  <c r="L1495" i="90" s="1"/>
  <c r="K1496" i="90"/>
  <c r="K1497" i="90"/>
  <c r="L1497" i="90" s="1"/>
  <c r="K1498" i="90"/>
  <c r="L1498" i="90" s="1"/>
  <c r="K1499" i="90"/>
  <c r="L1499" i="90" s="1"/>
  <c r="K1500" i="90"/>
  <c r="L1500" i="90" s="1"/>
  <c r="K1501" i="90"/>
  <c r="L1501" i="90" s="1"/>
  <c r="K1502" i="90"/>
  <c r="L1502" i="90" s="1"/>
  <c r="K1503" i="90"/>
  <c r="L1503" i="90" s="1"/>
  <c r="K1504" i="90"/>
  <c r="L1504" i="90" s="1"/>
  <c r="K1505" i="90"/>
  <c r="K1506" i="90"/>
  <c r="L1506" i="90" s="1"/>
  <c r="K1507" i="90"/>
  <c r="L1507" i="90" s="1"/>
  <c r="K1508" i="90"/>
  <c r="L1508" i="90" s="1"/>
  <c r="K1509" i="90"/>
  <c r="L1509" i="90" s="1"/>
  <c r="K1510" i="90"/>
  <c r="L1510" i="90" s="1"/>
  <c r="K1511" i="90"/>
  <c r="L1511" i="90" s="1"/>
  <c r="K1512" i="90"/>
  <c r="L1512" i="90" s="1"/>
  <c r="K1513" i="90"/>
  <c r="L1513" i="90" s="1"/>
  <c r="K1514" i="90"/>
  <c r="L1514" i="90" s="1"/>
  <c r="K1515" i="90"/>
  <c r="K1516" i="90"/>
  <c r="L1516" i="90" s="1"/>
  <c r="K1517" i="90"/>
  <c r="L1517" i="90" s="1"/>
  <c r="K1518" i="90"/>
  <c r="L1518" i="90" s="1"/>
  <c r="K1519" i="90"/>
  <c r="L1519" i="90" s="1"/>
  <c r="K1520" i="90"/>
  <c r="L1520" i="90" s="1"/>
  <c r="K1521" i="90"/>
  <c r="L1521" i="90" s="1"/>
  <c r="K1522" i="90"/>
  <c r="L1522" i="90" s="1"/>
  <c r="K1523" i="90"/>
  <c r="L1523" i="90" s="1"/>
  <c r="K1524" i="90"/>
  <c r="L1524" i="90" s="1"/>
  <c r="K1525" i="90"/>
  <c r="K1526" i="90"/>
  <c r="L1526" i="90" s="1"/>
  <c r="K1527" i="90"/>
  <c r="K1528" i="90"/>
  <c r="L1528" i="90" s="1"/>
  <c r="K1529" i="90"/>
  <c r="K1530" i="90"/>
  <c r="L1530" i="90" s="1"/>
  <c r="K1531" i="90"/>
  <c r="L1531" i="90" s="1"/>
  <c r="K1532" i="90"/>
  <c r="L1532" i="90" s="1"/>
  <c r="K1533" i="90"/>
  <c r="L1533" i="90" s="1"/>
  <c r="K1534" i="90"/>
  <c r="L1534" i="90" s="1"/>
  <c r="K1535" i="90"/>
  <c r="L1535" i="90" s="1"/>
  <c r="K1536" i="90"/>
  <c r="K1537" i="90"/>
  <c r="L1537" i="90" s="1"/>
  <c r="K1538" i="90"/>
  <c r="L1538" i="90" s="1"/>
  <c r="K1539" i="90"/>
  <c r="L1539" i="90" s="1"/>
  <c r="K1294" i="90"/>
  <c r="L1294" i="90" s="1"/>
  <c r="K1295" i="90"/>
  <c r="L1295" i="90" s="1"/>
  <c r="K1296" i="90"/>
  <c r="L1296" i="90" s="1"/>
  <c r="K1297" i="90"/>
  <c r="L1297" i="90" s="1"/>
  <c r="K1298" i="90"/>
  <c r="L1298" i="90" s="1"/>
  <c r="K1299" i="90"/>
  <c r="L1299" i="90" s="1"/>
  <c r="K1300" i="90"/>
  <c r="L1300" i="90" s="1"/>
  <c r="K1301" i="90"/>
  <c r="L1301" i="90" s="1"/>
  <c r="K1302" i="90"/>
  <c r="L1302" i="90" s="1"/>
  <c r="K1303" i="90"/>
  <c r="L1303" i="90" s="1"/>
  <c r="K1304" i="90"/>
  <c r="L1304" i="90" s="1"/>
  <c r="K1305" i="90"/>
  <c r="L1305" i="90" s="1"/>
  <c r="K1306" i="90"/>
  <c r="L1306" i="90" s="1"/>
  <c r="K1307" i="90"/>
  <c r="L1307" i="90" s="1"/>
  <c r="K1308" i="90"/>
  <c r="L1308" i="90" s="1"/>
  <c r="K1309" i="90"/>
  <c r="L1309" i="90" s="1"/>
  <c r="K1310" i="90"/>
  <c r="L1310" i="90" s="1"/>
  <c r="K1311" i="90"/>
  <c r="L1311" i="90" s="1"/>
  <c r="K1312" i="90"/>
  <c r="L1312" i="90" s="1"/>
  <c r="K1313" i="90"/>
  <c r="L1313" i="90" s="1"/>
  <c r="K1314" i="90"/>
  <c r="L1314" i="90" s="1"/>
  <c r="K1315" i="90"/>
  <c r="L1315" i="90" s="1"/>
  <c r="K1316" i="90"/>
  <c r="L1316" i="90" s="1"/>
  <c r="K1317" i="90"/>
  <c r="L1317" i="90" s="1"/>
  <c r="K1318" i="90"/>
  <c r="L1318" i="90" s="1"/>
  <c r="K1319" i="90"/>
  <c r="L1319" i="90" s="1"/>
  <c r="K1320" i="90"/>
  <c r="L1320" i="90" s="1"/>
  <c r="K1321" i="90"/>
  <c r="L1321" i="90" s="1"/>
  <c r="K1322" i="90"/>
  <c r="L1322" i="90" s="1"/>
  <c r="K1323" i="90"/>
  <c r="L1323" i="90" s="1"/>
  <c r="K1324" i="90"/>
  <c r="L1324" i="90" s="1"/>
  <c r="K1325" i="90"/>
  <c r="L1325" i="90" s="1"/>
  <c r="K1326" i="90"/>
  <c r="L1326" i="90" s="1"/>
  <c r="K1327" i="90"/>
  <c r="L1327" i="90" s="1"/>
  <c r="K1328" i="90"/>
  <c r="L1328" i="90" s="1"/>
  <c r="K1329" i="90"/>
  <c r="L1329" i="90" s="1"/>
  <c r="K1330" i="90"/>
  <c r="L1330" i="90" s="1"/>
  <c r="K1331" i="90"/>
  <c r="L1331" i="90" s="1"/>
  <c r="K1332" i="90"/>
  <c r="L1332" i="90" s="1"/>
  <c r="K1333" i="90"/>
  <c r="L1333" i="90" s="1"/>
  <c r="K1334" i="90"/>
  <c r="L1334" i="90" s="1"/>
  <c r="K1335" i="90"/>
  <c r="L1335" i="90" s="1"/>
  <c r="K1336" i="90"/>
  <c r="L1336" i="90" s="1"/>
  <c r="K1337" i="90"/>
  <c r="L1337" i="90" s="1"/>
  <c r="K1338" i="90"/>
  <c r="L1338" i="90" s="1"/>
  <c r="K1339" i="90"/>
  <c r="L1339" i="90" s="1"/>
  <c r="K1340" i="90"/>
  <c r="L1340" i="90" s="1"/>
  <c r="K1341" i="90"/>
  <c r="L1341" i="90" s="1"/>
  <c r="K1342" i="90"/>
  <c r="L1342" i="90" s="1"/>
  <c r="K1343" i="90"/>
  <c r="L1343" i="90" s="1"/>
  <c r="K1344" i="90"/>
  <c r="L1344" i="90" s="1"/>
  <c r="K1345" i="90"/>
  <c r="L1345" i="90" s="1"/>
  <c r="K1346" i="90"/>
  <c r="L1346" i="90" s="1"/>
  <c r="K1347" i="90"/>
  <c r="L1347" i="90" s="1"/>
  <c r="K1348" i="90"/>
  <c r="L1348" i="90" s="1"/>
  <c r="K1349" i="90"/>
  <c r="L1349" i="90" s="1"/>
  <c r="K1350" i="90"/>
  <c r="L1350" i="90" s="1"/>
  <c r="K1351" i="90"/>
  <c r="L1351" i="90" s="1"/>
  <c r="K1352" i="90"/>
  <c r="L1352" i="90" s="1"/>
  <c r="K1353" i="90"/>
  <c r="L1353" i="90" s="1"/>
  <c r="K1354" i="90"/>
  <c r="L1354" i="90" s="1"/>
  <c r="K1355" i="90"/>
  <c r="K1356" i="90"/>
  <c r="L1356" i="90" s="1"/>
  <c r="K1357" i="90"/>
  <c r="L1357" i="90" s="1"/>
  <c r="K1358" i="90"/>
  <c r="L1358" i="90" s="1"/>
  <c r="K1359" i="90"/>
  <c r="L1359" i="90" s="1"/>
  <c r="K1360" i="90"/>
  <c r="L1360" i="90" s="1"/>
  <c r="K1361" i="90"/>
  <c r="L1361" i="90" s="1"/>
  <c r="K1362" i="90"/>
  <c r="L1362" i="90" s="1"/>
  <c r="K1363" i="90"/>
  <c r="L1363" i="90" s="1"/>
  <c r="K1364" i="90"/>
  <c r="L1364" i="90" s="1"/>
  <c r="K1365" i="90"/>
  <c r="L1365" i="90" s="1"/>
  <c r="K1366" i="90"/>
  <c r="L1366" i="90" s="1"/>
  <c r="K1367" i="90"/>
  <c r="L1367" i="90" s="1"/>
  <c r="K1368" i="90"/>
  <c r="L1368" i="90" s="1"/>
  <c r="K1369" i="90"/>
  <c r="L1369" i="90" s="1"/>
  <c r="K1370" i="90"/>
  <c r="L1370" i="90" s="1"/>
  <c r="K1371" i="90"/>
  <c r="L1371" i="90" s="1"/>
  <c r="K1372" i="90"/>
  <c r="L1372" i="90" s="1"/>
  <c r="K1373" i="90"/>
  <c r="L1373" i="90" s="1"/>
  <c r="K1374" i="90"/>
  <c r="L1374" i="90" s="1"/>
  <c r="K1375" i="90"/>
  <c r="L1375" i="90" s="1"/>
  <c r="K1376" i="90"/>
  <c r="L1376" i="90" s="1"/>
  <c r="K1377" i="90"/>
  <c r="L1377" i="90" s="1"/>
  <c r="K1378" i="90"/>
  <c r="L1378" i="90" s="1"/>
  <c r="K1379" i="90"/>
  <c r="L1379" i="90" s="1"/>
  <c r="K1380" i="90"/>
  <c r="L1380" i="90" s="1"/>
  <c r="K1381" i="90"/>
  <c r="K1382" i="90"/>
  <c r="K1383" i="90"/>
  <c r="L1383" i="90" s="1"/>
  <c r="K1384" i="90"/>
  <c r="L1384" i="90" s="1"/>
  <c r="K1385" i="90"/>
  <c r="L1385" i="90" s="1"/>
  <c r="K1386" i="90"/>
  <c r="L1386" i="90" s="1"/>
  <c r="K1387" i="90"/>
  <c r="L1387" i="90" s="1"/>
  <c r="K1388" i="90"/>
  <c r="L1388" i="90" s="1"/>
  <c r="K1389" i="90"/>
  <c r="L1389" i="90" s="1"/>
  <c r="K1390" i="90"/>
  <c r="L1390" i="90" s="1"/>
  <c r="K1391" i="90"/>
  <c r="L1391" i="90" s="1"/>
  <c r="K1392" i="90"/>
  <c r="L1392" i="90" s="1"/>
  <c r="K1393" i="90"/>
  <c r="L1393" i="90" s="1"/>
  <c r="K1394" i="90"/>
  <c r="L1394" i="90" s="1"/>
  <c r="K1395" i="90"/>
  <c r="L1395" i="90" s="1"/>
  <c r="K1396" i="90"/>
  <c r="L1396" i="90" s="1"/>
  <c r="K1397" i="90"/>
  <c r="L1397" i="90" s="1"/>
  <c r="K1398" i="90"/>
  <c r="L1398" i="90" s="1"/>
  <c r="K1399" i="90"/>
  <c r="L1399" i="90" s="1"/>
  <c r="K1400" i="90"/>
  <c r="L1400" i="90" s="1"/>
  <c r="K1401" i="90"/>
  <c r="K1402" i="90"/>
  <c r="L1402" i="90" s="1"/>
  <c r="K1403" i="90"/>
  <c r="L1403" i="90" s="1"/>
  <c r="K1404" i="90"/>
  <c r="K1405" i="90"/>
  <c r="L1405" i="90" s="1"/>
  <c r="K1406" i="90"/>
  <c r="L1406" i="90" s="1"/>
  <c r="K1407" i="90"/>
  <c r="L1407" i="90" s="1"/>
  <c r="K1408" i="90"/>
  <c r="L1408" i="90" s="1"/>
  <c r="K1409" i="90"/>
  <c r="L1409" i="90" s="1"/>
  <c r="K1410" i="90"/>
  <c r="L1410" i="90" s="1"/>
  <c r="K1411" i="90"/>
  <c r="K1412" i="90"/>
  <c r="L1412" i="90" s="1"/>
  <c r="K1413" i="90"/>
  <c r="L1413" i="90" s="1"/>
  <c r="K1177" i="90"/>
  <c r="L1177" i="90" s="1"/>
  <c r="K1178" i="90"/>
  <c r="L1178" i="90" s="1"/>
  <c r="K1179" i="90"/>
  <c r="L1179" i="90" s="1"/>
  <c r="K1180" i="90"/>
  <c r="L1180" i="90" s="1"/>
  <c r="K1181" i="90"/>
  <c r="L1181" i="90" s="1"/>
  <c r="K1182" i="90"/>
  <c r="L1182" i="90" s="1"/>
  <c r="K1183" i="90"/>
  <c r="L1183" i="90" s="1"/>
  <c r="K1184" i="90"/>
  <c r="L1184" i="90" s="1"/>
  <c r="K1185" i="90"/>
  <c r="L1185" i="90" s="1"/>
  <c r="K1186" i="90"/>
  <c r="L1186" i="90" s="1"/>
  <c r="K1187" i="90"/>
  <c r="L1187" i="90" s="1"/>
  <c r="K1188" i="90"/>
  <c r="L1188" i="90" s="1"/>
  <c r="K1189" i="90"/>
  <c r="L1189" i="90" s="1"/>
  <c r="K1190" i="90"/>
  <c r="L1190" i="90" s="1"/>
  <c r="K1191" i="90"/>
  <c r="L1191" i="90" s="1"/>
  <c r="K1192" i="90"/>
  <c r="L1192" i="90" s="1"/>
  <c r="K1193" i="90"/>
  <c r="L1193" i="90" s="1"/>
  <c r="K1194" i="90"/>
  <c r="L1194" i="90" s="1"/>
  <c r="K1195" i="90"/>
  <c r="L1195" i="90" s="1"/>
  <c r="K1196" i="90"/>
  <c r="L1196" i="90" s="1"/>
  <c r="K1197" i="90"/>
  <c r="L1197" i="90" s="1"/>
  <c r="K1198" i="90"/>
  <c r="L1198" i="90" s="1"/>
  <c r="K1199" i="90"/>
  <c r="L1199" i="90" s="1"/>
  <c r="K1200" i="90"/>
  <c r="L1200" i="90" s="1"/>
  <c r="K1201" i="90"/>
  <c r="L1201" i="90" s="1"/>
  <c r="K1202" i="90"/>
  <c r="L1202" i="90" s="1"/>
  <c r="K1203" i="90"/>
  <c r="L1203" i="90" s="1"/>
  <c r="K1204" i="90"/>
  <c r="L1204" i="90" s="1"/>
  <c r="K1205" i="90"/>
  <c r="L1205" i="90" s="1"/>
  <c r="K1206" i="90"/>
  <c r="L1206" i="90" s="1"/>
  <c r="K1207" i="90"/>
  <c r="L1207" i="90" s="1"/>
  <c r="K1208" i="90"/>
  <c r="L1208" i="90" s="1"/>
  <c r="K1209" i="90"/>
  <c r="L1209" i="90" s="1"/>
  <c r="K1210" i="90"/>
  <c r="L1210" i="90" s="1"/>
  <c r="K1211" i="90"/>
  <c r="L1211" i="90" s="1"/>
  <c r="K1212" i="90"/>
  <c r="L1212" i="90" s="1"/>
  <c r="K1213" i="90"/>
  <c r="L1213" i="90" s="1"/>
  <c r="K1214" i="90"/>
  <c r="L1214" i="90" s="1"/>
  <c r="K1215" i="90"/>
  <c r="L1215" i="90" s="1"/>
  <c r="K1216" i="90"/>
  <c r="L1216" i="90" s="1"/>
  <c r="K1217" i="90"/>
  <c r="L1217" i="90" s="1"/>
  <c r="K1218" i="90"/>
  <c r="L1218" i="90" s="1"/>
  <c r="K1219" i="90"/>
  <c r="L1219" i="90" s="1"/>
  <c r="K1220" i="90"/>
  <c r="L1220" i="90" s="1"/>
  <c r="K1221" i="90"/>
  <c r="L1221" i="90" s="1"/>
  <c r="K1222" i="90"/>
  <c r="L1222" i="90" s="1"/>
  <c r="K1223" i="90"/>
  <c r="L1223" i="90" s="1"/>
  <c r="K1224" i="90"/>
  <c r="L1224" i="90" s="1"/>
  <c r="K1225" i="90"/>
  <c r="L1225" i="90" s="1"/>
  <c r="K1226" i="90"/>
  <c r="L1226" i="90" s="1"/>
  <c r="K1227" i="90"/>
  <c r="L1227" i="90" s="1"/>
  <c r="K1228" i="90"/>
  <c r="L1228" i="90" s="1"/>
  <c r="K1229" i="90"/>
  <c r="L1229" i="90" s="1"/>
  <c r="K1230" i="90"/>
  <c r="L1230" i="90" s="1"/>
  <c r="K1231" i="90"/>
  <c r="L1231" i="90" s="1"/>
  <c r="K1232" i="90"/>
  <c r="L1232" i="90" s="1"/>
  <c r="K1233" i="90"/>
  <c r="L1233" i="90" s="1"/>
  <c r="K1234" i="90"/>
  <c r="L1234" i="90" s="1"/>
  <c r="K1235" i="90"/>
  <c r="L1235" i="90" s="1"/>
  <c r="K1236" i="90"/>
  <c r="L1236" i="90" s="1"/>
  <c r="K1237" i="90"/>
  <c r="L1237" i="90" s="1"/>
  <c r="K1238" i="90"/>
  <c r="L1238" i="90" s="1"/>
  <c r="K1239" i="90"/>
  <c r="L1239" i="90" s="1"/>
  <c r="K1240" i="90"/>
  <c r="L1240" i="90" s="1"/>
  <c r="K1241" i="90"/>
  <c r="L1241" i="90" s="1"/>
  <c r="K1242" i="90"/>
  <c r="L1242" i="90" s="1"/>
  <c r="K1243" i="90"/>
  <c r="L1243" i="90" s="1"/>
  <c r="K1244" i="90"/>
  <c r="L1244" i="90" s="1"/>
  <c r="K1245" i="90"/>
  <c r="L1245" i="90" s="1"/>
  <c r="K1246" i="90"/>
  <c r="L1246" i="90" s="1"/>
  <c r="K1247" i="90"/>
  <c r="L1247" i="90" s="1"/>
  <c r="K1248" i="90"/>
  <c r="L1248" i="90" s="1"/>
  <c r="K1249" i="90"/>
  <c r="L1249" i="90" s="1"/>
  <c r="K1250" i="90"/>
  <c r="L1250" i="90" s="1"/>
  <c r="K1251" i="90"/>
  <c r="L1251" i="90" s="1"/>
  <c r="K1252" i="90"/>
  <c r="L1252" i="90" s="1"/>
  <c r="K1253" i="90"/>
  <c r="L1253" i="90" s="1"/>
  <c r="K1254" i="90"/>
  <c r="L1254" i="90" s="1"/>
  <c r="K1255" i="90"/>
  <c r="L1255" i="90" s="1"/>
  <c r="K1256" i="90"/>
  <c r="L1256" i="90" s="1"/>
  <c r="K1257" i="90"/>
  <c r="K1258" i="90"/>
  <c r="L1258" i="90" s="1"/>
  <c r="K1259" i="90"/>
  <c r="L1259" i="90" s="1"/>
  <c r="K1260" i="90"/>
  <c r="L1260" i="90" s="1"/>
  <c r="K1261" i="90"/>
  <c r="L1261" i="90" s="1"/>
  <c r="K1262" i="90"/>
  <c r="L1262" i="90" s="1"/>
  <c r="K1263" i="90"/>
  <c r="L1263" i="90" s="1"/>
  <c r="K1264" i="90"/>
  <c r="L1264" i="90" s="1"/>
  <c r="K1265" i="90"/>
  <c r="L1265" i="90" s="1"/>
  <c r="K1266" i="90"/>
  <c r="L1266" i="90" s="1"/>
  <c r="K1267" i="90"/>
  <c r="L1267" i="90" s="1"/>
  <c r="K1268" i="90"/>
  <c r="L1268" i="90" s="1"/>
  <c r="K1269" i="90"/>
  <c r="L1269" i="90" s="1"/>
  <c r="K1270" i="90"/>
  <c r="L1270" i="90" s="1"/>
  <c r="K1271" i="90"/>
  <c r="L1271" i="90" s="1"/>
  <c r="K1272" i="90"/>
  <c r="L1272" i="90" s="1"/>
  <c r="K1273" i="90"/>
  <c r="L1273" i="90" s="1"/>
  <c r="K1274" i="90"/>
  <c r="L1274" i="90" s="1"/>
  <c r="K1275" i="90"/>
  <c r="L1275" i="90" s="1"/>
  <c r="K1276" i="90"/>
  <c r="L1276" i="90" s="1"/>
  <c r="K1277" i="90"/>
  <c r="K1278" i="90"/>
  <c r="L1278" i="90" s="1"/>
  <c r="K1279" i="90"/>
  <c r="L1279" i="90" s="1"/>
  <c r="K1280" i="90"/>
  <c r="L1280" i="90" s="1"/>
  <c r="K1281" i="90"/>
  <c r="K1282" i="90"/>
  <c r="L1282" i="90" s="1"/>
  <c r="K1283" i="90"/>
  <c r="L1283" i="90" s="1"/>
  <c r="K1284" i="90"/>
  <c r="K1285" i="90"/>
  <c r="L1285" i="90" s="1"/>
  <c r="K1286" i="90"/>
  <c r="L1286" i="90" s="1"/>
  <c r="K1287" i="90"/>
  <c r="L1287" i="90" s="1"/>
  <c r="K1288" i="90"/>
  <c r="L1288" i="90" s="1"/>
  <c r="K1289" i="90"/>
  <c r="L1289" i="90" s="1"/>
  <c r="K1290" i="90"/>
  <c r="K1291" i="90"/>
  <c r="L1291" i="90" s="1"/>
  <c r="K1292" i="90"/>
  <c r="L1292" i="90" s="1"/>
  <c r="K1293" i="90"/>
  <c r="L1293" i="90" s="1"/>
  <c r="K1054" i="90"/>
  <c r="L1054" i="90" s="1"/>
  <c r="K1055" i="90"/>
  <c r="L1055" i="90" s="1"/>
  <c r="K1056" i="90"/>
  <c r="L1056" i="90" s="1"/>
  <c r="K1057" i="90"/>
  <c r="L1057" i="90" s="1"/>
  <c r="K1058" i="90"/>
  <c r="L1058" i="90" s="1"/>
  <c r="K1059" i="90"/>
  <c r="L1059" i="90" s="1"/>
  <c r="K1060" i="90"/>
  <c r="L1060" i="90" s="1"/>
  <c r="K1061" i="90"/>
  <c r="L1061" i="90" s="1"/>
  <c r="K1062" i="90"/>
  <c r="L1062" i="90" s="1"/>
  <c r="K1063" i="90"/>
  <c r="L1063" i="90" s="1"/>
  <c r="K1064" i="90"/>
  <c r="L1064" i="90" s="1"/>
  <c r="K1065" i="90"/>
  <c r="L1065" i="90" s="1"/>
  <c r="K1066" i="90"/>
  <c r="L1066" i="90" s="1"/>
  <c r="K1067" i="90"/>
  <c r="L1067" i="90" s="1"/>
  <c r="K1068" i="90"/>
  <c r="L1068" i="90" s="1"/>
  <c r="K1069" i="90"/>
  <c r="L1069" i="90" s="1"/>
  <c r="K1070" i="90"/>
  <c r="L1070" i="90" s="1"/>
  <c r="K1071" i="90"/>
  <c r="L1071" i="90" s="1"/>
  <c r="K1072" i="90"/>
  <c r="L1072" i="90" s="1"/>
  <c r="K1073" i="90"/>
  <c r="L1073" i="90" s="1"/>
  <c r="K1074" i="90"/>
  <c r="L1074" i="90" s="1"/>
  <c r="K1075" i="90"/>
  <c r="L1075" i="90" s="1"/>
  <c r="K1076" i="90"/>
  <c r="L1076" i="90" s="1"/>
  <c r="K1077" i="90"/>
  <c r="L1077" i="90" s="1"/>
  <c r="K1078" i="90"/>
  <c r="L1078" i="90" s="1"/>
  <c r="K1079" i="90"/>
  <c r="L1079" i="90" s="1"/>
  <c r="K1080" i="90"/>
  <c r="L1080" i="90" s="1"/>
  <c r="K1081" i="90"/>
  <c r="L1081" i="90" s="1"/>
  <c r="K1082" i="90"/>
  <c r="L1082" i="90" s="1"/>
  <c r="K1083" i="90"/>
  <c r="L1083" i="90" s="1"/>
  <c r="K1084" i="90"/>
  <c r="L1084" i="90" s="1"/>
  <c r="K1085" i="90"/>
  <c r="L1085" i="90" s="1"/>
  <c r="K1086" i="90"/>
  <c r="L1086" i="90" s="1"/>
  <c r="K1087" i="90"/>
  <c r="L1087" i="90" s="1"/>
  <c r="K1088" i="90"/>
  <c r="L1088" i="90" s="1"/>
  <c r="K1089" i="90"/>
  <c r="L1089" i="90" s="1"/>
  <c r="K1090" i="90"/>
  <c r="L1090" i="90" s="1"/>
  <c r="K1091" i="90"/>
  <c r="L1091" i="90" s="1"/>
  <c r="K1092" i="90"/>
  <c r="L1092" i="90" s="1"/>
  <c r="K1093" i="90"/>
  <c r="L1093" i="90" s="1"/>
  <c r="K1094" i="90"/>
  <c r="L1094" i="90" s="1"/>
  <c r="K1095" i="90"/>
  <c r="L1095" i="90" s="1"/>
  <c r="K1096" i="90"/>
  <c r="L1096" i="90" s="1"/>
  <c r="K1097" i="90"/>
  <c r="L1097" i="90" s="1"/>
  <c r="K1098" i="90"/>
  <c r="K1099" i="90"/>
  <c r="L1099" i="90" s="1"/>
  <c r="K1100" i="90"/>
  <c r="L1100" i="90" s="1"/>
  <c r="K1101" i="90"/>
  <c r="L1101" i="90" s="1"/>
  <c r="K1102" i="90"/>
  <c r="L1102" i="90" s="1"/>
  <c r="K1103" i="90"/>
  <c r="L1103" i="90" s="1"/>
  <c r="K1104" i="90"/>
  <c r="L1104" i="90" s="1"/>
  <c r="K1105" i="90"/>
  <c r="L1105" i="90" s="1"/>
  <c r="K1106" i="90"/>
  <c r="L1106" i="90" s="1"/>
  <c r="K1107" i="90"/>
  <c r="L1107" i="90" s="1"/>
  <c r="K1108" i="90"/>
  <c r="L1108" i="90" s="1"/>
  <c r="K1109" i="90"/>
  <c r="L1109" i="90" s="1"/>
  <c r="K1110" i="90"/>
  <c r="L1110" i="90" s="1"/>
  <c r="K1111" i="90"/>
  <c r="L1111" i="90" s="1"/>
  <c r="K1112" i="90"/>
  <c r="L1112" i="90" s="1"/>
  <c r="K1113" i="90"/>
  <c r="L1113" i="90" s="1"/>
  <c r="K1114" i="90"/>
  <c r="L1114" i="90" s="1"/>
  <c r="K1115" i="90"/>
  <c r="L1115" i="90" s="1"/>
  <c r="K1116" i="90"/>
  <c r="L1116" i="90" s="1"/>
  <c r="K1117" i="90"/>
  <c r="L1117" i="90" s="1"/>
  <c r="K1118" i="90"/>
  <c r="L1118" i="90" s="1"/>
  <c r="K1119" i="90"/>
  <c r="L1119" i="90" s="1"/>
  <c r="K1120" i="90"/>
  <c r="L1120" i="90" s="1"/>
  <c r="K1121" i="90"/>
  <c r="L1121" i="90" s="1"/>
  <c r="K1122" i="90"/>
  <c r="L1122" i="90" s="1"/>
  <c r="K1123" i="90"/>
  <c r="L1123" i="90" s="1"/>
  <c r="K1124" i="90"/>
  <c r="L1124" i="90" s="1"/>
  <c r="K1125" i="90"/>
  <c r="L1125" i="90" s="1"/>
  <c r="K1126" i="90"/>
  <c r="L1126" i="90" s="1"/>
  <c r="K1127" i="90"/>
  <c r="L1127" i="90" s="1"/>
  <c r="K1128" i="90"/>
  <c r="L1128" i="90" s="1"/>
  <c r="K1129" i="90"/>
  <c r="L1129" i="90" s="1"/>
  <c r="K1130" i="90"/>
  <c r="L1130" i="90" s="1"/>
  <c r="K1131" i="90"/>
  <c r="L1131" i="90" s="1"/>
  <c r="K1132" i="90"/>
  <c r="L1132" i="90" s="1"/>
  <c r="K1133" i="90"/>
  <c r="L1133" i="90" s="1"/>
  <c r="K1134" i="90"/>
  <c r="L1134" i="90" s="1"/>
  <c r="K1135" i="90"/>
  <c r="L1135" i="90" s="1"/>
  <c r="K1136" i="90"/>
  <c r="L1136" i="90" s="1"/>
  <c r="K1137" i="90"/>
  <c r="L1137" i="90" s="1"/>
  <c r="K1138" i="90"/>
  <c r="L1138" i="90" s="1"/>
  <c r="K1139" i="90"/>
  <c r="K1140" i="90"/>
  <c r="L1140" i="90" s="1"/>
  <c r="K1141" i="90"/>
  <c r="L1141" i="90" s="1"/>
  <c r="K1142" i="90"/>
  <c r="L1142" i="90" s="1"/>
  <c r="K1143" i="90"/>
  <c r="L1143" i="90" s="1"/>
  <c r="K1144" i="90"/>
  <c r="L1144" i="90" s="1"/>
  <c r="K1145" i="90"/>
  <c r="L1145" i="90" s="1"/>
  <c r="K1146" i="90"/>
  <c r="L1146" i="90" s="1"/>
  <c r="K1147" i="90"/>
  <c r="L1147" i="90" s="1"/>
  <c r="K1148" i="90"/>
  <c r="L1148" i="90" s="1"/>
  <c r="K1149" i="90"/>
  <c r="L1149" i="90" s="1"/>
  <c r="K1150" i="90"/>
  <c r="L1150" i="90" s="1"/>
  <c r="K1151" i="90"/>
  <c r="L1151" i="90" s="1"/>
  <c r="K1152" i="90"/>
  <c r="L1152" i="90" s="1"/>
  <c r="K1153" i="90"/>
  <c r="L1153" i="90" s="1"/>
  <c r="K1154" i="90"/>
  <c r="L1154" i="90" s="1"/>
  <c r="K1155" i="90"/>
  <c r="L1155" i="90" s="1"/>
  <c r="K1156" i="90"/>
  <c r="L1156" i="90" s="1"/>
  <c r="K1157" i="90"/>
  <c r="L1157" i="90" s="1"/>
  <c r="K1158" i="90"/>
  <c r="L1158" i="90" s="1"/>
  <c r="K1159" i="90"/>
  <c r="K1160" i="90"/>
  <c r="L1160" i="90" s="1"/>
  <c r="K1161" i="90"/>
  <c r="L1161" i="90" s="1"/>
  <c r="K1162" i="90"/>
  <c r="K1163" i="90"/>
  <c r="L1163" i="90" s="1"/>
  <c r="K1164" i="90"/>
  <c r="L1164" i="90" s="1"/>
  <c r="K1165" i="90"/>
  <c r="K1166" i="90"/>
  <c r="L1166" i="90" s="1"/>
  <c r="K1167" i="90"/>
  <c r="L1167" i="90" s="1"/>
  <c r="K1168" i="90"/>
  <c r="K1169" i="90"/>
  <c r="L1169" i="90" s="1"/>
  <c r="K1170" i="90"/>
  <c r="L1170" i="90" s="1"/>
  <c r="K1171" i="90"/>
  <c r="K1172" i="90"/>
  <c r="L1172" i="90" s="1"/>
  <c r="K1173" i="90"/>
  <c r="L1173" i="90" s="1"/>
  <c r="K1174" i="90"/>
  <c r="L1174" i="90" s="1"/>
  <c r="K1175" i="90"/>
  <c r="K1176" i="90"/>
  <c r="K937" i="90"/>
  <c r="L937" i="90" s="1"/>
  <c r="K938" i="90"/>
  <c r="L938" i="90" s="1"/>
  <c r="K939" i="90"/>
  <c r="L939" i="90" s="1"/>
  <c r="K940" i="90"/>
  <c r="L940" i="90" s="1"/>
  <c r="K941" i="90"/>
  <c r="L941" i="90" s="1"/>
  <c r="K942" i="90"/>
  <c r="L942" i="90" s="1"/>
  <c r="K943" i="90"/>
  <c r="L943" i="90" s="1"/>
  <c r="K944" i="90"/>
  <c r="L944" i="90" s="1"/>
  <c r="K945" i="90"/>
  <c r="L945" i="90" s="1"/>
  <c r="K946" i="90"/>
  <c r="L946" i="90" s="1"/>
  <c r="K947" i="90"/>
  <c r="L947" i="90" s="1"/>
  <c r="K948" i="90"/>
  <c r="L948" i="90" s="1"/>
  <c r="K949" i="90"/>
  <c r="L949" i="90" s="1"/>
  <c r="K950" i="90"/>
  <c r="L950" i="90" s="1"/>
  <c r="K951" i="90"/>
  <c r="L951" i="90" s="1"/>
  <c r="K952" i="90"/>
  <c r="L952" i="90" s="1"/>
  <c r="K953" i="90"/>
  <c r="L953" i="90" s="1"/>
  <c r="K954" i="90"/>
  <c r="L954" i="90" s="1"/>
  <c r="K955" i="90"/>
  <c r="L955" i="90" s="1"/>
  <c r="K956" i="90"/>
  <c r="L956" i="90" s="1"/>
  <c r="K957" i="90"/>
  <c r="L957" i="90" s="1"/>
  <c r="K958" i="90"/>
  <c r="L958" i="90" s="1"/>
  <c r="K959" i="90"/>
  <c r="L959" i="90" s="1"/>
  <c r="K960" i="90"/>
  <c r="L960" i="90" s="1"/>
  <c r="K961" i="90"/>
  <c r="L961" i="90" s="1"/>
  <c r="K962" i="90"/>
  <c r="L962" i="90" s="1"/>
  <c r="K963" i="90"/>
  <c r="L963" i="90" s="1"/>
  <c r="K964" i="90"/>
  <c r="L964" i="90" s="1"/>
  <c r="K965" i="90"/>
  <c r="L965" i="90" s="1"/>
  <c r="K966" i="90"/>
  <c r="L966" i="90" s="1"/>
  <c r="K967" i="90"/>
  <c r="L967" i="90" s="1"/>
  <c r="K968" i="90"/>
  <c r="L968" i="90" s="1"/>
  <c r="K969" i="90"/>
  <c r="L969" i="90" s="1"/>
  <c r="K970" i="90"/>
  <c r="L970" i="90" s="1"/>
  <c r="K971" i="90"/>
  <c r="L971" i="90" s="1"/>
  <c r="K972" i="90"/>
  <c r="L972" i="90" s="1"/>
  <c r="K973" i="90"/>
  <c r="L973" i="90" s="1"/>
  <c r="K974" i="90"/>
  <c r="L974" i="90" s="1"/>
  <c r="K975" i="90"/>
  <c r="L975" i="90" s="1"/>
  <c r="K976" i="90"/>
  <c r="L976" i="90" s="1"/>
  <c r="K977" i="90"/>
  <c r="L977" i="90" s="1"/>
  <c r="K978" i="90"/>
  <c r="L978" i="90" s="1"/>
  <c r="K979" i="90"/>
  <c r="K980" i="90"/>
  <c r="L980" i="90" s="1"/>
  <c r="K981" i="90"/>
  <c r="L981" i="90" s="1"/>
  <c r="K982" i="90"/>
  <c r="L982" i="90" s="1"/>
  <c r="K983" i="90"/>
  <c r="L983" i="90" s="1"/>
  <c r="K984" i="90"/>
  <c r="L984" i="90" s="1"/>
  <c r="K985" i="90"/>
  <c r="L985" i="90" s="1"/>
  <c r="K986" i="90"/>
  <c r="L986" i="90" s="1"/>
  <c r="K987" i="90"/>
  <c r="L987" i="90" s="1"/>
  <c r="K988" i="90"/>
  <c r="L988" i="90" s="1"/>
  <c r="K989" i="90"/>
  <c r="L989" i="90" s="1"/>
  <c r="K990" i="90"/>
  <c r="L990" i="90" s="1"/>
  <c r="K991" i="90"/>
  <c r="L991" i="90" s="1"/>
  <c r="K992" i="90"/>
  <c r="L992" i="90" s="1"/>
  <c r="K993" i="90"/>
  <c r="L993" i="90" s="1"/>
  <c r="K994" i="90"/>
  <c r="L994" i="90" s="1"/>
  <c r="K995" i="90"/>
  <c r="L995" i="90" s="1"/>
  <c r="K996" i="90"/>
  <c r="L996" i="90" s="1"/>
  <c r="K997" i="90"/>
  <c r="L997" i="90" s="1"/>
  <c r="K998" i="90"/>
  <c r="L998" i="90" s="1"/>
  <c r="K999" i="90"/>
  <c r="L999" i="90" s="1"/>
  <c r="K1000" i="90"/>
  <c r="L1000" i="90" s="1"/>
  <c r="K1001" i="90"/>
  <c r="L1001" i="90" s="1"/>
  <c r="K1002" i="90"/>
  <c r="L1002" i="90" s="1"/>
  <c r="K1003" i="90"/>
  <c r="L1003" i="90" s="1"/>
  <c r="K1004" i="90"/>
  <c r="L1004" i="90" s="1"/>
  <c r="K1005" i="90"/>
  <c r="L1005" i="90" s="1"/>
  <c r="K1006" i="90"/>
  <c r="L1006" i="90" s="1"/>
  <c r="K1007" i="90"/>
  <c r="L1007" i="90" s="1"/>
  <c r="K1008" i="90"/>
  <c r="L1008" i="90" s="1"/>
  <c r="K1009" i="90"/>
  <c r="L1009" i="90" s="1"/>
  <c r="K1010" i="90"/>
  <c r="L1010" i="90" s="1"/>
  <c r="K1011" i="90"/>
  <c r="L1011" i="90" s="1"/>
  <c r="K1012" i="90"/>
  <c r="L1012" i="90" s="1"/>
  <c r="K1013" i="90"/>
  <c r="L1013" i="90" s="1"/>
  <c r="K1014" i="90"/>
  <c r="L1014" i="90" s="1"/>
  <c r="K1015" i="90"/>
  <c r="L1015" i="90" s="1"/>
  <c r="K1016" i="90"/>
  <c r="L1016" i="90" s="1"/>
  <c r="K1017" i="90"/>
  <c r="L1017" i="90" s="1"/>
  <c r="K1018" i="90"/>
  <c r="K1019" i="90"/>
  <c r="L1019" i="90" s="1"/>
  <c r="K1020" i="90"/>
  <c r="L1020" i="90" s="1"/>
  <c r="K1021" i="90"/>
  <c r="L1021" i="90" s="1"/>
  <c r="K1022" i="90"/>
  <c r="L1022" i="90" s="1"/>
  <c r="K1023" i="90"/>
  <c r="L1023" i="90" s="1"/>
  <c r="K1024" i="90"/>
  <c r="L1024" i="90" s="1"/>
  <c r="K1025" i="90"/>
  <c r="L1025" i="90" s="1"/>
  <c r="K1026" i="90"/>
  <c r="L1026" i="90" s="1"/>
  <c r="K1027" i="90"/>
  <c r="L1027" i="90" s="1"/>
  <c r="K1028" i="90"/>
  <c r="L1028" i="90" s="1"/>
  <c r="K1029" i="90"/>
  <c r="L1029" i="90" s="1"/>
  <c r="K1030" i="90"/>
  <c r="L1030" i="90" s="1"/>
  <c r="K1031" i="90"/>
  <c r="L1031" i="90" s="1"/>
  <c r="K1032" i="90"/>
  <c r="L1032" i="90" s="1"/>
  <c r="K1033" i="90"/>
  <c r="L1033" i="90" s="1"/>
  <c r="K1034" i="90"/>
  <c r="L1034" i="90" s="1"/>
  <c r="K1035" i="90"/>
  <c r="L1035" i="90" s="1"/>
  <c r="K1036" i="90"/>
  <c r="L1036" i="90" s="1"/>
  <c r="K1037" i="90"/>
  <c r="K1038" i="90"/>
  <c r="L1038" i="90" s="1"/>
  <c r="K1039" i="90"/>
  <c r="L1039" i="90" s="1"/>
  <c r="K1040" i="90"/>
  <c r="L1040" i="90" s="1"/>
  <c r="K1041" i="90"/>
  <c r="K1042" i="90"/>
  <c r="L1042" i="90" s="1"/>
  <c r="K1043" i="90"/>
  <c r="L1043" i="90" s="1"/>
  <c r="K1044" i="90"/>
  <c r="K1045" i="90"/>
  <c r="L1045" i="90" s="1"/>
  <c r="K1046" i="90"/>
  <c r="L1046" i="90" s="1"/>
  <c r="K1047" i="90"/>
  <c r="L1047" i="90" s="1"/>
  <c r="K1048" i="90"/>
  <c r="L1048" i="90" s="1"/>
  <c r="K1049" i="90"/>
  <c r="K1050" i="90"/>
  <c r="L1050" i="90" s="1"/>
  <c r="K1051" i="90"/>
  <c r="L1051" i="90" s="1"/>
  <c r="K1052" i="90"/>
  <c r="L1052" i="90" s="1"/>
  <c r="K1053" i="90"/>
  <c r="K818" i="90"/>
  <c r="L818" i="90" s="1"/>
  <c r="K819" i="90"/>
  <c r="L819" i="90" s="1"/>
  <c r="K820" i="90"/>
  <c r="L820" i="90" s="1"/>
  <c r="K821" i="90"/>
  <c r="L821" i="90" s="1"/>
  <c r="K822" i="90"/>
  <c r="L822" i="90" s="1"/>
  <c r="K823" i="90"/>
  <c r="L823" i="90" s="1"/>
  <c r="K824" i="90"/>
  <c r="L824" i="90" s="1"/>
  <c r="K825" i="90"/>
  <c r="L825" i="90" s="1"/>
  <c r="K826" i="90"/>
  <c r="L826" i="90" s="1"/>
  <c r="K827" i="90"/>
  <c r="L827" i="90" s="1"/>
  <c r="K828" i="90"/>
  <c r="L828" i="90" s="1"/>
  <c r="K829" i="90"/>
  <c r="L829" i="90" s="1"/>
  <c r="K830" i="90"/>
  <c r="L830" i="90" s="1"/>
  <c r="K831" i="90"/>
  <c r="L831" i="90" s="1"/>
  <c r="K832" i="90"/>
  <c r="L832" i="90" s="1"/>
  <c r="K833" i="90"/>
  <c r="L833" i="90" s="1"/>
  <c r="K834" i="90"/>
  <c r="L834" i="90" s="1"/>
  <c r="K835" i="90"/>
  <c r="L835" i="90" s="1"/>
  <c r="K836" i="90"/>
  <c r="L836" i="90" s="1"/>
  <c r="K837" i="90"/>
  <c r="L837" i="90" s="1"/>
  <c r="K838" i="90"/>
  <c r="L838" i="90" s="1"/>
  <c r="K839" i="90"/>
  <c r="L839" i="90" s="1"/>
  <c r="K840" i="90"/>
  <c r="L840" i="90" s="1"/>
  <c r="K841" i="90"/>
  <c r="L841" i="90" s="1"/>
  <c r="K842" i="90"/>
  <c r="L842" i="90" s="1"/>
  <c r="K843" i="90"/>
  <c r="L843" i="90" s="1"/>
  <c r="K844" i="90"/>
  <c r="L844" i="90" s="1"/>
  <c r="K845" i="90"/>
  <c r="L845" i="90" s="1"/>
  <c r="K846" i="90"/>
  <c r="L846" i="90" s="1"/>
  <c r="K847" i="90"/>
  <c r="L847" i="90" s="1"/>
  <c r="K848" i="90"/>
  <c r="L848" i="90" s="1"/>
  <c r="K849" i="90"/>
  <c r="L849" i="90" s="1"/>
  <c r="K850" i="90"/>
  <c r="L850" i="90" s="1"/>
  <c r="K851" i="90"/>
  <c r="L851" i="90" s="1"/>
  <c r="K852" i="90"/>
  <c r="L852" i="90" s="1"/>
  <c r="K853" i="90"/>
  <c r="L853" i="90" s="1"/>
  <c r="K854" i="90"/>
  <c r="L854" i="90" s="1"/>
  <c r="K855" i="90"/>
  <c r="L855" i="90" s="1"/>
  <c r="K856" i="90"/>
  <c r="L856" i="90" s="1"/>
  <c r="K857" i="90"/>
  <c r="L857" i="90" s="1"/>
  <c r="K858" i="90"/>
  <c r="L858" i="90" s="1"/>
  <c r="K859" i="90"/>
  <c r="L859" i="90" s="1"/>
  <c r="K860" i="90"/>
  <c r="K861" i="90"/>
  <c r="L861" i="90" s="1"/>
  <c r="K862" i="90"/>
  <c r="L862" i="90" s="1"/>
  <c r="K863" i="90"/>
  <c r="L863" i="90" s="1"/>
  <c r="K864" i="90"/>
  <c r="L864" i="90" s="1"/>
  <c r="K865" i="90"/>
  <c r="L865" i="90" s="1"/>
  <c r="K866" i="90"/>
  <c r="L866" i="90" s="1"/>
  <c r="K867" i="90"/>
  <c r="L867" i="90" s="1"/>
  <c r="K868" i="90"/>
  <c r="L868" i="90" s="1"/>
  <c r="K869" i="90"/>
  <c r="L869" i="90" s="1"/>
  <c r="K870" i="90"/>
  <c r="L870" i="90" s="1"/>
  <c r="K871" i="90"/>
  <c r="L871" i="90" s="1"/>
  <c r="K872" i="90"/>
  <c r="L872" i="90" s="1"/>
  <c r="K873" i="90"/>
  <c r="L873" i="90" s="1"/>
  <c r="K874" i="90"/>
  <c r="L874" i="90" s="1"/>
  <c r="K875" i="90"/>
  <c r="L875" i="90" s="1"/>
  <c r="K876" i="90"/>
  <c r="L876" i="90" s="1"/>
  <c r="K877" i="90"/>
  <c r="L877" i="90" s="1"/>
  <c r="K878" i="90"/>
  <c r="L878" i="90" s="1"/>
  <c r="K879" i="90"/>
  <c r="L879" i="90" s="1"/>
  <c r="K880" i="90"/>
  <c r="L880" i="90" s="1"/>
  <c r="K881" i="90"/>
  <c r="L881" i="90" s="1"/>
  <c r="K882" i="90"/>
  <c r="L882" i="90" s="1"/>
  <c r="K883" i="90"/>
  <c r="L883" i="90" s="1"/>
  <c r="K884" i="90"/>
  <c r="L884" i="90" s="1"/>
  <c r="K885" i="90"/>
  <c r="L885" i="90" s="1"/>
  <c r="K886" i="90"/>
  <c r="L886" i="90" s="1"/>
  <c r="K887" i="90"/>
  <c r="L887" i="90" s="1"/>
  <c r="K888" i="90"/>
  <c r="L888" i="90" s="1"/>
  <c r="K889" i="90"/>
  <c r="L889" i="90" s="1"/>
  <c r="K890" i="90"/>
  <c r="L890" i="90" s="1"/>
  <c r="K891" i="90"/>
  <c r="L891" i="90" s="1"/>
  <c r="K892" i="90"/>
  <c r="L892" i="90" s="1"/>
  <c r="K893" i="90"/>
  <c r="L893" i="90" s="1"/>
  <c r="K894" i="90"/>
  <c r="L894" i="90" s="1"/>
  <c r="K895" i="90"/>
  <c r="L895" i="90" s="1"/>
  <c r="K896" i="90"/>
  <c r="L896" i="90" s="1"/>
  <c r="K897" i="90"/>
  <c r="L897" i="90" s="1"/>
  <c r="K898" i="90"/>
  <c r="L898" i="90" s="1"/>
  <c r="K899" i="90"/>
  <c r="L899" i="90" s="1"/>
  <c r="K900" i="90"/>
  <c r="K901" i="90"/>
  <c r="L901" i="90" s="1"/>
  <c r="K902" i="90"/>
  <c r="L902" i="90" s="1"/>
  <c r="K903" i="90"/>
  <c r="L903" i="90" s="1"/>
  <c r="K904" i="90"/>
  <c r="L904" i="90" s="1"/>
  <c r="K905" i="90"/>
  <c r="L905" i="90" s="1"/>
  <c r="K906" i="90"/>
  <c r="L906" i="90" s="1"/>
  <c r="K907" i="90"/>
  <c r="L907" i="90" s="1"/>
  <c r="K908" i="90"/>
  <c r="L908" i="90" s="1"/>
  <c r="K909" i="90"/>
  <c r="L909" i="90" s="1"/>
  <c r="K910" i="90"/>
  <c r="L910" i="90" s="1"/>
  <c r="K911" i="90"/>
  <c r="L911" i="90" s="1"/>
  <c r="K912" i="90"/>
  <c r="L912" i="90" s="1"/>
  <c r="K913" i="90"/>
  <c r="L913" i="90" s="1"/>
  <c r="K914" i="90"/>
  <c r="L914" i="90" s="1"/>
  <c r="K915" i="90"/>
  <c r="L915" i="90" s="1"/>
  <c r="K916" i="90"/>
  <c r="L916" i="90" s="1"/>
  <c r="K917" i="90"/>
  <c r="L917" i="90" s="1"/>
  <c r="K918" i="90"/>
  <c r="L918" i="90" s="1"/>
  <c r="K919" i="90"/>
  <c r="K920" i="90"/>
  <c r="L920" i="90" s="1"/>
  <c r="K921" i="90"/>
  <c r="L921" i="90" s="1"/>
  <c r="K922" i="90"/>
  <c r="K923" i="90"/>
  <c r="L923" i="90" s="1"/>
  <c r="K924" i="90"/>
  <c r="L924" i="90" s="1"/>
  <c r="K925" i="90"/>
  <c r="K926" i="90"/>
  <c r="L926" i="90" s="1"/>
  <c r="K927" i="90"/>
  <c r="L927" i="90" s="1"/>
  <c r="K928" i="90"/>
  <c r="L928" i="90" s="1"/>
  <c r="K929" i="90"/>
  <c r="K930" i="90"/>
  <c r="L930" i="90" s="1"/>
  <c r="K931" i="90"/>
  <c r="K932" i="90"/>
  <c r="L932" i="90" s="1"/>
  <c r="K933" i="90"/>
  <c r="L933" i="90" s="1"/>
  <c r="K934" i="90"/>
  <c r="L934" i="90" s="1"/>
  <c r="K935" i="90"/>
  <c r="K936" i="90"/>
  <c r="K691" i="90"/>
  <c r="L691" i="90" s="1"/>
  <c r="K692" i="90"/>
  <c r="L692" i="90" s="1"/>
  <c r="K693" i="90"/>
  <c r="L693" i="90" s="1"/>
  <c r="K694" i="90"/>
  <c r="L694" i="90" s="1"/>
  <c r="K695" i="90"/>
  <c r="L695" i="90" s="1"/>
  <c r="K696" i="90"/>
  <c r="L696" i="90" s="1"/>
  <c r="K697" i="90"/>
  <c r="L697" i="90" s="1"/>
  <c r="K698" i="90"/>
  <c r="L698" i="90" s="1"/>
  <c r="K699" i="90"/>
  <c r="L699" i="90" s="1"/>
  <c r="K700" i="90"/>
  <c r="L700" i="90" s="1"/>
  <c r="K701" i="90"/>
  <c r="L701" i="90" s="1"/>
  <c r="K702" i="90"/>
  <c r="L702" i="90" s="1"/>
  <c r="K703" i="90"/>
  <c r="L703" i="90" s="1"/>
  <c r="K704" i="90"/>
  <c r="L704" i="90" s="1"/>
  <c r="K705" i="90"/>
  <c r="L705" i="90" s="1"/>
  <c r="K706" i="90"/>
  <c r="L706" i="90" s="1"/>
  <c r="K707" i="90"/>
  <c r="L707" i="90" s="1"/>
  <c r="K708" i="90"/>
  <c r="L708" i="90" s="1"/>
  <c r="K709" i="90"/>
  <c r="L709" i="90" s="1"/>
  <c r="K710" i="90"/>
  <c r="L710" i="90" s="1"/>
  <c r="K711" i="90"/>
  <c r="L711" i="90" s="1"/>
  <c r="K712" i="90"/>
  <c r="L712" i="90" s="1"/>
  <c r="K713" i="90"/>
  <c r="L713" i="90" s="1"/>
  <c r="K714" i="90"/>
  <c r="L714" i="90" s="1"/>
  <c r="K715" i="90"/>
  <c r="L715" i="90" s="1"/>
  <c r="K716" i="90"/>
  <c r="L716" i="90" s="1"/>
  <c r="K717" i="90"/>
  <c r="L717" i="90" s="1"/>
  <c r="K718" i="90"/>
  <c r="L718" i="90" s="1"/>
  <c r="K719" i="90"/>
  <c r="L719" i="90" s="1"/>
  <c r="K720" i="90"/>
  <c r="L720" i="90" s="1"/>
  <c r="K721" i="90"/>
  <c r="L721" i="90" s="1"/>
  <c r="K722" i="90"/>
  <c r="L722" i="90" s="1"/>
  <c r="K723" i="90"/>
  <c r="L723" i="90" s="1"/>
  <c r="K724" i="90"/>
  <c r="L724" i="90" s="1"/>
  <c r="K725" i="90"/>
  <c r="L725" i="90" s="1"/>
  <c r="K726" i="90"/>
  <c r="L726" i="90" s="1"/>
  <c r="K727" i="90"/>
  <c r="L727" i="90" s="1"/>
  <c r="K728" i="90"/>
  <c r="L728" i="90" s="1"/>
  <c r="K729" i="90"/>
  <c r="L729" i="90" s="1"/>
  <c r="K730" i="90"/>
  <c r="L730" i="90" s="1"/>
  <c r="K731" i="90"/>
  <c r="L731" i="90" s="1"/>
  <c r="K732" i="90"/>
  <c r="L732" i="90" s="1"/>
  <c r="K733" i="90"/>
  <c r="L733" i="90" s="1"/>
  <c r="K734" i="90"/>
  <c r="L734" i="90" s="1"/>
  <c r="K735" i="90"/>
  <c r="K736" i="90"/>
  <c r="L736" i="90" s="1"/>
  <c r="K737" i="90"/>
  <c r="L737" i="90" s="1"/>
  <c r="K738" i="90"/>
  <c r="L738" i="90" s="1"/>
  <c r="K739" i="90"/>
  <c r="L739" i="90" s="1"/>
  <c r="K740" i="90"/>
  <c r="L740" i="90" s="1"/>
  <c r="K741" i="90"/>
  <c r="L741" i="90" s="1"/>
  <c r="K742" i="90"/>
  <c r="L742" i="90" s="1"/>
  <c r="K743" i="90"/>
  <c r="L743" i="90" s="1"/>
  <c r="K744" i="90"/>
  <c r="L744" i="90" s="1"/>
  <c r="K745" i="90"/>
  <c r="L745" i="90" s="1"/>
  <c r="K746" i="90"/>
  <c r="L746" i="90" s="1"/>
  <c r="K747" i="90"/>
  <c r="L747" i="90" s="1"/>
  <c r="K748" i="90"/>
  <c r="L748" i="90" s="1"/>
  <c r="K749" i="90"/>
  <c r="L749" i="90" s="1"/>
  <c r="K750" i="90"/>
  <c r="L750" i="90" s="1"/>
  <c r="K751" i="90"/>
  <c r="L751" i="90" s="1"/>
  <c r="K752" i="90"/>
  <c r="K753" i="90"/>
  <c r="K754" i="90"/>
  <c r="K755" i="90"/>
  <c r="L755" i="90" s="1"/>
  <c r="K756" i="90"/>
  <c r="L756" i="90" s="1"/>
  <c r="K757" i="90"/>
  <c r="L757" i="90" s="1"/>
  <c r="K758" i="90"/>
  <c r="L758" i="90" s="1"/>
  <c r="K759" i="90"/>
  <c r="L759" i="90" s="1"/>
  <c r="K760" i="90"/>
  <c r="L760" i="90" s="1"/>
  <c r="K761" i="90"/>
  <c r="L761" i="90" s="1"/>
  <c r="K762" i="90"/>
  <c r="L762" i="90" s="1"/>
  <c r="K763" i="90"/>
  <c r="L763" i="90" s="1"/>
  <c r="K764" i="90"/>
  <c r="L764" i="90" s="1"/>
  <c r="K765" i="90"/>
  <c r="L765" i="90" s="1"/>
  <c r="K766" i="90"/>
  <c r="K767" i="90"/>
  <c r="L767" i="90" s="1"/>
  <c r="K768" i="90"/>
  <c r="K769" i="90"/>
  <c r="L769" i="90" s="1"/>
  <c r="K770" i="90"/>
  <c r="L770" i="90" s="1"/>
  <c r="K771" i="90"/>
  <c r="L771" i="90" s="1"/>
  <c r="K772" i="90"/>
  <c r="L772" i="90" s="1"/>
  <c r="K773" i="90"/>
  <c r="L773" i="90" s="1"/>
  <c r="K774" i="90"/>
  <c r="L774" i="90" s="1"/>
  <c r="K775" i="90"/>
  <c r="L775" i="90" s="1"/>
  <c r="K776" i="90"/>
  <c r="L776" i="90" s="1"/>
  <c r="K777" i="90"/>
  <c r="L777" i="90" s="1"/>
  <c r="K778" i="90"/>
  <c r="L778" i="90" s="1"/>
  <c r="K779" i="90"/>
  <c r="L779" i="90" s="1"/>
  <c r="K780" i="90"/>
  <c r="K781" i="90"/>
  <c r="L781" i="90" s="1"/>
  <c r="K782" i="90"/>
  <c r="K783" i="90"/>
  <c r="L783" i="90" s="1"/>
  <c r="K784" i="90"/>
  <c r="L784" i="90" s="1"/>
  <c r="K785" i="90"/>
  <c r="L785" i="90" s="1"/>
  <c r="K786" i="90"/>
  <c r="L786" i="90" s="1"/>
  <c r="K787" i="90"/>
  <c r="L787" i="90" s="1"/>
  <c r="K788" i="90"/>
  <c r="L788" i="90" s="1"/>
  <c r="K789" i="90"/>
  <c r="L789" i="90" s="1"/>
  <c r="K790" i="90"/>
  <c r="L790" i="90" s="1"/>
  <c r="K791" i="90"/>
  <c r="L791" i="90" s="1"/>
  <c r="K792" i="90"/>
  <c r="L792" i="90" s="1"/>
  <c r="K793" i="90"/>
  <c r="L793" i="90" s="1"/>
  <c r="K794" i="90"/>
  <c r="L794" i="90" s="1"/>
  <c r="K795" i="90"/>
  <c r="L795" i="90" s="1"/>
  <c r="K796" i="90"/>
  <c r="L796" i="90" s="1"/>
  <c r="K797" i="90"/>
  <c r="L797" i="90" s="1"/>
  <c r="K798" i="90"/>
  <c r="L798" i="90" s="1"/>
  <c r="K799" i="90"/>
  <c r="K800" i="90"/>
  <c r="L800" i="90" s="1"/>
  <c r="K801" i="90"/>
  <c r="L801" i="90" s="1"/>
  <c r="K802" i="90"/>
  <c r="K803" i="90"/>
  <c r="L803" i="90" s="1"/>
  <c r="K804" i="90"/>
  <c r="L804" i="90" s="1"/>
  <c r="K805" i="90"/>
  <c r="K806" i="90"/>
  <c r="L806" i="90" s="1"/>
  <c r="K807" i="90"/>
  <c r="L807" i="90" s="1"/>
  <c r="K808" i="90"/>
  <c r="K809" i="90"/>
  <c r="K810" i="90"/>
  <c r="L810" i="90" s="1"/>
  <c r="K811" i="90"/>
  <c r="L811" i="90" s="1"/>
  <c r="K812" i="90"/>
  <c r="K813" i="90"/>
  <c r="L813" i="90" s="1"/>
  <c r="K814" i="90"/>
  <c r="L814" i="90" s="1"/>
  <c r="K815" i="90"/>
  <c r="L815" i="90" s="1"/>
  <c r="K816" i="90"/>
  <c r="K817" i="90"/>
  <c r="K565" i="90"/>
  <c r="L565" i="90" s="1"/>
  <c r="K566" i="90"/>
  <c r="L566" i="90" s="1"/>
  <c r="K567" i="90"/>
  <c r="L567" i="90" s="1"/>
  <c r="K568" i="90"/>
  <c r="L568" i="90" s="1"/>
  <c r="K569" i="90"/>
  <c r="L569" i="90" s="1"/>
  <c r="K570" i="90"/>
  <c r="L570" i="90" s="1"/>
  <c r="K571" i="90"/>
  <c r="L571" i="90" s="1"/>
  <c r="K572" i="90"/>
  <c r="L572" i="90" s="1"/>
  <c r="K573" i="90"/>
  <c r="L573" i="90" s="1"/>
  <c r="K574" i="90"/>
  <c r="L574" i="90" s="1"/>
  <c r="K575" i="90"/>
  <c r="L575" i="90" s="1"/>
  <c r="K576" i="90"/>
  <c r="L576" i="90" s="1"/>
  <c r="K577" i="90"/>
  <c r="L577" i="90" s="1"/>
  <c r="K578" i="90"/>
  <c r="L578" i="90" s="1"/>
  <c r="K579" i="90"/>
  <c r="L579" i="90" s="1"/>
  <c r="K580" i="90"/>
  <c r="L580" i="90" s="1"/>
  <c r="K581" i="90"/>
  <c r="L581" i="90" s="1"/>
  <c r="K582" i="90"/>
  <c r="L582" i="90" s="1"/>
  <c r="K583" i="90"/>
  <c r="L583" i="90" s="1"/>
  <c r="K584" i="90"/>
  <c r="L584" i="90" s="1"/>
  <c r="K585" i="90"/>
  <c r="L585" i="90" s="1"/>
  <c r="K586" i="90"/>
  <c r="L586" i="90" s="1"/>
  <c r="K587" i="90"/>
  <c r="L587" i="90" s="1"/>
  <c r="K588" i="90"/>
  <c r="L588" i="90" s="1"/>
  <c r="K589" i="90"/>
  <c r="L589" i="90" s="1"/>
  <c r="K590" i="90"/>
  <c r="L590" i="90" s="1"/>
  <c r="K591" i="90"/>
  <c r="L591" i="90" s="1"/>
  <c r="K592" i="90"/>
  <c r="L592" i="90" s="1"/>
  <c r="K593" i="90"/>
  <c r="L593" i="90" s="1"/>
  <c r="K594" i="90"/>
  <c r="L594" i="90" s="1"/>
  <c r="K595" i="90"/>
  <c r="L595" i="90" s="1"/>
  <c r="K596" i="90"/>
  <c r="L596" i="90" s="1"/>
  <c r="K597" i="90"/>
  <c r="L597" i="90" s="1"/>
  <c r="K598" i="90"/>
  <c r="L598" i="90" s="1"/>
  <c r="K599" i="90"/>
  <c r="L599" i="90" s="1"/>
  <c r="K600" i="90"/>
  <c r="L600" i="90" s="1"/>
  <c r="K601" i="90"/>
  <c r="L601" i="90" s="1"/>
  <c r="K602" i="90"/>
  <c r="L602" i="90" s="1"/>
  <c r="K603" i="90"/>
  <c r="L603" i="90" s="1"/>
  <c r="K604" i="90"/>
  <c r="L604" i="90" s="1"/>
  <c r="K605" i="90"/>
  <c r="L605" i="90" s="1"/>
  <c r="K606" i="90"/>
  <c r="L606" i="90" s="1"/>
  <c r="K607" i="90"/>
  <c r="L607" i="90" s="1"/>
  <c r="K608" i="90"/>
  <c r="L608" i="90" s="1"/>
  <c r="K609" i="90"/>
  <c r="K610" i="90"/>
  <c r="L610" i="90" s="1"/>
  <c r="K611" i="90"/>
  <c r="L611" i="90" s="1"/>
  <c r="K612" i="90"/>
  <c r="L612" i="90" s="1"/>
  <c r="K613" i="90"/>
  <c r="L613" i="90" s="1"/>
  <c r="K614" i="90"/>
  <c r="L614" i="90" s="1"/>
  <c r="K615" i="90"/>
  <c r="L615" i="90" s="1"/>
  <c r="K616" i="90"/>
  <c r="L616" i="90" s="1"/>
  <c r="K617" i="90"/>
  <c r="L617" i="90" s="1"/>
  <c r="K618" i="90"/>
  <c r="L618" i="90" s="1"/>
  <c r="K619" i="90"/>
  <c r="L619" i="90" s="1"/>
  <c r="K620" i="90"/>
  <c r="L620" i="90" s="1"/>
  <c r="K621" i="90"/>
  <c r="L621" i="90" s="1"/>
  <c r="K622" i="90"/>
  <c r="L622" i="90" s="1"/>
  <c r="K623" i="90"/>
  <c r="L623" i="90" s="1"/>
  <c r="K624" i="90"/>
  <c r="L624" i="90" s="1"/>
  <c r="K625" i="90"/>
  <c r="L625" i="90" s="1"/>
  <c r="K626" i="90"/>
  <c r="K627" i="90"/>
  <c r="K628" i="90"/>
  <c r="K629" i="90"/>
  <c r="L629" i="90" s="1"/>
  <c r="K630" i="90"/>
  <c r="L630" i="90" s="1"/>
  <c r="K631" i="90"/>
  <c r="L631" i="90" s="1"/>
  <c r="K632" i="90"/>
  <c r="L632" i="90" s="1"/>
  <c r="K633" i="90"/>
  <c r="L633" i="90" s="1"/>
  <c r="K634" i="90"/>
  <c r="L634" i="90" s="1"/>
  <c r="K635" i="90"/>
  <c r="L635" i="90" s="1"/>
  <c r="K636" i="90"/>
  <c r="L636" i="90" s="1"/>
  <c r="K637" i="90"/>
  <c r="L637" i="90" s="1"/>
  <c r="K638" i="90"/>
  <c r="L638" i="90" s="1"/>
  <c r="K639" i="90"/>
  <c r="K640" i="90"/>
  <c r="L640" i="90" s="1"/>
  <c r="K641" i="90"/>
  <c r="L641" i="90" s="1"/>
  <c r="K642" i="90"/>
  <c r="L642" i="90" s="1"/>
  <c r="K643" i="90"/>
  <c r="L643" i="90" s="1"/>
  <c r="K644" i="90"/>
  <c r="L644" i="90" s="1"/>
  <c r="K645" i="90"/>
  <c r="L645" i="90" s="1"/>
  <c r="K646" i="90"/>
  <c r="L646" i="90" s="1"/>
  <c r="K647" i="90"/>
  <c r="L647" i="90" s="1"/>
  <c r="K648" i="90"/>
  <c r="L648" i="90" s="1"/>
  <c r="K649" i="90"/>
  <c r="L649" i="90" s="1"/>
  <c r="K650" i="90"/>
  <c r="L650" i="90" s="1"/>
  <c r="K651" i="90"/>
  <c r="L651" i="90" s="1"/>
  <c r="K652" i="90"/>
  <c r="L652" i="90" s="1"/>
  <c r="K653" i="90"/>
  <c r="K654" i="90"/>
  <c r="L654" i="90" s="1"/>
  <c r="K655" i="90"/>
  <c r="L655" i="90" s="1"/>
  <c r="K656" i="90"/>
  <c r="L656" i="90" s="1"/>
  <c r="K657" i="90"/>
  <c r="L657" i="90" s="1"/>
  <c r="K658" i="90"/>
  <c r="L658" i="90" s="1"/>
  <c r="K659" i="90"/>
  <c r="L659" i="90" s="1"/>
  <c r="K660" i="90"/>
  <c r="L660" i="90" s="1"/>
  <c r="K661" i="90"/>
  <c r="L661" i="90" s="1"/>
  <c r="K662" i="90"/>
  <c r="L662" i="90" s="1"/>
  <c r="K663" i="90"/>
  <c r="L663" i="90" s="1"/>
  <c r="K664" i="90"/>
  <c r="L664" i="90" s="1"/>
  <c r="K665" i="90"/>
  <c r="L665" i="90" s="1"/>
  <c r="K666" i="90"/>
  <c r="L666" i="90" s="1"/>
  <c r="K667" i="90"/>
  <c r="L667" i="90" s="1"/>
  <c r="K668" i="90"/>
  <c r="L668" i="90" s="1"/>
  <c r="K669" i="90"/>
  <c r="L669" i="90" s="1"/>
  <c r="K670" i="90"/>
  <c r="L670" i="90" s="1"/>
  <c r="K671" i="90"/>
  <c r="K672" i="90"/>
  <c r="L672" i="90" s="1"/>
  <c r="K673" i="90"/>
  <c r="K674" i="90"/>
  <c r="L674" i="90" s="1"/>
  <c r="K675" i="90"/>
  <c r="K676" i="90"/>
  <c r="L676" i="90" s="1"/>
  <c r="K677" i="90"/>
  <c r="L677" i="90" s="1"/>
  <c r="K678" i="90"/>
  <c r="K679" i="90"/>
  <c r="L679" i="90" s="1"/>
  <c r="K680" i="90"/>
  <c r="L680" i="90" s="1"/>
  <c r="K681" i="90"/>
  <c r="K682" i="90"/>
  <c r="K683" i="90"/>
  <c r="L683" i="90" s="1"/>
  <c r="K684" i="90"/>
  <c r="K685" i="90"/>
  <c r="K686" i="90"/>
  <c r="L686" i="90" s="1"/>
  <c r="K687" i="90"/>
  <c r="L687" i="90" s="1"/>
  <c r="K688" i="90"/>
  <c r="L688" i="90" s="1"/>
  <c r="K689" i="90"/>
  <c r="K690" i="90"/>
  <c r="K442" i="90"/>
  <c r="L442" i="90" s="1"/>
  <c r="K443" i="90"/>
  <c r="L443" i="90" s="1"/>
  <c r="K444" i="90"/>
  <c r="L444" i="90" s="1"/>
  <c r="K445" i="90"/>
  <c r="L445" i="90" s="1"/>
  <c r="K446" i="90"/>
  <c r="L446" i="90" s="1"/>
  <c r="K447" i="90"/>
  <c r="L447" i="90" s="1"/>
  <c r="K448" i="90"/>
  <c r="L448" i="90" s="1"/>
  <c r="K449" i="90"/>
  <c r="L449" i="90" s="1"/>
  <c r="K450" i="90"/>
  <c r="L450" i="90" s="1"/>
  <c r="K451" i="90"/>
  <c r="L451" i="90" s="1"/>
  <c r="K452" i="90"/>
  <c r="L452" i="90" s="1"/>
  <c r="K453" i="90"/>
  <c r="L453" i="90" s="1"/>
  <c r="K454" i="90"/>
  <c r="L454" i="90" s="1"/>
  <c r="K455" i="90"/>
  <c r="L455" i="90" s="1"/>
  <c r="K456" i="90"/>
  <c r="L456" i="90" s="1"/>
  <c r="K457" i="90"/>
  <c r="L457" i="90" s="1"/>
  <c r="K458" i="90"/>
  <c r="L458" i="90" s="1"/>
  <c r="K459" i="90"/>
  <c r="L459" i="90" s="1"/>
  <c r="K460" i="90"/>
  <c r="L460" i="90" s="1"/>
  <c r="K461" i="90"/>
  <c r="L461" i="90" s="1"/>
  <c r="K462" i="90"/>
  <c r="K463" i="90"/>
  <c r="K464" i="90"/>
  <c r="K465" i="90"/>
  <c r="L465" i="90" s="1"/>
  <c r="K466" i="90"/>
  <c r="L466" i="90" s="1"/>
  <c r="K467" i="90"/>
  <c r="L467" i="90" s="1"/>
  <c r="K468" i="90"/>
  <c r="L468" i="90" s="1"/>
  <c r="K469" i="90"/>
  <c r="L469" i="90" s="1"/>
  <c r="K470" i="90"/>
  <c r="L470" i="90" s="1"/>
  <c r="K471" i="90"/>
  <c r="L471" i="90" s="1"/>
  <c r="K472" i="90"/>
  <c r="L472" i="90" s="1"/>
  <c r="K473" i="90"/>
  <c r="L473" i="90" s="1"/>
  <c r="K474" i="90"/>
  <c r="L474" i="90" s="1"/>
  <c r="K475" i="90"/>
  <c r="L475" i="90" s="1"/>
  <c r="K476" i="90"/>
  <c r="L476" i="90" s="1"/>
  <c r="K477" i="90"/>
  <c r="L477" i="90" s="1"/>
  <c r="K478" i="90"/>
  <c r="L478" i="90" s="1"/>
  <c r="K479" i="90"/>
  <c r="L479" i="90" s="1"/>
  <c r="K480" i="90"/>
  <c r="L480" i="90" s="1"/>
  <c r="K481" i="90"/>
  <c r="L481" i="90" s="1"/>
  <c r="K482" i="90"/>
  <c r="L482" i="90" s="1"/>
  <c r="K483" i="90"/>
  <c r="L483" i="90" s="1"/>
  <c r="K484" i="90"/>
  <c r="L484" i="90" s="1"/>
  <c r="K485" i="90"/>
  <c r="L485" i="90" s="1"/>
  <c r="K486" i="90"/>
  <c r="L486" i="90" s="1"/>
  <c r="K487" i="90"/>
  <c r="L487" i="90" s="1"/>
  <c r="K488" i="90"/>
  <c r="L488" i="90" s="1"/>
  <c r="K489" i="90"/>
  <c r="L489" i="90" s="1"/>
  <c r="K490" i="90"/>
  <c r="L490" i="90" s="1"/>
  <c r="K491" i="90"/>
  <c r="L491" i="90" s="1"/>
  <c r="K492" i="90"/>
  <c r="L492" i="90" s="1"/>
  <c r="K493" i="90"/>
  <c r="L493" i="90" s="1"/>
  <c r="K494" i="90"/>
  <c r="L494" i="90" s="1"/>
  <c r="K495" i="90"/>
  <c r="L495" i="90" s="1"/>
  <c r="K496" i="90"/>
  <c r="L496" i="90" s="1"/>
  <c r="K497" i="90"/>
  <c r="L497" i="90" s="1"/>
  <c r="K498" i="90"/>
  <c r="L498" i="90" s="1"/>
  <c r="K499" i="90"/>
  <c r="L499" i="90" s="1"/>
  <c r="K500" i="90"/>
  <c r="L500" i="90" s="1"/>
  <c r="K501" i="90"/>
  <c r="L501" i="90" s="1"/>
  <c r="K502" i="90"/>
  <c r="L502" i="90" s="1"/>
  <c r="K503" i="90"/>
  <c r="K504" i="90"/>
  <c r="K505" i="90"/>
  <c r="L505" i="90" s="1"/>
  <c r="K506" i="90"/>
  <c r="L506" i="90" s="1"/>
  <c r="K507" i="90"/>
  <c r="L507" i="90" s="1"/>
  <c r="K508" i="90"/>
  <c r="L508" i="90" s="1"/>
  <c r="K509" i="90"/>
  <c r="L509" i="90" s="1"/>
  <c r="K510" i="90"/>
  <c r="L510" i="90" s="1"/>
  <c r="K511" i="90"/>
  <c r="L511" i="90" s="1"/>
  <c r="K512" i="90"/>
  <c r="K513" i="90"/>
  <c r="L513" i="90" s="1"/>
  <c r="K514" i="90"/>
  <c r="L514" i="90" s="1"/>
  <c r="K515" i="90"/>
  <c r="L515" i="90" s="1"/>
  <c r="K516" i="90"/>
  <c r="L516" i="90" s="1"/>
  <c r="K517" i="90"/>
  <c r="L517" i="90" s="1"/>
  <c r="K518" i="90"/>
  <c r="L518" i="90" s="1"/>
  <c r="K519" i="90"/>
  <c r="L519" i="90" s="1"/>
  <c r="K520" i="90"/>
  <c r="L520" i="90" s="1"/>
  <c r="K521" i="90"/>
  <c r="K522" i="90"/>
  <c r="L522" i="90" s="1"/>
  <c r="K523" i="90"/>
  <c r="L523" i="90" s="1"/>
  <c r="K524" i="90"/>
  <c r="L524" i="90" s="1"/>
  <c r="K525" i="90"/>
  <c r="L525" i="90" s="1"/>
  <c r="K526" i="90"/>
  <c r="L526" i="90" s="1"/>
  <c r="K527" i="90"/>
  <c r="L527" i="90" s="1"/>
  <c r="K528" i="90"/>
  <c r="L528" i="90" s="1"/>
  <c r="K529" i="90"/>
  <c r="K530" i="90"/>
  <c r="L530" i="90" s="1"/>
  <c r="K531" i="90"/>
  <c r="L531" i="90" s="1"/>
  <c r="K532" i="90"/>
  <c r="L532" i="90" s="1"/>
  <c r="K533" i="90"/>
  <c r="L533" i="90" s="1"/>
  <c r="K534" i="90"/>
  <c r="L534" i="90" s="1"/>
  <c r="K535" i="90"/>
  <c r="L535" i="90" s="1"/>
  <c r="K536" i="90"/>
  <c r="L536" i="90" s="1"/>
  <c r="K537" i="90"/>
  <c r="L537" i="90" s="1"/>
  <c r="K538" i="90"/>
  <c r="L538" i="90" s="1"/>
  <c r="K539" i="90"/>
  <c r="L539" i="90" s="1"/>
  <c r="K540" i="90"/>
  <c r="L540" i="90" s="1"/>
  <c r="K541" i="90"/>
  <c r="L541" i="90" s="1"/>
  <c r="K542" i="90"/>
  <c r="L542" i="90" s="1"/>
  <c r="K543" i="90"/>
  <c r="L543" i="90" s="1"/>
  <c r="K544" i="90"/>
  <c r="L544" i="90" s="1"/>
  <c r="K545" i="90"/>
  <c r="L545" i="90" s="1"/>
  <c r="K546" i="90"/>
  <c r="L546" i="90" s="1"/>
  <c r="K547" i="90"/>
  <c r="K548" i="90"/>
  <c r="K549" i="90"/>
  <c r="L549" i="90" s="1"/>
  <c r="K550" i="90"/>
  <c r="K551" i="90"/>
  <c r="L551" i="90" s="1"/>
  <c r="K552" i="90"/>
  <c r="L552" i="90" s="1"/>
  <c r="K553" i="90"/>
  <c r="L553" i="90" s="1"/>
  <c r="K554" i="90"/>
  <c r="L554" i="90" s="1"/>
  <c r="K555" i="90"/>
  <c r="L555" i="90" s="1"/>
  <c r="K556" i="90"/>
  <c r="K557" i="90"/>
  <c r="K558" i="90"/>
  <c r="L558" i="90" s="1"/>
  <c r="K559" i="90"/>
  <c r="K560" i="90"/>
  <c r="L560" i="90" s="1"/>
  <c r="K561" i="90"/>
  <c r="K562" i="90"/>
  <c r="L562" i="90" s="1"/>
  <c r="K563" i="90"/>
  <c r="K564" i="90"/>
  <c r="K324" i="90"/>
  <c r="L324" i="90" s="1"/>
  <c r="K325" i="90"/>
  <c r="L325" i="90" s="1"/>
  <c r="K326" i="90"/>
  <c r="L326" i="90" s="1"/>
  <c r="K327" i="90"/>
  <c r="L327" i="90" s="1"/>
  <c r="K328" i="90"/>
  <c r="L328" i="90" s="1"/>
  <c r="K329" i="90"/>
  <c r="L329" i="90" s="1"/>
  <c r="K330" i="90"/>
  <c r="L330" i="90" s="1"/>
  <c r="K331" i="90"/>
  <c r="L331" i="90" s="1"/>
  <c r="K332" i="90"/>
  <c r="L332" i="90" s="1"/>
  <c r="K333" i="90"/>
  <c r="L333" i="90" s="1"/>
  <c r="K334" i="90"/>
  <c r="L334" i="90" s="1"/>
  <c r="K335" i="90"/>
  <c r="L335" i="90" s="1"/>
  <c r="K336" i="90"/>
  <c r="L336" i="90" s="1"/>
  <c r="K337" i="90"/>
  <c r="L337" i="90" s="1"/>
  <c r="K338" i="90"/>
  <c r="L338" i="90" s="1"/>
  <c r="K339" i="90"/>
  <c r="L339" i="90" s="1"/>
  <c r="K340" i="90"/>
  <c r="L340" i="90" s="1"/>
  <c r="K341" i="90"/>
  <c r="L341" i="90" s="1"/>
  <c r="K342" i="90"/>
  <c r="L342" i="90" s="1"/>
  <c r="K343" i="90"/>
  <c r="K344" i="90"/>
  <c r="K345" i="90"/>
  <c r="L345" i="90" s="1"/>
  <c r="K346" i="90"/>
  <c r="L346" i="90" s="1"/>
  <c r="K347" i="90"/>
  <c r="L347" i="90" s="1"/>
  <c r="K348" i="90"/>
  <c r="L348" i="90" s="1"/>
  <c r="K349" i="90"/>
  <c r="L349" i="90" s="1"/>
  <c r="K350" i="90"/>
  <c r="L350" i="90" s="1"/>
  <c r="K351" i="90"/>
  <c r="L351" i="90" s="1"/>
  <c r="K352" i="90"/>
  <c r="L352" i="90" s="1"/>
  <c r="K353" i="90"/>
  <c r="L353" i="90" s="1"/>
  <c r="K354" i="90"/>
  <c r="L354" i="90" s="1"/>
  <c r="K355" i="90"/>
  <c r="L355" i="90" s="1"/>
  <c r="K356" i="90"/>
  <c r="L356" i="90" s="1"/>
  <c r="K357" i="90"/>
  <c r="L357" i="90" s="1"/>
  <c r="K358" i="90"/>
  <c r="L358" i="90" s="1"/>
  <c r="K359" i="90"/>
  <c r="L359" i="90" s="1"/>
  <c r="K360" i="90"/>
  <c r="L360" i="90" s="1"/>
  <c r="K361" i="90"/>
  <c r="L361" i="90" s="1"/>
  <c r="K362" i="90"/>
  <c r="L362" i="90" s="1"/>
  <c r="K363" i="90"/>
  <c r="L363" i="90" s="1"/>
  <c r="K364" i="90"/>
  <c r="L364" i="90" s="1"/>
  <c r="K365" i="90"/>
  <c r="L365" i="90" s="1"/>
  <c r="K366" i="90"/>
  <c r="L366" i="90" s="1"/>
  <c r="K367" i="90"/>
  <c r="L367" i="90" s="1"/>
  <c r="K368" i="90"/>
  <c r="L368" i="90" s="1"/>
  <c r="K369" i="90"/>
  <c r="L369" i="90" s="1"/>
  <c r="K370" i="90"/>
  <c r="L370" i="90" s="1"/>
  <c r="K371" i="90"/>
  <c r="L371" i="90" s="1"/>
  <c r="K372" i="90"/>
  <c r="L372" i="90" s="1"/>
  <c r="K373" i="90"/>
  <c r="L373" i="90" s="1"/>
  <c r="K374" i="90"/>
  <c r="L374" i="90" s="1"/>
  <c r="K375" i="90"/>
  <c r="L375" i="90" s="1"/>
  <c r="K376" i="90"/>
  <c r="L376" i="90" s="1"/>
  <c r="K377" i="90"/>
  <c r="L377" i="90" s="1"/>
  <c r="K378" i="90"/>
  <c r="L378" i="90" s="1"/>
  <c r="K379" i="90"/>
  <c r="L379" i="90" s="1"/>
  <c r="K380" i="90"/>
  <c r="L380" i="90" s="1"/>
  <c r="K381" i="90"/>
  <c r="L381" i="90" s="1"/>
  <c r="K382" i="90"/>
  <c r="K383" i="90"/>
  <c r="K384" i="90"/>
  <c r="L384" i="90" s="1"/>
  <c r="K385" i="90"/>
  <c r="L385" i="90" s="1"/>
  <c r="K386" i="90"/>
  <c r="L386" i="90" s="1"/>
  <c r="K387" i="90"/>
  <c r="L387" i="90" s="1"/>
  <c r="K388" i="90"/>
  <c r="L388" i="90" s="1"/>
  <c r="K389" i="90"/>
  <c r="L389" i="90" s="1"/>
  <c r="K390" i="90"/>
  <c r="L390" i="90" s="1"/>
  <c r="K391" i="90"/>
  <c r="L391" i="90" s="1"/>
  <c r="K392" i="90"/>
  <c r="L392" i="90" s="1"/>
  <c r="K393" i="90"/>
  <c r="K394" i="90"/>
  <c r="L394" i="90" s="1"/>
  <c r="K395" i="90"/>
  <c r="L395" i="90" s="1"/>
  <c r="K396" i="90"/>
  <c r="L396" i="90" s="1"/>
  <c r="K397" i="90"/>
  <c r="L397" i="90" s="1"/>
  <c r="K398" i="90"/>
  <c r="L398" i="90" s="1"/>
  <c r="K399" i="90"/>
  <c r="L399" i="90" s="1"/>
  <c r="K400" i="90"/>
  <c r="L400" i="90" s="1"/>
  <c r="K401" i="90"/>
  <c r="L401" i="90" s="1"/>
  <c r="K402" i="90"/>
  <c r="L402" i="90" s="1"/>
  <c r="K403" i="90"/>
  <c r="L403" i="90" s="1"/>
  <c r="K404" i="90"/>
  <c r="L404" i="90" s="1"/>
  <c r="K405" i="90"/>
  <c r="L405" i="90" s="1"/>
  <c r="K406" i="90"/>
  <c r="L406" i="90" s="1"/>
  <c r="K407" i="90"/>
  <c r="L407" i="90" s="1"/>
  <c r="K408" i="90"/>
  <c r="L408" i="90" s="1"/>
  <c r="K409" i="90"/>
  <c r="L409" i="90" s="1"/>
  <c r="K410" i="90"/>
  <c r="K411" i="90"/>
  <c r="L411" i="90" s="1"/>
  <c r="K412" i="90"/>
  <c r="L412" i="90" s="1"/>
  <c r="K413" i="90"/>
  <c r="L413" i="90" s="1"/>
  <c r="K414" i="90"/>
  <c r="L414" i="90" s="1"/>
  <c r="K415" i="90"/>
  <c r="L415" i="90" s="1"/>
  <c r="K416" i="90"/>
  <c r="L416" i="90" s="1"/>
  <c r="K417" i="90"/>
  <c r="L417" i="90" s="1"/>
  <c r="K418" i="90"/>
  <c r="L418" i="90" s="1"/>
  <c r="K419" i="90"/>
  <c r="L419" i="90" s="1"/>
  <c r="K420" i="90"/>
  <c r="L420" i="90" s="1"/>
  <c r="K421" i="90"/>
  <c r="L421" i="90" s="1"/>
  <c r="K422" i="90"/>
  <c r="L422" i="90" s="1"/>
  <c r="K423" i="90"/>
  <c r="L423" i="90" s="1"/>
  <c r="K424" i="90"/>
  <c r="L424" i="90" s="1"/>
  <c r="K425" i="90"/>
  <c r="L425" i="90" s="1"/>
  <c r="K426" i="90"/>
  <c r="L426" i="90" s="1"/>
  <c r="K427" i="90"/>
  <c r="K428" i="90"/>
  <c r="K429" i="90"/>
  <c r="L429" i="90" s="1"/>
  <c r="K430" i="90"/>
  <c r="L430" i="90" s="1"/>
  <c r="K431" i="90"/>
  <c r="L431" i="90" s="1"/>
  <c r="K432" i="90"/>
  <c r="L432" i="90" s="1"/>
  <c r="K433" i="90"/>
  <c r="K434" i="90"/>
  <c r="K435" i="90"/>
  <c r="L435" i="90" s="1"/>
  <c r="K436" i="90"/>
  <c r="K437" i="90"/>
  <c r="L437" i="90" s="1"/>
  <c r="K438" i="90"/>
  <c r="K439" i="90"/>
  <c r="L439" i="90" s="1"/>
  <c r="K440" i="90"/>
  <c r="K441" i="90"/>
  <c r="K213" i="90"/>
  <c r="L213" i="90" s="1"/>
  <c r="K214" i="90"/>
  <c r="L214" i="90" s="1"/>
  <c r="K215" i="90"/>
  <c r="L215" i="90" s="1"/>
  <c r="K216" i="90"/>
  <c r="L216" i="90" s="1"/>
  <c r="K217" i="90"/>
  <c r="L217" i="90" s="1"/>
  <c r="K218" i="90"/>
  <c r="L218" i="90" s="1"/>
  <c r="K219" i="90"/>
  <c r="L219" i="90" s="1"/>
  <c r="K220" i="90"/>
  <c r="L220" i="90" s="1"/>
  <c r="K221" i="90"/>
  <c r="L221" i="90" s="1"/>
  <c r="K222" i="90"/>
  <c r="L222" i="90" s="1"/>
  <c r="K223" i="90"/>
  <c r="L223" i="90" s="1"/>
  <c r="K224" i="90"/>
  <c r="L224" i="90" s="1"/>
  <c r="K225" i="90"/>
  <c r="L225" i="90" s="1"/>
  <c r="K226" i="90"/>
  <c r="L226" i="90" s="1"/>
  <c r="K227" i="90"/>
  <c r="L227" i="90" s="1"/>
  <c r="K228" i="90"/>
  <c r="L228" i="90" s="1"/>
  <c r="K229" i="90"/>
  <c r="L229" i="90" s="1"/>
  <c r="K230" i="90"/>
  <c r="L230" i="90" s="1"/>
  <c r="K231" i="90"/>
  <c r="L231" i="90" s="1"/>
  <c r="K232" i="90"/>
  <c r="L232" i="90" s="1"/>
  <c r="K233" i="90"/>
  <c r="L233" i="90" s="1"/>
  <c r="K234" i="90"/>
  <c r="L234" i="90" s="1"/>
  <c r="K235" i="90"/>
  <c r="L235" i="90" s="1"/>
  <c r="K236" i="90"/>
  <c r="L236" i="90" s="1"/>
  <c r="K237" i="90"/>
  <c r="L237" i="90" s="1"/>
  <c r="K238" i="90"/>
  <c r="L238" i="90" s="1"/>
  <c r="K239" i="90"/>
  <c r="L239" i="90" s="1"/>
  <c r="K240" i="90"/>
  <c r="L240" i="90" s="1"/>
  <c r="K241" i="90"/>
  <c r="L241" i="90" s="1"/>
  <c r="K242" i="90"/>
  <c r="L242" i="90" s="1"/>
  <c r="K243" i="90"/>
  <c r="L243" i="90" s="1"/>
  <c r="K244" i="90"/>
  <c r="L244" i="90" s="1"/>
  <c r="K245" i="90"/>
  <c r="L245" i="90" s="1"/>
  <c r="K246" i="90"/>
  <c r="L246" i="90" s="1"/>
  <c r="K247" i="90"/>
  <c r="K248" i="90"/>
  <c r="L248" i="90" s="1"/>
  <c r="K249" i="90"/>
  <c r="L249" i="90" s="1"/>
  <c r="K250" i="90"/>
  <c r="L250" i="90" s="1"/>
  <c r="K251" i="90"/>
  <c r="L251" i="90" s="1"/>
  <c r="K252" i="90"/>
  <c r="L252" i="90" s="1"/>
  <c r="K253" i="90"/>
  <c r="L253" i="90" s="1"/>
  <c r="K254" i="90"/>
  <c r="L254" i="90" s="1"/>
  <c r="K255" i="90"/>
  <c r="L255" i="90" s="1"/>
  <c r="K256" i="90"/>
  <c r="L256" i="90" s="1"/>
  <c r="K257" i="90"/>
  <c r="L257" i="90" s="1"/>
  <c r="K258" i="90"/>
  <c r="L258" i="90" s="1"/>
  <c r="K259" i="90"/>
  <c r="L259" i="90" s="1"/>
  <c r="K260" i="90"/>
  <c r="L260" i="90" s="1"/>
  <c r="K261" i="90"/>
  <c r="L261" i="90" s="1"/>
  <c r="K262" i="90"/>
  <c r="L262" i="90" s="1"/>
  <c r="K263" i="90"/>
  <c r="L263" i="90" s="1"/>
  <c r="K264" i="90"/>
  <c r="L264" i="90" s="1"/>
  <c r="K265" i="90"/>
  <c r="L265" i="90" s="1"/>
  <c r="K266" i="90"/>
  <c r="L266" i="90" s="1"/>
  <c r="K267" i="90"/>
  <c r="L267" i="90" s="1"/>
  <c r="K268" i="90"/>
  <c r="L268" i="90" s="1"/>
  <c r="K269" i="90"/>
  <c r="L269" i="90" s="1"/>
  <c r="K270" i="90"/>
  <c r="L270" i="90" s="1"/>
  <c r="K271" i="90"/>
  <c r="L271" i="90" s="1"/>
  <c r="K272" i="90"/>
  <c r="L272" i="90" s="1"/>
  <c r="K273" i="90"/>
  <c r="L273" i="90" s="1"/>
  <c r="K274" i="90"/>
  <c r="L274" i="90" s="1"/>
  <c r="K275" i="90"/>
  <c r="L275" i="90" s="1"/>
  <c r="K276" i="90"/>
  <c r="L276" i="90" s="1"/>
  <c r="K277" i="90"/>
  <c r="L277" i="90" s="1"/>
  <c r="K278" i="90"/>
  <c r="L278" i="90" s="1"/>
  <c r="K279" i="90"/>
  <c r="L279" i="90" s="1"/>
  <c r="K280" i="90"/>
  <c r="L280" i="90" s="1"/>
  <c r="K281" i="90"/>
  <c r="L281" i="90" s="1"/>
  <c r="K282" i="90"/>
  <c r="L282" i="90" s="1"/>
  <c r="K283" i="90"/>
  <c r="L283" i="90" s="1"/>
  <c r="K284" i="90"/>
  <c r="L284" i="90" s="1"/>
  <c r="K285" i="90"/>
  <c r="L285" i="90" s="1"/>
  <c r="K286" i="90"/>
  <c r="L286" i="90" s="1"/>
  <c r="K287" i="90"/>
  <c r="L287" i="90" s="1"/>
  <c r="K288" i="90"/>
  <c r="K289" i="90"/>
  <c r="L289" i="90" s="1"/>
  <c r="K290" i="90"/>
  <c r="L290" i="90" s="1"/>
  <c r="K291" i="90"/>
  <c r="L291" i="90" s="1"/>
  <c r="K292" i="90"/>
  <c r="L292" i="90" s="1"/>
  <c r="K293" i="90"/>
  <c r="L293" i="90" s="1"/>
  <c r="K294" i="90"/>
  <c r="L294" i="90" s="1"/>
  <c r="K295" i="90"/>
  <c r="L295" i="90" s="1"/>
  <c r="K296" i="90"/>
  <c r="L296" i="90" s="1"/>
  <c r="K297" i="90"/>
  <c r="L297" i="90" s="1"/>
  <c r="K298" i="90"/>
  <c r="L298" i="90" s="1"/>
  <c r="K299" i="90"/>
  <c r="L299" i="90" s="1"/>
  <c r="K300" i="90"/>
  <c r="L300" i="90" s="1"/>
  <c r="K301" i="90"/>
  <c r="L301" i="90" s="1"/>
  <c r="K302" i="90"/>
  <c r="L302" i="90" s="1"/>
  <c r="K303" i="90"/>
  <c r="L303" i="90" s="1"/>
  <c r="K304" i="90"/>
  <c r="L304" i="90" s="1"/>
  <c r="K305" i="90"/>
  <c r="L305" i="90" s="1"/>
  <c r="K306" i="90"/>
  <c r="L306" i="90" s="1"/>
  <c r="K307" i="90"/>
  <c r="K308" i="90"/>
  <c r="K309" i="90"/>
  <c r="L309" i="90" s="1"/>
  <c r="K310" i="90"/>
  <c r="L310" i="90" s="1"/>
  <c r="K311" i="90"/>
  <c r="L311" i="90" s="1"/>
  <c r="K312" i="90"/>
  <c r="L312" i="90" s="1"/>
  <c r="K313" i="90"/>
  <c r="L313" i="90" s="1"/>
  <c r="K314" i="90"/>
  <c r="K315" i="90"/>
  <c r="L315" i="90" s="1"/>
  <c r="K316" i="90"/>
  <c r="K317" i="90"/>
  <c r="L317" i="90" s="1"/>
  <c r="K318" i="90"/>
  <c r="K319" i="90"/>
  <c r="L319" i="90" s="1"/>
  <c r="K320" i="90"/>
  <c r="K321" i="90"/>
  <c r="K322" i="90"/>
  <c r="K323" i="90"/>
  <c r="L323" i="90" s="1"/>
  <c r="K105" i="90"/>
  <c r="L105" i="90" s="1"/>
  <c r="K106" i="90"/>
  <c r="L106" i="90" s="1"/>
  <c r="K107" i="90"/>
  <c r="L107" i="90" s="1"/>
  <c r="K108" i="90"/>
  <c r="L108" i="90" s="1"/>
  <c r="K109" i="90"/>
  <c r="L109" i="90" s="1"/>
  <c r="K110" i="90"/>
  <c r="L110" i="90" s="1"/>
  <c r="K111" i="90"/>
  <c r="L111" i="90" s="1"/>
  <c r="K112" i="90"/>
  <c r="L112" i="90" s="1"/>
  <c r="K113" i="90"/>
  <c r="L113" i="90" s="1"/>
  <c r="K114" i="90"/>
  <c r="L114" i="90" s="1"/>
  <c r="K115" i="90"/>
  <c r="L115" i="90" s="1"/>
  <c r="K116" i="90"/>
  <c r="L116" i="90" s="1"/>
  <c r="K117" i="90"/>
  <c r="L117" i="90" s="1"/>
  <c r="K118" i="90"/>
  <c r="L118" i="90" s="1"/>
  <c r="K119" i="90"/>
  <c r="L119" i="90" s="1"/>
  <c r="K120" i="90"/>
  <c r="L120" i="90" s="1"/>
  <c r="K121" i="90"/>
  <c r="L121" i="90" s="1"/>
  <c r="K122" i="90"/>
  <c r="L122" i="90" s="1"/>
  <c r="K123" i="90"/>
  <c r="L123" i="90" s="1"/>
  <c r="K124" i="90"/>
  <c r="L124" i="90" s="1"/>
  <c r="K125" i="90"/>
  <c r="L125" i="90" s="1"/>
  <c r="K126" i="90"/>
  <c r="L126" i="90" s="1"/>
  <c r="K127" i="90"/>
  <c r="L127" i="90" s="1"/>
  <c r="K128" i="90"/>
  <c r="L128" i="90" s="1"/>
  <c r="K129" i="90"/>
  <c r="L129" i="90" s="1"/>
  <c r="K130" i="90"/>
  <c r="L130" i="90" s="1"/>
  <c r="K131" i="90"/>
  <c r="L131" i="90" s="1"/>
  <c r="K132" i="90"/>
  <c r="L132" i="90" s="1"/>
  <c r="K133" i="90"/>
  <c r="L133" i="90" s="1"/>
  <c r="K134" i="90"/>
  <c r="L134" i="90" s="1"/>
  <c r="K135" i="90"/>
  <c r="L135" i="90" s="1"/>
  <c r="K136" i="90"/>
  <c r="L136" i="90" s="1"/>
  <c r="K137" i="90"/>
  <c r="L137" i="90" s="1"/>
  <c r="K138" i="90"/>
  <c r="L138" i="90" s="1"/>
  <c r="K139" i="90"/>
  <c r="L139" i="90" s="1"/>
  <c r="K140" i="90"/>
  <c r="L140" i="90" s="1"/>
  <c r="K141" i="90"/>
  <c r="L141" i="90" s="1"/>
  <c r="K142" i="90"/>
  <c r="L142" i="90" s="1"/>
  <c r="K143" i="90"/>
  <c r="L143" i="90" s="1"/>
  <c r="K144" i="90"/>
  <c r="L144" i="90" s="1"/>
  <c r="K145" i="90"/>
  <c r="L145" i="90" s="1"/>
  <c r="K146" i="90"/>
  <c r="L146" i="90" s="1"/>
  <c r="K147" i="90"/>
  <c r="L147" i="90" s="1"/>
  <c r="K148" i="90"/>
  <c r="L148" i="90" s="1"/>
  <c r="K149" i="90"/>
  <c r="L149" i="90" s="1"/>
  <c r="K150" i="90"/>
  <c r="L150" i="90" s="1"/>
  <c r="K151" i="90"/>
  <c r="L151" i="90" s="1"/>
  <c r="K152" i="90"/>
  <c r="L152" i="90" s="1"/>
  <c r="K153" i="90"/>
  <c r="L153" i="90" s="1"/>
  <c r="K154" i="90"/>
  <c r="L154" i="90" s="1"/>
  <c r="K155" i="90"/>
  <c r="L155" i="90" s="1"/>
  <c r="K156" i="90"/>
  <c r="L156" i="90" s="1"/>
  <c r="K157" i="90"/>
  <c r="L157" i="90" s="1"/>
  <c r="K158" i="90"/>
  <c r="L158" i="90" s="1"/>
  <c r="K159" i="90"/>
  <c r="L159" i="90" s="1"/>
  <c r="K160" i="90"/>
  <c r="L160" i="90" s="1"/>
  <c r="K161" i="90"/>
  <c r="L161" i="90" s="1"/>
  <c r="K162" i="90"/>
  <c r="L162" i="90" s="1"/>
  <c r="K163" i="90"/>
  <c r="L163" i="90" s="1"/>
  <c r="K164" i="90"/>
  <c r="L164" i="90" s="1"/>
  <c r="K165" i="90"/>
  <c r="L165" i="90" s="1"/>
  <c r="K166" i="90"/>
  <c r="L166" i="90" s="1"/>
  <c r="K167" i="90"/>
  <c r="L167" i="90" s="1"/>
  <c r="K168" i="90"/>
  <c r="L168" i="90" s="1"/>
  <c r="K169" i="90"/>
  <c r="L169" i="90" s="1"/>
  <c r="K170" i="90"/>
  <c r="L170" i="90" s="1"/>
  <c r="K171" i="90"/>
  <c r="L171" i="90" s="1"/>
  <c r="K172" i="90"/>
  <c r="L172" i="90" s="1"/>
  <c r="K173" i="90"/>
  <c r="L173" i="90" s="1"/>
  <c r="K174" i="90"/>
  <c r="L174" i="90" s="1"/>
  <c r="K175" i="90"/>
  <c r="L175" i="90" s="1"/>
  <c r="K176" i="90"/>
  <c r="L176" i="90" s="1"/>
  <c r="K177" i="90"/>
  <c r="L177" i="90" s="1"/>
  <c r="K178" i="90"/>
  <c r="L178" i="90" s="1"/>
  <c r="K179" i="90"/>
  <c r="L179" i="90" s="1"/>
  <c r="K180" i="90"/>
  <c r="L180" i="90" s="1"/>
  <c r="K181" i="90"/>
  <c r="K182" i="90"/>
  <c r="L182" i="90" s="1"/>
  <c r="K183" i="90"/>
  <c r="L183" i="90" s="1"/>
  <c r="K184" i="90"/>
  <c r="L184" i="90" s="1"/>
  <c r="K185" i="90"/>
  <c r="L185" i="90" s="1"/>
  <c r="K186" i="90"/>
  <c r="L186" i="90" s="1"/>
  <c r="K187" i="90"/>
  <c r="L187" i="90" s="1"/>
  <c r="K188" i="90"/>
  <c r="L188" i="90" s="1"/>
  <c r="K189" i="90"/>
  <c r="L189" i="90" s="1"/>
  <c r="K190" i="90"/>
  <c r="L190" i="90" s="1"/>
  <c r="K191" i="90"/>
  <c r="L191" i="90" s="1"/>
  <c r="K192" i="90"/>
  <c r="L192" i="90" s="1"/>
  <c r="K193" i="90"/>
  <c r="L193" i="90" s="1"/>
  <c r="K194" i="90"/>
  <c r="L194" i="90" s="1"/>
  <c r="K195" i="90"/>
  <c r="L195" i="90" s="1"/>
  <c r="K196" i="90"/>
  <c r="K197" i="90"/>
  <c r="K198" i="90"/>
  <c r="L198" i="90" s="1"/>
  <c r="K199" i="90"/>
  <c r="L199" i="90" s="1"/>
  <c r="K200" i="90"/>
  <c r="L200" i="90" s="1"/>
  <c r="K201" i="90"/>
  <c r="L201" i="90" s="1"/>
  <c r="K202" i="90"/>
  <c r="K203" i="90"/>
  <c r="K204" i="90"/>
  <c r="L204" i="90" s="1"/>
  <c r="K205" i="90"/>
  <c r="L205" i="90" s="1"/>
  <c r="K206" i="90"/>
  <c r="L206" i="90" s="1"/>
  <c r="K207" i="90"/>
  <c r="K208" i="90"/>
  <c r="L208" i="90" s="1"/>
  <c r="K209" i="90"/>
  <c r="K210" i="90"/>
  <c r="K211" i="90"/>
  <c r="K212" i="90"/>
  <c r="L212" i="90" s="1"/>
  <c r="K2" i="90"/>
  <c r="L2" i="90" s="1"/>
  <c r="K3" i="90"/>
  <c r="L3" i="90" s="1"/>
  <c r="K4" i="90"/>
  <c r="L4" i="90" s="1"/>
  <c r="K5" i="90"/>
  <c r="L5" i="90" s="1"/>
  <c r="K6" i="90"/>
  <c r="L6" i="90" s="1"/>
  <c r="K7" i="90"/>
  <c r="L7" i="90" s="1"/>
  <c r="K8" i="90"/>
  <c r="L8" i="90" s="1"/>
  <c r="K9" i="90"/>
  <c r="L9" i="90" s="1"/>
  <c r="K10" i="90"/>
  <c r="L10" i="90" s="1"/>
  <c r="K11" i="90"/>
  <c r="L11" i="90" s="1"/>
  <c r="K12" i="90"/>
  <c r="L12" i="90" s="1"/>
  <c r="K13" i="90"/>
  <c r="L13" i="90" s="1"/>
  <c r="K14" i="90"/>
  <c r="L14" i="90" s="1"/>
  <c r="K15" i="90"/>
  <c r="L15" i="90" s="1"/>
  <c r="K16" i="90"/>
  <c r="L16" i="90" s="1"/>
  <c r="K17" i="90"/>
  <c r="L17" i="90" s="1"/>
  <c r="K18" i="90"/>
  <c r="L18" i="90" s="1"/>
  <c r="K19" i="90"/>
  <c r="L19" i="90" s="1"/>
  <c r="K20" i="90"/>
  <c r="L20" i="90" s="1"/>
  <c r="K21" i="90"/>
  <c r="L21" i="90" s="1"/>
  <c r="K22" i="90"/>
  <c r="L22" i="90" s="1"/>
  <c r="K23" i="90"/>
  <c r="L23" i="90" s="1"/>
  <c r="K24" i="90"/>
  <c r="L24" i="90" s="1"/>
  <c r="K25" i="90"/>
  <c r="L25" i="90" s="1"/>
  <c r="K26" i="90"/>
  <c r="L26" i="90" s="1"/>
  <c r="K27" i="90"/>
  <c r="L27" i="90" s="1"/>
  <c r="K28" i="90"/>
  <c r="L28" i="90" s="1"/>
  <c r="K29" i="90"/>
  <c r="L29" i="90" s="1"/>
  <c r="K30" i="90"/>
  <c r="L30" i="90" s="1"/>
  <c r="K31" i="90"/>
  <c r="L31" i="90" s="1"/>
  <c r="K32" i="90"/>
  <c r="L32" i="90" s="1"/>
  <c r="K33" i="90"/>
  <c r="L33" i="90" s="1"/>
  <c r="K34" i="90"/>
  <c r="L34" i="90" s="1"/>
  <c r="K35" i="90"/>
  <c r="L35" i="90" s="1"/>
  <c r="K36" i="90"/>
  <c r="L36" i="90" s="1"/>
  <c r="K37" i="90"/>
  <c r="L37" i="90" s="1"/>
  <c r="K38" i="90"/>
  <c r="L38" i="90" s="1"/>
  <c r="K39" i="90"/>
  <c r="L39" i="90" s="1"/>
  <c r="K40" i="90"/>
  <c r="L40" i="90" s="1"/>
  <c r="K41" i="90"/>
  <c r="L41" i="90" s="1"/>
  <c r="K42" i="90"/>
  <c r="L42" i="90" s="1"/>
  <c r="K43" i="90"/>
  <c r="L43" i="90" s="1"/>
  <c r="K44" i="90"/>
  <c r="L44" i="90" s="1"/>
  <c r="K45" i="90"/>
  <c r="L45" i="90" s="1"/>
  <c r="K46" i="90"/>
  <c r="L46" i="90" s="1"/>
  <c r="K47" i="90"/>
  <c r="L47" i="90" s="1"/>
  <c r="K48" i="90"/>
  <c r="L48" i="90" s="1"/>
  <c r="K49" i="90"/>
  <c r="L49" i="90" s="1"/>
  <c r="K50" i="90"/>
  <c r="L50" i="90" s="1"/>
  <c r="K51" i="90"/>
  <c r="L51" i="90" s="1"/>
  <c r="K52" i="90"/>
  <c r="L52" i="90" s="1"/>
  <c r="K53" i="90"/>
  <c r="L53" i="90" s="1"/>
  <c r="K54" i="90"/>
  <c r="L54" i="90" s="1"/>
  <c r="K55" i="90"/>
  <c r="L55" i="90" s="1"/>
  <c r="K56" i="90"/>
  <c r="L56" i="90" s="1"/>
  <c r="K57" i="90"/>
  <c r="L57" i="90" s="1"/>
  <c r="K58" i="90"/>
  <c r="L58" i="90" s="1"/>
  <c r="K59" i="90"/>
  <c r="L59" i="90" s="1"/>
  <c r="K60" i="90"/>
  <c r="L60" i="90" s="1"/>
  <c r="K61" i="90"/>
  <c r="L61" i="90" s="1"/>
  <c r="K62" i="90"/>
  <c r="L62" i="90" s="1"/>
  <c r="K63" i="90"/>
  <c r="L63" i="90" s="1"/>
  <c r="K64" i="90"/>
  <c r="L64" i="90" s="1"/>
  <c r="K65" i="90"/>
  <c r="L65" i="90" s="1"/>
  <c r="K66" i="90"/>
  <c r="L66" i="90" s="1"/>
  <c r="K67" i="90"/>
  <c r="L67" i="90" s="1"/>
  <c r="K68" i="90"/>
  <c r="L68" i="90" s="1"/>
  <c r="K69" i="90"/>
  <c r="L69" i="90" s="1"/>
  <c r="K70" i="90"/>
  <c r="L70" i="90" s="1"/>
  <c r="K71" i="90"/>
  <c r="L71" i="90" s="1"/>
  <c r="K72" i="90"/>
  <c r="L72" i="90" s="1"/>
  <c r="K73" i="90"/>
  <c r="L73" i="90" s="1"/>
  <c r="K74" i="90"/>
  <c r="L74" i="90" s="1"/>
  <c r="K75" i="90"/>
  <c r="L75" i="90" s="1"/>
  <c r="K76" i="90"/>
  <c r="L76" i="90" s="1"/>
  <c r="K77" i="90"/>
  <c r="L77" i="90" s="1"/>
  <c r="K78" i="90"/>
  <c r="L78" i="90" s="1"/>
  <c r="K79" i="90"/>
  <c r="L79" i="90" s="1"/>
  <c r="K80" i="90"/>
  <c r="L80" i="90" s="1"/>
  <c r="K81" i="90"/>
  <c r="L81" i="90" s="1"/>
  <c r="K82" i="90"/>
  <c r="L82" i="90" s="1"/>
  <c r="K83" i="90"/>
  <c r="L83" i="90" s="1"/>
  <c r="K84" i="90"/>
  <c r="L84" i="90" s="1"/>
  <c r="K85" i="90"/>
  <c r="L85" i="90" s="1"/>
  <c r="K86" i="90"/>
  <c r="L86" i="90" s="1"/>
  <c r="K87" i="90"/>
  <c r="L87" i="90" s="1"/>
  <c r="K88" i="90"/>
  <c r="L88" i="90" s="1"/>
  <c r="K89" i="90"/>
  <c r="L89" i="90" s="1"/>
  <c r="K90" i="90"/>
  <c r="L90" i="90" s="1"/>
  <c r="K91" i="90"/>
  <c r="L91" i="90" s="1"/>
  <c r="K92" i="90"/>
  <c r="L92" i="90" s="1"/>
  <c r="K93" i="90"/>
  <c r="L93" i="90" s="1"/>
  <c r="K94" i="90"/>
  <c r="L94" i="90" s="1"/>
  <c r="K95" i="90"/>
  <c r="L95" i="90" s="1"/>
  <c r="K96" i="90"/>
  <c r="L96" i="90" s="1"/>
  <c r="K97" i="90"/>
  <c r="L97" i="90" s="1"/>
  <c r="K98" i="90"/>
  <c r="L98" i="90" s="1"/>
  <c r="K99" i="90"/>
  <c r="L99" i="90" s="1"/>
  <c r="K100" i="90"/>
  <c r="L100" i="90" s="1"/>
  <c r="K101" i="90"/>
  <c r="L101" i="90" s="1"/>
  <c r="K102" i="90"/>
  <c r="L102" i="90" s="1"/>
  <c r="K103" i="90"/>
  <c r="L103" i="90" s="1"/>
  <c r="K104" i="90"/>
  <c r="L104" i="90" s="1"/>
  <c r="AK149" i="92" l="1"/>
  <c r="AL149" i="92" s="1"/>
  <c r="AW134" i="92"/>
  <c r="AW170" i="92"/>
  <c r="AW135" i="92"/>
  <c r="AW169" i="92"/>
  <c r="AW143" i="92"/>
  <c r="AW142" i="92"/>
  <c r="AW153" i="92"/>
  <c r="AW148" i="92"/>
  <c r="AW165" i="92"/>
  <c r="AW184" i="92"/>
  <c r="AW161" i="92"/>
  <c r="AW141" i="92"/>
  <c r="AW133" i="92"/>
  <c r="AK153" i="92"/>
  <c r="AL153" i="92" s="1"/>
  <c r="AW146" i="92"/>
  <c r="AX173" i="92"/>
  <c r="AR173" i="92" s="1"/>
  <c r="AS173" i="92" s="1"/>
  <c r="AX163" i="92"/>
  <c r="AX151" i="92"/>
  <c r="AX137" i="92"/>
  <c r="BA182" i="92"/>
  <c r="BA172" i="92"/>
  <c r="BA156" i="92"/>
  <c r="BA146" i="92"/>
  <c r="BA139" i="92"/>
  <c r="BB174" i="92"/>
  <c r="BB162" i="92"/>
  <c r="BB150" i="92"/>
  <c r="BB140" i="92"/>
  <c r="BC182" i="92"/>
  <c r="BC172" i="92"/>
  <c r="BC156" i="92"/>
  <c r="BC146" i="92"/>
  <c r="BC139" i="92"/>
  <c r="AX183" i="92"/>
  <c r="AX166" i="92"/>
  <c r="AR166" i="92" s="1"/>
  <c r="AS166" i="92" s="1"/>
  <c r="AX153" i="92"/>
  <c r="AX140" i="92"/>
  <c r="BA181" i="92"/>
  <c r="BA169" i="92"/>
  <c r="BA155" i="92"/>
  <c r="BA141" i="92"/>
  <c r="BB182" i="92"/>
  <c r="BB171" i="92"/>
  <c r="BB159" i="92"/>
  <c r="BB143" i="92"/>
  <c r="BC186" i="92"/>
  <c r="BC170" i="92"/>
  <c r="BC158" i="92"/>
  <c r="BC145" i="92"/>
  <c r="AX184" i="92"/>
  <c r="BD184" i="92" s="1"/>
  <c r="AX168" i="92"/>
  <c r="AX156" i="92"/>
  <c r="AX145" i="92"/>
  <c r="BA179" i="92"/>
  <c r="BA167" i="92"/>
  <c r="BA153" i="92"/>
  <c r="BA137" i="92"/>
  <c r="BB183" i="92"/>
  <c r="BB164" i="92"/>
  <c r="BB152" i="92"/>
  <c r="BB136" i="92"/>
  <c r="BC174" i="92"/>
  <c r="BC165" i="92"/>
  <c r="BC148" i="92"/>
  <c r="BC133" i="92"/>
  <c r="AX186" i="92"/>
  <c r="AX171" i="92"/>
  <c r="AX155" i="92"/>
  <c r="AX138" i="92"/>
  <c r="BD138" i="92" s="1"/>
  <c r="BA175" i="92"/>
  <c r="BA157" i="92"/>
  <c r="BA143" i="92"/>
  <c r="BB180" i="92"/>
  <c r="BB166" i="92"/>
  <c r="BB147" i="92"/>
  <c r="BB139" i="92"/>
  <c r="BC176" i="92"/>
  <c r="BC159" i="92"/>
  <c r="BC141" i="92"/>
  <c r="AX179" i="92"/>
  <c r="AX169" i="92"/>
  <c r="AX147" i="92"/>
  <c r="AX133" i="92"/>
  <c r="BA186" i="92"/>
  <c r="BA164" i="92"/>
  <c r="BA147" i="92"/>
  <c r="BB184" i="92"/>
  <c r="BB172" i="92"/>
  <c r="BB153" i="92"/>
  <c r="BB134" i="92"/>
  <c r="BC168" i="92"/>
  <c r="BC155" i="92"/>
  <c r="BC135" i="92"/>
  <c r="AX178" i="92"/>
  <c r="AX161" i="92"/>
  <c r="AR161" i="92" s="1"/>
  <c r="AS161" i="92" s="1"/>
  <c r="AX143" i="92"/>
  <c r="AR143" i="92" s="1"/>
  <c r="AS143" i="92" s="1"/>
  <c r="BA174" i="92"/>
  <c r="BA161" i="92"/>
  <c r="BA142" i="92"/>
  <c r="BB177" i="92"/>
  <c r="BB160" i="92"/>
  <c r="BB144" i="92"/>
  <c r="BC180" i="92"/>
  <c r="BC164" i="92"/>
  <c r="BC147" i="92"/>
  <c r="AX167" i="92"/>
  <c r="AX149" i="92"/>
  <c r="BA176" i="92"/>
  <c r="BA150" i="92"/>
  <c r="BA133" i="92"/>
  <c r="BB169" i="92"/>
  <c r="BB146" i="92"/>
  <c r="BC183" i="92"/>
  <c r="BC161" i="92"/>
  <c r="BC137" i="92"/>
  <c r="AX185" i="92"/>
  <c r="AR185" i="92" s="1"/>
  <c r="AS185" i="92" s="1"/>
  <c r="AX165" i="92"/>
  <c r="BD165" i="92" s="1"/>
  <c r="AX141" i="92"/>
  <c r="BA184" i="92"/>
  <c r="BA163" i="92"/>
  <c r="BA140" i="92"/>
  <c r="BB176" i="92"/>
  <c r="BB151" i="92"/>
  <c r="BC179" i="92"/>
  <c r="BC160" i="92"/>
  <c r="BC138" i="92"/>
  <c r="AX182" i="92"/>
  <c r="AX160" i="92"/>
  <c r="AX135" i="92"/>
  <c r="BA185" i="92"/>
  <c r="BA165" i="92"/>
  <c r="BA135" i="92"/>
  <c r="BB168" i="92"/>
  <c r="BB148" i="92"/>
  <c r="BC181" i="92"/>
  <c r="BC157" i="92"/>
  <c r="BC136" i="92"/>
  <c r="AX180" i="92"/>
  <c r="AX157" i="92"/>
  <c r="AX136" i="92"/>
  <c r="BA180" i="92"/>
  <c r="BA160" i="92"/>
  <c r="BA138" i="92"/>
  <c r="BB170" i="92"/>
  <c r="BB149" i="92"/>
  <c r="BC177" i="92"/>
  <c r="BC154" i="92"/>
  <c r="BC134" i="92"/>
  <c r="AX181" i="92"/>
  <c r="AR181" i="92" s="1"/>
  <c r="AS181" i="92" s="1"/>
  <c r="AX150" i="92"/>
  <c r="BA158" i="92"/>
  <c r="BB186" i="92"/>
  <c r="BB158" i="92"/>
  <c r="BC178" i="92"/>
  <c r="BC152" i="92"/>
  <c r="AX174" i="92"/>
  <c r="AX148" i="92"/>
  <c r="AR148" i="92" s="1"/>
  <c r="AS148" i="92" s="1"/>
  <c r="BA154" i="92"/>
  <c r="BB181" i="92"/>
  <c r="BB155" i="92"/>
  <c r="BC175" i="92"/>
  <c r="BC144" i="92"/>
  <c r="AX146" i="92"/>
  <c r="BD146" i="92" s="1"/>
  <c r="BA178" i="92"/>
  <c r="BA144" i="92"/>
  <c r="BB161" i="92"/>
  <c r="BC185" i="92"/>
  <c r="BC143" i="92"/>
  <c r="BC188" i="92"/>
  <c r="AX177" i="92"/>
  <c r="AX144" i="92"/>
  <c r="AR144" i="92" s="1"/>
  <c r="AS144" i="92" s="1"/>
  <c r="BA173" i="92"/>
  <c r="BA145" i="92"/>
  <c r="BB157" i="92"/>
  <c r="BC173" i="92"/>
  <c r="BC142" i="92"/>
  <c r="AX175" i="92"/>
  <c r="BD175" i="92" s="1"/>
  <c r="AX142" i="92"/>
  <c r="BA168" i="92"/>
  <c r="BA136" i="92"/>
  <c r="BB156" i="92"/>
  <c r="BC171" i="92"/>
  <c r="BC140" i="92"/>
  <c r="BD140" i="92" s="1"/>
  <c r="AX172" i="92"/>
  <c r="AR172" i="92" s="1"/>
  <c r="AS172" i="92" s="1"/>
  <c r="BA166" i="92"/>
  <c r="BB179" i="92"/>
  <c r="BB142" i="92"/>
  <c r="BC166" i="92"/>
  <c r="AX164" i="92"/>
  <c r="BA162" i="92"/>
  <c r="BB178" i="92"/>
  <c r="BB141" i="92"/>
  <c r="BC162" i="92"/>
  <c r="BB173" i="92"/>
  <c r="BC167" i="92"/>
  <c r="AX176" i="92"/>
  <c r="AR176" i="92" s="1"/>
  <c r="AS176" i="92" s="1"/>
  <c r="BA183" i="92"/>
  <c r="BB175" i="92"/>
  <c r="BC169" i="92"/>
  <c r="AX187" i="92"/>
  <c r="AX159" i="92"/>
  <c r="BA159" i="92"/>
  <c r="BB154" i="92"/>
  <c r="BC151" i="92"/>
  <c r="AX162" i="92"/>
  <c r="BA152" i="92"/>
  <c r="BB133" i="92"/>
  <c r="AX158" i="92"/>
  <c r="AR158" i="92" s="1"/>
  <c r="AS158" i="92" s="1"/>
  <c r="BA148" i="92"/>
  <c r="BC184" i="92"/>
  <c r="BA188" i="92"/>
  <c r="AX154" i="92"/>
  <c r="BA149" i="92"/>
  <c r="BC163" i="92"/>
  <c r="BB187" i="92"/>
  <c r="BB165" i="92"/>
  <c r="AX139" i="92"/>
  <c r="BB135" i="92"/>
  <c r="BB188" i="92"/>
  <c r="BC187" i="92"/>
  <c r="BC153" i="92"/>
  <c r="BB138" i="92"/>
  <c r="BA177" i="92"/>
  <c r="BA151" i="92"/>
  <c r="BA134" i="92"/>
  <c r="BB185" i="92"/>
  <c r="BB163" i="92"/>
  <c r="BB145" i="92"/>
  <c r="BB137" i="92"/>
  <c r="AX170" i="92"/>
  <c r="AX152" i="92"/>
  <c r="BD152" i="92" s="1"/>
  <c r="AX134" i="92"/>
  <c r="AR134" i="92" s="1"/>
  <c r="AS134" i="92" s="1"/>
  <c r="BA170" i="92"/>
  <c r="BA171" i="92"/>
  <c r="BC150" i="92"/>
  <c r="BC149" i="92"/>
  <c r="AX188" i="92"/>
  <c r="BA187" i="92"/>
  <c r="BB167" i="92"/>
  <c r="AX1" i="92"/>
  <c r="AW188" i="92"/>
  <c r="AW166" i="92"/>
  <c r="AW177" i="92"/>
  <c r="AR177" i="92"/>
  <c r="AS177" i="92" s="1"/>
  <c r="AW138" i="92"/>
  <c r="AW179" i="92"/>
  <c r="AR179" i="92"/>
  <c r="AS179" i="92" s="1"/>
  <c r="AW174" i="92"/>
  <c r="AR174" i="92"/>
  <c r="AS174" i="92" s="1"/>
  <c r="AW156" i="92"/>
  <c r="AR156" i="92"/>
  <c r="AS156" i="92" s="1"/>
  <c r="AW144" i="92"/>
  <c r="AK164" i="92"/>
  <c r="AL164" i="92" s="1"/>
  <c r="AK184" i="92"/>
  <c r="AL184" i="92" s="1"/>
  <c r="AK174" i="92"/>
  <c r="AL174" i="92" s="1"/>
  <c r="AK152" i="92"/>
  <c r="AL152" i="92" s="1"/>
  <c r="AK168" i="92"/>
  <c r="AL168" i="92" s="1"/>
  <c r="AR150" i="92"/>
  <c r="AS150" i="92" s="1"/>
  <c r="AW150" i="92"/>
  <c r="AW160" i="92"/>
  <c r="AW176" i="92"/>
  <c r="AW140" i="92"/>
  <c r="AR140" i="92"/>
  <c r="AS140" i="92" s="1"/>
  <c r="AW158" i="92"/>
  <c r="AK150" i="92"/>
  <c r="AL150" i="92" s="1"/>
  <c r="AK142" i="92"/>
  <c r="AL142" i="92" s="1"/>
  <c r="AK138" i="92"/>
  <c r="AL138" i="92" s="1"/>
  <c r="AK135" i="92"/>
  <c r="AL135" i="92" s="1"/>
  <c r="AR139" i="92"/>
  <c r="AS139" i="92" s="1"/>
  <c r="AW139" i="92"/>
  <c r="AW152" i="92"/>
  <c r="AW136" i="92"/>
  <c r="AW181" i="92"/>
  <c r="AW155" i="92"/>
  <c r="AW171" i="92"/>
  <c r="AK177" i="92"/>
  <c r="AL177" i="92" s="1"/>
  <c r="AK133" i="92"/>
  <c r="AL133" i="92" s="1"/>
  <c r="AR145" i="92"/>
  <c r="AS145" i="92" s="1"/>
  <c r="AW145" i="92"/>
  <c r="AW173" i="92"/>
  <c r="AW157" i="92"/>
  <c r="AR157" i="92"/>
  <c r="AS157" i="92" s="1"/>
  <c r="AW172" i="92"/>
  <c r="AW180" i="92"/>
  <c r="AK176" i="92"/>
  <c r="AL176" i="92" s="1"/>
  <c r="AK169" i="92"/>
  <c r="AL169" i="92" s="1"/>
  <c r="AK187" i="92"/>
  <c r="AL187" i="92" s="1"/>
  <c r="AK156" i="92"/>
  <c r="AL156" i="92" s="1"/>
  <c r="AW159" i="92"/>
  <c r="AW183" i="92"/>
  <c r="AW186" i="92"/>
  <c r="AR186" i="92"/>
  <c r="AS186" i="92" s="1"/>
  <c r="AK183" i="92"/>
  <c r="AL183" i="92" s="1"/>
  <c r="AK143" i="92"/>
  <c r="AL143" i="92" s="1"/>
  <c r="AW175" i="92"/>
  <c r="AW154" i="92"/>
  <c r="AK146" i="92"/>
  <c r="AL146" i="92" s="1"/>
  <c r="AW2" i="92"/>
  <c r="AQ2" i="92"/>
  <c r="AU2" i="92"/>
  <c r="AS2" i="92"/>
  <c r="AR2" i="92"/>
  <c r="AT2" i="92"/>
  <c r="AV2" i="92"/>
  <c r="AW163" i="92"/>
  <c r="AR163" i="92"/>
  <c r="AS163" i="92" s="1"/>
  <c r="AW178" i="92"/>
  <c r="AW185" i="92"/>
  <c r="AW167" i="92"/>
  <c r="AK185" i="92"/>
  <c r="AL185" i="92" s="1"/>
  <c r="AW182" i="92"/>
  <c r="AR182" i="92"/>
  <c r="AS182" i="92" s="1"/>
  <c r="AK178" i="92"/>
  <c r="AL178" i="92" s="1"/>
  <c r="AK159" i="92"/>
  <c r="AL159" i="92" s="1"/>
  <c r="AK141" i="92"/>
  <c r="AL141" i="92" s="1"/>
  <c r="AK162" i="92"/>
  <c r="AL162" i="92" s="1"/>
  <c r="AW162" i="92"/>
  <c r="AW168" i="92"/>
  <c r="AR168" i="92"/>
  <c r="AS168" i="92" s="1"/>
  <c r="AW147" i="92"/>
  <c r="AR137" i="92"/>
  <c r="AS137" i="92" s="1"/>
  <c r="AW137" i="92"/>
  <c r="AW164" i="92"/>
  <c r="AR151" i="92"/>
  <c r="AS151" i="92" s="1"/>
  <c r="AW151" i="92"/>
  <c r="AK158" i="92"/>
  <c r="AL158" i="92" s="1"/>
  <c r="AK175" i="92"/>
  <c r="AL175" i="92" s="1"/>
  <c r="AK165" i="92"/>
  <c r="AL165" i="92" s="1"/>
  <c r="AK186" i="92"/>
  <c r="AL186" i="92" s="1"/>
  <c r="L434" i="90"/>
  <c r="L805" i="90"/>
  <c r="L931" i="90"/>
  <c r="L288" i="90"/>
  <c r="L433" i="90"/>
  <c r="L671" i="90"/>
  <c r="L816" i="90"/>
  <c r="L780" i="90"/>
  <c r="L768" i="90"/>
  <c r="L1355" i="90"/>
  <c r="L1529" i="90"/>
  <c r="L1505" i="90"/>
  <c r="L1781" i="90"/>
  <c r="L1745" i="90"/>
  <c r="L2020" i="90"/>
  <c r="L2008" i="90"/>
  <c r="L1996" i="90"/>
  <c r="L1984" i="90"/>
  <c r="L1972" i="90"/>
  <c r="L1960" i="90"/>
  <c r="L1948" i="90"/>
  <c r="L1936" i="90"/>
  <c r="L1924" i="90"/>
  <c r="L1912" i="90"/>
  <c r="L2041" i="90"/>
  <c r="L211" i="90"/>
  <c r="L322" i="90"/>
  <c r="L383" i="90"/>
  <c r="L564" i="90"/>
  <c r="L504" i="90"/>
  <c r="L681" i="90"/>
  <c r="L609" i="90"/>
  <c r="L802" i="90"/>
  <c r="L766" i="90"/>
  <c r="L754" i="90"/>
  <c r="L1044" i="90"/>
  <c r="L1176" i="90"/>
  <c r="L1284" i="90"/>
  <c r="L1401" i="90"/>
  <c r="L1527" i="90"/>
  <c r="L1515" i="90"/>
  <c r="L1905" i="90"/>
  <c r="L2018" i="90"/>
  <c r="L2006" i="90"/>
  <c r="L1994" i="90"/>
  <c r="L1982" i="90"/>
  <c r="L1970" i="90"/>
  <c r="L1958" i="90"/>
  <c r="L1946" i="90"/>
  <c r="L1934" i="90"/>
  <c r="L1922" i="90"/>
  <c r="L1910" i="90"/>
  <c r="L2063" i="90"/>
  <c r="L202" i="90"/>
  <c r="L410" i="90"/>
  <c r="L684" i="90"/>
  <c r="L817" i="90"/>
  <c r="L919" i="90"/>
  <c r="L1404" i="90"/>
  <c r="L1621" i="90"/>
  <c r="L2021" i="90"/>
  <c r="L2009" i="90"/>
  <c r="L1997" i="90"/>
  <c r="L1985" i="90"/>
  <c r="L1973" i="90"/>
  <c r="L1961" i="90"/>
  <c r="L1949" i="90"/>
  <c r="L1937" i="90"/>
  <c r="L1925" i="90"/>
  <c r="L1913" i="90"/>
  <c r="L2150" i="90"/>
  <c r="L503" i="90"/>
  <c r="L1175" i="90"/>
  <c r="L1442" i="90"/>
  <c r="L2005" i="90"/>
  <c r="L1981" i="90"/>
  <c r="L1957" i="90"/>
  <c r="L1921" i="90"/>
  <c r="L2122" i="90"/>
  <c r="L2098" i="90"/>
  <c r="L209" i="90"/>
  <c r="L197" i="90"/>
  <c r="L320" i="90"/>
  <c r="L308" i="90"/>
  <c r="L441" i="90"/>
  <c r="L393" i="90"/>
  <c r="L550" i="90"/>
  <c r="L812" i="90"/>
  <c r="L752" i="90"/>
  <c r="L1018" i="90"/>
  <c r="L1162" i="90"/>
  <c r="L1411" i="90"/>
  <c r="L1525" i="90"/>
  <c r="L1477" i="90"/>
  <c r="L2028" i="90"/>
  <c r="L2016" i="90"/>
  <c r="L2004" i="90"/>
  <c r="L1992" i="90"/>
  <c r="L1980" i="90"/>
  <c r="L1968" i="90"/>
  <c r="L1956" i="90"/>
  <c r="L1944" i="90"/>
  <c r="L1932" i="90"/>
  <c r="L1920" i="90"/>
  <c r="L1908" i="90"/>
  <c r="L2145" i="90"/>
  <c r="L2121" i="90"/>
  <c r="L2109" i="90"/>
  <c r="L2097" i="90"/>
  <c r="L2085" i="90"/>
  <c r="L2049" i="90"/>
  <c r="L181" i="90"/>
  <c r="L316" i="90"/>
  <c r="L462" i="90"/>
  <c r="L675" i="90"/>
  <c r="L639" i="90"/>
  <c r="L627" i="90"/>
  <c r="L808" i="90"/>
  <c r="L922" i="90"/>
  <c r="L1098" i="90"/>
  <c r="L1290" i="90"/>
  <c r="L1689" i="90"/>
  <c r="L2024" i="90"/>
  <c r="L2012" i="90"/>
  <c r="L2000" i="90"/>
  <c r="L1988" i="90"/>
  <c r="L1976" i="90"/>
  <c r="L1964" i="90"/>
  <c r="L1952" i="90"/>
  <c r="L1940" i="90"/>
  <c r="L1928" i="90"/>
  <c r="L1916" i="90"/>
  <c r="L314" i="90"/>
  <c r="L556" i="90"/>
  <c r="L685" i="90"/>
  <c r="L1168" i="90"/>
  <c r="L1381" i="90"/>
  <c r="L2022" i="90"/>
  <c r="L2010" i="90"/>
  <c r="L1998" i="90"/>
  <c r="L1986" i="90"/>
  <c r="L1974" i="90"/>
  <c r="L1962" i="90"/>
  <c r="L1950" i="90"/>
  <c r="L1938" i="90"/>
  <c r="L1926" i="90"/>
  <c r="L1914" i="90"/>
  <c r="L2127" i="90"/>
  <c r="L2091" i="90"/>
  <c r="L2043" i="90"/>
  <c r="L210" i="90"/>
  <c r="L321" i="90"/>
  <c r="L382" i="90"/>
  <c r="L563" i="90"/>
  <c r="L753" i="90"/>
  <c r="L1139" i="90"/>
  <c r="L1868" i="90"/>
  <c r="L2029" i="90"/>
  <c r="L2017" i="90"/>
  <c r="L1993" i="90"/>
  <c r="L1969" i="90"/>
  <c r="L1945" i="90"/>
  <c r="L1933" i="90"/>
  <c r="L1909" i="90"/>
  <c r="L2134" i="90"/>
  <c r="L2110" i="90"/>
  <c r="L196" i="90"/>
  <c r="L307" i="90"/>
  <c r="L247" i="90"/>
  <c r="L440" i="90"/>
  <c r="L428" i="90"/>
  <c r="L344" i="90"/>
  <c r="L561" i="90"/>
  <c r="L690" i="90"/>
  <c r="L678" i="90"/>
  <c r="L799" i="90"/>
  <c r="L925" i="90"/>
  <c r="L1053" i="90"/>
  <c r="L1041" i="90"/>
  <c r="L1281" i="90"/>
  <c r="L1257" i="90"/>
  <c r="L1536" i="90"/>
  <c r="L1639" i="90"/>
  <c r="L1567" i="90"/>
  <c r="L2027" i="90"/>
  <c r="L2015" i="90"/>
  <c r="L2003" i="90"/>
  <c r="L1991" i="90"/>
  <c r="L1979" i="90"/>
  <c r="L1967" i="90"/>
  <c r="L1955" i="90"/>
  <c r="L1943" i="90"/>
  <c r="L1931" i="90"/>
  <c r="L1919" i="90"/>
  <c r="L2156" i="90"/>
  <c r="L2144" i="90"/>
  <c r="L2132" i="90"/>
  <c r="L2108" i="90"/>
  <c r="L2096" i="90"/>
  <c r="L2084" i="90"/>
  <c r="L2072" i="90"/>
  <c r="L2060" i="90"/>
  <c r="L2048" i="90"/>
  <c r="L207" i="90"/>
  <c r="L318" i="90"/>
  <c r="L427" i="90"/>
  <c r="L343" i="90"/>
  <c r="L548" i="90"/>
  <c r="L512" i="90"/>
  <c r="L464" i="90"/>
  <c r="L689" i="90"/>
  <c r="L653" i="90"/>
  <c r="L936" i="90"/>
  <c r="L900" i="90"/>
  <c r="L1602" i="90"/>
  <c r="L2026" i="90"/>
  <c r="L2014" i="90"/>
  <c r="L1990" i="90"/>
  <c r="L1978" i="90"/>
  <c r="L1966" i="90"/>
  <c r="L1954" i="90"/>
  <c r="L1942" i="90"/>
  <c r="L1930" i="90"/>
  <c r="L1918" i="90"/>
  <c r="L438" i="90"/>
  <c r="L559" i="90"/>
  <c r="L547" i="90"/>
  <c r="L463" i="90"/>
  <c r="L628" i="90"/>
  <c r="L809" i="90"/>
  <c r="L935" i="90"/>
  <c r="L979" i="90"/>
  <c r="L1171" i="90"/>
  <c r="L1159" i="90"/>
  <c r="L2025" i="90"/>
  <c r="L2013" i="90"/>
  <c r="L2001" i="90"/>
  <c r="L1989" i="90"/>
  <c r="L1977" i="90"/>
  <c r="L1965" i="90"/>
  <c r="L1953" i="90"/>
  <c r="L1941" i="90"/>
  <c r="L1929" i="90"/>
  <c r="L1917" i="90"/>
  <c r="L2154" i="90"/>
  <c r="L2142" i="90"/>
  <c r="L2130" i="90"/>
  <c r="L2118" i="90"/>
  <c r="L2106" i="90"/>
  <c r="L2094" i="90"/>
  <c r="L2058" i="90"/>
  <c r="L2034" i="90"/>
  <c r="L436" i="90"/>
  <c r="L557" i="90"/>
  <c r="L521" i="90"/>
  <c r="L626" i="90"/>
  <c r="L735" i="90"/>
  <c r="L1049" i="90"/>
  <c r="L1037" i="90"/>
  <c r="L1277" i="90"/>
  <c r="L1382" i="90"/>
  <c r="L1496" i="90"/>
  <c r="L1659" i="90"/>
  <c r="L2023" i="90"/>
  <c r="L2011" i="90"/>
  <c r="L1999" i="90"/>
  <c r="L1987" i="90"/>
  <c r="L1975" i="90"/>
  <c r="L1963" i="90"/>
  <c r="L1951" i="90"/>
  <c r="L1939" i="90"/>
  <c r="L1927" i="90"/>
  <c r="L1915" i="90"/>
  <c r="L2152" i="90"/>
  <c r="L203" i="90"/>
  <c r="L673" i="90"/>
  <c r="L782" i="90"/>
  <c r="L860" i="90"/>
  <c r="L529" i="90"/>
  <c r="L682" i="90"/>
  <c r="L929" i="90"/>
  <c r="L1165" i="90"/>
  <c r="L2019" i="90"/>
  <c r="L2007" i="90"/>
  <c r="L1995" i="90"/>
  <c r="L1983" i="90"/>
  <c r="L1971" i="90"/>
  <c r="L1959" i="90"/>
  <c r="L1947" i="90"/>
  <c r="L1935" i="90"/>
  <c r="L1923" i="90"/>
  <c r="L1911" i="90"/>
  <c r="L2124" i="90"/>
  <c r="L2100" i="90"/>
  <c r="L2088" i="90"/>
  <c r="L2076" i="90"/>
  <c r="L2052" i="90"/>
  <c r="AO42" i="92"/>
  <c r="AP42" i="92" s="1"/>
  <c r="AO23" i="92"/>
  <c r="AP23" i="92" s="1"/>
  <c r="AO27" i="92"/>
  <c r="AP27" i="92" s="1"/>
  <c r="AO56" i="92"/>
  <c r="AP56" i="92" s="1"/>
  <c r="AO68" i="92"/>
  <c r="AP68" i="92" s="1"/>
  <c r="AO129" i="92"/>
  <c r="AP129" i="92" s="1"/>
  <c r="AO46" i="92"/>
  <c r="AP46" i="92" s="1"/>
  <c r="AH114" i="92"/>
  <c r="AH121" i="92"/>
  <c r="AI121" i="92" s="1"/>
  <c r="AH82" i="92"/>
  <c r="AH24" i="92"/>
  <c r="AI24" i="92" s="1"/>
  <c r="AH37" i="92"/>
  <c r="AI37" i="92" s="1"/>
  <c r="AH14" i="92"/>
  <c r="AI14" i="92" s="1"/>
  <c r="AH130" i="92"/>
  <c r="AH5" i="92"/>
  <c r="AH49" i="92"/>
  <c r="AH30" i="92"/>
  <c r="AO32" i="92"/>
  <c r="AP32" i="92" s="1"/>
  <c r="AO17" i="92"/>
  <c r="AP17" i="92" s="1"/>
  <c r="AO105" i="92"/>
  <c r="AP105" i="92" s="1"/>
  <c r="AO61" i="92"/>
  <c r="AP61" i="92" s="1"/>
  <c r="AO116" i="92"/>
  <c r="AP116" i="92" s="1"/>
  <c r="AO110" i="92"/>
  <c r="AP110" i="92" s="1"/>
  <c r="AH115" i="92"/>
  <c r="AH87" i="92"/>
  <c r="AI87" i="92" s="1"/>
  <c r="AH91" i="92"/>
  <c r="AO132" i="92"/>
  <c r="AP132" i="92" s="1"/>
  <c r="AO89" i="92"/>
  <c r="AP89" i="92" s="1"/>
  <c r="AO13" i="92"/>
  <c r="AP13" i="92" s="1"/>
  <c r="AO47" i="92"/>
  <c r="AP47" i="92" s="1"/>
  <c r="AO6" i="92"/>
  <c r="AP6" i="92" s="1"/>
  <c r="AO34" i="92"/>
  <c r="AP34" i="92" s="1"/>
  <c r="AO90" i="92"/>
  <c r="AP90" i="92" s="1"/>
  <c r="AO95" i="92"/>
  <c r="AP95" i="92" s="1"/>
  <c r="AO86" i="92"/>
  <c r="AP86" i="92" s="1"/>
  <c r="AO125" i="92"/>
  <c r="AP125" i="92" s="1"/>
  <c r="AH63" i="92"/>
  <c r="AH131" i="92"/>
  <c r="AH22" i="92"/>
  <c r="AH16" i="92"/>
  <c r="AH96" i="92"/>
  <c r="AI96" i="92" s="1"/>
  <c r="AH112" i="92"/>
  <c r="AH79" i="92"/>
  <c r="AH70" i="92"/>
  <c r="AI70" i="92" s="1"/>
  <c r="AH41" i="92"/>
  <c r="AH81" i="92"/>
  <c r="AH125" i="92"/>
  <c r="AO60" i="92"/>
  <c r="AP60" i="92" s="1"/>
  <c r="AO113" i="92"/>
  <c r="AP113" i="92" s="1"/>
  <c r="AO43" i="92"/>
  <c r="AP43" i="92" s="1"/>
  <c r="AO76" i="92"/>
  <c r="AP76" i="92" s="1"/>
  <c r="AO124" i="92"/>
  <c r="AP124" i="92" s="1"/>
  <c r="AO12" i="92"/>
  <c r="AP12" i="92" s="1"/>
  <c r="AO59" i="92"/>
  <c r="AP59" i="92" s="1"/>
  <c r="AO9" i="92"/>
  <c r="AP9" i="92" s="1"/>
  <c r="AH54" i="92"/>
  <c r="AI54" i="92" s="1"/>
  <c r="AH111" i="92"/>
  <c r="AI111" i="92" s="1"/>
  <c r="AH93" i="92"/>
  <c r="AH64" i="92"/>
  <c r="AI64" i="92" s="1"/>
  <c r="AH18" i="92"/>
  <c r="AI18" i="92" s="1"/>
  <c r="AH119" i="92"/>
  <c r="AH36" i="92"/>
  <c r="AH129" i="92"/>
  <c r="AH46" i="92"/>
  <c r="AH9" i="92"/>
  <c r="AO108" i="92"/>
  <c r="AP108" i="92" s="1"/>
  <c r="AO121" i="92"/>
  <c r="AP121" i="92" s="1"/>
  <c r="AO111" i="92"/>
  <c r="AP111" i="92" s="1"/>
  <c r="AO93" i="92"/>
  <c r="AP93" i="92" s="1"/>
  <c r="AO64" i="92"/>
  <c r="AP64" i="92" s="1"/>
  <c r="AO18" i="92"/>
  <c r="AP18" i="92" s="1"/>
  <c r="AO130" i="92"/>
  <c r="AP130" i="92" s="1"/>
  <c r="AO7" i="92"/>
  <c r="AP7" i="92" s="1"/>
  <c r="AO21" i="92"/>
  <c r="AP21" i="92" s="1"/>
  <c r="AH58" i="92"/>
  <c r="AH85" i="92"/>
  <c r="AH98" i="92"/>
  <c r="AH83" i="92"/>
  <c r="AH105" i="92"/>
  <c r="AI105" i="92" s="1"/>
  <c r="AH127" i="92"/>
  <c r="AI127" i="92" s="1"/>
  <c r="AH61" i="92"/>
  <c r="AH53" i="92"/>
  <c r="AI53" i="92" s="1"/>
  <c r="AH40" i="92"/>
  <c r="AH21" i="92"/>
  <c r="AO114" i="92"/>
  <c r="AP114" i="92" s="1"/>
  <c r="AO82" i="92"/>
  <c r="AO14" i="92"/>
  <c r="AP14" i="92" s="1"/>
  <c r="AO40" i="92"/>
  <c r="AP40" i="92" s="1"/>
  <c r="AH32" i="92"/>
  <c r="AH13" i="92"/>
  <c r="AI13" i="92" s="1"/>
  <c r="AO80" i="92"/>
  <c r="AP80" i="92" s="1"/>
  <c r="AO83" i="92"/>
  <c r="AP83" i="92" s="1"/>
  <c r="AO127" i="92"/>
  <c r="AP127" i="92" s="1"/>
  <c r="AO126" i="92"/>
  <c r="AP126" i="92" s="1"/>
  <c r="AO106" i="92"/>
  <c r="AP106" i="92" s="1"/>
  <c r="AH104" i="92"/>
  <c r="AH8" i="92"/>
  <c r="AH66" i="92"/>
  <c r="AH97" i="92"/>
  <c r="AI97" i="92" s="1"/>
  <c r="AH51" i="92"/>
  <c r="AH95" i="92"/>
  <c r="AH86" i="92"/>
  <c r="AI86" i="92" s="1"/>
  <c r="AO104" i="92"/>
  <c r="AP104" i="92" s="1"/>
  <c r="AO115" i="92"/>
  <c r="AP115" i="92" s="1"/>
  <c r="AO8" i="92"/>
  <c r="AP8" i="92" s="1"/>
  <c r="AO55" i="92"/>
  <c r="AP55" i="92" s="1"/>
  <c r="AO109" i="92"/>
  <c r="AP109" i="92" s="1"/>
  <c r="AO101" i="92"/>
  <c r="AP101" i="92" s="1"/>
  <c r="AO99" i="92"/>
  <c r="AP99" i="92" s="1"/>
  <c r="AO51" i="92"/>
  <c r="AP51" i="92" s="1"/>
  <c r="AO41" i="92"/>
  <c r="AP41" i="92" s="1"/>
  <c r="AO81" i="92"/>
  <c r="AP81" i="92" s="1"/>
  <c r="AO77" i="92"/>
  <c r="AP77" i="92" s="1"/>
  <c r="AH33" i="92"/>
  <c r="AI33" i="92" s="1"/>
  <c r="AH44" i="92"/>
  <c r="AH122" i="92"/>
  <c r="AI122" i="92" s="1"/>
  <c r="AH102" i="92"/>
  <c r="AH75" i="92"/>
  <c r="AH84" i="92"/>
  <c r="AH78" i="92"/>
  <c r="AH50" i="92"/>
  <c r="AH38" i="92"/>
  <c r="AH73" i="92"/>
  <c r="AI73" i="92" s="1"/>
  <c r="AH77" i="92"/>
  <c r="AO107" i="92"/>
  <c r="AP107" i="92" s="1"/>
  <c r="AO24" i="92"/>
  <c r="AP24" i="92" s="1"/>
  <c r="AO39" i="92"/>
  <c r="AP39" i="92" s="1"/>
  <c r="AO62" i="92"/>
  <c r="AP62" i="92" s="1"/>
  <c r="AH17" i="92"/>
  <c r="AH6" i="92"/>
  <c r="AH126" i="92"/>
  <c r="AH110" i="92"/>
  <c r="AO63" i="92"/>
  <c r="AP63" i="92" s="1"/>
  <c r="AO131" i="92"/>
  <c r="AP131" i="92" s="1"/>
  <c r="AO22" i="92"/>
  <c r="AP22" i="92" s="1"/>
  <c r="AO87" i="92"/>
  <c r="AP87" i="92" s="1"/>
  <c r="AO66" i="92"/>
  <c r="AO97" i="92"/>
  <c r="AP97" i="92" s="1"/>
  <c r="AO91" i="92"/>
  <c r="AP91" i="92" s="1"/>
  <c r="AO70" i="92"/>
  <c r="AP70" i="92" s="1"/>
  <c r="AO38" i="92"/>
  <c r="AP38" i="92" s="1"/>
  <c r="AO73" i="92"/>
  <c r="AP73" i="92" s="1"/>
  <c r="AO74" i="92"/>
  <c r="AP74" i="92" s="1"/>
  <c r="AH25" i="92"/>
  <c r="AH123" i="92"/>
  <c r="AI123" i="92" s="1"/>
  <c r="AH100" i="92"/>
  <c r="AH113" i="92"/>
  <c r="AH69" i="92"/>
  <c r="AH43" i="92"/>
  <c r="AH76" i="92"/>
  <c r="AI76" i="92" s="1"/>
  <c r="AH15" i="92"/>
  <c r="AH94" i="92"/>
  <c r="AH67" i="92"/>
  <c r="AH74" i="92"/>
  <c r="AO52" i="92"/>
  <c r="AP52" i="92" s="1"/>
  <c r="AO100" i="92"/>
  <c r="AP100" i="92" s="1"/>
  <c r="AO69" i="92"/>
  <c r="AP69" i="92" s="1"/>
  <c r="AH57" i="92"/>
  <c r="AO48" i="92"/>
  <c r="AP48" i="92" s="1"/>
  <c r="AO92" i="92"/>
  <c r="AP92" i="92" s="1"/>
  <c r="AH108" i="92"/>
  <c r="AO57" i="92"/>
  <c r="AP57" i="92" s="1"/>
  <c r="AO54" i="92"/>
  <c r="AP54" i="92" s="1"/>
  <c r="AO128" i="92"/>
  <c r="AP128" i="92" s="1"/>
  <c r="AO72" i="92"/>
  <c r="AP72" i="92" s="1"/>
  <c r="AO31" i="92"/>
  <c r="AP31" i="92" s="1"/>
  <c r="AO20" i="92"/>
  <c r="AP20" i="92" s="1"/>
  <c r="AO119" i="92"/>
  <c r="AP119" i="92" s="1"/>
  <c r="AO36" i="92"/>
  <c r="AP36" i="92" s="1"/>
  <c r="AO49" i="92"/>
  <c r="AP49" i="92" s="1"/>
  <c r="AO103" i="92"/>
  <c r="AP103" i="92" s="1"/>
  <c r="AH45" i="92"/>
  <c r="AH107" i="92"/>
  <c r="AH88" i="92"/>
  <c r="AH118" i="92"/>
  <c r="AH26" i="92"/>
  <c r="AI26" i="92" s="1"/>
  <c r="AH117" i="92"/>
  <c r="AH39" i="92"/>
  <c r="AI39" i="92" s="1"/>
  <c r="AH7" i="92"/>
  <c r="AH103" i="92"/>
  <c r="AO45" i="92"/>
  <c r="AP45" i="92" s="1"/>
  <c r="AO37" i="92"/>
  <c r="AP37" i="92" s="1"/>
  <c r="AH80" i="92"/>
  <c r="AH47" i="92"/>
  <c r="AH34" i="92"/>
  <c r="AH28" i="92"/>
  <c r="AH62" i="92"/>
  <c r="AO33" i="92"/>
  <c r="AP33" i="92" s="1"/>
  <c r="AO44" i="92"/>
  <c r="AP44" i="92" s="1"/>
  <c r="AO122" i="92"/>
  <c r="AP122" i="92" s="1"/>
  <c r="AO16" i="92"/>
  <c r="AP16" i="92" s="1"/>
  <c r="AO96" i="92"/>
  <c r="AP96" i="92" s="1"/>
  <c r="AO112" i="92"/>
  <c r="AP112" i="92" s="1"/>
  <c r="AO79" i="92"/>
  <c r="AP79" i="92" s="1"/>
  <c r="AO50" i="92"/>
  <c r="AP50" i="92" s="1"/>
  <c r="AO94" i="92"/>
  <c r="AP94" i="92" s="1"/>
  <c r="AO67" i="92"/>
  <c r="AP67" i="92" s="1"/>
  <c r="AO35" i="92"/>
  <c r="AP35" i="92" s="1"/>
  <c r="AH52" i="92"/>
  <c r="AH60" i="92"/>
  <c r="AH42" i="92"/>
  <c r="AH23" i="92"/>
  <c r="AH92" i="92"/>
  <c r="AH27" i="92"/>
  <c r="AH56" i="92"/>
  <c r="AI56" i="92" s="1"/>
  <c r="AH124" i="92"/>
  <c r="AH71" i="92"/>
  <c r="AI71" i="92" s="1"/>
  <c r="AH65" i="92"/>
  <c r="AH35" i="92"/>
  <c r="AO25" i="92"/>
  <c r="AP25" i="92" s="1"/>
  <c r="AO123" i="92"/>
  <c r="AP123" i="92" s="1"/>
  <c r="AO30" i="92"/>
  <c r="AP30" i="92" s="1"/>
  <c r="AO102" i="92"/>
  <c r="AP102" i="92" s="1"/>
  <c r="AO75" i="92"/>
  <c r="AP75" i="92" s="1"/>
  <c r="AO84" i="92"/>
  <c r="AP84" i="92" s="1"/>
  <c r="AO78" i="92"/>
  <c r="AP78" i="92" s="1"/>
  <c r="AO15" i="92"/>
  <c r="AP15" i="92" s="1"/>
  <c r="AO71" i="92"/>
  <c r="AP71" i="92" s="1"/>
  <c r="AO65" i="92"/>
  <c r="AP65" i="92" s="1"/>
  <c r="AO11" i="92"/>
  <c r="AP11" i="92" s="1"/>
  <c r="AH48" i="92"/>
  <c r="AI48" i="92" s="1"/>
  <c r="AH128" i="92"/>
  <c r="AH72" i="92"/>
  <c r="AH31" i="92"/>
  <c r="AH20" i="92"/>
  <c r="AH120" i="92"/>
  <c r="AH68" i="92"/>
  <c r="AH12" i="92"/>
  <c r="AH59" i="92"/>
  <c r="AI59" i="92" s="1"/>
  <c r="AH11" i="92"/>
  <c r="AI11" i="92" s="1"/>
  <c r="AO58" i="92"/>
  <c r="AP58" i="92" s="1"/>
  <c r="AO85" i="92"/>
  <c r="AP85" i="92" s="1"/>
  <c r="AO98" i="92"/>
  <c r="AP98" i="92" s="1"/>
  <c r="AO88" i="92"/>
  <c r="AP88" i="92" s="1"/>
  <c r="AO118" i="92"/>
  <c r="AP118" i="92" s="1"/>
  <c r="AO26" i="92"/>
  <c r="AP26" i="92" s="1"/>
  <c r="AO117" i="92"/>
  <c r="AP117" i="92" s="1"/>
  <c r="AO53" i="92"/>
  <c r="AP53" i="92" s="1"/>
  <c r="AO28" i="92"/>
  <c r="AP28" i="92" s="1"/>
  <c r="AO19" i="92"/>
  <c r="AP19" i="92" s="1"/>
  <c r="AH29" i="92"/>
  <c r="AH132" i="92"/>
  <c r="AH89" i="92"/>
  <c r="AH55" i="92"/>
  <c r="AH109" i="92"/>
  <c r="AH101" i="92"/>
  <c r="AI101" i="92" s="1"/>
  <c r="AH99" i="92"/>
  <c r="AI99" i="92" s="1"/>
  <c r="AH90" i="92"/>
  <c r="AH116" i="92"/>
  <c r="AH106" i="92"/>
  <c r="AI106" i="92" s="1"/>
  <c r="AH19" i="92"/>
  <c r="H8" i="95"/>
  <c r="AK78" i="92"/>
  <c r="AL78" i="92" s="1"/>
  <c r="AK19" i="92"/>
  <c r="AK86" i="92"/>
  <c r="AL86" i="92" s="1"/>
  <c r="AK73" i="92"/>
  <c r="AL73" i="92" s="1"/>
  <c r="AK25" i="92"/>
  <c r="AL25" i="92" s="1"/>
  <c r="AK32" i="92"/>
  <c r="AK93" i="92"/>
  <c r="AL93" i="92" s="1"/>
  <c r="AK131" i="92"/>
  <c r="AL131" i="92" s="1"/>
  <c r="AK67" i="92"/>
  <c r="AL67" i="92" s="1"/>
  <c r="AK69" i="92"/>
  <c r="AL69" i="92" s="1"/>
  <c r="AK47" i="92"/>
  <c r="AL47" i="92" s="1"/>
  <c r="AK20" i="92"/>
  <c r="AL20" i="92" s="1"/>
  <c r="AK53" i="92"/>
  <c r="AL53" i="92" s="1"/>
  <c r="AK49" i="92"/>
  <c r="AL49" i="92" s="1"/>
  <c r="AK38" i="92"/>
  <c r="AL38" i="92" s="1"/>
  <c r="AK71" i="92"/>
  <c r="AL71" i="92" s="1"/>
  <c r="AK9" i="92"/>
  <c r="AL9" i="92" s="1"/>
  <c r="AK95" i="92"/>
  <c r="AL95" i="92" s="1"/>
  <c r="AK91" i="92"/>
  <c r="AL91" i="92" s="1"/>
  <c r="AK40" i="92"/>
  <c r="AL40" i="92" s="1"/>
  <c r="AK6" i="92"/>
  <c r="AL6" i="92" s="1"/>
  <c r="AK127" i="92"/>
  <c r="AL127" i="92" s="1"/>
  <c r="AK117" i="92"/>
  <c r="AL117" i="92" s="1"/>
  <c r="AK94" i="92"/>
  <c r="AL94" i="92" s="1"/>
  <c r="AK108" i="92"/>
  <c r="AL108" i="92" s="1"/>
  <c r="AK92" i="92"/>
  <c r="AK34" i="92"/>
  <c r="AL34" i="92" s="1"/>
  <c r="AK76" i="92"/>
  <c r="AL76" i="92" s="1"/>
  <c r="AK123" i="92"/>
  <c r="AL123" i="92" s="1"/>
  <c r="AK66" i="92"/>
  <c r="AL66" i="92" s="1"/>
  <c r="AK103" i="92"/>
  <c r="AL103" i="92" s="1"/>
  <c r="AK18" i="92"/>
  <c r="AK98" i="92"/>
  <c r="AL98" i="92" s="1"/>
  <c r="AK8" i="92"/>
  <c r="AL8" i="92" s="1"/>
  <c r="AK64" i="92"/>
  <c r="AL64" i="92" s="1"/>
  <c r="AK43" i="92"/>
  <c r="AL43" i="92" s="1"/>
  <c r="AK125" i="92"/>
  <c r="AL125" i="92" s="1"/>
  <c r="AK70" i="92"/>
  <c r="AL70" i="92" s="1"/>
  <c r="AK116" i="92"/>
  <c r="AL116" i="92" s="1"/>
  <c r="AK51" i="92"/>
  <c r="AL51" i="92" s="1"/>
  <c r="AK74" i="92"/>
  <c r="AL74" i="92" s="1"/>
  <c r="AK77" i="92"/>
  <c r="AK46" i="92"/>
  <c r="AL46" i="92" s="1"/>
  <c r="AK65" i="92"/>
  <c r="AL65" i="92" s="1"/>
  <c r="AK63" i="92"/>
  <c r="AL63" i="92" s="1"/>
  <c r="AK99" i="92"/>
  <c r="AL99" i="92" s="1"/>
  <c r="AK60" i="92"/>
  <c r="AL60" i="92" s="1"/>
  <c r="AW31" i="92"/>
  <c r="AK26" i="92"/>
  <c r="AL26" i="92" s="1"/>
  <c r="AW5" i="92"/>
  <c r="AK80" i="92"/>
  <c r="AL80" i="92" s="1"/>
  <c r="AW23" i="92"/>
  <c r="AK15" i="92"/>
  <c r="AL15" i="92" s="1"/>
  <c r="AK13" i="92"/>
  <c r="AL13" i="92" s="1"/>
  <c r="AK61" i="92"/>
  <c r="AL61" i="92" s="1"/>
  <c r="AK21" i="92"/>
  <c r="AL21" i="92" s="1"/>
  <c r="AK129" i="92"/>
  <c r="AL129" i="92" s="1"/>
  <c r="AK72" i="92"/>
  <c r="AL72" i="92" s="1"/>
  <c r="AK126" i="92"/>
  <c r="AK7" i="92"/>
  <c r="AL7" i="92" s="1"/>
  <c r="AK105" i="92"/>
  <c r="AL105" i="92" s="1"/>
  <c r="AK109" i="92"/>
  <c r="AL109" i="92" s="1"/>
  <c r="AK122" i="92"/>
  <c r="AL122" i="92" s="1"/>
  <c r="AK107" i="92"/>
  <c r="AL107" i="92" s="1"/>
  <c r="AK132" i="92"/>
  <c r="AL132" i="92" s="1"/>
  <c r="AK101" i="92"/>
  <c r="AL101" i="92" s="1"/>
  <c r="AK48" i="92"/>
  <c r="AL48" i="92" s="1"/>
  <c r="AK45" i="92"/>
  <c r="AL45" i="92" s="1"/>
  <c r="AK75" i="92"/>
  <c r="AL75" i="92" s="1"/>
  <c r="AK62" i="92"/>
  <c r="AL62" i="92" s="1"/>
  <c r="AK59" i="92"/>
  <c r="AL59" i="92" s="1"/>
  <c r="AK44" i="92"/>
  <c r="AL44" i="92" s="1"/>
  <c r="AK33" i="92"/>
  <c r="AL33" i="92" s="1"/>
  <c r="AK90" i="92"/>
  <c r="AL90" i="92" s="1"/>
  <c r="AK83" i="92"/>
  <c r="AL83" i="92" s="1"/>
  <c r="AW89" i="92"/>
  <c r="AK11" i="92"/>
  <c r="AL11" i="92" s="1"/>
  <c r="AK56" i="92"/>
  <c r="AL56" i="92" s="1"/>
  <c r="AK130" i="92"/>
  <c r="AL130" i="92" s="1"/>
  <c r="AK52" i="92"/>
  <c r="AL52" i="92" s="1"/>
  <c r="AK50" i="92"/>
  <c r="AL50" i="92" s="1"/>
  <c r="AK119" i="92"/>
  <c r="AL119" i="92" s="1"/>
  <c r="AK100" i="92"/>
  <c r="AL100" i="92" s="1"/>
  <c r="AK97" i="92"/>
  <c r="AL97" i="92" s="1"/>
  <c r="AK12" i="92"/>
  <c r="AL12" i="92" s="1"/>
  <c r="AK110" i="92"/>
  <c r="AL110" i="92" s="1"/>
  <c r="AK118" i="92"/>
  <c r="AL118" i="92" s="1"/>
  <c r="AK41" i="92"/>
  <c r="AL41" i="92" s="1"/>
  <c r="AK114" i="92"/>
  <c r="AL114" i="92" s="1"/>
  <c r="AK79" i="92"/>
  <c r="AL79" i="92" s="1"/>
  <c r="AK115" i="92"/>
  <c r="AL115" i="92" s="1"/>
  <c r="AK28" i="92"/>
  <c r="AL28" i="92" s="1"/>
  <c r="AK22" i="92"/>
  <c r="AL22" i="92" s="1"/>
  <c r="AK14" i="92"/>
  <c r="AL14" i="92" s="1"/>
  <c r="AK121" i="92"/>
  <c r="AL121" i="92" s="1"/>
  <c r="AK124" i="92"/>
  <c r="AK104" i="92"/>
  <c r="AL104" i="92" s="1"/>
  <c r="AK10" i="92"/>
  <c r="AL10" i="92" s="1"/>
  <c r="AK54" i="92"/>
  <c r="AL54" i="92" s="1"/>
  <c r="AK17" i="92"/>
  <c r="AL17" i="92" s="1"/>
  <c r="AK88" i="92"/>
  <c r="AL88" i="92" s="1"/>
  <c r="AK112" i="92"/>
  <c r="AL112" i="92" s="1"/>
  <c r="AK85" i="92"/>
  <c r="AL85" i="92" s="1"/>
  <c r="AK24" i="92"/>
  <c r="AL24" i="92" s="1"/>
  <c r="AK57" i="92"/>
  <c r="AL57" i="92" s="1"/>
  <c r="AK58" i="92"/>
  <c r="AL58" i="92" s="1"/>
  <c r="AW29" i="92"/>
  <c r="AW120" i="92"/>
  <c r="AK68" i="92"/>
  <c r="AL68" i="92" s="1"/>
  <c r="AK96" i="92"/>
  <c r="AL96" i="92" s="1"/>
  <c r="AK35" i="92"/>
  <c r="AK82" i="92"/>
  <c r="AL82" i="92" s="1"/>
  <c r="AK106" i="92"/>
  <c r="AL106" i="92" s="1"/>
  <c r="AK37" i="92"/>
  <c r="AL37" i="92" s="1"/>
  <c r="AK84" i="92"/>
  <c r="AL84" i="92" s="1"/>
  <c r="AK102" i="92"/>
  <c r="AL102" i="92" s="1"/>
  <c r="AK128" i="92"/>
  <c r="AL128" i="92" s="1"/>
  <c r="AK39" i="92"/>
  <c r="AL39" i="92" s="1"/>
  <c r="AK81" i="92"/>
  <c r="AL81" i="92" s="1"/>
  <c r="AK16" i="92"/>
  <c r="AK111" i="92"/>
  <c r="AL111" i="92" s="1"/>
  <c r="AK113" i="92"/>
  <c r="AL113" i="92" s="1"/>
  <c r="AK27" i="92"/>
  <c r="AL27" i="92" s="1"/>
  <c r="AK55" i="92"/>
  <c r="AL55" i="92" s="1"/>
  <c r="AK30" i="92"/>
  <c r="AL30" i="92" s="1"/>
  <c r="AK87" i="92"/>
  <c r="AL87" i="92" s="1"/>
  <c r="AK42" i="92"/>
  <c r="AL42" i="92" s="1"/>
  <c r="AE5" i="92"/>
  <c r="AE7" i="92"/>
  <c r="AE13" i="92"/>
  <c r="AE115" i="92"/>
  <c r="AE51" i="92"/>
  <c r="AE128" i="92"/>
  <c r="AE82" i="92"/>
  <c r="AE77" i="92"/>
  <c r="AE25" i="92"/>
  <c r="AE20" i="92"/>
  <c r="AE104" i="92"/>
  <c r="AE119" i="92"/>
  <c r="AE92" i="92"/>
  <c r="AE124" i="92"/>
  <c r="AE97" i="92"/>
  <c r="AE71" i="92"/>
  <c r="AE37" i="92"/>
  <c r="AE125" i="92"/>
  <c r="AE46" i="92"/>
  <c r="AE10" i="92"/>
  <c r="AE102" i="92"/>
  <c r="AE88" i="92"/>
  <c r="AE24" i="92"/>
  <c r="AE68" i="92"/>
  <c r="AE38" i="92"/>
  <c r="AE83" i="92"/>
  <c r="AE31" i="92"/>
  <c r="AE130" i="92"/>
  <c r="AE12" i="92"/>
  <c r="AE15" i="92"/>
  <c r="AE61" i="92"/>
  <c r="AE90" i="92"/>
  <c r="AE63" i="92"/>
  <c r="AE35" i="92"/>
  <c r="AE72" i="92"/>
  <c r="AE57" i="92"/>
  <c r="AE23" i="92"/>
  <c r="AE74" i="92"/>
  <c r="AE42" i="92"/>
  <c r="AE81" i="92"/>
  <c r="AE30" i="92"/>
  <c r="AE112" i="92"/>
  <c r="AE18" i="92"/>
  <c r="AE114" i="92"/>
  <c r="AE44" i="92"/>
  <c r="AE16" i="92"/>
  <c r="AE69" i="92"/>
  <c r="AE50" i="92"/>
  <c r="AE73" i="92"/>
  <c r="AE85" i="92"/>
  <c r="AE98" i="92"/>
  <c r="AE66" i="92"/>
  <c r="AE111" i="92"/>
  <c r="AE55" i="92"/>
  <c r="AE67" i="92"/>
  <c r="AE11" i="92"/>
  <c r="AE53" i="92"/>
  <c r="AE26" i="92"/>
  <c r="AE34" i="92"/>
  <c r="AE75" i="92"/>
  <c r="AE131" i="92"/>
  <c r="AE99" i="92"/>
  <c r="AE101" i="92"/>
  <c r="AE59" i="92"/>
  <c r="AE103" i="92"/>
  <c r="AE43" i="92"/>
  <c r="AE65" i="92"/>
  <c r="AE52" i="92"/>
  <c r="AE56" i="92"/>
  <c r="AE127" i="92"/>
  <c r="AE118" i="92"/>
  <c r="AE14" i="92"/>
  <c r="AE106" i="92"/>
  <c r="AE28" i="92"/>
  <c r="AE22" i="92"/>
  <c r="AE94" i="92"/>
  <c r="AE54" i="92"/>
  <c r="AE39" i="92"/>
  <c r="AE93" i="92"/>
  <c r="AE113" i="92"/>
  <c r="AE89" i="92"/>
  <c r="AE6" i="92"/>
  <c r="AE80" i="92"/>
  <c r="AE48" i="92"/>
  <c r="AE105" i="92"/>
  <c r="AE8" i="92"/>
  <c r="AE108" i="92"/>
  <c r="AE129" i="92"/>
  <c r="AE117" i="92"/>
  <c r="AE21" i="92"/>
  <c r="AE76" i="92"/>
  <c r="AE110" i="92"/>
  <c r="AE70" i="92"/>
  <c r="AE96" i="92"/>
  <c r="AE100" i="92"/>
  <c r="AX36" i="92"/>
  <c r="AR36" i="92" s="1"/>
  <c r="AS36" i="92" s="1"/>
  <c r="BA37" i="92"/>
  <c r="BA97" i="92"/>
  <c r="BA27" i="92"/>
  <c r="BA117" i="92"/>
  <c r="BA91" i="92"/>
  <c r="BA56" i="92"/>
  <c r="BA113" i="92"/>
  <c r="BA24" i="92"/>
  <c r="BA96" i="92"/>
  <c r="BA47" i="92"/>
  <c r="BA108" i="92"/>
  <c r="BA114" i="92"/>
  <c r="BA29" i="92"/>
  <c r="BA45" i="92"/>
  <c r="BA131" i="92"/>
  <c r="BA10" i="92"/>
  <c r="BA107" i="92"/>
  <c r="BA22" i="92"/>
  <c r="BA128" i="92"/>
  <c r="BA83" i="92"/>
  <c r="BA43" i="92"/>
  <c r="BA79" i="92"/>
  <c r="BA105" i="92"/>
  <c r="BA52" i="92"/>
  <c r="BA132" i="92"/>
  <c r="BA98" i="92"/>
  <c r="BA116" i="92"/>
  <c r="BA94" i="92"/>
  <c r="BA49" i="92"/>
  <c r="BA106" i="92"/>
  <c r="BA67" i="92"/>
  <c r="BA30" i="92"/>
  <c r="BA19" i="92"/>
  <c r="BA74" i="92"/>
  <c r="BA120" i="92"/>
  <c r="BA53" i="92"/>
  <c r="BA70" i="92"/>
  <c r="BA68" i="92"/>
  <c r="BA64" i="92"/>
  <c r="BA16" i="92"/>
  <c r="BA33" i="92"/>
  <c r="BA100" i="92"/>
  <c r="BA76" i="92"/>
  <c r="BA23" i="92"/>
  <c r="BA66" i="92"/>
  <c r="BA60" i="92"/>
  <c r="BA42" i="92"/>
  <c r="BA13" i="92"/>
  <c r="BA59" i="92"/>
  <c r="BA15" i="92"/>
  <c r="AY3" i="92"/>
  <c r="BA127" i="92"/>
  <c r="BA34" i="92"/>
  <c r="BA115" i="92"/>
  <c r="BA89" i="92"/>
  <c r="BA5" i="92"/>
  <c r="BA7" i="92"/>
  <c r="BA62" i="92"/>
  <c r="BA119" i="92"/>
  <c r="BA31" i="92"/>
  <c r="BA6" i="92"/>
  <c r="BA20" i="92"/>
  <c r="BA32" i="92"/>
  <c r="BA48" i="92"/>
  <c r="BA54" i="92"/>
  <c r="BA81" i="92"/>
  <c r="BA90" i="92"/>
  <c r="BA18" i="92"/>
  <c r="BA121" i="92"/>
  <c r="BA41" i="92"/>
  <c r="BA73" i="92"/>
  <c r="BA77" i="92"/>
  <c r="AZ3" i="92"/>
  <c r="BA78" i="92"/>
  <c r="BA72" i="92"/>
  <c r="BA123" i="92"/>
  <c r="BA35" i="92"/>
  <c r="BA50" i="92"/>
  <c r="BA93" i="92"/>
  <c r="BA69" i="92"/>
  <c r="BA111" i="92"/>
  <c r="BA40" i="92"/>
  <c r="BA21" i="92"/>
  <c r="BA39" i="92"/>
  <c r="BA14" i="92"/>
  <c r="BA80" i="92"/>
  <c r="BA85" i="92"/>
  <c r="BA38" i="92"/>
  <c r="BA112" i="92"/>
  <c r="BA25" i="92"/>
  <c r="BA44" i="92"/>
  <c r="BA71" i="92"/>
  <c r="BA65" i="92"/>
  <c r="BA11" i="92"/>
  <c r="BA124" i="92"/>
  <c r="BA26" i="92"/>
  <c r="BA9" i="92"/>
  <c r="BA75" i="92"/>
  <c r="BA130" i="92"/>
  <c r="BA99" i="92"/>
  <c r="BA122" i="92"/>
  <c r="BA28" i="92"/>
  <c r="BA82" i="92"/>
  <c r="BA125" i="92"/>
  <c r="BA63" i="92"/>
  <c r="BA3" i="92"/>
  <c r="BA101" i="92"/>
  <c r="BA61" i="92"/>
  <c r="BA12" i="92"/>
  <c r="BA8" i="92"/>
  <c r="BA46" i="92"/>
  <c r="BA118" i="92"/>
  <c r="BA129" i="92"/>
  <c r="BA109" i="92"/>
  <c r="BA57" i="92"/>
  <c r="BA103" i="92"/>
  <c r="BA84" i="92"/>
  <c r="BA87" i="92"/>
  <c r="BA95" i="92"/>
  <c r="BA36" i="92"/>
  <c r="BA17" i="92"/>
  <c r="BA126" i="92"/>
  <c r="BA102" i="92"/>
  <c r="BA104" i="92"/>
  <c r="BA110" i="92"/>
  <c r="BA55" i="92"/>
  <c r="BA51" i="92"/>
  <c r="BA92" i="92"/>
  <c r="BA88" i="92"/>
  <c r="BA86" i="92"/>
  <c r="BA58" i="92"/>
  <c r="AE41" i="92"/>
  <c r="AE49" i="92"/>
  <c r="AE33" i="92"/>
  <c r="AE40" i="92"/>
  <c r="AE122" i="92"/>
  <c r="AE19" i="92"/>
  <c r="AE64" i="92"/>
  <c r="AE109" i="92"/>
  <c r="AE91" i="92"/>
  <c r="AE62" i="92"/>
  <c r="AE47" i="92"/>
  <c r="AE29" i="92"/>
  <c r="AE58" i="92"/>
  <c r="AE107" i="92"/>
  <c r="AE9" i="92"/>
  <c r="AE32" i="92"/>
  <c r="AE87" i="92"/>
  <c r="AE95" i="92"/>
  <c r="AE27" i="92"/>
  <c r="AE17" i="92"/>
  <c r="AE86" i="92"/>
  <c r="AE120" i="92"/>
  <c r="AE84" i="92"/>
  <c r="AE132" i="92"/>
  <c r="AE126" i="92"/>
  <c r="AE36" i="92"/>
  <c r="AE78" i="92"/>
  <c r="AE60" i="92"/>
  <c r="AE45" i="92"/>
  <c r="AE79" i="92"/>
  <c r="AE123" i="92"/>
  <c r="AE121" i="92"/>
  <c r="AE116" i="92"/>
  <c r="AK36" i="92"/>
  <c r="AL36" i="92" s="1"/>
  <c r="AK89" i="92"/>
  <c r="AL89" i="92" s="1"/>
  <c r="AK29" i="92"/>
  <c r="AL29" i="92" s="1"/>
  <c r="AK120" i="92"/>
  <c r="AL120" i="92" s="1"/>
  <c r="AK31" i="92"/>
  <c r="AL31" i="92" s="1"/>
  <c r="AK23" i="92"/>
  <c r="AL23" i="92" s="1"/>
  <c r="AK5" i="92"/>
  <c r="AL5" i="92" s="1"/>
  <c r="G27" i="95"/>
  <c r="I27" i="95"/>
  <c r="I26" i="95"/>
  <c r="G26" i="95"/>
  <c r="I25" i="95"/>
  <c r="G25" i="95"/>
  <c r="BB3" i="92"/>
  <c r="AX104" i="92"/>
  <c r="AR104" i="92" s="1"/>
  <c r="AS104" i="92" s="1"/>
  <c r="AX79" i="92"/>
  <c r="AX44" i="92"/>
  <c r="AX80" i="92"/>
  <c r="AX67" i="92"/>
  <c r="AX7" i="92"/>
  <c r="AX24" i="92"/>
  <c r="AR24" i="92" s="1"/>
  <c r="AS24" i="92" s="1"/>
  <c r="AX91" i="92"/>
  <c r="AR91" i="92" s="1"/>
  <c r="AS91" i="92" s="1"/>
  <c r="AX34" i="92"/>
  <c r="AR34" i="92" s="1"/>
  <c r="AS34" i="92" s="1"/>
  <c r="AX56" i="92"/>
  <c r="BB8" i="92"/>
  <c r="BB122" i="92"/>
  <c r="BB26" i="92"/>
  <c r="BB118" i="92"/>
  <c r="BB93" i="92"/>
  <c r="BB119" i="92"/>
  <c r="BB75" i="92"/>
  <c r="BB10" i="92"/>
  <c r="BB111" i="92"/>
  <c r="BB25" i="92"/>
  <c r="BB63" i="92"/>
  <c r="BC58" i="92"/>
  <c r="AX85" i="92"/>
  <c r="AR85" i="92" s="1"/>
  <c r="AS85" i="92" s="1"/>
  <c r="AX86" i="92"/>
  <c r="AX130" i="92"/>
  <c r="AX73" i="92"/>
  <c r="AX89" i="92"/>
  <c r="AR89" i="92" s="1"/>
  <c r="AS89" i="92" s="1"/>
  <c r="AX30" i="92"/>
  <c r="AX120" i="92"/>
  <c r="AX82" i="92"/>
  <c r="AX111" i="92"/>
  <c r="AR111" i="92" s="1"/>
  <c r="AS111" i="92" s="1"/>
  <c r="AX98" i="92"/>
  <c r="AR98" i="92" s="1"/>
  <c r="AS98" i="92" s="1"/>
  <c r="BB85" i="92"/>
  <c r="BB86" i="92"/>
  <c r="BB130" i="92"/>
  <c r="BB73" i="92"/>
  <c r="BB89" i="92"/>
  <c r="BB30" i="92"/>
  <c r="BB120" i="92"/>
  <c r="BB82" i="92"/>
  <c r="BB35" i="92"/>
  <c r="BB100" i="92"/>
  <c r="BC89" i="92"/>
  <c r="AX16" i="92"/>
  <c r="AR16" i="92" s="1"/>
  <c r="AS16" i="92" s="1"/>
  <c r="AX125" i="92"/>
  <c r="AX90" i="92"/>
  <c r="AR90" i="92" s="1"/>
  <c r="AS90" i="92" s="1"/>
  <c r="AX39" i="92"/>
  <c r="AX62" i="92"/>
  <c r="AR62" i="92" s="1"/>
  <c r="AS62" i="92" s="1"/>
  <c r="AX105" i="92"/>
  <c r="AX35" i="92"/>
  <c r="AX51" i="92"/>
  <c r="BB107" i="92"/>
  <c r="BB84" i="92"/>
  <c r="BB94" i="92"/>
  <c r="BB33" i="92"/>
  <c r="BB42" i="92"/>
  <c r="BB36" i="92"/>
  <c r="BB124" i="92"/>
  <c r="BB72" i="92"/>
  <c r="BB126" i="92"/>
  <c r="AX32" i="92"/>
  <c r="AR32" i="92" s="1"/>
  <c r="AS32" i="92" s="1"/>
  <c r="AX38" i="92"/>
  <c r="AX57" i="92"/>
  <c r="AR57" i="92" s="1"/>
  <c r="AS57" i="92" s="1"/>
  <c r="AX28" i="92"/>
  <c r="AX119" i="92"/>
  <c r="AR119" i="92" s="1"/>
  <c r="AS119" i="92" s="1"/>
  <c r="AX64" i="92"/>
  <c r="AR64" i="92" s="1"/>
  <c r="AS64" i="92" s="1"/>
  <c r="AX76" i="92"/>
  <c r="AR76" i="92" s="1"/>
  <c r="AS76" i="92" s="1"/>
  <c r="AX128" i="92"/>
  <c r="AX29" i="92"/>
  <c r="BB112" i="92"/>
  <c r="BB21" i="92"/>
  <c r="BB99" i="92"/>
  <c r="BB74" i="92"/>
  <c r="BB102" i="92"/>
  <c r="BB58" i="92"/>
  <c r="BB50" i="92"/>
  <c r="BB56" i="92"/>
  <c r="BC22" i="92"/>
  <c r="AX107" i="92"/>
  <c r="AR107" i="92" s="1"/>
  <c r="AS107" i="92" s="1"/>
  <c r="AX84" i="92"/>
  <c r="AR84" i="92" s="1"/>
  <c r="AS84" i="92" s="1"/>
  <c r="AX113" i="92"/>
  <c r="AR113" i="92" s="1"/>
  <c r="AS113" i="92" s="1"/>
  <c r="AX117" i="92"/>
  <c r="AR117" i="92" s="1"/>
  <c r="AS117" i="92" s="1"/>
  <c r="AX95" i="92"/>
  <c r="AX13" i="92"/>
  <c r="AX71" i="92"/>
  <c r="AR71" i="92" s="1"/>
  <c r="AS71" i="92" s="1"/>
  <c r="AX27" i="92"/>
  <c r="BB79" i="92"/>
  <c r="BB127" i="92"/>
  <c r="BB59" i="92"/>
  <c r="BB15" i="92"/>
  <c r="BB52" i="92"/>
  <c r="BB132" i="92"/>
  <c r="BB14" i="92"/>
  <c r="BB51" i="92"/>
  <c r="BC86" i="92"/>
  <c r="AX8" i="92"/>
  <c r="AR8" i="92" s="1"/>
  <c r="AS8" i="92" s="1"/>
  <c r="AX46" i="92"/>
  <c r="AX77" i="92"/>
  <c r="AX37" i="92"/>
  <c r="AX123" i="92"/>
  <c r="AR123" i="92" s="1"/>
  <c r="AS123" i="92" s="1"/>
  <c r="AX115" i="92"/>
  <c r="AR115" i="92" s="1"/>
  <c r="AS115" i="92" s="1"/>
  <c r="AX65" i="92"/>
  <c r="AR65" i="92" s="1"/>
  <c r="AS65" i="92" s="1"/>
  <c r="AX25" i="92"/>
  <c r="AR25" i="92" s="1"/>
  <c r="AS25" i="92" s="1"/>
  <c r="BB101" i="92"/>
  <c r="BB41" i="92"/>
  <c r="BB78" i="92"/>
  <c r="BB7" i="92"/>
  <c r="BB9" i="92"/>
  <c r="BB18" i="92"/>
  <c r="BB110" i="92"/>
  <c r="BC30" i="92"/>
  <c r="AX112" i="92"/>
  <c r="AR112" i="92" s="1"/>
  <c r="AS112" i="92" s="1"/>
  <c r="AX127" i="92"/>
  <c r="AR127" i="92" s="1"/>
  <c r="AS127" i="92" s="1"/>
  <c r="AX74" i="92"/>
  <c r="AR74" i="92" s="1"/>
  <c r="AS74" i="92" s="1"/>
  <c r="AX52" i="92"/>
  <c r="AR52" i="92" s="1"/>
  <c r="AS52" i="92" s="1"/>
  <c r="AX14" i="92"/>
  <c r="BB104" i="92"/>
  <c r="BB49" i="92"/>
  <c r="BB83" i="92"/>
  <c r="BB87" i="92"/>
  <c r="BB62" i="92"/>
  <c r="BB6" i="92"/>
  <c r="BB47" i="92"/>
  <c r="AX121" i="92"/>
  <c r="AR121" i="92" s="1"/>
  <c r="AS121" i="92" s="1"/>
  <c r="AX17" i="92"/>
  <c r="AX54" i="92"/>
  <c r="AR54" i="92" s="1"/>
  <c r="AS54" i="92" s="1"/>
  <c r="AX83" i="92"/>
  <c r="AR83" i="92" s="1"/>
  <c r="AS83" i="92" s="1"/>
  <c r="AX81" i="92"/>
  <c r="AX124" i="92"/>
  <c r="AX5" i="92"/>
  <c r="BB96" i="92"/>
  <c r="BB80" i="92"/>
  <c r="BB129" i="92"/>
  <c r="BB60" i="92"/>
  <c r="BB88" i="92"/>
  <c r="BB61" i="92"/>
  <c r="BB29" i="92"/>
  <c r="BC31" i="92"/>
  <c r="AX20" i="92"/>
  <c r="AX21" i="92"/>
  <c r="AX99" i="92"/>
  <c r="AX93" i="92"/>
  <c r="AX102" i="92"/>
  <c r="AR102" i="92" s="1"/>
  <c r="AS102" i="92" s="1"/>
  <c r="AX58" i="92"/>
  <c r="AR58" i="92" s="1"/>
  <c r="AS58" i="92" s="1"/>
  <c r="AX50" i="92"/>
  <c r="AR50" i="92" s="1"/>
  <c r="AS50" i="92" s="1"/>
  <c r="AX100" i="92"/>
  <c r="BB114" i="92"/>
  <c r="BB12" i="92"/>
  <c r="BB19" i="92"/>
  <c r="BB103" i="92"/>
  <c r="BB11" i="92"/>
  <c r="BB106" i="92"/>
  <c r="BB105" i="92"/>
  <c r="BB34" i="92"/>
  <c r="BB66" i="92"/>
  <c r="BC120" i="92"/>
  <c r="AX59" i="92"/>
  <c r="AR59" i="92" s="1"/>
  <c r="AS59" i="92" s="1"/>
  <c r="AX132" i="92"/>
  <c r="AR132" i="92" s="1"/>
  <c r="AS132" i="92" s="1"/>
  <c r="BB116" i="92"/>
  <c r="BB40" i="92"/>
  <c r="AX101" i="92"/>
  <c r="AX41" i="92"/>
  <c r="AX78" i="92"/>
  <c r="AX15" i="92"/>
  <c r="AR15" i="92" s="1"/>
  <c r="AS15" i="92" s="1"/>
  <c r="AX9" i="92"/>
  <c r="AR9" i="92" s="1"/>
  <c r="AS9" i="92" s="1"/>
  <c r="AX18" i="92"/>
  <c r="AX110" i="92"/>
  <c r="AX126" i="92"/>
  <c r="AR126" i="92" s="1"/>
  <c r="AS126" i="92" s="1"/>
  <c r="BB121" i="92"/>
  <c r="BB17" i="92"/>
  <c r="BB54" i="92"/>
  <c r="BB67" i="92"/>
  <c r="BB39" i="92"/>
  <c r="BB108" i="92"/>
  <c r="BB91" i="92"/>
  <c r="BB5" i="92"/>
  <c r="BC13" i="92"/>
  <c r="AX12" i="92"/>
  <c r="AX19" i="92"/>
  <c r="AR19" i="92" s="1"/>
  <c r="AS19" i="92" s="1"/>
  <c r="AX118" i="92"/>
  <c r="AR118" i="92" s="1"/>
  <c r="AS118" i="92" s="1"/>
  <c r="AX11" i="92"/>
  <c r="AR11" i="92" s="1"/>
  <c r="AS11" i="92" s="1"/>
  <c r="AX106" i="92"/>
  <c r="AR106" i="92" s="1"/>
  <c r="AS106" i="92" s="1"/>
  <c r="AX10" i="92"/>
  <c r="AR10" i="92" s="1"/>
  <c r="AS10" i="92" s="1"/>
  <c r="AX72" i="92"/>
  <c r="AR72" i="92" s="1"/>
  <c r="AS72" i="92" s="1"/>
  <c r="AX66" i="92"/>
  <c r="BB22" i="92"/>
  <c r="BB97" i="92"/>
  <c r="BB125" i="92"/>
  <c r="BB90" i="92"/>
  <c r="BB81" i="92"/>
  <c r="BB48" i="92"/>
  <c r="BB92" i="92"/>
  <c r="BB53" i="92"/>
  <c r="BB70" i="92"/>
  <c r="AX114" i="92"/>
  <c r="AX49" i="92"/>
  <c r="AX116" i="92"/>
  <c r="AX103" i="92"/>
  <c r="AX87" i="92"/>
  <c r="AX108" i="92"/>
  <c r="AX40" i="92"/>
  <c r="AR40" i="92" s="1"/>
  <c r="AS40" i="92" s="1"/>
  <c r="AX6" i="92"/>
  <c r="AR6" i="92" s="1"/>
  <c r="AS6" i="92" s="1"/>
  <c r="AX47" i="92"/>
  <c r="AR47" i="92" s="1"/>
  <c r="AS47" i="92" s="1"/>
  <c r="BB45" i="92"/>
  <c r="BB68" i="92"/>
  <c r="BB43" i="92"/>
  <c r="BB69" i="92"/>
  <c r="BB55" i="92"/>
  <c r="BB131" i="92"/>
  <c r="BB109" i="92"/>
  <c r="BB23" i="92"/>
  <c r="BB31" i="92"/>
  <c r="BC5" i="92"/>
  <c r="AX22" i="92"/>
  <c r="AR22" i="92" s="1"/>
  <c r="AS22" i="92" s="1"/>
  <c r="AX42" i="92"/>
  <c r="AR42" i="92" s="1"/>
  <c r="AS42" i="92" s="1"/>
  <c r="AX70" i="92"/>
  <c r="AR70" i="92" s="1"/>
  <c r="AS70" i="92" s="1"/>
  <c r="BB16" i="92"/>
  <c r="BB95" i="92"/>
  <c r="BC29" i="92"/>
  <c r="BB28" i="92"/>
  <c r="AX45" i="92"/>
  <c r="AX55" i="92"/>
  <c r="AX31" i="92"/>
  <c r="BB32" i="92"/>
  <c r="BB123" i="92"/>
  <c r="AX96" i="92"/>
  <c r="AR96" i="92" s="1"/>
  <c r="AS96" i="92" s="1"/>
  <c r="AX60" i="92"/>
  <c r="AR60" i="92" s="1"/>
  <c r="AS60" i="92" s="1"/>
  <c r="AX63" i="92"/>
  <c r="AR63" i="92" s="1"/>
  <c r="AS63" i="92" s="1"/>
  <c r="BB20" i="92"/>
  <c r="BB24" i="92"/>
  <c r="AX97" i="92"/>
  <c r="AX75" i="92"/>
  <c r="AR75" i="92" s="1"/>
  <c r="AS75" i="92" s="1"/>
  <c r="BB38" i="92"/>
  <c r="BB64" i="92"/>
  <c r="AX68" i="92"/>
  <c r="AX48" i="92"/>
  <c r="BB44" i="92"/>
  <c r="BB13" i="92"/>
  <c r="AX122" i="92"/>
  <c r="AR122" i="92" s="1"/>
  <c r="AS122" i="92" s="1"/>
  <c r="AX131" i="92"/>
  <c r="AR131" i="92" s="1"/>
  <c r="AS131" i="92" s="1"/>
  <c r="BB46" i="92"/>
  <c r="BB115" i="92"/>
  <c r="AX53" i="92"/>
  <c r="AX26" i="92"/>
  <c r="AX92" i="92"/>
  <c r="BB57" i="92"/>
  <c r="BB76" i="92"/>
  <c r="AX69" i="92"/>
  <c r="BB128" i="92"/>
  <c r="AX43" i="92"/>
  <c r="AR43" i="92" s="1"/>
  <c r="AS43" i="92" s="1"/>
  <c r="AX109" i="92"/>
  <c r="AR109" i="92" s="1"/>
  <c r="AS109" i="92" s="1"/>
  <c r="BB113" i="92"/>
  <c r="BB71" i="92"/>
  <c r="AX94" i="92"/>
  <c r="AX88" i="92"/>
  <c r="BB77" i="92"/>
  <c r="BB65" i="92"/>
  <c r="AX33" i="92"/>
  <c r="AX23" i="92"/>
  <c r="BB117" i="92"/>
  <c r="BB27" i="92"/>
  <c r="AX129" i="92"/>
  <c r="AR129" i="92" s="1"/>
  <c r="AS129" i="92" s="1"/>
  <c r="AX61" i="92"/>
  <c r="AR61" i="92" s="1"/>
  <c r="AS61" i="92" s="1"/>
  <c r="BB37" i="92"/>
  <c r="BB98" i="92"/>
  <c r="BC17" i="92"/>
  <c r="BC99" i="92"/>
  <c r="BC65" i="92"/>
  <c r="BC45" i="92"/>
  <c r="BC72" i="92"/>
  <c r="BC76" i="92"/>
  <c r="BC95" i="92"/>
  <c r="AV48" i="92"/>
  <c r="AW48" i="92" s="1"/>
  <c r="BC82" i="92"/>
  <c r="BC130" i="92"/>
  <c r="BC63" i="92"/>
  <c r="BC23" i="92"/>
  <c r="BC96" i="92"/>
  <c r="BC26" i="92"/>
  <c r="BC90" i="92"/>
  <c r="BC9" i="92"/>
  <c r="BC49" i="92"/>
  <c r="AV58" i="92"/>
  <c r="AW58" i="92" s="1"/>
  <c r="AV85" i="92"/>
  <c r="AW85" i="92" s="1"/>
  <c r="AV98" i="92"/>
  <c r="AW98" i="92" s="1"/>
  <c r="AV83" i="92"/>
  <c r="AW83" i="92" s="1"/>
  <c r="AV105" i="92"/>
  <c r="AW105" i="92" s="1"/>
  <c r="AV6" i="92"/>
  <c r="AW6" i="92" s="1"/>
  <c r="AV34" i="92"/>
  <c r="AW34" i="92" s="1"/>
  <c r="AV90" i="92"/>
  <c r="AW90" i="92" s="1"/>
  <c r="AV95" i="92"/>
  <c r="AW95" i="92" s="1"/>
  <c r="AV86" i="92"/>
  <c r="AW86" i="92" s="1"/>
  <c r="AV125" i="92"/>
  <c r="AW125" i="92" s="1"/>
  <c r="BC85" i="92"/>
  <c r="BC87" i="92"/>
  <c r="BC19" i="92"/>
  <c r="AV62" i="92"/>
  <c r="AW62" i="92" s="1"/>
  <c r="BC80" i="92"/>
  <c r="BC93" i="92"/>
  <c r="BC102" i="92"/>
  <c r="BC43" i="92"/>
  <c r="BC41" i="92"/>
  <c r="BC77" i="92"/>
  <c r="AV121" i="92"/>
  <c r="AW121" i="92" s="1"/>
  <c r="AV82" i="92"/>
  <c r="AV19" i="92"/>
  <c r="AW19" i="92" s="1"/>
  <c r="BC104" i="92"/>
  <c r="BC66" i="92"/>
  <c r="BC37" i="92"/>
  <c r="BC39" i="92"/>
  <c r="AV114" i="92"/>
  <c r="AW114" i="92" s="1"/>
  <c r="AV88" i="92"/>
  <c r="AW88" i="92" s="1"/>
  <c r="AV116" i="92"/>
  <c r="AW116" i="92" s="1"/>
  <c r="BC25" i="92"/>
  <c r="BC54" i="92"/>
  <c r="BC122" i="92"/>
  <c r="BC92" i="92"/>
  <c r="BC109" i="92"/>
  <c r="BC20" i="92"/>
  <c r="BC119" i="92"/>
  <c r="BC126" i="92"/>
  <c r="BC12" i="92"/>
  <c r="AV132" i="92"/>
  <c r="AW132" i="92" s="1"/>
  <c r="AV8" i="92"/>
  <c r="AW8" i="92" s="1"/>
  <c r="AV55" i="92"/>
  <c r="AW55" i="92" s="1"/>
  <c r="AV109" i="92"/>
  <c r="AW109" i="92" s="1"/>
  <c r="AV97" i="92"/>
  <c r="AW97" i="92" s="1"/>
  <c r="AV91" i="92"/>
  <c r="AW91" i="92" s="1"/>
  <c r="AV70" i="92"/>
  <c r="AW70" i="92" s="1"/>
  <c r="AV38" i="92"/>
  <c r="AW38" i="92" s="1"/>
  <c r="AV73" i="92"/>
  <c r="AW73" i="92" s="1"/>
  <c r="AV74" i="92"/>
  <c r="AW74" i="92" s="1"/>
  <c r="BC52" i="92"/>
  <c r="BC107" i="92"/>
  <c r="BC111" i="92"/>
  <c r="BC16" i="92"/>
  <c r="BC101" i="92"/>
  <c r="BC56" i="92"/>
  <c r="BC53" i="92"/>
  <c r="BC11" i="92"/>
  <c r="BC67" i="92"/>
  <c r="BC71" i="92"/>
  <c r="AV104" i="92"/>
  <c r="AW104" i="92" s="1"/>
  <c r="AV115" i="92"/>
  <c r="AW115" i="92" s="1"/>
  <c r="AV22" i="92"/>
  <c r="AW22" i="92" s="1"/>
  <c r="AV87" i="92"/>
  <c r="AW87" i="92" s="1"/>
  <c r="AV47" i="92"/>
  <c r="AW47" i="92" s="1"/>
  <c r="AV112" i="92"/>
  <c r="AW112" i="92" s="1"/>
  <c r="AV79" i="92"/>
  <c r="AW79" i="92" s="1"/>
  <c r="AV50" i="92"/>
  <c r="AW50" i="92" s="1"/>
  <c r="AV94" i="92"/>
  <c r="AW94" i="92" s="1"/>
  <c r="AV67" i="92"/>
  <c r="AW67" i="92" s="1"/>
  <c r="AV35" i="92"/>
  <c r="AO10" i="92"/>
  <c r="AP10" i="92" s="1"/>
  <c r="AV14" i="92"/>
  <c r="AW14" i="92" s="1"/>
  <c r="AV53" i="92"/>
  <c r="AW53" i="92" s="1"/>
  <c r="BC98" i="92"/>
  <c r="BC64" i="92"/>
  <c r="AV45" i="92"/>
  <c r="AW45" i="92" s="1"/>
  <c r="AV110" i="92"/>
  <c r="AW110" i="92" s="1"/>
  <c r="BC48" i="92"/>
  <c r="BC121" i="92"/>
  <c r="BC42" i="92"/>
  <c r="BC75" i="92"/>
  <c r="BC112" i="92"/>
  <c r="BC18" i="92"/>
  <c r="BC70" i="92"/>
  <c r="BC103" i="92"/>
  <c r="BC106" i="92"/>
  <c r="BC94" i="92"/>
  <c r="AV63" i="92"/>
  <c r="AW63" i="92" s="1"/>
  <c r="AV131" i="92"/>
  <c r="AW131" i="92" s="1"/>
  <c r="AV122" i="92"/>
  <c r="AW122" i="92" s="1"/>
  <c r="AV16" i="92"/>
  <c r="AW16" i="92" s="1"/>
  <c r="AV96" i="92"/>
  <c r="AW96" i="92" s="1"/>
  <c r="AV84" i="92"/>
  <c r="AW84" i="92" s="1"/>
  <c r="AV78" i="92"/>
  <c r="AW78" i="92" s="1"/>
  <c r="AV15" i="92"/>
  <c r="AW15" i="92" s="1"/>
  <c r="AV71" i="92"/>
  <c r="AW71" i="92" s="1"/>
  <c r="AV65" i="92"/>
  <c r="AW65" i="92" s="1"/>
  <c r="AV11" i="92"/>
  <c r="AW11" i="92" s="1"/>
  <c r="AV93" i="92"/>
  <c r="AW93" i="92" s="1"/>
  <c r="AV117" i="92"/>
  <c r="AW117" i="92" s="1"/>
  <c r="AV61" i="92"/>
  <c r="AW61" i="92" s="1"/>
  <c r="BC57" i="92"/>
  <c r="BC8" i="92"/>
  <c r="BC88" i="92"/>
  <c r="BC105" i="92"/>
  <c r="BC34" i="92"/>
  <c r="BC61" i="92"/>
  <c r="BC36" i="92"/>
  <c r="BC73" i="92"/>
  <c r="BC28" i="92"/>
  <c r="BC21" i="92"/>
  <c r="AV33" i="92"/>
  <c r="AW33" i="92" s="1"/>
  <c r="AV44" i="92"/>
  <c r="AW44" i="92" s="1"/>
  <c r="AV30" i="92"/>
  <c r="AW30" i="92" s="1"/>
  <c r="AV102" i="92"/>
  <c r="AW102" i="92" s="1"/>
  <c r="AV75" i="92"/>
  <c r="AW75" i="92" s="1"/>
  <c r="AV43" i="92"/>
  <c r="AW43" i="92" s="1"/>
  <c r="AV76" i="92"/>
  <c r="AW76" i="92" s="1"/>
  <c r="AV124" i="92"/>
  <c r="AW124" i="92" s="1"/>
  <c r="AV12" i="92"/>
  <c r="AW12" i="92" s="1"/>
  <c r="AV59" i="92"/>
  <c r="AW59" i="92" s="1"/>
  <c r="AV9" i="92"/>
  <c r="AW9" i="92" s="1"/>
  <c r="AV37" i="92"/>
  <c r="AW37" i="92" s="1"/>
  <c r="AV26" i="92"/>
  <c r="BC44" i="92"/>
  <c r="BC55" i="92"/>
  <c r="BC113" i="92"/>
  <c r="BC84" i="92"/>
  <c r="BC6" i="92"/>
  <c r="BC50" i="92"/>
  <c r="BC116" i="92"/>
  <c r="BC40" i="92"/>
  <c r="BC62" i="92"/>
  <c r="AV25" i="92"/>
  <c r="AW25" i="92" s="1"/>
  <c r="AV123" i="92"/>
  <c r="AW123" i="92" s="1"/>
  <c r="AV100" i="92"/>
  <c r="AW100" i="92" s="1"/>
  <c r="AV113" i="92"/>
  <c r="AW113" i="92" s="1"/>
  <c r="AV69" i="92"/>
  <c r="AW69" i="92" s="1"/>
  <c r="AV27" i="92"/>
  <c r="AW27" i="92" s="1"/>
  <c r="AV56" i="92"/>
  <c r="AW56" i="92" s="1"/>
  <c r="AV68" i="92"/>
  <c r="AW68" i="92" s="1"/>
  <c r="AV129" i="92"/>
  <c r="AW129" i="92" s="1"/>
  <c r="AV46" i="92"/>
  <c r="AW46" i="92" s="1"/>
  <c r="BC60" i="92"/>
  <c r="BC127" i="92"/>
  <c r="BC51" i="92"/>
  <c r="BC129" i="92"/>
  <c r="AV40" i="92"/>
  <c r="AW40" i="92" s="1"/>
  <c r="BC32" i="92"/>
  <c r="BC10" i="92"/>
  <c r="BC117" i="92"/>
  <c r="BC124" i="92"/>
  <c r="AV108" i="92"/>
  <c r="AW108" i="92" s="1"/>
  <c r="AV28" i="92"/>
  <c r="AW28" i="92" s="1"/>
  <c r="BC108" i="92"/>
  <c r="BC131" i="92"/>
  <c r="BC83" i="92"/>
  <c r="BC118" i="92"/>
  <c r="BC78" i="92"/>
  <c r="BC91" i="92"/>
  <c r="BC68" i="92"/>
  <c r="BC38" i="92"/>
  <c r="BC74" i="92"/>
  <c r="BC46" i="92"/>
  <c r="AV52" i="92"/>
  <c r="AW52" i="92" s="1"/>
  <c r="AV60" i="92"/>
  <c r="AW60" i="92" s="1"/>
  <c r="AV42" i="92"/>
  <c r="AW42" i="92" s="1"/>
  <c r="AV92" i="92"/>
  <c r="AV20" i="92"/>
  <c r="AW20" i="92" s="1"/>
  <c r="AV119" i="92"/>
  <c r="AW119" i="92" s="1"/>
  <c r="AV36" i="92"/>
  <c r="AW36" i="92" s="1"/>
  <c r="AV49" i="92"/>
  <c r="AW49" i="92" s="1"/>
  <c r="AV103" i="92"/>
  <c r="AW103" i="92" s="1"/>
  <c r="AV10" i="92"/>
  <c r="AW10" i="92" s="1"/>
  <c r="AV128" i="92"/>
  <c r="AW128" i="92" s="1"/>
  <c r="AV72" i="92"/>
  <c r="AW72" i="92" s="1"/>
  <c r="AV64" i="92"/>
  <c r="AW64" i="92" s="1"/>
  <c r="AV18" i="92"/>
  <c r="AW18" i="92" s="1"/>
  <c r="AV130" i="92"/>
  <c r="AW130" i="92" s="1"/>
  <c r="AV7" i="92"/>
  <c r="AW7" i="92" s="1"/>
  <c r="AV21" i="92"/>
  <c r="AW21" i="92" s="1"/>
  <c r="AV54" i="92"/>
  <c r="AW54" i="92" s="1"/>
  <c r="AV111" i="92"/>
  <c r="AW111" i="92" s="1"/>
  <c r="AV24" i="92"/>
  <c r="AW24" i="92" s="1"/>
  <c r="BC24" i="92"/>
  <c r="BC59" i="92"/>
  <c r="AV107" i="92"/>
  <c r="AW107" i="92" s="1"/>
  <c r="AV118" i="92"/>
  <c r="AW118" i="92" s="1"/>
  <c r="AV127" i="92"/>
  <c r="AW127" i="92" s="1"/>
  <c r="AV126" i="92"/>
  <c r="AW126" i="92" s="1"/>
  <c r="AV39" i="92"/>
  <c r="AW39" i="92" s="1"/>
  <c r="BC123" i="92"/>
  <c r="BC125" i="92"/>
  <c r="AV106" i="92"/>
  <c r="AW106" i="92" s="1"/>
  <c r="BC114" i="92"/>
  <c r="BC128" i="92"/>
  <c r="BC79" i="92"/>
  <c r="BC110" i="92"/>
  <c r="AV57" i="92"/>
  <c r="AW57" i="92" s="1"/>
  <c r="BC81" i="92"/>
  <c r="BC132" i="92"/>
  <c r="BC14" i="92"/>
  <c r="BC33" i="92"/>
  <c r="BC115" i="92"/>
  <c r="BC100" i="92"/>
  <c r="BC69" i="92"/>
  <c r="BC47" i="92"/>
  <c r="BC97" i="92"/>
  <c r="BC27" i="92"/>
  <c r="BC15" i="92"/>
  <c r="BC7" i="92"/>
  <c r="BC35" i="92"/>
  <c r="AV32" i="92"/>
  <c r="AW32" i="92" s="1"/>
  <c r="AV80" i="92"/>
  <c r="AW80" i="92" s="1"/>
  <c r="AV17" i="92"/>
  <c r="AW17" i="92" s="1"/>
  <c r="AV13" i="92"/>
  <c r="AW13" i="92" s="1"/>
  <c r="AV66" i="92"/>
  <c r="AV101" i="92"/>
  <c r="AW101" i="92" s="1"/>
  <c r="AV99" i="92"/>
  <c r="AW99" i="92" s="1"/>
  <c r="AV51" i="92"/>
  <c r="AW51" i="92" s="1"/>
  <c r="AV41" i="92"/>
  <c r="AW41" i="92" s="1"/>
  <c r="AV81" i="92"/>
  <c r="AW81" i="92" s="1"/>
  <c r="AV77" i="92"/>
  <c r="AW77" i="92" s="1"/>
  <c r="AH10" i="92"/>
  <c r="BE3" i="92"/>
  <c r="BD3" i="92"/>
  <c r="BC3" i="92"/>
  <c r="AR152" i="92" l="1"/>
  <c r="AS152" i="92" s="1"/>
  <c r="AR175" i="92"/>
  <c r="AS175" i="92" s="1"/>
  <c r="AR146" i="92"/>
  <c r="AS146" i="92" s="1"/>
  <c r="BD142" i="92"/>
  <c r="BD167" i="92"/>
  <c r="BD178" i="92"/>
  <c r="BD147" i="92"/>
  <c r="BD183" i="92"/>
  <c r="AR141" i="92"/>
  <c r="AS141" i="92" s="1"/>
  <c r="BD188" i="92"/>
  <c r="BD159" i="92"/>
  <c r="BD164" i="92"/>
  <c r="BD135" i="92"/>
  <c r="BD169" i="92"/>
  <c r="BD154" i="92"/>
  <c r="AR187" i="92"/>
  <c r="AS187" i="92" s="1"/>
  <c r="BD187" i="92"/>
  <c r="BD136" i="92"/>
  <c r="BD160" i="92"/>
  <c r="BD185" i="92"/>
  <c r="BD179" i="92"/>
  <c r="BD155" i="92"/>
  <c r="AR147" i="92"/>
  <c r="AS147" i="92" s="1"/>
  <c r="AR138" i="92"/>
  <c r="AS138" i="92" s="1"/>
  <c r="BD157" i="92"/>
  <c r="BD182" i="92"/>
  <c r="BD141" i="92"/>
  <c r="BD171" i="92"/>
  <c r="BD137" i="92"/>
  <c r="AR178" i="92"/>
  <c r="AS178" i="92" s="1"/>
  <c r="AR171" i="92"/>
  <c r="AS171" i="92" s="1"/>
  <c r="BD150" i="92"/>
  <c r="BD180" i="92"/>
  <c r="BD186" i="92"/>
  <c r="BD151" i="92"/>
  <c r="BD181" i="92"/>
  <c r="BD145" i="92"/>
  <c r="BD163" i="92"/>
  <c r="AR184" i="92"/>
  <c r="AS184" i="92" s="1"/>
  <c r="AR142" i="92"/>
  <c r="AS142" i="92" s="1"/>
  <c r="AR169" i="92"/>
  <c r="AS169" i="92" s="1"/>
  <c r="AR155" i="92"/>
  <c r="AS155" i="92" s="1"/>
  <c r="BD134" i="92"/>
  <c r="BD158" i="92"/>
  <c r="BD176" i="92"/>
  <c r="BD172" i="92"/>
  <c r="BD156" i="92"/>
  <c r="BD173" i="92"/>
  <c r="AR183" i="92"/>
  <c r="AS183" i="92" s="1"/>
  <c r="BD144" i="92"/>
  <c r="BD168" i="92"/>
  <c r="AR165" i="92"/>
  <c r="AS165" i="92" s="1"/>
  <c r="AR188" i="92"/>
  <c r="AS188" i="92" s="1"/>
  <c r="BD170" i="92"/>
  <c r="BD177" i="92"/>
  <c r="AR135" i="92"/>
  <c r="AS135" i="92" s="1"/>
  <c r="AR159" i="92"/>
  <c r="AS159" i="92" s="1"/>
  <c r="AR136" i="92"/>
  <c r="AS136" i="92" s="1"/>
  <c r="BD139" i="92"/>
  <c r="BD162" i="92"/>
  <c r="BD148" i="92"/>
  <c r="AR170" i="92"/>
  <c r="AS170" i="92" s="1"/>
  <c r="BE180" i="92"/>
  <c r="AY180" i="92" s="1"/>
  <c r="AZ180" i="92" s="1"/>
  <c r="BE171" i="92"/>
  <c r="AY171" i="92" s="1"/>
  <c r="AZ171" i="92" s="1"/>
  <c r="BE158" i="92"/>
  <c r="AY158" i="92" s="1"/>
  <c r="AZ158" i="92" s="1"/>
  <c r="BE144" i="92"/>
  <c r="AY144" i="92" s="1"/>
  <c r="AZ144" i="92" s="1"/>
  <c r="BE133" i="92"/>
  <c r="AY133" i="92" s="1"/>
  <c r="AZ133" i="92" s="1"/>
  <c r="BH182" i="92"/>
  <c r="BH172" i="92"/>
  <c r="BH156" i="92"/>
  <c r="BH146" i="92"/>
  <c r="BH139" i="92"/>
  <c r="BI174" i="92"/>
  <c r="BI162" i="92"/>
  <c r="BI150" i="92"/>
  <c r="BE173" i="92"/>
  <c r="AY173" i="92" s="1"/>
  <c r="AZ173" i="92" s="1"/>
  <c r="BE165" i="92"/>
  <c r="BE147" i="92"/>
  <c r="BE136" i="92"/>
  <c r="BK136" i="92" s="1"/>
  <c r="BH179" i="92"/>
  <c r="BH171" i="92"/>
  <c r="BH159" i="92"/>
  <c r="BH143" i="92"/>
  <c r="BI186" i="92"/>
  <c r="BI170" i="92"/>
  <c r="BI156" i="92"/>
  <c r="BI144" i="92"/>
  <c r="BI133" i="92"/>
  <c r="BJ173" i="92"/>
  <c r="BJ163" i="92"/>
  <c r="BJ151" i="92"/>
  <c r="BJ137" i="92"/>
  <c r="BE176" i="92"/>
  <c r="AY176" i="92" s="1"/>
  <c r="AZ176" i="92" s="1"/>
  <c r="BE157" i="92"/>
  <c r="BE145" i="92"/>
  <c r="BH173" i="92"/>
  <c r="BH160" i="92"/>
  <c r="BH149" i="92"/>
  <c r="BI184" i="92"/>
  <c r="BI168" i="92"/>
  <c r="BI158" i="92"/>
  <c r="BI143" i="92"/>
  <c r="BJ186" i="92"/>
  <c r="BJ170" i="92"/>
  <c r="BJ156" i="92"/>
  <c r="BJ144" i="92"/>
  <c r="BE177" i="92"/>
  <c r="AY177" i="92" s="1"/>
  <c r="AZ177" i="92" s="1"/>
  <c r="BE163" i="92"/>
  <c r="BE149" i="92"/>
  <c r="BH176" i="92"/>
  <c r="BH158" i="92"/>
  <c r="BH141" i="92"/>
  <c r="BI181" i="92"/>
  <c r="BI164" i="92"/>
  <c r="BI147" i="92"/>
  <c r="BI134" i="92"/>
  <c r="BJ175" i="92"/>
  <c r="BJ161" i="92"/>
  <c r="BJ146" i="92"/>
  <c r="BE184" i="92"/>
  <c r="BE172" i="92"/>
  <c r="AY172" i="92" s="1"/>
  <c r="AZ172" i="92" s="1"/>
  <c r="BE153" i="92"/>
  <c r="BE138" i="92"/>
  <c r="BH174" i="92"/>
  <c r="BH157" i="92"/>
  <c r="BH140" i="92"/>
  <c r="BI177" i="92"/>
  <c r="BI160" i="92"/>
  <c r="BI145" i="92"/>
  <c r="BJ182" i="92"/>
  <c r="BJ169" i="92"/>
  <c r="BJ150" i="92"/>
  <c r="BJ136" i="92"/>
  <c r="BE181" i="92"/>
  <c r="BE162" i="92"/>
  <c r="AY162" i="92" s="1"/>
  <c r="AZ162" i="92" s="1"/>
  <c r="BE146" i="92"/>
  <c r="BH185" i="92"/>
  <c r="BH169" i="92"/>
  <c r="BH151" i="92"/>
  <c r="BH134" i="92"/>
  <c r="BI172" i="92"/>
  <c r="BI155" i="92"/>
  <c r="BI135" i="92"/>
  <c r="BJ178" i="92"/>
  <c r="BJ160" i="92"/>
  <c r="BJ145" i="92"/>
  <c r="BE182" i="92"/>
  <c r="AY182" i="92" s="1"/>
  <c r="AZ182" i="92" s="1"/>
  <c r="BE161" i="92"/>
  <c r="AY161" i="92" s="1"/>
  <c r="AZ161" i="92" s="1"/>
  <c r="BE140" i="92"/>
  <c r="AY140" i="92" s="1"/>
  <c r="AZ140" i="92" s="1"/>
  <c r="BH168" i="92"/>
  <c r="BH150" i="92"/>
  <c r="BI185" i="92"/>
  <c r="BI166" i="92"/>
  <c r="BI146" i="92"/>
  <c r="BJ181" i="92"/>
  <c r="BJ165" i="92"/>
  <c r="BJ142" i="92"/>
  <c r="BE174" i="92"/>
  <c r="AY174" i="92" s="1"/>
  <c r="AZ174" i="92" s="1"/>
  <c r="BE155" i="92"/>
  <c r="AY155" i="92" s="1"/>
  <c r="AZ155" i="92" s="1"/>
  <c r="BH180" i="92"/>
  <c r="BH165" i="92"/>
  <c r="BH135" i="92"/>
  <c r="BI171" i="92"/>
  <c r="BI148" i="92"/>
  <c r="BJ180" i="92"/>
  <c r="BJ157" i="92"/>
  <c r="BJ140" i="92"/>
  <c r="BE175" i="92"/>
  <c r="BE150" i="92"/>
  <c r="BH181" i="92"/>
  <c r="BH161" i="92"/>
  <c r="BH138" i="92"/>
  <c r="BI167" i="92"/>
  <c r="BI149" i="92"/>
  <c r="BJ183" i="92"/>
  <c r="BJ158" i="92"/>
  <c r="BJ135" i="92"/>
  <c r="BE168" i="92"/>
  <c r="AY168" i="92" s="1"/>
  <c r="AZ168" i="92" s="1"/>
  <c r="BE151" i="92"/>
  <c r="BH183" i="92"/>
  <c r="BH154" i="92"/>
  <c r="BH136" i="92"/>
  <c r="BI169" i="92"/>
  <c r="BI142" i="92"/>
  <c r="BJ177" i="92"/>
  <c r="BJ159" i="92"/>
  <c r="BJ138" i="92"/>
  <c r="BE170" i="92"/>
  <c r="AY170" i="92" s="1"/>
  <c r="AZ170" i="92" s="1"/>
  <c r="BE142" i="92"/>
  <c r="BH155" i="92"/>
  <c r="BI180" i="92"/>
  <c r="BI153" i="92"/>
  <c r="BJ174" i="92"/>
  <c r="BJ152" i="92"/>
  <c r="BE169" i="92"/>
  <c r="AY169" i="92" s="1"/>
  <c r="AZ169" i="92" s="1"/>
  <c r="BE137" i="92"/>
  <c r="AY137" i="92" s="1"/>
  <c r="AZ137" i="92" s="1"/>
  <c r="BH186" i="92"/>
  <c r="BH152" i="92"/>
  <c r="BI178" i="92"/>
  <c r="BI152" i="92"/>
  <c r="BJ168" i="92"/>
  <c r="BJ148" i="92"/>
  <c r="BE159" i="92"/>
  <c r="AY159" i="92" s="1"/>
  <c r="AZ159" i="92" s="1"/>
  <c r="BH163" i="92"/>
  <c r="BI173" i="92"/>
  <c r="BI137" i="92"/>
  <c r="BJ164" i="92"/>
  <c r="BE154" i="92"/>
  <c r="AY154" i="92" s="1"/>
  <c r="AZ154" i="92" s="1"/>
  <c r="BH153" i="92"/>
  <c r="BI175" i="92"/>
  <c r="BI138" i="92"/>
  <c r="BJ162" i="92"/>
  <c r="BE185" i="92"/>
  <c r="AY185" i="92" s="1"/>
  <c r="AZ185" i="92" s="1"/>
  <c r="BE152" i="92"/>
  <c r="BH147" i="92"/>
  <c r="BI176" i="92"/>
  <c r="BI136" i="92"/>
  <c r="BJ154" i="92"/>
  <c r="BE183" i="92"/>
  <c r="AY183" i="92" s="1"/>
  <c r="AZ183" i="92" s="1"/>
  <c r="BE141" i="92"/>
  <c r="AY141" i="92" s="1"/>
  <c r="AZ141" i="92" s="1"/>
  <c r="BH178" i="92"/>
  <c r="BH145" i="92"/>
  <c r="BI161" i="92"/>
  <c r="BJ185" i="92"/>
  <c r="BJ147" i="92"/>
  <c r="BE178" i="92"/>
  <c r="AY178" i="92" s="1"/>
  <c r="AZ178" i="92" s="1"/>
  <c r="BE135" i="92"/>
  <c r="BH175" i="92"/>
  <c r="BH142" i="92"/>
  <c r="BI157" i="92"/>
  <c r="BJ179" i="92"/>
  <c r="BJ149" i="92"/>
  <c r="BE139" i="92"/>
  <c r="AY139" i="92" s="1"/>
  <c r="AZ139" i="92" s="1"/>
  <c r="BH144" i="92"/>
  <c r="BI140" i="92"/>
  <c r="BJ134" i="92"/>
  <c r="BI187" i="92"/>
  <c r="BH137" i="92"/>
  <c r="BI139" i="92"/>
  <c r="BJ139" i="92"/>
  <c r="BI188" i="92"/>
  <c r="BE166" i="92"/>
  <c r="BK166" i="92" s="1"/>
  <c r="BH177" i="92"/>
  <c r="BI183" i="92"/>
  <c r="BJ171" i="92"/>
  <c r="BE179" i="92"/>
  <c r="BK179" i="92" s="1"/>
  <c r="BH167" i="92"/>
  <c r="BI151" i="92"/>
  <c r="BE167" i="92"/>
  <c r="AY167" i="92" s="1"/>
  <c r="AZ167" i="92" s="1"/>
  <c r="BH166" i="92"/>
  <c r="BI141" i="92"/>
  <c r="BE164" i="92"/>
  <c r="AY164" i="92" s="1"/>
  <c r="AZ164" i="92" s="1"/>
  <c r="BH164" i="92"/>
  <c r="BJ184" i="92"/>
  <c r="BE134" i="92"/>
  <c r="AY134" i="92" s="1"/>
  <c r="AZ134" i="92" s="1"/>
  <c r="BI182" i="92"/>
  <c r="BJ155" i="92"/>
  <c r="BE148" i="92"/>
  <c r="AY148" i="92" s="1"/>
  <c r="AZ148" i="92" s="1"/>
  <c r="BI159" i="92"/>
  <c r="BJ176" i="92"/>
  <c r="BE187" i="92"/>
  <c r="BE143" i="92"/>
  <c r="AY143" i="92" s="1"/>
  <c r="AZ143" i="92" s="1"/>
  <c r="BI154" i="92"/>
  <c r="BH170" i="92"/>
  <c r="BJ166" i="92"/>
  <c r="BH162" i="92"/>
  <c r="BJ153" i="92"/>
  <c r="BH148" i="92"/>
  <c r="BJ143" i="92"/>
  <c r="BJ188" i="92"/>
  <c r="BI179" i="92"/>
  <c r="BI163" i="92"/>
  <c r="BI165" i="92"/>
  <c r="BJ141" i="92"/>
  <c r="BE188" i="92"/>
  <c r="BE186" i="92"/>
  <c r="AY186" i="92" s="1"/>
  <c r="AZ186" i="92" s="1"/>
  <c r="BJ133" i="92"/>
  <c r="BH187" i="92"/>
  <c r="BE160" i="92"/>
  <c r="AY160" i="92" s="1"/>
  <c r="AZ160" i="92" s="1"/>
  <c r="BH188" i="92"/>
  <c r="BE156" i="92"/>
  <c r="BJ187" i="92"/>
  <c r="BH184" i="92"/>
  <c r="BJ172" i="92"/>
  <c r="BH133" i="92"/>
  <c r="BJ167" i="92"/>
  <c r="BE1" i="92"/>
  <c r="AR162" i="92"/>
  <c r="AS162" i="92" s="1"/>
  <c r="AR180" i="92"/>
  <c r="AS180" i="92" s="1"/>
  <c r="BB2" i="92"/>
  <c r="BD2" i="92"/>
  <c r="AY2" i="92"/>
  <c r="BC2" i="92"/>
  <c r="AX2" i="92"/>
  <c r="AZ2" i="92"/>
  <c r="BA2" i="92"/>
  <c r="BD174" i="92"/>
  <c r="BD143" i="92"/>
  <c r="AY153" i="92"/>
  <c r="AZ153" i="92" s="1"/>
  <c r="BD153" i="92"/>
  <c r="AR164" i="92"/>
  <c r="AS164" i="92" s="1"/>
  <c r="AR167" i="92"/>
  <c r="AS167" i="92" s="1"/>
  <c r="AR154" i="92"/>
  <c r="AS154" i="92" s="1"/>
  <c r="AR160" i="92"/>
  <c r="AS160" i="92" s="1"/>
  <c r="AR149" i="92"/>
  <c r="AS149" i="92" s="1"/>
  <c r="BD149" i="92"/>
  <c r="BD161" i="92"/>
  <c r="BD133" i="92"/>
  <c r="BD166" i="92"/>
  <c r="AR133" i="92"/>
  <c r="AS133" i="92" s="1"/>
  <c r="AR153" i="92"/>
  <c r="AS153" i="92" s="1"/>
  <c r="AI8" i="92"/>
  <c r="AI120" i="92"/>
  <c r="AI50" i="92"/>
  <c r="AI116" i="92"/>
  <c r="AI16" i="92"/>
  <c r="AI62" i="92"/>
  <c r="AI58" i="92"/>
  <c r="AI110" i="92"/>
  <c r="AI78" i="92"/>
  <c r="AI129" i="92"/>
  <c r="AI38" i="92"/>
  <c r="AI5" i="92"/>
  <c r="AI100" i="92"/>
  <c r="AI15" i="92"/>
  <c r="AI103" i="92"/>
  <c r="J26" i="95"/>
  <c r="AC27" i="95" s="1"/>
  <c r="AI22" i="92"/>
  <c r="AI130" i="92"/>
  <c r="AI91" i="92"/>
  <c r="AI89" i="92"/>
  <c r="AI36" i="92"/>
  <c r="AI84" i="92"/>
  <c r="AI81" i="92"/>
  <c r="AI126" i="92"/>
  <c r="AI65" i="92"/>
  <c r="AI42" i="92"/>
  <c r="AI117" i="92"/>
  <c r="AI93" i="92"/>
  <c r="AI60" i="92"/>
  <c r="AI131" i="92"/>
  <c r="AI88" i="92"/>
  <c r="AI61" i="92"/>
  <c r="AI46" i="92"/>
  <c r="AP66" i="92"/>
  <c r="AI66" i="92"/>
  <c r="AW66" i="92"/>
  <c r="AI47" i="92"/>
  <c r="AP82" i="92"/>
  <c r="AI28" i="92"/>
  <c r="AW82" i="92"/>
  <c r="AI92" i="92"/>
  <c r="AI57" i="92"/>
  <c r="AI30" i="92"/>
  <c r="AI68" i="92"/>
  <c r="AI23" i="92"/>
  <c r="AI112" i="92"/>
  <c r="AI49" i="92"/>
  <c r="AI72" i="92"/>
  <c r="AI85" i="92"/>
  <c r="AI98" i="92"/>
  <c r="AI19" i="92"/>
  <c r="AI27" i="92"/>
  <c r="AI113" i="92"/>
  <c r="AI12" i="92"/>
  <c r="AI75" i="92"/>
  <c r="AI119" i="92"/>
  <c r="AI40" i="92"/>
  <c r="AI52" i="92"/>
  <c r="AI115" i="92"/>
  <c r="AI74" i="92"/>
  <c r="AI67" i="92"/>
  <c r="AI6" i="92"/>
  <c r="AI125" i="92"/>
  <c r="AI104" i="92"/>
  <c r="AI90" i="92"/>
  <c r="AI94" i="92"/>
  <c r="AI118" i="92"/>
  <c r="AI55" i="92"/>
  <c r="AI17" i="92"/>
  <c r="AI109" i="92"/>
  <c r="AI128" i="92"/>
  <c r="AI102" i="92"/>
  <c r="AI7" i="92"/>
  <c r="AI32" i="92"/>
  <c r="AI77" i="92"/>
  <c r="AI80" i="92"/>
  <c r="AI107" i="92"/>
  <c r="AI41" i="92"/>
  <c r="AI82" i="92"/>
  <c r="AI124" i="92"/>
  <c r="AI45" i="92"/>
  <c r="AI108" i="92"/>
  <c r="AI43" i="92"/>
  <c r="AI95" i="92"/>
  <c r="AI132" i="92"/>
  <c r="AI69" i="92"/>
  <c r="AI83" i="92"/>
  <c r="AI114" i="92"/>
  <c r="AI29" i="92"/>
  <c r="AI51" i="92"/>
  <c r="AI25" i="92"/>
  <c r="J27" i="95"/>
  <c r="AC28" i="95" s="1"/>
  <c r="AI20" i="92"/>
  <c r="AI31" i="92"/>
  <c r="AI44" i="92"/>
  <c r="AI34" i="92"/>
  <c r="AI21" i="92"/>
  <c r="AI35" i="92"/>
  <c r="AI9" i="92"/>
  <c r="AI79" i="92"/>
  <c r="AI63" i="92"/>
  <c r="BD105" i="92"/>
  <c r="BD124" i="92"/>
  <c r="BD116" i="92"/>
  <c r="AL77" i="92"/>
  <c r="AW92" i="92"/>
  <c r="AL35" i="92"/>
  <c r="AL32" i="92"/>
  <c r="AL16" i="92"/>
  <c r="AL124" i="92"/>
  <c r="AL92" i="92"/>
  <c r="AL19" i="92"/>
  <c r="AL126" i="92"/>
  <c r="AL18" i="92"/>
  <c r="BD75" i="92"/>
  <c r="AW35" i="92"/>
  <c r="H27" i="95"/>
  <c r="BD120" i="92"/>
  <c r="BD31" i="92"/>
  <c r="BD30" i="92"/>
  <c r="AR28" i="92"/>
  <c r="AS28" i="92" s="1"/>
  <c r="AR110" i="92"/>
  <c r="AS110" i="92" s="1"/>
  <c r="AR23" i="92"/>
  <c r="AS23" i="92" s="1"/>
  <c r="AR99" i="92"/>
  <c r="AS99" i="92" s="1"/>
  <c r="AR51" i="92"/>
  <c r="AS51" i="92" s="1"/>
  <c r="BD5" i="92"/>
  <c r="BD89" i="92"/>
  <c r="AR68" i="92"/>
  <c r="AS68" i="92" s="1"/>
  <c r="AR12" i="92"/>
  <c r="AS12" i="92" s="1"/>
  <c r="AR80" i="92"/>
  <c r="AS80" i="92" s="1"/>
  <c r="AR116" i="92"/>
  <c r="AS116" i="92" s="1"/>
  <c r="AR38" i="92"/>
  <c r="AS38" i="92" s="1"/>
  <c r="AR69" i="92"/>
  <c r="AS69" i="92" s="1"/>
  <c r="AR73" i="92"/>
  <c r="AS73" i="92" s="1"/>
  <c r="BD13" i="92"/>
  <c r="AR87" i="92"/>
  <c r="AS87" i="92" s="1"/>
  <c r="AR37" i="92"/>
  <c r="AS37" i="92" s="1"/>
  <c r="AR120" i="92"/>
  <c r="AS120" i="92" s="1"/>
  <c r="BD86" i="92"/>
  <c r="AR124" i="92"/>
  <c r="AS124" i="92" s="1"/>
  <c r="AR79" i="92"/>
  <c r="AS79" i="92" s="1"/>
  <c r="AR45" i="92"/>
  <c r="AS45" i="92" s="1"/>
  <c r="AR21" i="92"/>
  <c r="AS21" i="92" s="1"/>
  <c r="AR5" i="92"/>
  <c r="AS5" i="92" s="1"/>
  <c r="AR18" i="92"/>
  <c r="AS18" i="92" s="1"/>
  <c r="AR92" i="92"/>
  <c r="AS92" i="92" s="1"/>
  <c r="AR49" i="92"/>
  <c r="AS49" i="92" s="1"/>
  <c r="AR67" i="92"/>
  <c r="AS67" i="92" s="1"/>
  <c r="AR86" i="92"/>
  <c r="AS86" i="92" s="1"/>
  <c r="AR30" i="92"/>
  <c r="AS30" i="92" s="1"/>
  <c r="AR81" i="92"/>
  <c r="AS81" i="92" s="1"/>
  <c r="BD29" i="92"/>
  <c r="AR29" i="92"/>
  <c r="AS29" i="92" s="1"/>
  <c r="AR88" i="92"/>
  <c r="AS88" i="92" s="1"/>
  <c r="AR114" i="92"/>
  <c r="AS114" i="92" s="1"/>
  <c r="AR97" i="92"/>
  <c r="AS97" i="92" s="1"/>
  <c r="AR130" i="92"/>
  <c r="AS130" i="92" s="1"/>
  <c r="AR33" i="92"/>
  <c r="AS33" i="92" s="1"/>
  <c r="AR48" i="92"/>
  <c r="AS48" i="92" s="1"/>
  <c r="AR105" i="92"/>
  <c r="AS105" i="92" s="1"/>
  <c r="AR26" i="92"/>
  <c r="AS26" i="92" s="1"/>
  <c r="AR46" i="92"/>
  <c r="AS46" i="92" s="1"/>
  <c r="AR125" i="92"/>
  <c r="AS125" i="92" s="1"/>
  <c r="AR103" i="92"/>
  <c r="AS103" i="92" s="1"/>
  <c r="AR108" i="92"/>
  <c r="AS108" i="92" s="1"/>
  <c r="AR53" i="92"/>
  <c r="AS53" i="92" s="1"/>
  <c r="AR55" i="92"/>
  <c r="AS55" i="92" s="1"/>
  <c r="AR39" i="92"/>
  <c r="AS39" i="92" s="1"/>
  <c r="AR82" i="92"/>
  <c r="AS82" i="92" s="1"/>
  <c r="AR17" i="92"/>
  <c r="AS17" i="92" s="1"/>
  <c r="AR14" i="92"/>
  <c r="AS14" i="92" s="1"/>
  <c r="AR41" i="92"/>
  <c r="AS41" i="92" s="1"/>
  <c r="AR100" i="92"/>
  <c r="AS100" i="92" s="1"/>
  <c r="AR56" i="92"/>
  <c r="AS56" i="92" s="1"/>
  <c r="AR44" i="92"/>
  <c r="AS44" i="92" s="1"/>
  <c r="AR101" i="92"/>
  <c r="AS101" i="92" s="1"/>
  <c r="AR7" i="92"/>
  <c r="AS7" i="92" s="1"/>
  <c r="AR13" i="92"/>
  <c r="AS13" i="92" s="1"/>
  <c r="AR31" i="92"/>
  <c r="AS31" i="92" s="1"/>
  <c r="AR77" i="92"/>
  <c r="AS77" i="92" s="1"/>
  <c r="AR66" i="92"/>
  <c r="AS66" i="92" s="1"/>
  <c r="AR94" i="92"/>
  <c r="AS94" i="92" s="1"/>
  <c r="AR95" i="92"/>
  <c r="AS95" i="92" s="1"/>
  <c r="AR20" i="92"/>
  <c r="AS20" i="92" s="1"/>
  <c r="AR93" i="92"/>
  <c r="AS93" i="92" s="1"/>
  <c r="AR78" i="92"/>
  <c r="AS78" i="92" s="1"/>
  <c r="G24" i="95"/>
  <c r="BD22" i="92"/>
  <c r="BD58" i="92"/>
  <c r="AR27" i="92"/>
  <c r="AS27" i="92" s="1"/>
  <c r="AR128" i="92"/>
  <c r="AS128" i="92" s="1"/>
  <c r="AR35" i="92"/>
  <c r="AS35" i="92" s="1"/>
  <c r="BJ21" i="92"/>
  <c r="BH31" i="92"/>
  <c r="BH26" i="92"/>
  <c r="BH112" i="92"/>
  <c r="BH20" i="92"/>
  <c r="BH61" i="92"/>
  <c r="BH79" i="92"/>
  <c r="BH87" i="92"/>
  <c r="BH23" i="92"/>
  <c r="BH118" i="92"/>
  <c r="BH75" i="92"/>
  <c r="BH66" i="92"/>
  <c r="BH52" i="92"/>
  <c r="BH57" i="92"/>
  <c r="BH48" i="92"/>
  <c r="BH123" i="92"/>
  <c r="BH54" i="92"/>
  <c r="BH98" i="92"/>
  <c r="BH122" i="92"/>
  <c r="BH111" i="92"/>
  <c r="BH13" i="92"/>
  <c r="BH41" i="92"/>
  <c r="BH12" i="92"/>
  <c r="BH40" i="92"/>
  <c r="BH81" i="92"/>
  <c r="BH59" i="92"/>
  <c r="BH21" i="92"/>
  <c r="BH110" i="92"/>
  <c r="BH11" i="92"/>
  <c r="BH130" i="92"/>
  <c r="BH90" i="92"/>
  <c r="BH15" i="92"/>
  <c r="BH3" i="92"/>
  <c r="BH84" i="92"/>
  <c r="BH56" i="92"/>
  <c r="BH109" i="92"/>
  <c r="BH114" i="92"/>
  <c r="BH115" i="92"/>
  <c r="BH22" i="92"/>
  <c r="BH55" i="92"/>
  <c r="BH7" i="92"/>
  <c r="BH46" i="92"/>
  <c r="BH119" i="92"/>
  <c r="BH124" i="92"/>
  <c r="BH14" i="92"/>
  <c r="BH92" i="92"/>
  <c r="BH60" i="92"/>
  <c r="BH116" i="92"/>
  <c r="BH19" i="92"/>
  <c r="BH27" i="92"/>
  <c r="BH34" i="92"/>
  <c r="BH72" i="92"/>
  <c r="BH29" i="92"/>
  <c r="BH10" i="92"/>
  <c r="BH89" i="92"/>
  <c r="BH65" i="92"/>
  <c r="BH62" i="92"/>
  <c r="BH35" i="92"/>
  <c r="BH39" i="92"/>
  <c r="BG3" i="92"/>
  <c r="BH6" i="92"/>
  <c r="BH32" i="92"/>
  <c r="BH132" i="92"/>
  <c r="BH106" i="92"/>
  <c r="BF3" i="92"/>
  <c r="BH64" i="92"/>
  <c r="BH96" i="92"/>
  <c r="BH104" i="92"/>
  <c r="BH85" i="92"/>
  <c r="BH128" i="92"/>
  <c r="BH95" i="92"/>
  <c r="BH129" i="92"/>
  <c r="BH50" i="92"/>
  <c r="BH117" i="92"/>
  <c r="BH76" i="92"/>
  <c r="BH25" i="92"/>
  <c r="BH44" i="92"/>
  <c r="BH103" i="92"/>
  <c r="BH74" i="92"/>
  <c r="BH24" i="92"/>
  <c r="BH8" i="92"/>
  <c r="BH73" i="92"/>
  <c r="BH126" i="92"/>
  <c r="BH16" i="92"/>
  <c r="BH47" i="92"/>
  <c r="BH88" i="92"/>
  <c r="BH5" i="92"/>
  <c r="BH9" i="92"/>
  <c r="BH36" i="92"/>
  <c r="BH101" i="92"/>
  <c r="BH45" i="92"/>
  <c r="BH49" i="92"/>
  <c r="BH51" i="92"/>
  <c r="BH43" i="92"/>
  <c r="BH99" i="92"/>
  <c r="BH33" i="92"/>
  <c r="BH67" i="92"/>
  <c r="BH97" i="92"/>
  <c r="BH78" i="92"/>
  <c r="BH86" i="92"/>
  <c r="BH70" i="92"/>
  <c r="BH102" i="92"/>
  <c r="BH82" i="92"/>
  <c r="BH83" i="92"/>
  <c r="BH120" i="92"/>
  <c r="BH80" i="92"/>
  <c r="BH42" i="92"/>
  <c r="BH38" i="92"/>
  <c r="BH77" i="92"/>
  <c r="BH18" i="92"/>
  <c r="BH94" i="92"/>
  <c r="BH58" i="92"/>
  <c r="BH91" i="92"/>
  <c r="BH93" i="92"/>
  <c r="BH127" i="92"/>
  <c r="BH28" i="92"/>
  <c r="BH100" i="92"/>
  <c r="BH105" i="92"/>
  <c r="BH63" i="92"/>
  <c r="BH17" i="92"/>
  <c r="BH69" i="92"/>
  <c r="BH113" i="92"/>
  <c r="BH107" i="92"/>
  <c r="BH37" i="92"/>
  <c r="BH108" i="92"/>
  <c r="BH125" i="92"/>
  <c r="BH131" i="92"/>
  <c r="BH121" i="92"/>
  <c r="BH71" i="92"/>
  <c r="BH30" i="92"/>
  <c r="BH68" i="92"/>
  <c r="BH53" i="92"/>
  <c r="BD66" i="92"/>
  <c r="BD74" i="92"/>
  <c r="BD121" i="92"/>
  <c r="BD91" i="92"/>
  <c r="BD113" i="92"/>
  <c r="BD64" i="92"/>
  <c r="BD111" i="92"/>
  <c r="BD114" i="92"/>
  <c r="BD51" i="92"/>
  <c r="BD14" i="92"/>
  <c r="BD67" i="92"/>
  <c r="BD38" i="92"/>
  <c r="BD57" i="92"/>
  <c r="BD35" i="92"/>
  <c r="BD110" i="92"/>
  <c r="BD7" i="92"/>
  <c r="BD73" i="92"/>
  <c r="BD65" i="92"/>
  <c r="BD32" i="92"/>
  <c r="BD93" i="92"/>
  <c r="BD52" i="92"/>
  <c r="BD59" i="92"/>
  <c r="BD80" i="92"/>
  <c r="BD118" i="92"/>
  <c r="BD119" i="92"/>
  <c r="BD97" i="92"/>
  <c r="BD103" i="92"/>
  <c r="BD72" i="92"/>
  <c r="I24" i="95"/>
  <c r="BD84" i="92"/>
  <c r="BD100" i="92"/>
  <c r="BD82" i="92"/>
  <c r="BD44" i="92"/>
  <c r="BD9" i="92"/>
  <c r="BD19" i="92"/>
  <c r="BD47" i="92"/>
  <c r="BD62" i="92"/>
  <c r="BD61" i="92"/>
  <c r="BD18" i="92"/>
  <c r="BD130" i="92"/>
  <c r="BD99" i="92"/>
  <c r="BD68" i="92"/>
  <c r="BD115" i="92"/>
  <c r="BD34" i="92"/>
  <c r="K26" i="95"/>
  <c r="AW26" i="92"/>
  <c r="BD83" i="92"/>
  <c r="BD125" i="92"/>
  <c r="BD6" i="92"/>
  <c r="BD77" i="92"/>
  <c r="BD41" i="92"/>
  <c r="BD94" i="92"/>
  <c r="BD60" i="92"/>
  <c r="BD71" i="92"/>
  <c r="BJ64" i="92"/>
  <c r="BJ111" i="92"/>
  <c r="BJ57" i="92"/>
  <c r="BJ16" i="92"/>
  <c r="BJ32" i="92"/>
  <c r="BJ95" i="92"/>
  <c r="BJ90" i="92"/>
  <c r="BJ103" i="92"/>
  <c r="BJ67" i="92"/>
  <c r="BJ70" i="92"/>
  <c r="BJ93" i="92"/>
  <c r="BJ52" i="92"/>
  <c r="BJ27" i="92"/>
  <c r="BJ50" i="92"/>
  <c r="BD104" i="92"/>
  <c r="BD81" i="92"/>
  <c r="BD88" i="92"/>
  <c r="BD20" i="92"/>
  <c r="BD90" i="92"/>
  <c r="BD85" i="92"/>
  <c r="BD78" i="92"/>
  <c r="BD37" i="92"/>
  <c r="BD79" i="92"/>
  <c r="BD112" i="92"/>
  <c r="BD92" i="92"/>
  <c r="BD21" i="92"/>
  <c r="BD63" i="92"/>
  <c r="BD69" i="92"/>
  <c r="BD129" i="92"/>
  <c r="BD15" i="92"/>
  <c r="BD39" i="92"/>
  <c r="BD123" i="92"/>
  <c r="BD36" i="92"/>
  <c r="BD27" i="92"/>
  <c r="BD127" i="92"/>
  <c r="BD12" i="92"/>
  <c r="BD48" i="92"/>
  <c r="BD96" i="92"/>
  <c r="BD55" i="92"/>
  <c r="BD126" i="92"/>
  <c r="BD50" i="92"/>
  <c r="BD28" i="92"/>
  <c r="BD107" i="92"/>
  <c r="BD45" i="92"/>
  <c r="BD24" i="92"/>
  <c r="BD25" i="92"/>
  <c r="BD11" i="92"/>
  <c r="BD132" i="92"/>
  <c r="BD53" i="92"/>
  <c r="BD109" i="92"/>
  <c r="BD23" i="92"/>
  <c r="BD49" i="92"/>
  <c r="BD26" i="92"/>
  <c r="J24" i="95"/>
  <c r="AD25" i="95" s="1"/>
  <c r="J25" i="95"/>
  <c r="AD26" i="95" s="1"/>
  <c r="AB27" i="95"/>
  <c r="AB28" i="95"/>
  <c r="AB26" i="95"/>
  <c r="BD128" i="92"/>
  <c r="BD17" i="92"/>
  <c r="BD122" i="92"/>
  <c r="BD16" i="92"/>
  <c r="BD76" i="92"/>
  <c r="BD106" i="92"/>
  <c r="BD42" i="92"/>
  <c r="BD117" i="92"/>
  <c r="BD98" i="92"/>
  <c r="BD108" i="92"/>
  <c r="BD8" i="92"/>
  <c r="BD33" i="92"/>
  <c r="BD10" i="92"/>
  <c r="BD102" i="92"/>
  <c r="BD87" i="92"/>
  <c r="BD43" i="92"/>
  <c r="BD131" i="92"/>
  <c r="BJ105" i="92"/>
  <c r="BJ15" i="92"/>
  <c r="BJ60" i="92"/>
  <c r="BJ12" i="92"/>
  <c r="BJ7" i="92"/>
  <c r="BJ97" i="92"/>
  <c r="BJ63" i="92"/>
  <c r="BJ125" i="92"/>
  <c r="BJ85" i="92"/>
  <c r="BJ40" i="92"/>
  <c r="BJ100" i="92"/>
  <c r="BJ131" i="92"/>
  <c r="BD40" i="92"/>
  <c r="BJ17" i="92"/>
  <c r="BJ79" i="92"/>
  <c r="BJ94" i="92"/>
  <c r="BJ84" i="92"/>
  <c r="BJ61" i="92"/>
  <c r="BJ44" i="92"/>
  <c r="BJ88" i="92"/>
  <c r="BJ109" i="92"/>
  <c r="BJ129" i="92"/>
  <c r="BJ102" i="92"/>
  <c r="BJ59" i="92"/>
  <c r="BJ72" i="92"/>
  <c r="BJ108" i="92"/>
  <c r="BJ46" i="92"/>
  <c r="BJ127" i="92"/>
  <c r="BJ106" i="92"/>
  <c r="BJ10" i="92"/>
  <c r="BJ54" i="92"/>
  <c r="BJ91" i="92"/>
  <c r="BJ6" i="92"/>
  <c r="BJ33" i="92"/>
  <c r="BJ110" i="92"/>
  <c r="BJ82" i="92"/>
  <c r="BJ56" i="92"/>
  <c r="BJ26" i="92"/>
  <c r="BJ83" i="92"/>
  <c r="BJ68" i="92"/>
  <c r="BJ39" i="92"/>
  <c r="BJ74" i="92"/>
  <c r="BJ113" i="92"/>
  <c r="BJ126" i="92"/>
  <c r="BJ66" i="92"/>
  <c r="BJ104" i="92"/>
  <c r="BD46" i="92"/>
  <c r="BJ73" i="92"/>
  <c r="BJ42" i="92"/>
  <c r="BJ9" i="92"/>
  <c r="BJ38" i="92"/>
  <c r="BJ87" i="92"/>
  <c r="BJ122" i="92"/>
  <c r="BD56" i="92"/>
  <c r="BI3" i="92"/>
  <c r="BE16" i="92"/>
  <c r="BE97" i="92"/>
  <c r="AY97" i="92" s="1"/>
  <c r="AZ97" i="92" s="1"/>
  <c r="BE19" i="92"/>
  <c r="BE99" i="92"/>
  <c r="BE28" i="92"/>
  <c r="BE30" i="92"/>
  <c r="BE108" i="92"/>
  <c r="AY108" i="92" s="1"/>
  <c r="AZ108" i="92" s="1"/>
  <c r="BE18" i="92"/>
  <c r="AY18" i="92" s="1"/>
  <c r="AZ18" i="92" s="1"/>
  <c r="BE65" i="92"/>
  <c r="AY65" i="92" s="1"/>
  <c r="AZ65" i="92" s="1"/>
  <c r="BE61" i="92"/>
  <c r="AY61" i="92" s="1"/>
  <c r="AZ61" i="92" s="1"/>
  <c r="BE5" i="92"/>
  <c r="BI22" i="92"/>
  <c r="BI12" i="92"/>
  <c r="BI130" i="92"/>
  <c r="BI113" i="92"/>
  <c r="BI33" i="92"/>
  <c r="BI39" i="92"/>
  <c r="BI9" i="92"/>
  <c r="BI115" i="92"/>
  <c r="BI88" i="92"/>
  <c r="BI126" i="92"/>
  <c r="BJ101" i="92"/>
  <c r="BE107" i="92"/>
  <c r="AY107" i="92" s="1"/>
  <c r="AZ107" i="92" s="1"/>
  <c r="BE122" i="92"/>
  <c r="BE125" i="92"/>
  <c r="BE83" i="92"/>
  <c r="AY83" i="92" s="1"/>
  <c r="AZ83" i="92" s="1"/>
  <c r="BE7" i="92"/>
  <c r="AY7" i="92" s="1"/>
  <c r="AZ7" i="92" s="1"/>
  <c r="BE102" i="92"/>
  <c r="BE13" i="92"/>
  <c r="BE88" i="92"/>
  <c r="AY88" i="92" s="1"/>
  <c r="AZ88" i="92" s="1"/>
  <c r="BE53" i="92"/>
  <c r="AY53" i="92" s="1"/>
  <c r="AZ53" i="92" s="1"/>
  <c r="BE47" i="92"/>
  <c r="AY47" i="92" s="1"/>
  <c r="AZ47" i="92" s="1"/>
  <c r="BI107" i="92"/>
  <c r="BI122" i="92"/>
  <c r="BI125" i="92"/>
  <c r="BI83" i="92"/>
  <c r="BI7" i="92"/>
  <c r="BI102" i="92"/>
  <c r="BI13" i="92"/>
  <c r="BI76" i="92"/>
  <c r="BI23" i="92"/>
  <c r="BI5" i="92"/>
  <c r="BE8" i="92"/>
  <c r="AY8" i="92" s="1"/>
  <c r="AZ8" i="92" s="1"/>
  <c r="BE38" i="92"/>
  <c r="BE43" i="92"/>
  <c r="BE67" i="92"/>
  <c r="BE11" i="92"/>
  <c r="AY11" i="92" s="1"/>
  <c r="AZ11" i="92" s="1"/>
  <c r="BE52" i="92"/>
  <c r="BE115" i="92"/>
  <c r="BE76" i="92"/>
  <c r="BE23" i="92"/>
  <c r="BE70" i="92"/>
  <c r="AY70" i="92" s="1"/>
  <c r="AZ70" i="92" s="1"/>
  <c r="BI8" i="92"/>
  <c r="BI38" i="92"/>
  <c r="BI43" i="92"/>
  <c r="BI67" i="92"/>
  <c r="BI11" i="92"/>
  <c r="BI52" i="92"/>
  <c r="BI58" i="92"/>
  <c r="BI71" i="92"/>
  <c r="BI61" i="92"/>
  <c r="BI70" i="92"/>
  <c r="BE20" i="92"/>
  <c r="BE84" i="92"/>
  <c r="AY84" i="92" s="1"/>
  <c r="AZ84" i="92" s="1"/>
  <c r="BE80" i="92"/>
  <c r="AY80" i="92" s="1"/>
  <c r="AZ80" i="92" s="1"/>
  <c r="BE90" i="92"/>
  <c r="BE87" i="92"/>
  <c r="AY87" i="92" s="1"/>
  <c r="AZ87" i="92" s="1"/>
  <c r="BE9" i="92"/>
  <c r="AY9" i="92" s="1"/>
  <c r="AZ9" i="92" s="1"/>
  <c r="BE58" i="92"/>
  <c r="AY58" i="92" s="1"/>
  <c r="AZ58" i="92" s="1"/>
  <c r="BE71" i="92"/>
  <c r="BE128" i="92"/>
  <c r="BE31" i="92"/>
  <c r="BI20" i="92"/>
  <c r="BI84" i="92"/>
  <c r="BI80" i="92"/>
  <c r="BI90" i="92"/>
  <c r="BI87" i="92"/>
  <c r="BI106" i="92"/>
  <c r="BE112" i="92"/>
  <c r="AY112" i="92" s="1"/>
  <c r="AZ112" i="92" s="1"/>
  <c r="BE44" i="92"/>
  <c r="AY44" i="92" s="1"/>
  <c r="AZ44" i="92" s="1"/>
  <c r="BE94" i="92"/>
  <c r="AY94" i="92" s="1"/>
  <c r="AZ94" i="92" s="1"/>
  <c r="BE69" i="92"/>
  <c r="BE39" i="92"/>
  <c r="BE106" i="92"/>
  <c r="BE132" i="92"/>
  <c r="BE50" i="92"/>
  <c r="BE27" i="92"/>
  <c r="BE63" i="92"/>
  <c r="AY63" i="92" s="1"/>
  <c r="AZ63" i="92" s="1"/>
  <c r="BI112" i="92"/>
  <c r="BI44" i="92"/>
  <c r="BI94" i="92"/>
  <c r="BI69" i="92"/>
  <c r="BI81" i="92"/>
  <c r="BI62" i="92"/>
  <c r="BI18" i="92"/>
  <c r="BI50" i="92"/>
  <c r="BI27" i="92"/>
  <c r="BI63" i="92"/>
  <c r="BE104" i="92"/>
  <c r="BE101" i="92"/>
  <c r="BE21" i="92"/>
  <c r="AY21" i="92" s="1"/>
  <c r="AZ21" i="92" s="1"/>
  <c r="BE113" i="92"/>
  <c r="AY113" i="92" s="1"/>
  <c r="AZ113" i="92" s="1"/>
  <c r="BE129" i="92"/>
  <c r="AY129" i="92" s="1"/>
  <c r="AZ129" i="92" s="1"/>
  <c r="BE42" i="92"/>
  <c r="BE120" i="92"/>
  <c r="BE82" i="92"/>
  <c r="BE111" i="92"/>
  <c r="BE98" i="92"/>
  <c r="BI104" i="92"/>
  <c r="BI101" i="92"/>
  <c r="BI21" i="92"/>
  <c r="BI73" i="92"/>
  <c r="BI89" i="92"/>
  <c r="BI30" i="92"/>
  <c r="BI120" i="92"/>
  <c r="BE85" i="92"/>
  <c r="BE86" i="92"/>
  <c r="BE130" i="92"/>
  <c r="BE73" i="92"/>
  <c r="AY73" i="92" s="1"/>
  <c r="AZ73" i="92" s="1"/>
  <c r="BE89" i="92"/>
  <c r="BE55" i="92"/>
  <c r="BE36" i="92"/>
  <c r="BE10" i="92"/>
  <c r="BE35" i="92"/>
  <c r="BE100" i="92"/>
  <c r="AY100" i="92" s="1"/>
  <c r="AZ100" i="92" s="1"/>
  <c r="BI85" i="92"/>
  <c r="BI86" i="92"/>
  <c r="BI127" i="92"/>
  <c r="BI77" i="92"/>
  <c r="BI28" i="92"/>
  <c r="BI55" i="92"/>
  <c r="BI36" i="92"/>
  <c r="BE68" i="92"/>
  <c r="BE118" i="92"/>
  <c r="BE123" i="92"/>
  <c r="BE92" i="92"/>
  <c r="BE126" i="92"/>
  <c r="AY126" i="92" s="1"/>
  <c r="AZ126" i="92" s="1"/>
  <c r="BI68" i="92"/>
  <c r="BI118" i="92"/>
  <c r="BI123" i="92"/>
  <c r="BI40" i="92"/>
  <c r="BI6" i="92"/>
  <c r="BI29" i="92"/>
  <c r="BJ31" i="92"/>
  <c r="BE121" i="92"/>
  <c r="BE127" i="92"/>
  <c r="BE117" i="92"/>
  <c r="BE75" i="92"/>
  <c r="AY75" i="92" s="1"/>
  <c r="AZ75" i="92" s="1"/>
  <c r="BE110" i="92"/>
  <c r="BI121" i="92"/>
  <c r="BI41" i="92"/>
  <c r="BI117" i="92"/>
  <c r="BI75" i="92"/>
  <c r="BI92" i="92"/>
  <c r="BI25" i="92"/>
  <c r="BE32" i="92"/>
  <c r="BE26" i="92"/>
  <c r="BE15" i="92"/>
  <c r="BE64" i="92"/>
  <c r="BI32" i="92"/>
  <c r="BI26" i="92"/>
  <c r="BI15" i="92"/>
  <c r="BI64" i="92"/>
  <c r="BI111" i="92"/>
  <c r="BI51" i="92"/>
  <c r="BJ30" i="92"/>
  <c r="BE45" i="92"/>
  <c r="AY45" i="92" s="1"/>
  <c r="AZ45" i="92" s="1"/>
  <c r="BE77" i="92"/>
  <c r="BE24" i="92"/>
  <c r="BE72" i="92"/>
  <c r="BI116" i="92"/>
  <c r="BI60" i="92"/>
  <c r="BI124" i="92"/>
  <c r="BI100" i="92"/>
  <c r="BJ86" i="92"/>
  <c r="BE96" i="92"/>
  <c r="BE59" i="92"/>
  <c r="BE62" i="92"/>
  <c r="BE6" i="92"/>
  <c r="BI114" i="92"/>
  <c r="BI54" i="92"/>
  <c r="BI119" i="92"/>
  <c r="BI91" i="92"/>
  <c r="BI56" i="92"/>
  <c r="BJ89" i="92"/>
  <c r="BE79" i="92"/>
  <c r="BE78" i="92"/>
  <c r="BE48" i="92"/>
  <c r="BE25" i="92"/>
  <c r="AY25" i="92" s="1"/>
  <c r="AZ25" i="92" s="1"/>
  <c r="BI45" i="92"/>
  <c r="BI57" i="92"/>
  <c r="BI95" i="92"/>
  <c r="BI109" i="92"/>
  <c r="BJ120" i="92"/>
  <c r="BE49" i="92"/>
  <c r="AY49" i="92" s="1"/>
  <c r="AZ49" i="92" s="1"/>
  <c r="BI16" i="92"/>
  <c r="BI59" i="92"/>
  <c r="BI14" i="92"/>
  <c r="BI47" i="92"/>
  <c r="BJ13" i="92"/>
  <c r="BE41" i="92"/>
  <c r="BE81" i="92"/>
  <c r="BE91" i="92"/>
  <c r="BI97" i="92"/>
  <c r="BI37" i="92"/>
  <c r="BI132" i="92"/>
  <c r="BI72" i="92"/>
  <c r="BE116" i="92"/>
  <c r="BE109" i="92"/>
  <c r="BI93" i="92"/>
  <c r="BI53" i="92"/>
  <c r="BE12" i="92"/>
  <c r="BE103" i="92"/>
  <c r="AY103" i="92" s="1"/>
  <c r="AZ103" i="92" s="1"/>
  <c r="BE131" i="92"/>
  <c r="BE56" i="92"/>
  <c r="BI96" i="92"/>
  <c r="BI99" i="92"/>
  <c r="BI24" i="92"/>
  <c r="BI65" i="92"/>
  <c r="BI66" i="92"/>
  <c r="BE33" i="92"/>
  <c r="AY33" i="92" s="1"/>
  <c r="AZ33" i="92" s="1"/>
  <c r="BE51" i="92"/>
  <c r="AY51" i="92" s="1"/>
  <c r="AZ51" i="92" s="1"/>
  <c r="BI108" i="92"/>
  <c r="BE60" i="92"/>
  <c r="BI105" i="92"/>
  <c r="BE17" i="92"/>
  <c r="BE37" i="92"/>
  <c r="AY37" i="92" s="1"/>
  <c r="AZ37" i="92" s="1"/>
  <c r="BE105" i="92"/>
  <c r="AY105" i="92" s="1"/>
  <c r="AZ105" i="92" s="1"/>
  <c r="BI79" i="92"/>
  <c r="BI78" i="92"/>
  <c r="BI48" i="92"/>
  <c r="BI35" i="92"/>
  <c r="BI31" i="92"/>
  <c r="BJ58" i="92"/>
  <c r="BE93" i="92"/>
  <c r="BE40" i="92"/>
  <c r="BE66" i="92"/>
  <c r="BI49" i="92"/>
  <c r="BI103" i="92"/>
  <c r="BI131" i="92"/>
  <c r="BI110" i="92"/>
  <c r="BJ29" i="92"/>
  <c r="BE46" i="92"/>
  <c r="BE74" i="92"/>
  <c r="AY74" i="92" s="1"/>
  <c r="AZ74" i="92" s="1"/>
  <c r="BE124" i="92"/>
  <c r="AY124" i="92" s="1"/>
  <c r="AZ124" i="92" s="1"/>
  <c r="BE29" i="92"/>
  <c r="AY29" i="92" s="1"/>
  <c r="AZ29" i="92" s="1"/>
  <c r="BI17" i="92"/>
  <c r="BI129" i="92"/>
  <c r="BI34" i="92"/>
  <c r="BE114" i="92"/>
  <c r="AY114" i="92" s="1"/>
  <c r="AZ114" i="92" s="1"/>
  <c r="BI46" i="92"/>
  <c r="BE22" i="92"/>
  <c r="BI19" i="92"/>
  <c r="BJ22" i="92"/>
  <c r="BE54" i="92"/>
  <c r="BI74" i="92"/>
  <c r="BE57" i="92"/>
  <c r="AY57" i="92" s="1"/>
  <c r="AZ57" i="92" s="1"/>
  <c r="BI42" i="92"/>
  <c r="BE119" i="92"/>
  <c r="BI82" i="92"/>
  <c r="BE95" i="92"/>
  <c r="AY95" i="92" s="1"/>
  <c r="AZ95" i="92" s="1"/>
  <c r="BI10" i="92"/>
  <c r="BE14" i="92"/>
  <c r="AY14" i="92" s="1"/>
  <c r="AZ14" i="92" s="1"/>
  <c r="BI128" i="92"/>
  <c r="BE34" i="92"/>
  <c r="BI98" i="92"/>
  <c r="BJ77" i="92"/>
  <c r="BJ55" i="92"/>
  <c r="BJ92" i="92"/>
  <c r="BJ41" i="92"/>
  <c r="BJ128" i="92"/>
  <c r="BJ112" i="92"/>
  <c r="BJ81" i="92"/>
  <c r="BJ47" i="92"/>
  <c r="BJ119" i="92"/>
  <c r="BJ53" i="92"/>
  <c r="BJ132" i="92"/>
  <c r="BJ18" i="92"/>
  <c r="BJ35" i="92"/>
  <c r="BJ116" i="92"/>
  <c r="BJ24" i="92"/>
  <c r="BJ118" i="92"/>
  <c r="BJ62" i="92"/>
  <c r="BJ114" i="92"/>
  <c r="BJ14" i="92"/>
  <c r="BJ96" i="92"/>
  <c r="BJ124" i="92"/>
  <c r="BJ76" i="92"/>
  <c r="BJ19" i="92"/>
  <c r="BJ28" i="92"/>
  <c r="BJ37" i="92"/>
  <c r="BJ34" i="92"/>
  <c r="BJ98" i="92"/>
  <c r="BJ51" i="92"/>
  <c r="BJ49" i="92"/>
  <c r="BJ48" i="92"/>
  <c r="BJ36" i="92"/>
  <c r="BJ20" i="92"/>
  <c r="BJ25" i="92"/>
  <c r="BJ43" i="92"/>
  <c r="BJ78" i="92"/>
  <c r="BJ23" i="92"/>
  <c r="BJ11" i="92"/>
  <c r="BJ117" i="92"/>
  <c r="BJ71" i="92"/>
  <c r="BJ75" i="92"/>
  <c r="BJ107" i="92"/>
  <c r="BJ130" i="92"/>
  <c r="BJ80" i="92"/>
  <c r="BJ121" i="92"/>
  <c r="BJ69" i="92"/>
  <c r="BJ45" i="92"/>
  <c r="BJ123" i="92"/>
  <c r="BJ65" i="92"/>
  <c r="BJ8" i="92"/>
  <c r="BD70" i="92"/>
  <c r="BJ5" i="92"/>
  <c r="BJ99" i="92"/>
  <c r="BJ115" i="92"/>
  <c r="BD101" i="92"/>
  <c r="BD54" i="92"/>
  <c r="BD95" i="92"/>
  <c r="AI10" i="92"/>
  <c r="BL3" i="92"/>
  <c r="BK3" i="92"/>
  <c r="BJ3" i="92"/>
  <c r="AY179" i="92" l="1"/>
  <c r="AZ179" i="92" s="1"/>
  <c r="BK186" i="92"/>
  <c r="BK164" i="92"/>
  <c r="AY175" i="92"/>
  <c r="AZ175" i="92" s="1"/>
  <c r="BK175" i="92"/>
  <c r="AY184" i="92"/>
  <c r="AZ184" i="92" s="1"/>
  <c r="BK184" i="92"/>
  <c r="BK163" i="92"/>
  <c r="BK181" i="92"/>
  <c r="BK2" i="92"/>
  <c r="BF2" i="92"/>
  <c r="BE2" i="92"/>
  <c r="BI2" i="92"/>
  <c r="BG2" i="92"/>
  <c r="BJ2" i="92"/>
  <c r="BH2" i="92"/>
  <c r="BK188" i="92"/>
  <c r="BK135" i="92"/>
  <c r="BK159" i="92"/>
  <c r="BK151" i="92"/>
  <c r="BK177" i="92"/>
  <c r="BK145" i="92"/>
  <c r="AY188" i="92"/>
  <c r="AZ188" i="92" s="1"/>
  <c r="BK150" i="92"/>
  <c r="AY166" i="92"/>
  <c r="AZ166" i="92" s="1"/>
  <c r="BK143" i="92"/>
  <c r="BK178" i="92"/>
  <c r="AY152" i="92"/>
  <c r="AZ152" i="92" s="1"/>
  <c r="BK152" i="92"/>
  <c r="BK168" i="92"/>
  <c r="BK157" i="92"/>
  <c r="BK153" i="92"/>
  <c r="BK187" i="92"/>
  <c r="BK167" i="92"/>
  <c r="BK185" i="92"/>
  <c r="BK176" i="92"/>
  <c r="BK170" i="92"/>
  <c r="AY142" i="92"/>
  <c r="AZ142" i="92" s="1"/>
  <c r="BK149" i="92"/>
  <c r="BK148" i="92"/>
  <c r="AY147" i="92"/>
  <c r="AZ147" i="92" s="1"/>
  <c r="BK147" i="92"/>
  <c r="BK144" i="92"/>
  <c r="AY163" i="92"/>
  <c r="AZ163" i="92" s="1"/>
  <c r="AY151" i="92"/>
  <c r="AZ151" i="92" s="1"/>
  <c r="AY157" i="92"/>
  <c r="AZ157" i="92" s="1"/>
  <c r="AY187" i="92"/>
  <c r="AZ187" i="92" s="1"/>
  <c r="BK172" i="92"/>
  <c r="AY149" i="92"/>
  <c r="AZ149" i="92" s="1"/>
  <c r="BK156" i="92"/>
  <c r="BK139" i="92"/>
  <c r="BK140" i="92"/>
  <c r="AY165" i="92"/>
  <c r="AZ165" i="92" s="1"/>
  <c r="BK165" i="92"/>
  <c r="BK158" i="92"/>
  <c r="AY156" i="92"/>
  <c r="AZ156" i="92" s="1"/>
  <c r="AY150" i="92"/>
  <c r="AZ150" i="92" s="1"/>
  <c r="AY135" i="92"/>
  <c r="AZ135" i="92" s="1"/>
  <c r="BK133" i="92"/>
  <c r="AY136" i="92"/>
  <c r="AZ136" i="92" s="1"/>
  <c r="BL178" i="92"/>
  <c r="BL164" i="92"/>
  <c r="BF164" i="92" s="1"/>
  <c r="BG164" i="92" s="1"/>
  <c r="BL153" i="92"/>
  <c r="BL141" i="92"/>
  <c r="BR141" i="92" s="1"/>
  <c r="BO177" i="92"/>
  <c r="BO166" i="92"/>
  <c r="BL184" i="92"/>
  <c r="BF184" i="92" s="1"/>
  <c r="BG184" i="92" s="1"/>
  <c r="BL176" i="92"/>
  <c r="BF176" i="92" s="1"/>
  <c r="BG176" i="92" s="1"/>
  <c r="BL161" i="92"/>
  <c r="BL149" i="92"/>
  <c r="BL139" i="92"/>
  <c r="BO180" i="92"/>
  <c r="BO167" i="92"/>
  <c r="BO154" i="92"/>
  <c r="BO143" i="92"/>
  <c r="BP185" i="92"/>
  <c r="BP176" i="92"/>
  <c r="BP160" i="92"/>
  <c r="BP147" i="92"/>
  <c r="BP138" i="92"/>
  <c r="BQ183" i="92"/>
  <c r="BL175" i="92"/>
  <c r="BL157" i="92"/>
  <c r="BL144" i="92"/>
  <c r="BF144" i="92" s="1"/>
  <c r="BG144" i="92" s="1"/>
  <c r="BO173" i="92"/>
  <c r="BO160" i="92"/>
  <c r="BO148" i="92"/>
  <c r="BO134" i="92"/>
  <c r="BP174" i="92"/>
  <c r="BP163" i="92"/>
  <c r="BP152" i="92"/>
  <c r="BP136" i="92"/>
  <c r="BQ178" i="92"/>
  <c r="BQ164" i="92"/>
  <c r="BQ153" i="92"/>
  <c r="BQ141" i="92"/>
  <c r="BL182" i="92"/>
  <c r="BL167" i="92"/>
  <c r="BL155" i="92"/>
  <c r="BL137" i="92"/>
  <c r="BO186" i="92"/>
  <c r="BO172" i="92"/>
  <c r="BO159" i="92"/>
  <c r="BO142" i="92"/>
  <c r="BP179" i="92"/>
  <c r="BP172" i="92"/>
  <c r="BP158" i="92"/>
  <c r="BP145" i="92"/>
  <c r="BQ185" i="92"/>
  <c r="BQ168" i="92"/>
  <c r="BQ161" i="92"/>
  <c r="BQ148" i="92"/>
  <c r="BQ136" i="92"/>
  <c r="BL170" i="92"/>
  <c r="BL154" i="92"/>
  <c r="BL138" i="92"/>
  <c r="BO174" i="92"/>
  <c r="BO157" i="92"/>
  <c r="BO145" i="92"/>
  <c r="BP180" i="92"/>
  <c r="BP166" i="92"/>
  <c r="BP151" i="92"/>
  <c r="BP139" i="92"/>
  <c r="BQ176" i="92"/>
  <c r="BQ156" i="92"/>
  <c r="BQ145" i="92"/>
  <c r="BL179" i="92"/>
  <c r="BL162" i="92"/>
  <c r="BL146" i="92"/>
  <c r="BO182" i="92"/>
  <c r="BO163" i="92"/>
  <c r="BO146" i="92"/>
  <c r="BP182" i="92"/>
  <c r="BP164" i="92"/>
  <c r="BP149" i="92"/>
  <c r="BQ186" i="92"/>
  <c r="BQ167" i="92"/>
  <c r="BQ150" i="92"/>
  <c r="BQ138" i="92"/>
  <c r="BL180" i="92"/>
  <c r="BL163" i="92"/>
  <c r="BL145" i="92"/>
  <c r="BO181" i="92"/>
  <c r="BO165" i="92"/>
  <c r="BO144" i="92"/>
  <c r="BP181" i="92"/>
  <c r="BP162" i="92"/>
  <c r="BP146" i="92"/>
  <c r="BQ179" i="92"/>
  <c r="BQ169" i="92"/>
  <c r="BQ151" i="92"/>
  <c r="BQ134" i="92"/>
  <c r="BL181" i="92"/>
  <c r="BF181" i="92" s="1"/>
  <c r="BG181" i="92" s="1"/>
  <c r="BL183" i="92"/>
  <c r="BF183" i="92" s="1"/>
  <c r="BG183" i="92" s="1"/>
  <c r="BL158" i="92"/>
  <c r="BF158" i="92" s="1"/>
  <c r="BG158" i="92" s="1"/>
  <c r="BL134" i="92"/>
  <c r="BO184" i="92"/>
  <c r="BO162" i="92"/>
  <c r="BO140" i="92"/>
  <c r="BP173" i="92"/>
  <c r="BP154" i="92"/>
  <c r="BP134" i="92"/>
  <c r="BQ171" i="92"/>
  <c r="BQ147" i="92"/>
  <c r="BL174" i="92"/>
  <c r="BL150" i="92"/>
  <c r="BO179" i="92"/>
  <c r="BO156" i="92"/>
  <c r="BO135" i="92"/>
  <c r="BP168" i="92"/>
  <c r="BP153" i="92"/>
  <c r="BQ184" i="92"/>
  <c r="BQ162" i="92"/>
  <c r="BQ146" i="92"/>
  <c r="BL186" i="92"/>
  <c r="BF186" i="92" s="1"/>
  <c r="BG186" i="92" s="1"/>
  <c r="BL151" i="92"/>
  <c r="BF151" i="92" s="1"/>
  <c r="BG151" i="92" s="1"/>
  <c r="BO168" i="92"/>
  <c r="BO147" i="92"/>
  <c r="BP178" i="92"/>
  <c r="BP150" i="92"/>
  <c r="BQ181" i="92"/>
  <c r="BQ158" i="92"/>
  <c r="BQ139" i="92"/>
  <c r="BO187" i="92"/>
  <c r="BL177" i="92"/>
  <c r="BF177" i="92" s="1"/>
  <c r="BG177" i="92" s="1"/>
  <c r="BL152" i="92"/>
  <c r="BF152" i="92" s="1"/>
  <c r="BG152" i="92" s="1"/>
  <c r="BO170" i="92"/>
  <c r="BO149" i="92"/>
  <c r="BP175" i="92"/>
  <c r="BP148" i="92"/>
  <c r="BQ177" i="92"/>
  <c r="BQ159" i="92"/>
  <c r="BQ133" i="92"/>
  <c r="BL173" i="92"/>
  <c r="BL147" i="92"/>
  <c r="BR147" i="92" s="1"/>
  <c r="BO171" i="92"/>
  <c r="BO141" i="92"/>
  <c r="BP170" i="92"/>
  <c r="BP144" i="92"/>
  <c r="BQ174" i="92"/>
  <c r="BQ154" i="92"/>
  <c r="BL171" i="92"/>
  <c r="BL142" i="92"/>
  <c r="BO161" i="92"/>
  <c r="BO136" i="92"/>
  <c r="BP169" i="92"/>
  <c r="BP141" i="92"/>
  <c r="BQ170" i="92"/>
  <c r="BQ149" i="92"/>
  <c r="BL169" i="92"/>
  <c r="BF169" i="92" s="1"/>
  <c r="BG169" i="92" s="1"/>
  <c r="BL140" i="92"/>
  <c r="BF140" i="92" s="1"/>
  <c r="BG140" i="92" s="1"/>
  <c r="BO158" i="92"/>
  <c r="BO139" i="92"/>
  <c r="BP165" i="92"/>
  <c r="BP140" i="92"/>
  <c r="BQ172" i="92"/>
  <c r="BQ144" i="92"/>
  <c r="BL166" i="92"/>
  <c r="BO151" i="92"/>
  <c r="BP157" i="92"/>
  <c r="BQ175" i="92"/>
  <c r="BQ135" i="92"/>
  <c r="BL165" i="92"/>
  <c r="BF165" i="92" s="1"/>
  <c r="BG165" i="92" s="1"/>
  <c r="BO152" i="92"/>
  <c r="BP156" i="92"/>
  <c r="BQ166" i="92"/>
  <c r="BL148" i="92"/>
  <c r="BO175" i="92"/>
  <c r="BP184" i="92"/>
  <c r="BP142" i="92"/>
  <c r="BQ157" i="92"/>
  <c r="BL135" i="92"/>
  <c r="BO153" i="92"/>
  <c r="BP155" i="92"/>
  <c r="BQ152" i="92"/>
  <c r="BL136" i="92"/>
  <c r="BO150" i="92"/>
  <c r="BP143" i="92"/>
  <c r="BQ143" i="92"/>
  <c r="BL188" i="92"/>
  <c r="BF188" i="92" s="1"/>
  <c r="BG188" i="92" s="1"/>
  <c r="BL133" i="92"/>
  <c r="BO137" i="92"/>
  <c r="BP137" i="92"/>
  <c r="BQ142" i="92"/>
  <c r="BO188" i="92"/>
  <c r="BL172" i="92"/>
  <c r="BF172" i="92" s="1"/>
  <c r="BG172" i="92" s="1"/>
  <c r="BO178" i="92"/>
  <c r="BP177" i="92"/>
  <c r="BQ173" i="92"/>
  <c r="BL185" i="92"/>
  <c r="BF185" i="92" s="1"/>
  <c r="BG185" i="92" s="1"/>
  <c r="BO164" i="92"/>
  <c r="BQ182" i="92"/>
  <c r="BQ187" i="92"/>
  <c r="BO138" i="92"/>
  <c r="BL168" i="92"/>
  <c r="BO155" i="92"/>
  <c r="BQ180" i="92"/>
  <c r="BQ188" i="92"/>
  <c r="BL160" i="92"/>
  <c r="BF160" i="92" s="1"/>
  <c r="BG160" i="92" s="1"/>
  <c r="BQ163" i="92"/>
  <c r="BL143" i="92"/>
  <c r="BF143" i="92" s="1"/>
  <c r="BG143" i="92" s="1"/>
  <c r="BP183" i="92"/>
  <c r="BQ155" i="92"/>
  <c r="BP171" i="92"/>
  <c r="BQ140" i="92"/>
  <c r="BP167" i="92"/>
  <c r="BQ137" i="92"/>
  <c r="BO183" i="92"/>
  <c r="BP188" i="92"/>
  <c r="BO176" i="92"/>
  <c r="BO169" i="92"/>
  <c r="BP161" i="92"/>
  <c r="BQ165" i="92"/>
  <c r="BP159" i="92"/>
  <c r="BL156" i="92"/>
  <c r="BP135" i="92"/>
  <c r="BP133" i="92"/>
  <c r="BL159" i="92"/>
  <c r="BQ160" i="92"/>
  <c r="BO185" i="92"/>
  <c r="BO133" i="92"/>
  <c r="BP187" i="92"/>
  <c r="BP186" i="92"/>
  <c r="BL187" i="92"/>
  <c r="BF187" i="92" s="1"/>
  <c r="BG187" i="92" s="1"/>
  <c r="BL1" i="92"/>
  <c r="BK141" i="92"/>
  <c r="BK154" i="92"/>
  <c r="BF154" i="92"/>
  <c r="BG154" i="92" s="1"/>
  <c r="BK137" i="92"/>
  <c r="BK161" i="92"/>
  <c r="AY146" i="92"/>
  <c r="AZ146" i="92" s="1"/>
  <c r="BF146" i="92"/>
  <c r="BG146" i="92" s="1"/>
  <c r="BK146" i="92"/>
  <c r="BF173" i="92"/>
  <c r="BG173" i="92" s="1"/>
  <c r="BK173" i="92"/>
  <c r="BF171" i="92"/>
  <c r="BG171" i="92" s="1"/>
  <c r="BK171" i="92"/>
  <c r="AY181" i="92"/>
  <c r="AZ181" i="92" s="1"/>
  <c r="BK174" i="92"/>
  <c r="BF174" i="92"/>
  <c r="BG174" i="92" s="1"/>
  <c r="BK142" i="92"/>
  <c r="BK160" i="92"/>
  <c r="BK134" i="92"/>
  <c r="BK183" i="92"/>
  <c r="BK169" i="92"/>
  <c r="BK155" i="92"/>
  <c r="BK182" i="92"/>
  <c r="BK162" i="92"/>
  <c r="BF162" i="92"/>
  <c r="BG162" i="92" s="1"/>
  <c r="AY138" i="92"/>
  <c r="AZ138" i="92" s="1"/>
  <c r="BK138" i="92"/>
  <c r="BF138" i="92"/>
  <c r="BG138" i="92" s="1"/>
  <c r="BK180" i="92"/>
  <c r="BF180" i="92"/>
  <c r="BG180" i="92" s="1"/>
  <c r="AY145" i="92"/>
  <c r="AZ145" i="92" s="1"/>
  <c r="H26" i="95"/>
  <c r="BK75" i="92"/>
  <c r="K27" i="95"/>
  <c r="AD27" i="95"/>
  <c r="AY66" i="92"/>
  <c r="AZ66" i="92" s="1"/>
  <c r="AD28" i="95"/>
  <c r="K25" i="95"/>
  <c r="AY120" i="92"/>
  <c r="AZ120" i="92" s="1"/>
  <c r="BK115" i="92"/>
  <c r="AY92" i="92"/>
  <c r="AZ92" i="92" s="1"/>
  <c r="BK65" i="92"/>
  <c r="AY35" i="92"/>
  <c r="AZ35" i="92" s="1"/>
  <c r="H25" i="95"/>
  <c r="BK123" i="92"/>
  <c r="BK23" i="92"/>
  <c r="AB25" i="95"/>
  <c r="BK107" i="92"/>
  <c r="AY64" i="92"/>
  <c r="AZ64" i="92" s="1"/>
  <c r="AY17" i="92"/>
  <c r="AZ17" i="92" s="1"/>
  <c r="AY72" i="92"/>
  <c r="AZ72" i="92" s="1"/>
  <c r="BK93" i="92"/>
  <c r="BK50" i="92"/>
  <c r="AY15" i="92"/>
  <c r="AZ15" i="92" s="1"/>
  <c r="AY127" i="92"/>
  <c r="AZ127" i="92" s="1"/>
  <c r="AY102" i="92"/>
  <c r="AZ102" i="92" s="1"/>
  <c r="AY40" i="92"/>
  <c r="AZ40" i="92" s="1"/>
  <c r="AY132" i="92"/>
  <c r="AZ132" i="92" s="1"/>
  <c r="AY10" i="92"/>
  <c r="AZ10" i="92" s="1"/>
  <c r="BK89" i="92"/>
  <c r="BK31" i="92"/>
  <c r="AY121" i="92"/>
  <c r="AZ121" i="92" s="1"/>
  <c r="AY41" i="92"/>
  <c r="AZ41" i="92" s="1"/>
  <c r="AY55" i="92"/>
  <c r="AZ55" i="92" s="1"/>
  <c r="AY28" i="92"/>
  <c r="AZ28" i="92" s="1"/>
  <c r="AY50" i="92"/>
  <c r="AZ50" i="92" s="1"/>
  <c r="AY54" i="92"/>
  <c r="AZ54" i="92" s="1"/>
  <c r="AY24" i="92"/>
  <c r="AZ24" i="92" s="1"/>
  <c r="AY89" i="92"/>
  <c r="AZ89" i="92" s="1"/>
  <c r="AY99" i="92"/>
  <c r="AZ99" i="92" s="1"/>
  <c r="AY123" i="92"/>
  <c r="AZ123" i="92" s="1"/>
  <c r="BK29" i="92"/>
  <c r="AY59" i="92"/>
  <c r="AZ59" i="92" s="1"/>
  <c r="AY106" i="92"/>
  <c r="AZ106" i="92" s="1"/>
  <c r="AY119" i="92"/>
  <c r="AZ119" i="92" s="1"/>
  <c r="AY104" i="92"/>
  <c r="AZ104" i="92" s="1"/>
  <c r="AY32" i="92"/>
  <c r="AZ32" i="92" s="1"/>
  <c r="AY93" i="92"/>
  <c r="AZ93" i="92" s="1"/>
  <c r="BK86" i="92"/>
  <c r="BK120" i="92"/>
  <c r="BK58" i="92"/>
  <c r="AY19" i="92"/>
  <c r="AZ19" i="92" s="1"/>
  <c r="AY118" i="92"/>
  <c r="AZ118" i="92" s="1"/>
  <c r="AY36" i="92"/>
  <c r="AZ36" i="92" s="1"/>
  <c r="AY131" i="92"/>
  <c r="AZ131" i="92" s="1"/>
  <c r="AY86" i="92"/>
  <c r="AZ86" i="92" s="1"/>
  <c r="AY71" i="92"/>
  <c r="AZ71" i="92" s="1"/>
  <c r="BK22" i="92"/>
  <c r="AY6" i="92"/>
  <c r="AZ6" i="92" s="1"/>
  <c r="AY34" i="92"/>
  <c r="AZ34" i="92" s="1"/>
  <c r="AY115" i="92"/>
  <c r="AZ115" i="92" s="1"/>
  <c r="AY26" i="92"/>
  <c r="AZ26" i="92" s="1"/>
  <c r="AY46" i="92"/>
  <c r="AZ46" i="92" s="1"/>
  <c r="AY38" i="92"/>
  <c r="AZ38" i="92" s="1"/>
  <c r="AY31" i="92"/>
  <c r="AZ31" i="92" s="1"/>
  <c r="AY22" i="92"/>
  <c r="AZ22" i="92" s="1"/>
  <c r="AY91" i="92"/>
  <c r="AZ91" i="92" s="1"/>
  <c r="AY42" i="92"/>
  <c r="AZ42" i="92" s="1"/>
  <c r="AY85" i="92"/>
  <c r="AZ85" i="92" s="1"/>
  <c r="AY39" i="92"/>
  <c r="AZ39" i="92" s="1"/>
  <c r="AY79" i="92"/>
  <c r="AZ79" i="92" s="1"/>
  <c r="AY27" i="92"/>
  <c r="AZ27" i="92" s="1"/>
  <c r="AY48" i="92"/>
  <c r="AZ48" i="92" s="1"/>
  <c r="AY98" i="92"/>
  <c r="AZ98" i="92" s="1"/>
  <c r="AY60" i="92"/>
  <c r="AZ60" i="92" s="1"/>
  <c r="AY128" i="92"/>
  <c r="AZ128" i="92" s="1"/>
  <c r="AY90" i="92"/>
  <c r="AZ90" i="92" s="1"/>
  <c r="AY130" i="92"/>
  <c r="AZ130" i="92" s="1"/>
  <c r="AY20" i="92"/>
  <c r="AZ20" i="92" s="1"/>
  <c r="AY77" i="92"/>
  <c r="AZ77" i="92" s="1"/>
  <c r="AY68" i="92"/>
  <c r="AZ68" i="92" s="1"/>
  <c r="AY69" i="92"/>
  <c r="AZ69" i="92" s="1"/>
  <c r="BK21" i="92"/>
  <c r="AY96" i="92"/>
  <c r="AZ96" i="92" s="1"/>
  <c r="AY16" i="92"/>
  <c r="AZ16" i="92" s="1"/>
  <c r="AY122" i="92"/>
  <c r="AZ122" i="92" s="1"/>
  <c r="AY56" i="92"/>
  <c r="AZ56" i="92" s="1"/>
  <c r="AY117" i="92"/>
  <c r="AZ117" i="92" s="1"/>
  <c r="AY81" i="92"/>
  <c r="AZ81" i="92" s="1"/>
  <c r="AY62" i="92"/>
  <c r="AZ62" i="92" s="1"/>
  <c r="AY78" i="92"/>
  <c r="AZ78" i="92" s="1"/>
  <c r="AY5" i="92"/>
  <c r="AZ5" i="92" s="1"/>
  <c r="AY67" i="92"/>
  <c r="AZ67" i="92" s="1"/>
  <c r="AY23" i="92"/>
  <c r="AZ23" i="92" s="1"/>
  <c r="AY82" i="92"/>
  <c r="AZ82" i="92" s="1"/>
  <c r="BK101" i="92"/>
  <c r="BK13" i="92"/>
  <c r="BK30" i="92"/>
  <c r="AY111" i="92"/>
  <c r="AZ111" i="92" s="1"/>
  <c r="AY43" i="92"/>
  <c r="AZ43" i="92" s="1"/>
  <c r="AY76" i="92"/>
  <c r="AZ76" i="92" s="1"/>
  <c r="AY109" i="92"/>
  <c r="AZ109" i="92" s="1"/>
  <c r="AY52" i="92"/>
  <c r="AZ52" i="92" s="1"/>
  <c r="AY125" i="92"/>
  <c r="AZ125" i="92" s="1"/>
  <c r="AY101" i="92"/>
  <c r="AZ101" i="92" s="1"/>
  <c r="AY13" i="92"/>
  <c r="AZ13" i="92" s="1"/>
  <c r="AY116" i="92"/>
  <c r="AZ116" i="92" s="1"/>
  <c r="AY30" i="92"/>
  <c r="AZ30" i="92" s="1"/>
  <c r="AY12" i="92"/>
  <c r="AZ12" i="92" s="1"/>
  <c r="AY110" i="92"/>
  <c r="AZ110" i="92" s="1"/>
  <c r="BM3" i="92"/>
  <c r="BO64" i="92"/>
  <c r="BO127" i="92"/>
  <c r="BO84" i="92"/>
  <c r="BO18" i="92"/>
  <c r="BO34" i="92"/>
  <c r="BO78" i="92"/>
  <c r="BO16" i="92"/>
  <c r="BO72" i="92"/>
  <c r="BO109" i="92"/>
  <c r="BO69" i="92"/>
  <c r="BO104" i="92"/>
  <c r="BO80" i="92"/>
  <c r="BO33" i="92"/>
  <c r="BO85" i="92"/>
  <c r="BO115" i="92"/>
  <c r="BO44" i="92"/>
  <c r="BO17" i="92"/>
  <c r="BO89" i="92"/>
  <c r="BO100" i="92"/>
  <c r="BO82" i="92"/>
  <c r="BO55" i="92"/>
  <c r="BO5" i="92"/>
  <c r="BO38" i="92"/>
  <c r="BO129" i="92"/>
  <c r="BO28" i="92"/>
  <c r="BO73" i="92"/>
  <c r="BO46" i="92"/>
  <c r="BO62" i="92"/>
  <c r="BO77" i="92"/>
  <c r="BO9" i="92"/>
  <c r="BO39" i="92"/>
  <c r="BO51" i="92"/>
  <c r="BO124" i="92"/>
  <c r="BO20" i="92"/>
  <c r="BO76" i="92"/>
  <c r="BO75" i="92"/>
  <c r="BO32" i="92"/>
  <c r="BO123" i="92"/>
  <c r="BO8" i="92"/>
  <c r="BO49" i="92"/>
  <c r="BO21" i="92"/>
  <c r="BO120" i="92"/>
  <c r="BO3" i="92"/>
  <c r="BO37" i="92"/>
  <c r="BO113" i="92"/>
  <c r="BO29" i="92"/>
  <c r="BO128" i="92"/>
  <c r="BO86" i="92"/>
  <c r="BO126" i="92"/>
  <c r="BN3" i="92"/>
  <c r="BO31" i="92"/>
  <c r="BO6" i="92"/>
  <c r="BO99" i="92"/>
  <c r="BO66" i="92"/>
  <c r="BO48" i="92"/>
  <c r="BO132" i="92"/>
  <c r="BO12" i="92"/>
  <c r="BO106" i="92"/>
  <c r="BO59" i="92"/>
  <c r="BO19" i="92"/>
  <c r="BO96" i="92"/>
  <c r="BO114" i="92"/>
  <c r="BO95" i="92"/>
  <c r="BO50" i="92"/>
  <c r="BO87" i="92"/>
  <c r="BO93" i="92"/>
  <c r="BO58" i="92"/>
  <c r="BO54" i="92"/>
  <c r="BO111" i="92"/>
  <c r="BO11" i="92"/>
  <c r="BO53" i="92"/>
  <c r="BO15" i="92"/>
  <c r="BO43" i="92"/>
  <c r="BO10" i="92"/>
  <c r="BO7" i="92"/>
  <c r="BO67" i="92"/>
  <c r="BO91" i="92"/>
  <c r="BO102" i="92"/>
  <c r="BO122" i="92"/>
  <c r="BO83" i="92"/>
  <c r="BO125" i="92"/>
  <c r="BO105" i="92"/>
  <c r="BO121" i="92"/>
  <c r="BO13" i="92"/>
  <c r="BO41" i="92"/>
  <c r="BO119" i="92"/>
  <c r="BO70" i="92"/>
  <c r="BO26" i="92"/>
  <c r="BO27" i="92"/>
  <c r="BO108" i="92"/>
  <c r="BO63" i="92"/>
  <c r="BO40" i="92"/>
  <c r="BO65" i="92"/>
  <c r="BO79" i="92"/>
  <c r="BO131" i="92"/>
  <c r="BO94" i="92"/>
  <c r="BO110" i="92"/>
  <c r="BO57" i="92"/>
  <c r="BO60" i="92"/>
  <c r="BO88" i="92"/>
  <c r="BO47" i="92"/>
  <c r="BO130" i="92"/>
  <c r="BO56" i="92"/>
  <c r="BO92" i="92"/>
  <c r="BO35" i="92"/>
  <c r="BO68" i="92"/>
  <c r="BO23" i="92"/>
  <c r="BO25" i="92"/>
  <c r="BO36" i="92"/>
  <c r="BO101" i="92"/>
  <c r="BO98" i="92"/>
  <c r="BO61" i="92"/>
  <c r="BO24" i="92"/>
  <c r="BO22" i="92"/>
  <c r="BO118" i="92"/>
  <c r="BO112" i="92"/>
  <c r="BO74" i="92"/>
  <c r="BO116" i="92"/>
  <c r="BO14" i="92"/>
  <c r="BO71" i="92"/>
  <c r="BO30" i="92"/>
  <c r="BO107" i="92"/>
  <c r="BO52" i="92"/>
  <c r="BO45" i="92"/>
  <c r="BO97" i="92"/>
  <c r="BO42" i="92"/>
  <c r="BO81" i="92"/>
  <c r="BO117" i="92"/>
  <c r="BO103" i="92"/>
  <c r="BO90" i="92"/>
  <c r="BK78" i="92"/>
  <c r="BK52" i="92"/>
  <c r="BK95" i="92"/>
  <c r="BK57" i="92"/>
  <c r="BK112" i="92"/>
  <c r="BK128" i="92"/>
  <c r="BK90" i="92"/>
  <c r="BK98" i="92"/>
  <c r="BK92" i="92"/>
  <c r="BK28" i="92"/>
  <c r="BK71" i="92"/>
  <c r="BK103" i="92"/>
  <c r="BK70" i="92"/>
  <c r="I23" i="95"/>
  <c r="BK67" i="92"/>
  <c r="BK64" i="92"/>
  <c r="K24" i="95"/>
  <c r="BK27" i="92"/>
  <c r="J23" i="95"/>
  <c r="AC24" i="95" s="1"/>
  <c r="G23" i="95"/>
  <c r="BK111" i="92"/>
  <c r="BK19" i="92"/>
  <c r="BK32" i="92"/>
  <c r="BK16" i="92"/>
  <c r="AC25" i="95"/>
  <c r="BK99" i="92"/>
  <c r="AC26" i="95"/>
  <c r="BK5" i="92"/>
  <c r="BK43" i="92"/>
  <c r="BK34" i="92"/>
  <c r="BK45" i="92"/>
  <c r="BK121" i="92"/>
  <c r="BK80" i="92"/>
  <c r="BK25" i="92"/>
  <c r="BK20" i="92"/>
  <c r="BK47" i="92"/>
  <c r="BK76" i="92"/>
  <c r="BK118" i="92"/>
  <c r="BK11" i="92"/>
  <c r="BK24" i="92"/>
  <c r="BK117" i="92"/>
  <c r="BK41" i="92"/>
  <c r="BK35" i="92"/>
  <c r="BK96" i="92"/>
  <c r="BK69" i="92"/>
  <c r="BK53" i="92"/>
  <c r="BK130" i="92"/>
  <c r="BK48" i="92"/>
  <c r="BK49" i="92"/>
  <c r="BK62" i="92"/>
  <c r="BK18" i="92"/>
  <c r="BK8" i="92"/>
  <c r="BK37" i="92"/>
  <c r="BK116" i="92"/>
  <c r="BK55" i="92"/>
  <c r="BK124" i="92"/>
  <c r="BK114" i="92"/>
  <c r="BK14" i="92"/>
  <c r="BK74" i="92"/>
  <c r="BK54" i="92"/>
  <c r="BK88" i="92"/>
  <c r="BK125" i="92"/>
  <c r="BK81" i="92"/>
  <c r="BK122" i="92"/>
  <c r="BK39" i="92"/>
  <c r="BK10" i="92"/>
  <c r="BK44" i="92"/>
  <c r="BK63" i="92"/>
  <c r="BK87" i="92"/>
  <c r="BK68" i="92"/>
  <c r="BK106" i="92"/>
  <c r="BK61" i="92"/>
  <c r="BK97" i="92"/>
  <c r="BK38" i="92"/>
  <c r="BK83" i="92"/>
  <c r="BK127" i="92"/>
  <c r="BK84" i="92"/>
  <c r="BK7" i="92"/>
  <c r="BK9" i="92"/>
  <c r="BK26" i="92"/>
  <c r="BK46" i="92"/>
  <c r="BK94" i="92"/>
  <c r="BK12" i="92"/>
  <c r="BL104" i="92"/>
  <c r="BF104" i="92" s="1"/>
  <c r="BG104" i="92" s="1"/>
  <c r="BL79" i="92"/>
  <c r="BF79" i="92" s="1"/>
  <c r="BG79" i="92" s="1"/>
  <c r="BL44" i="92"/>
  <c r="BF44" i="92" s="1"/>
  <c r="BG44" i="92" s="1"/>
  <c r="BL80" i="92"/>
  <c r="BL67" i="92"/>
  <c r="BL7" i="92"/>
  <c r="BL24" i="92"/>
  <c r="BF24" i="92" s="1"/>
  <c r="BG24" i="92" s="1"/>
  <c r="BL91" i="92"/>
  <c r="BF91" i="92" s="1"/>
  <c r="BG91" i="92" s="1"/>
  <c r="BL34" i="92"/>
  <c r="BF34" i="92" s="1"/>
  <c r="BG34" i="92" s="1"/>
  <c r="BL56" i="92"/>
  <c r="BF56" i="92" s="1"/>
  <c r="BG56" i="92" s="1"/>
  <c r="BP8" i="92"/>
  <c r="BP122" i="92"/>
  <c r="BP26" i="92"/>
  <c r="BP118" i="92"/>
  <c r="BP93" i="92"/>
  <c r="BP119" i="92"/>
  <c r="BP75" i="92"/>
  <c r="BP10" i="92"/>
  <c r="BP111" i="92"/>
  <c r="BP25" i="92"/>
  <c r="BP63" i="92"/>
  <c r="BP3" i="92"/>
  <c r="BL121" i="92"/>
  <c r="BF121" i="92" s="1"/>
  <c r="BG121" i="92" s="1"/>
  <c r="BL12" i="92"/>
  <c r="BF12" i="92" s="1"/>
  <c r="BG12" i="92" s="1"/>
  <c r="BL127" i="92"/>
  <c r="BF127" i="92" s="1"/>
  <c r="BG127" i="92" s="1"/>
  <c r="BL77" i="92"/>
  <c r="BF77" i="92" s="1"/>
  <c r="BG77" i="92" s="1"/>
  <c r="BL28" i="92"/>
  <c r="BL55" i="92"/>
  <c r="BL36" i="92"/>
  <c r="BL10" i="92"/>
  <c r="BF10" i="92" s="1"/>
  <c r="BG10" i="92" s="1"/>
  <c r="BL35" i="92"/>
  <c r="BL100" i="92"/>
  <c r="BP121" i="92"/>
  <c r="BP12" i="92"/>
  <c r="BP127" i="92"/>
  <c r="BP77" i="92"/>
  <c r="BP28" i="92"/>
  <c r="BP55" i="92"/>
  <c r="BP36" i="92"/>
  <c r="BP40" i="92"/>
  <c r="BP110" i="92"/>
  <c r="BP56" i="92"/>
  <c r="BQ89" i="92"/>
  <c r="BL22" i="92"/>
  <c r="BF22" i="92" s="1"/>
  <c r="BG22" i="92" s="1"/>
  <c r="BL49" i="92"/>
  <c r="BF49" i="92" s="1"/>
  <c r="BG49" i="92" s="1"/>
  <c r="BL41" i="92"/>
  <c r="BL99" i="92"/>
  <c r="BL117" i="92"/>
  <c r="BL60" i="92"/>
  <c r="BF60" i="92" s="1"/>
  <c r="BG60" i="92" s="1"/>
  <c r="BL75" i="92"/>
  <c r="BL40" i="92"/>
  <c r="BL110" i="92"/>
  <c r="BL51" i="92"/>
  <c r="BF51" i="92" s="1"/>
  <c r="BG51" i="92" s="1"/>
  <c r="BP22" i="92"/>
  <c r="BP49" i="92"/>
  <c r="BP41" i="92"/>
  <c r="BP99" i="92"/>
  <c r="BP117" i="92"/>
  <c r="BP60" i="92"/>
  <c r="BP48" i="92"/>
  <c r="BP124" i="92"/>
  <c r="BP34" i="92"/>
  <c r="BP51" i="92"/>
  <c r="BQ30" i="92"/>
  <c r="BL45" i="92"/>
  <c r="BF45" i="92" s="1"/>
  <c r="BG45" i="92" s="1"/>
  <c r="BL17" i="92"/>
  <c r="BL19" i="92"/>
  <c r="BF19" i="92" s="1"/>
  <c r="BG19" i="92" s="1"/>
  <c r="BL59" i="92"/>
  <c r="BF59" i="92" s="1"/>
  <c r="BG59" i="92" s="1"/>
  <c r="BL37" i="92"/>
  <c r="BF37" i="92" s="1"/>
  <c r="BG37" i="92" s="1"/>
  <c r="BL119" i="92"/>
  <c r="BL48" i="92"/>
  <c r="BF48" i="92" s="1"/>
  <c r="BG48" i="92" s="1"/>
  <c r="BL124" i="92"/>
  <c r="BF124" i="92" s="1"/>
  <c r="BG124" i="92" s="1"/>
  <c r="BL72" i="92"/>
  <c r="BF72" i="92" s="1"/>
  <c r="BG72" i="92" s="1"/>
  <c r="BP45" i="92"/>
  <c r="BP17" i="92"/>
  <c r="BP19" i="92"/>
  <c r="BP59" i="92"/>
  <c r="BP37" i="92"/>
  <c r="BP95" i="92"/>
  <c r="BP131" i="92"/>
  <c r="BP91" i="92"/>
  <c r="BP72" i="92"/>
  <c r="BQ119" i="92"/>
  <c r="BL96" i="92"/>
  <c r="BL97" i="92"/>
  <c r="BL116" i="92"/>
  <c r="BL78" i="92"/>
  <c r="BF78" i="92" s="1"/>
  <c r="BG78" i="92" s="1"/>
  <c r="BL93" i="92"/>
  <c r="BF93" i="92" s="1"/>
  <c r="BG93" i="92" s="1"/>
  <c r="BL95" i="92"/>
  <c r="BF95" i="92" s="1"/>
  <c r="BG95" i="92" s="1"/>
  <c r="BL131" i="92"/>
  <c r="BF131" i="92" s="1"/>
  <c r="BG131" i="92" s="1"/>
  <c r="BL92" i="92"/>
  <c r="BL6" i="92"/>
  <c r="BL126" i="92"/>
  <c r="BP96" i="92"/>
  <c r="BP97" i="92"/>
  <c r="BP116" i="92"/>
  <c r="BP78" i="92"/>
  <c r="BP74" i="92"/>
  <c r="BP123" i="92"/>
  <c r="BP92" i="92"/>
  <c r="BP6" i="92"/>
  <c r="BP126" i="92"/>
  <c r="BQ123" i="92"/>
  <c r="BL32" i="92"/>
  <c r="BL26" i="92"/>
  <c r="BF26" i="92" s="1"/>
  <c r="BG26" i="92" s="1"/>
  <c r="BL103" i="92"/>
  <c r="BF103" i="92" s="1"/>
  <c r="BG103" i="92" s="1"/>
  <c r="BL15" i="92"/>
  <c r="BL102" i="92"/>
  <c r="BL13" i="92"/>
  <c r="BF13" i="92" s="1"/>
  <c r="BG13" i="92" s="1"/>
  <c r="BL88" i="92"/>
  <c r="BF88" i="92" s="1"/>
  <c r="BG88" i="92" s="1"/>
  <c r="BL53" i="92"/>
  <c r="BF53" i="92" s="1"/>
  <c r="BG53" i="92" s="1"/>
  <c r="BL47" i="92"/>
  <c r="BF47" i="92" s="1"/>
  <c r="BG47" i="92" s="1"/>
  <c r="BP32" i="92"/>
  <c r="BP125" i="92"/>
  <c r="BP83" i="92"/>
  <c r="BP7" i="92"/>
  <c r="BP102" i="92"/>
  <c r="BP13" i="92"/>
  <c r="BP88" i="92"/>
  <c r="BP53" i="92"/>
  <c r="BP47" i="92"/>
  <c r="BQ58" i="92"/>
  <c r="BL107" i="92"/>
  <c r="BF107" i="92" s="1"/>
  <c r="BG107" i="92" s="1"/>
  <c r="BL122" i="92"/>
  <c r="BL125" i="92"/>
  <c r="BF125" i="92" s="1"/>
  <c r="BG125" i="92" s="1"/>
  <c r="BL83" i="92"/>
  <c r="BL11" i="92"/>
  <c r="BL52" i="92"/>
  <c r="BF52" i="92" s="1"/>
  <c r="BG52" i="92" s="1"/>
  <c r="BL115" i="92"/>
  <c r="BF115" i="92" s="1"/>
  <c r="BG115" i="92" s="1"/>
  <c r="BL76" i="92"/>
  <c r="BL23" i="92"/>
  <c r="BL5" i="92"/>
  <c r="BF5" i="92" s="1"/>
  <c r="BG5" i="92" s="1"/>
  <c r="BP107" i="92"/>
  <c r="BP38" i="92"/>
  <c r="BP43" i="92"/>
  <c r="BP67" i="92"/>
  <c r="BP11" i="92"/>
  <c r="BP52" i="92"/>
  <c r="BP115" i="92"/>
  <c r="BP76" i="92"/>
  <c r="BP23" i="92"/>
  <c r="BP5" i="92"/>
  <c r="BL114" i="92"/>
  <c r="BF114" i="92" s="1"/>
  <c r="BG114" i="92" s="1"/>
  <c r="BL21" i="92"/>
  <c r="BF21" i="92" s="1"/>
  <c r="BG21" i="92" s="1"/>
  <c r="BL129" i="92"/>
  <c r="BL108" i="92"/>
  <c r="BF108" i="92" s="1"/>
  <c r="BG108" i="92" s="1"/>
  <c r="BL14" i="92"/>
  <c r="BF14" i="92" s="1"/>
  <c r="BG14" i="92" s="1"/>
  <c r="BL29" i="92"/>
  <c r="BP104" i="92"/>
  <c r="BP21" i="92"/>
  <c r="BP129" i="92"/>
  <c r="BP108" i="92"/>
  <c r="BP14" i="92"/>
  <c r="BQ101" i="92"/>
  <c r="BL8" i="92"/>
  <c r="BF8" i="92" s="1"/>
  <c r="BG8" i="92" s="1"/>
  <c r="BL43" i="92"/>
  <c r="BF43" i="92" s="1"/>
  <c r="BG43" i="92" s="1"/>
  <c r="BL87" i="92"/>
  <c r="BL58" i="92"/>
  <c r="BF58" i="92" s="1"/>
  <c r="BG58" i="92" s="1"/>
  <c r="BL61" i="92"/>
  <c r="BP20" i="92"/>
  <c r="BP80" i="92"/>
  <c r="BP87" i="92"/>
  <c r="BP58" i="92"/>
  <c r="BP61" i="92"/>
  <c r="BQ31" i="92"/>
  <c r="BL86" i="92"/>
  <c r="BL73" i="92"/>
  <c r="BL30" i="92"/>
  <c r="BF30" i="92" s="1"/>
  <c r="BG30" i="92" s="1"/>
  <c r="BL82" i="92"/>
  <c r="BL98" i="92"/>
  <c r="BF98" i="92" s="1"/>
  <c r="BG98" i="92" s="1"/>
  <c r="BP86" i="92"/>
  <c r="BP73" i="92"/>
  <c r="BP30" i="92"/>
  <c r="BP82" i="92"/>
  <c r="BP100" i="92"/>
  <c r="BL112" i="92"/>
  <c r="BL90" i="92"/>
  <c r="BL120" i="92"/>
  <c r="BL27" i="92"/>
  <c r="BF27" i="92" s="1"/>
  <c r="BG27" i="92" s="1"/>
  <c r="BP85" i="92"/>
  <c r="BP57" i="92"/>
  <c r="BP9" i="92"/>
  <c r="BP35" i="92"/>
  <c r="BL101" i="92"/>
  <c r="BF101" i="92" s="1"/>
  <c r="BG101" i="92" s="1"/>
  <c r="BL69" i="92"/>
  <c r="BF69" i="92" s="1"/>
  <c r="BG69" i="92" s="1"/>
  <c r="BL64" i="92"/>
  <c r="BL25" i="92"/>
  <c r="BF25" i="92" s="1"/>
  <c r="BG25" i="92" s="1"/>
  <c r="BP16" i="92"/>
  <c r="BP113" i="92"/>
  <c r="BP106" i="92"/>
  <c r="BL68" i="92"/>
  <c r="BF68" i="92" s="1"/>
  <c r="BG68" i="92" s="1"/>
  <c r="BL33" i="92"/>
  <c r="BF33" i="92" s="1"/>
  <c r="BG33" i="92" s="1"/>
  <c r="BL132" i="92"/>
  <c r="BL66" i="92"/>
  <c r="BP112" i="92"/>
  <c r="BP103" i="92"/>
  <c r="BP62" i="92"/>
  <c r="BP128" i="92"/>
  <c r="BQ22" i="92"/>
  <c r="BL74" i="92"/>
  <c r="BL105" i="92"/>
  <c r="BF105" i="92" s="1"/>
  <c r="BG105" i="92" s="1"/>
  <c r="BP101" i="92"/>
  <c r="BP64" i="92"/>
  <c r="BP98" i="92"/>
  <c r="BQ13" i="92"/>
  <c r="BL94" i="92"/>
  <c r="BL50" i="92"/>
  <c r="BF50" i="92" s="1"/>
  <c r="BG50" i="92" s="1"/>
  <c r="BP46" i="92"/>
  <c r="BP39" i="92"/>
  <c r="BP109" i="92"/>
  <c r="BP29" i="92"/>
  <c r="BL57" i="92"/>
  <c r="BL111" i="92"/>
  <c r="BP81" i="92"/>
  <c r="BL38" i="92"/>
  <c r="BL89" i="92"/>
  <c r="BF89" i="92" s="1"/>
  <c r="BG89" i="92" s="1"/>
  <c r="BL18" i="92"/>
  <c r="BF18" i="92" s="1"/>
  <c r="BG18" i="92" s="1"/>
  <c r="BL70" i="92"/>
  <c r="BF70" i="92" s="1"/>
  <c r="BG70" i="92" s="1"/>
  <c r="BP79" i="92"/>
  <c r="BP90" i="92"/>
  <c r="BP120" i="92"/>
  <c r="BP27" i="92"/>
  <c r="BQ86" i="92"/>
  <c r="BL84" i="92"/>
  <c r="BL31" i="92"/>
  <c r="BF31" i="92" s="1"/>
  <c r="BG31" i="92" s="1"/>
  <c r="BP69" i="92"/>
  <c r="BL123" i="92"/>
  <c r="BF123" i="92" s="1"/>
  <c r="BG123" i="92" s="1"/>
  <c r="BL85" i="92"/>
  <c r="BF85" i="92" s="1"/>
  <c r="BG85" i="92" s="1"/>
  <c r="BL9" i="92"/>
  <c r="BF9" i="92" s="1"/>
  <c r="BG9" i="92" s="1"/>
  <c r="BP130" i="92"/>
  <c r="BP71" i="92"/>
  <c r="BL46" i="92"/>
  <c r="BL39" i="92"/>
  <c r="BL109" i="92"/>
  <c r="BF109" i="92" s="1"/>
  <c r="BG109" i="92" s="1"/>
  <c r="BL63" i="92"/>
  <c r="BF63" i="92" s="1"/>
  <c r="BG63" i="92" s="1"/>
  <c r="BP68" i="92"/>
  <c r="BP33" i="92"/>
  <c r="BP132" i="92"/>
  <c r="BP66" i="92"/>
  <c r="BL130" i="92"/>
  <c r="BF130" i="92" s="1"/>
  <c r="BG130" i="92" s="1"/>
  <c r="BL81" i="92"/>
  <c r="BF81" i="92" s="1"/>
  <c r="BG81" i="92" s="1"/>
  <c r="BL71" i="92"/>
  <c r="BP84" i="92"/>
  <c r="BP89" i="92"/>
  <c r="BP18" i="92"/>
  <c r="BP70" i="92"/>
  <c r="BL54" i="92"/>
  <c r="BF54" i="92" s="1"/>
  <c r="BG54" i="92" s="1"/>
  <c r="BL42" i="92"/>
  <c r="BL65" i="92"/>
  <c r="BF65" i="92" s="1"/>
  <c r="BG65" i="92" s="1"/>
  <c r="BP44" i="92"/>
  <c r="BP15" i="92"/>
  <c r="BP105" i="92"/>
  <c r="BP31" i="92"/>
  <c r="BP114" i="92"/>
  <c r="BL16" i="92"/>
  <c r="BF16" i="92" s="1"/>
  <c r="BG16" i="92" s="1"/>
  <c r="BP54" i="92"/>
  <c r="BL20" i="92"/>
  <c r="BF20" i="92" s="1"/>
  <c r="BG20" i="92" s="1"/>
  <c r="BP94" i="92"/>
  <c r="BL113" i="92"/>
  <c r="BF113" i="92" s="1"/>
  <c r="BG113" i="92" s="1"/>
  <c r="BP42" i="92"/>
  <c r="BL118" i="92"/>
  <c r="BP24" i="92"/>
  <c r="BL106" i="92"/>
  <c r="BF106" i="92" s="1"/>
  <c r="BG106" i="92" s="1"/>
  <c r="BP65" i="92"/>
  <c r="BL62" i="92"/>
  <c r="BF62" i="92" s="1"/>
  <c r="BG62" i="92" s="1"/>
  <c r="BP50" i="92"/>
  <c r="BL128" i="92"/>
  <c r="BQ6" i="92"/>
  <c r="BQ25" i="92"/>
  <c r="BQ88" i="92"/>
  <c r="BQ10" i="92"/>
  <c r="BQ115" i="92"/>
  <c r="BQ95" i="92"/>
  <c r="BQ131" i="92"/>
  <c r="BQ113" i="92"/>
  <c r="BQ109" i="92"/>
  <c r="BQ91" i="92"/>
  <c r="BQ63" i="92"/>
  <c r="BQ35" i="92"/>
  <c r="BQ50" i="92"/>
  <c r="BQ42" i="92"/>
  <c r="BQ73" i="92"/>
  <c r="BQ96" i="92"/>
  <c r="BQ7" i="92"/>
  <c r="BQ15" i="92"/>
  <c r="BQ84" i="92"/>
  <c r="BQ72" i="92"/>
  <c r="BQ46" i="92"/>
  <c r="BQ45" i="92"/>
  <c r="BQ17" i="92"/>
  <c r="BQ128" i="92"/>
  <c r="BQ81" i="92"/>
  <c r="BQ24" i="92"/>
  <c r="BQ78" i="92"/>
  <c r="BQ28" i="92"/>
  <c r="BQ71" i="92"/>
  <c r="BQ36" i="92"/>
  <c r="BQ37" i="92"/>
  <c r="BQ39" i="92"/>
  <c r="BQ112" i="92"/>
  <c r="BQ102" i="92"/>
  <c r="BQ129" i="92"/>
  <c r="BQ108" i="92"/>
  <c r="BQ26" i="92"/>
  <c r="BQ99" i="92"/>
  <c r="BQ66" i="92"/>
  <c r="BQ44" i="92"/>
  <c r="BQ32" i="92"/>
  <c r="BQ130" i="92"/>
  <c r="BQ12" i="92"/>
  <c r="BQ107" i="92"/>
  <c r="BQ18" i="92"/>
  <c r="BQ52" i="92"/>
  <c r="BQ60" i="92"/>
  <c r="BQ53" i="92"/>
  <c r="BQ48" i="92"/>
  <c r="BQ100" i="92"/>
  <c r="BQ11" i="92"/>
  <c r="BQ122" i="92"/>
  <c r="BQ74" i="92"/>
  <c r="BQ14" i="92"/>
  <c r="BQ94" i="92"/>
  <c r="BQ20" i="92"/>
  <c r="BQ51" i="92"/>
  <c r="BQ19" i="92"/>
  <c r="BQ16" i="92"/>
  <c r="BQ40" i="92"/>
  <c r="BQ114" i="92"/>
  <c r="BQ85" i="92"/>
  <c r="BQ98" i="92"/>
  <c r="BQ75" i="92"/>
  <c r="BQ104" i="92"/>
  <c r="BQ121" i="92"/>
  <c r="BQ76" i="92"/>
  <c r="BQ105" i="92"/>
  <c r="BQ106" i="92"/>
  <c r="BQ83" i="92"/>
  <c r="BQ110" i="92"/>
  <c r="BQ120" i="92"/>
  <c r="BQ59" i="92"/>
  <c r="BQ103" i="92"/>
  <c r="BQ29" i="92"/>
  <c r="BQ38" i="92"/>
  <c r="BQ70" i="92"/>
  <c r="BQ132" i="92"/>
  <c r="BQ124" i="92"/>
  <c r="BQ126" i="92"/>
  <c r="BQ127" i="92"/>
  <c r="BQ118" i="92"/>
  <c r="BQ62" i="92"/>
  <c r="BQ111" i="92"/>
  <c r="BQ82" i="92"/>
  <c r="BQ92" i="92"/>
  <c r="BQ125" i="92"/>
  <c r="BQ65" i="92"/>
  <c r="BQ80" i="92"/>
  <c r="BQ33" i="92"/>
  <c r="BQ67" i="92"/>
  <c r="BQ41" i="92"/>
  <c r="BQ9" i="92"/>
  <c r="BQ79" i="92"/>
  <c r="BQ54" i="92"/>
  <c r="BQ64" i="92"/>
  <c r="BQ69" i="92"/>
  <c r="BQ116" i="92"/>
  <c r="BQ97" i="92"/>
  <c r="BQ34" i="92"/>
  <c r="BQ23" i="92"/>
  <c r="BQ93" i="92"/>
  <c r="BQ49" i="92"/>
  <c r="BQ5" i="92"/>
  <c r="BQ43" i="92"/>
  <c r="BQ8" i="92"/>
  <c r="BQ87" i="92"/>
  <c r="BQ117" i="92"/>
  <c r="BQ90" i="92"/>
  <c r="BQ56" i="92"/>
  <c r="BQ47" i="92"/>
  <c r="BQ68" i="92"/>
  <c r="BQ55" i="92"/>
  <c r="BQ21" i="92"/>
  <c r="BQ27" i="92"/>
  <c r="BQ77" i="92"/>
  <c r="BQ61" i="92"/>
  <c r="BQ57" i="92"/>
  <c r="BK77" i="92"/>
  <c r="BK132" i="92"/>
  <c r="BK42" i="92"/>
  <c r="BK56" i="92"/>
  <c r="BK108" i="92"/>
  <c r="BK79" i="92"/>
  <c r="BK60" i="92"/>
  <c r="BK73" i="92"/>
  <c r="BK82" i="92"/>
  <c r="BK17" i="92"/>
  <c r="BK15" i="92"/>
  <c r="BK119" i="92"/>
  <c r="BK110" i="92"/>
  <c r="BK72" i="92"/>
  <c r="BK105" i="92"/>
  <c r="BK36" i="92"/>
  <c r="BK104" i="92"/>
  <c r="BK33" i="92"/>
  <c r="BK59" i="92"/>
  <c r="BK131" i="92"/>
  <c r="BK66" i="92"/>
  <c r="BK102" i="92"/>
  <c r="BK100" i="92"/>
  <c r="BK126" i="92"/>
  <c r="BK6" i="92"/>
  <c r="BK129" i="92"/>
  <c r="BK40" i="92"/>
  <c r="BK51" i="92"/>
  <c r="BK113" i="92"/>
  <c r="BK91" i="92"/>
  <c r="BK109" i="92"/>
  <c r="BK85" i="92"/>
  <c r="BR3" i="92"/>
  <c r="BQ3" i="92"/>
  <c r="BS3" i="92"/>
  <c r="BR135" i="92" l="1"/>
  <c r="BR137" i="92"/>
  <c r="BR168" i="92"/>
  <c r="BR155" i="92"/>
  <c r="BR153" i="92"/>
  <c r="BF141" i="92"/>
  <c r="BG141" i="92" s="1"/>
  <c r="BR159" i="92"/>
  <c r="BF166" i="92"/>
  <c r="BG166" i="92" s="1"/>
  <c r="BR166" i="92"/>
  <c r="BR173" i="92"/>
  <c r="BR167" i="92"/>
  <c r="BR164" i="92"/>
  <c r="BF167" i="92"/>
  <c r="BG167" i="92" s="1"/>
  <c r="BR133" i="92"/>
  <c r="BR182" i="92"/>
  <c r="BR178" i="92"/>
  <c r="BF147" i="92"/>
  <c r="BG147" i="92" s="1"/>
  <c r="BF178" i="92"/>
  <c r="BG178" i="92" s="1"/>
  <c r="BR188" i="92"/>
  <c r="BF134" i="92"/>
  <c r="BG134" i="92" s="1"/>
  <c r="BR134" i="92"/>
  <c r="BR144" i="92"/>
  <c r="BR156" i="92"/>
  <c r="BR148" i="92"/>
  <c r="BR142" i="92"/>
  <c r="BR158" i="92"/>
  <c r="BF157" i="92"/>
  <c r="BG157" i="92" s="1"/>
  <c r="BR157" i="92"/>
  <c r="BR139" i="92"/>
  <c r="BF139" i="92"/>
  <c r="BG139" i="92" s="1"/>
  <c r="BR185" i="92"/>
  <c r="BR171" i="92"/>
  <c r="BR150" i="92"/>
  <c r="BR183" i="92"/>
  <c r="BR145" i="92"/>
  <c r="BR175" i="92"/>
  <c r="BF149" i="92"/>
  <c r="BG149" i="92" s="1"/>
  <c r="BR149" i="92"/>
  <c r="BF182" i="92"/>
  <c r="BG182" i="92" s="1"/>
  <c r="BR2" i="92"/>
  <c r="BL2" i="92"/>
  <c r="BM2" i="92"/>
  <c r="BO2" i="92"/>
  <c r="BP2" i="92"/>
  <c r="BN2" i="92"/>
  <c r="BQ2" i="92"/>
  <c r="BR143" i="92"/>
  <c r="BR174" i="92"/>
  <c r="BR181" i="92"/>
  <c r="BR163" i="92"/>
  <c r="BR146" i="92"/>
  <c r="BF161" i="92"/>
  <c r="BG161" i="92" s="1"/>
  <c r="BR161" i="92"/>
  <c r="BF133" i="92"/>
  <c r="BG133" i="92" s="1"/>
  <c r="BF148" i="92"/>
  <c r="BG148" i="92" s="1"/>
  <c r="BF155" i="92"/>
  <c r="BG155" i="92" s="1"/>
  <c r="BR187" i="92"/>
  <c r="BF136" i="92"/>
  <c r="BG136" i="92" s="1"/>
  <c r="BR136" i="92"/>
  <c r="BR151" i="92"/>
  <c r="BR180" i="92"/>
  <c r="BR162" i="92"/>
  <c r="BR138" i="92"/>
  <c r="BR176" i="92"/>
  <c r="BF156" i="92"/>
  <c r="BG156" i="92" s="1"/>
  <c r="BF168" i="92"/>
  <c r="BG168" i="92" s="1"/>
  <c r="BF145" i="92"/>
  <c r="BG145" i="92" s="1"/>
  <c r="BR160" i="92"/>
  <c r="BR165" i="92"/>
  <c r="BR140" i="92"/>
  <c r="BR186" i="92"/>
  <c r="BF179" i="92"/>
  <c r="BG179" i="92" s="1"/>
  <c r="BR179" i="92"/>
  <c r="BR154" i="92"/>
  <c r="BR184" i="92"/>
  <c r="BF153" i="92"/>
  <c r="BG153" i="92" s="1"/>
  <c r="BF159" i="92"/>
  <c r="BG159" i="92" s="1"/>
  <c r="BF175" i="92"/>
  <c r="BG175" i="92" s="1"/>
  <c r="BS182" i="92"/>
  <c r="BM182" i="92" s="1"/>
  <c r="BN182" i="92" s="1"/>
  <c r="BS172" i="92"/>
  <c r="BM172" i="92" s="1"/>
  <c r="BN172" i="92" s="1"/>
  <c r="BS156" i="92"/>
  <c r="BM156" i="92" s="1"/>
  <c r="BN156" i="92" s="1"/>
  <c r="BS146" i="92"/>
  <c r="BM146" i="92" s="1"/>
  <c r="BN146" i="92" s="1"/>
  <c r="BS139" i="92"/>
  <c r="BM139" i="92" s="1"/>
  <c r="BN139" i="92" s="1"/>
  <c r="BV186" i="92"/>
  <c r="BV168" i="92"/>
  <c r="BV161" i="92"/>
  <c r="BV148" i="92"/>
  <c r="BV136" i="92"/>
  <c r="BW177" i="92"/>
  <c r="BW166" i="92"/>
  <c r="BW155" i="92"/>
  <c r="BW142" i="92"/>
  <c r="BX186" i="92"/>
  <c r="BX168" i="92"/>
  <c r="BX161" i="92"/>
  <c r="BX148" i="92"/>
  <c r="BX136" i="92"/>
  <c r="BS178" i="92"/>
  <c r="BM178" i="92" s="1"/>
  <c r="BN178" i="92" s="1"/>
  <c r="BS173" i="92"/>
  <c r="BM173" i="92" s="1"/>
  <c r="BN173" i="92" s="1"/>
  <c r="BS165" i="92"/>
  <c r="BM165" i="92" s="1"/>
  <c r="BN165" i="92" s="1"/>
  <c r="BS147" i="92"/>
  <c r="BS136" i="92"/>
  <c r="BM136" i="92" s="1"/>
  <c r="BN136" i="92" s="1"/>
  <c r="BV179" i="92"/>
  <c r="BV172" i="92"/>
  <c r="BV158" i="92"/>
  <c r="BV145" i="92"/>
  <c r="BW185" i="92"/>
  <c r="BW168" i="92"/>
  <c r="BW157" i="92"/>
  <c r="BW146" i="92"/>
  <c r="BW133" i="92"/>
  <c r="BX175" i="92"/>
  <c r="BX160" i="92"/>
  <c r="BS183" i="92"/>
  <c r="BM183" i="92" s="1"/>
  <c r="BN183" i="92" s="1"/>
  <c r="BS162" i="92"/>
  <c r="BM162" i="92" s="1"/>
  <c r="BN162" i="92" s="1"/>
  <c r="BS152" i="92"/>
  <c r="BM152" i="92" s="1"/>
  <c r="BN152" i="92" s="1"/>
  <c r="BS134" i="92"/>
  <c r="BM134" i="92" s="1"/>
  <c r="BN134" i="92" s="1"/>
  <c r="BV181" i="92"/>
  <c r="BV166" i="92"/>
  <c r="BV150" i="92"/>
  <c r="BV135" i="92"/>
  <c r="BW178" i="92"/>
  <c r="BW163" i="92"/>
  <c r="BW147" i="92"/>
  <c r="BW134" i="92"/>
  <c r="BX173" i="92"/>
  <c r="BX157" i="92"/>
  <c r="BX146" i="92"/>
  <c r="BX133" i="92"/>
  <c r="BS177" i="92"/>
  <c r="BM177" i="92" s="1"/>
  <c r="BN177" i="92" s="1"/>
  <c r="BS163" i="92"/>
  <c r="BM163" i="92" s="1"/>
  <c r="BN163" i="92" s="1"/>
  <c r="BS148" i="92"/>
  <c r="BM148" i="92" s="1"/>
  <c r="BN148" i="92" s="1"/>
  <c r="BS133" i="92"/>
  <c r="BM133" i="92" s="1"/>
  <c r="BN133" i="92" s="1"/>
  <c r="BV183" i="92"/>
  <c r="BV164" i="92"/>
  <c r="BV151" i="92"/>
  <c r="BV138" i="92"/>
  <c r="BW174" i="92"/>
  <c r="BW165" i="92"/>
  <c r="BW148" i="92"/>
  <c r="BW139" i="92"/>
  <c r="BX176" i="92"/>
  <c r="BX156" i="92"/>
  <c r="BX144" i="92"/>
  <c r="BS179" i="92"/>
  <c r="BM179" i="92" s="1"/>
  <c r="BN179" i="92" s="1"/>
  <c r="BS164" i="92"/>
  <c r="BM164" i="92" s="1"/>
  <c r="BN164" i="92" s="1"/>
  <c r="BS144" i="92"/>
  <c r="BM144" i="92" s="1"/>
  <c r="BN144" i="92" s="1"/>
  <c r="BV171" i="92"/>
  <c r="BV153" i="92"/>
  <c r="BV139" i="92"/>
  <c r="BW170" i="92"/>
  <c r="BW154" i="92"/>
  <c r="BW135" i="92"/>
  <c r="BX174" i="92"/>
  <c r="BX159" i="92"/>
  <c r="BX141" i="92"/>
  <c r="BS181" i="92"/>
  <c r="BM181" i="92" s="1"/>
  <c r="BN181" i="92" s="1"/>
  <c r="BS161" i="92"/>
  <c r="BM161" i="92" s="1"/>
  <c r="BN161" i="92" s="1"/>
  <c r="BS143" i="92"/>
  <c r="BM143" i="92" s="1"/>
  <c r="BN143" i="92" s="1"/>
  <c r="BV185" i="92"/>
  <c r="BV169" i="92"/>
  <c r="BV147" i="92"/>
  <c r="BW184" i="92"/>
  <c r="BW171" i="92"/>
  <c r="BW150" i="92"/>
  <c r="BW136" i="92"/>
  <c r="BX172" i="92"/>
  <c r="BX155" i="92"/>
  <c r="BX137" i="92"/>
  <c r="BS174" i="92"/>
  <c r="BM174" i="92" s="1"/>
  <c r="BN174" i="92" s="1"/>
  <c r="BS159" i="92"/>
  <c r="BM159" i="92" s="1"/>
  <c r="BN159" i="92" s="1"/>
  <c r="BS135" i="92"/>
  <c r="BM135" i="92" s="1"/>
  <c r="BN135" i="92" s="1"/>
  <c r="BV170" i="92"/>
  <c r="BV149" i="92"/>
  <c r="BW182" i="92"/>
  <c r="BW160" i="92"/>
  <c r="BW141" i="92"/>
  <c r="BX178" i="92"/>
  <c r="BX153" i="92"/>
  <c r="BX134" i="92"/>
  <c r="BX187" i="92"/>
  <c r="BS175" i="92"/>
  <c r="BM175" i="92" s="1"/>
  <c r="BN175" i="92" s="1"/>
  <c r="BS154" i="92"/>
  <c r="BM154" i="92" s="1"/>
  <c r="BN154" i="92" s="1"/>
  <c r="BS138" i="92"/>
  <c r="BM138" i="92" s="1"/>
  <c r="BN138" i="92" s="1"/>
  <c r="BV167" i="92"/>
  <c r="BV146" i="92"/>
  <c r="BW180" i="92"/>
  <c r="BW161" i="92"/>
  <c r="BW140" i="92"/>
  <c r="BX170" i="92"/>
  <c r="BX150" i="92"/>
  <c r="BX139" i="92"/>
  <c r="BS176" i="92"/>
  <c r="BM176" i="92" s="1"/>
  <c r="BN176" i="92" s="1"/>
  <c r="BS155" i="92"/>
  <c r="BM155" i="92" s="1"/>
  <c r="BN155" i="92" s="1"/>
  <c r="BV162" i="92"/>
  <c r="BV144" i="92"/>
  <c r="BW181" i="92"/>
  <c r="BW156" i="92"/>
  <c r="BW137" i="92"/>
  <c r="BX171" i="92"/>
  <c r="BX151" i="92"/>
  <c r="BS171" i="92"/>
  <c r="BM171" i="92" s="1"/>
  <c r="BN171" i="92" s="1"/>
  <c r="BS151" i="92"/>
  <c r="BM151" i="92" s="1"/>
  <c r="BN151" i="92" s="1"/>
  <c r="BV180" i="92"/>
  <c r="BV160" i="92"/>
  <c r="BV141" i="92"/>
  <c r="BW175" i="92"/>
  <c r="BW153" i="92"/>
  <c r="BX185" i="92"/>
  <c r="BX166" i="92"/>
  <c r="BX149" i="92"/>
  <c r="BS167" i="92"/>
  <c r="BY167" i="92" s="1"/>
  <c r="BS149" i="92"/>
  <c r="BM149" i="92" s="1"/>
  <c r="BN149" i="92" s="1"/>
  <c r="BV177" i="92"/>
  <c r="BV157" i="92"/>
  <c r="BV140" i="92"/>
  <c r="BW176" i="92"/>
  <c r="BW151" i="92"/>
  <c r="BX179" i="92"/>
  <c r="BX164" i="92"/>
  <c r="BX145" i="92"/>
  <c r="BS185" i="92"/>
  <c r="BM185" i="92" s="1"/>
  <c r="BN185" i="92" s="1"/>
  <c r="BS145" i="92"/>
  <c r="BM145" i="92" s="1"/>
  <c r="BN145" i="92" s="1"/>
  <c r="BV184" i="92"/>
  <c r="BV155" i="92"/>
  <c r="BW167" i="92"/>
  <c r="BX184" i="92"/>
  <c r="BX154" i="92"/>
  <c r="BS187" i="92"/>
  <c r="BM187" i="92" s="1"/>
  <c r="BN187" i="92" s="1"/>
  <c r="BS186" i="92"/>
  <c r="BM186" i="92" s="1"/>
  <c r="BN186" i="92" s="1"/>
  <c r="BS142" i="92"/>
  <c r="BM142" i="92" s="1"/>
  <c r="BN142" i="92" s="1"/>
  <c r="BV182" i="92"/>
  <c r="BV152" i="92"/>
  <c r="BW169" i="92"/>
  <c r="BX182" i="92"/>
  <c r="BX152" i="92"/>
  <c r="BS188" i="92"/>
  <c r="BM188" i="92" s="1"/>
  <c r="BN188" i="92" s="1"/>
  <c r="BS169" i="92"/>
  <c r="BM169" i="92" s="1"/>
  <c r="BN169" i="92" s="1"/>
  <c r="BV175" i="92"/>
  <c r="BV134" i="92"/>
  <c r="BW159" i="92"/>
  <c r="BX177" i="92"/>
  <c r="BX140" i="92"/>
  <c r="BS140" i="92"/>
  <c r="BM140" i="92" s="1"/>
  <c r="BN140" i="92" s="1"/>
  <c r="BV163" i="92"/>
  <c r="BW173" i="92"/>
  <c r="BX181" i="92"/>
  <c r="BX138" i="92"/>
  <c r="BS184" i="92"/>
  <c r="BM184" i="92" s="1"/>
  <c r="BN184" i="92" s="1"/>
  <c r="BS137" i="92"/>
  <c r="BM137" i="92" s="1"/>
  <c r="BN137" i="92" s="1"/>
  <c r="BV165" i="92"/>
  <c r="BW172" i="92"/>
  <c r="BX183" i="92"/>
  <c r="BS180" i="92"/>
  <c r="BM180" i="92" s="1"/>
  <c r="BN180" i="92" s="1"/>
  <c r="BV156" i="92"/>
  <c r="BW164" i="92"/>
  <c r="BX167" i="92"/>
  <c r="BS157" i="92"/>
  <c r="BM157" i="92" s="1"/>
  <c r="BN157" i="92" s="1"/>
  <c r="BV137" i="92"/>
  <c r="BW144" i="92"/>
  <c r="BX158" i="92"/>
  <c r="BW179" i="92"/>
  <c r="BX163" i="92"/>
  <c r="BS168" i="92"/>
  <c r="BW162" i="92"/>
  <c r="BW183" i="92"/>
  <c r="BX165" i="92"/>
  <c r="BV178" i="92"/>
  <c r="BX147" i="92"/>
  <c r="BV187" i="92"/>
  <c r="BS160" i="92"/>
  <c r="BM160" i="92" s="1"/>
  <c r="BN160" i="92" s="1"/>
  <c r="BV176" i="92"/>
  <c r="BW149" i="92"/>
  <c r="BX135" i="92"/>
  <c r="BS158" i="92"/>
  <c r="BM158" i="92" s="1"/>
  <c r="BN158" i="92" s="1"/>
  <c r="BV159" i="92"/>
  <c r="BW145" i="92"/>
  <c r="BS153" i="92"/>
  <c r="BM153" i="92" s="1"/>
  <c r="BN153" i="92" s="1"/>
  <c r="BV154" i="92"/>
  <c r="BW143" i="92"/>
  <c r="BV142" i="92"/>
  <c r="BV188" i="92"/>
  <c r="BV133" i="92"/>
  <c r="BW187" i="92"/>
  <c r="BW186" i="92"/>
  <c r="BS150" i="92"/>
  <c r="BM150" i="92" s="1"/>
  <c r="BN150" i="92" s="1"/>
  <c r="BW138" i="92"/>
  <c r="BX143" i="92"/>
  <c r="BS141" i="92"/>
  <c r="BX180" i="92"/>
  <c r="BX169" i="92"/>
  <c r="BX162" i="92"/>
  <c r="BV174" i="92"/>
  <c r="BV173" i="92"/>
  <c r="BX142" i="92"/>
  <c r="BW158" i="92"/>
  <c r="BW152" i="92"/>
  <c r="BW188" i="92"/>
  <c r="BS166" i="92"/>
  <c r="BY166" i="92" s="1"/>
  <c r="BV143" i="92"/>
  <c r="BS170" i="92"/>
  <c r="BM170" i="92" s="1"/>
  <c r="BN170" i="92" s="1"/>
  <c r="BX188" i="92"/>
  <c r="BS1" i="92"/>
  <c r="BR172" i="92"/>
  <c r="BR169" i="92"/>
  <c r="BR152" i="92"/>
  <c r="BF170" i="92"/>
  <c r="BG170" i="92" s="1"/>
  <c r="BR170" i="92"/>
  <c r="BF163" i="92"/>
  <c r="BG163" i="92" s="1"/>
  <c r="BF137" i="92"/>
  <c r="BG137" i="92" s="1"/>
  <c r="BR177" i="92"/>
  <c r="BF142" i="92"/>
  <c r="BG142" i="92" s="1"/>
  <c r="BF150" i="92"/>
  <c r="BG150" i="92" s="1"/>
  <c r="BF135" i="92"/>
  <c r="BG135" i="92" s="1"/>
  <c r="BF66" i="92"/>
  <c r="BG66" i="92" s="1"/>
  <c r="BF82" i="92"/>
  <c r="BG82" i="92" s="1"/>
  <c r="BR24" i="92"/>
  <c r="BR59" i="92"/>
  <c r="BR81" i="92"/>
  <c r="BR53" i="92"/>
  <c r="BR21" i="92"/>
  <c r="BR92" i="92"/>
  <c r="BR5" i="92"/>
  <c r="H24" i="95"/>
  <c r="BR76" i="92"/>
  <c r="BF110" i="92"/>
  <c r="BG110" i="92" s="1"/>
  <c r="BF23" i="92"/>
  <c r="BG23" i="92" s="1"/>
  <c r="BF116" i="92"/>
  <c r="BG116" i="92" s="1"/>
  <c r="BF57" i="92"/>
  <c r="BG57" i="92" s="1"/>
  <c r="BF15" i="92"/>
  <c r="BG15" i="92" s="1"/>
  <c r="BF90" i="92"/>
  <c r="BG90" i="92" s="1"/>
  <c r="BF42" i="92"/>
  <c r="BG42" i="92" s="1"/>
  <c r="BF74" i="92"/>
  <c r="BG74" i="92" s="1"/>
  <c r="BF84" i="92"/>
  <c r="BG84" i="92" s="1"/>
  <c r="BF99" i="92"/>
  <c r="BG99" i="92" s="1"/>
  <c r="BR119" i="92"/>
  <c r="BF94" i="92"/>
  <c r="BG94" i="92" s="1"/>
  <c r="BF46" i="92"/>
  <c r="BG46" i="92" s="1"/>
  <c r="BF122" i="92"/>
  <c r="BG122" i="92" s="1"/>
  <c r="BF7" i="92"/>
  <c r="BG7" i="92" s="1"/>
  <c r="BF117" i="92"/>
  <c r="BG117" i="92" s="1"/>
  <c r="BF80" i="92"/>
  <c r="BG80" i="92" s="1"/>
  <c r="BF120" i="92"/>
  <c r="BG120" i="92" s="1"/>
  <c r="BF11" i="92"/>
  <c r="BG11" i="92" s="1"/>
  <c r="BF76" i="92"/>
  <c r="BG76" i="92" s="1"/>
  <c r="BF64" i="92"/>
  <c r="BG64" i="92" s="1"/>
  <c r="BR89" i="92"/>
  <c r="BF128" i="92"/>
  <c r="BG128" i="92" s="1"/>
  <c r="BF32" i="92"/>
  <c r="BG32" i="92" s="1"/>
  <c r="BF83" i="92"/>
  <c r="BG83" i="92" s="1"/>
  <c r="BR31" i="92"/>
  <c r="BR86" i="92"/>
  <c r="BR22" i="92"/>
  <c r="BR123" i="92"/>
  <c r="BR30" i="92"/>
  <c r="BF35" i="92"/>
  <c r="BG35" i="92" s="1"/>
  <c r="BF87" i="92"/>
  <c r="BG87" i="92" s="1"/>
  <c r="BF86" i="92"/>
  <c r="BG86" i="92" s="1"/>
  <c r="BF29" i="92"/>
  <c r="BG29" i="92" s="1"/>
  <c r="BF39" i="92"/>
  <c r="BG39" i="92" s="1"/>
  <c r="BF17" i="92"/>
  <c r="BG17" i="92" s="1"/>
  <c r="BR101" i="92"/>
  <c r="BR58" i="92"/>
  <c r="BR13" i="92"/>
  <c r="BF92" i="92"/>
  <c r="BG92" i="92" s="1"/>
  <c r="BF100" i="92"/>
  <c r="BG100" i="92" s="1"/>
  <c r="BF112" i="92"/>
  <c r="BG112" i="92" s="1"/>
  <c r="BF61" i="92"/>
  <c r="BG61" i="92" s="1"/>
  <c r="BF67" i="92"/>
  <c r="BG67" i="92" s="1"/>
  <c r="BF111" i="92"/>
  <c r="BG111" i="92" s="1"/>
  <c r="BF6" i="92"/>
  <c r="BG6" i="92" s="1"/>
  <c r="BF132" i="92"/>
  <c r="BG132" i="92" s="1"/>
  <c r="BF36" i="92"/>
  <c r="BG36" i="92" s="1"/>
  <c r="BF28" i="92"/>
  <c r="BG28" i="92" s="1"/>
  <c r="BF40" i="92"/>
  <c r="BG40" i="92" s="1"/>
  <c r="BF75" i="92"/>
  <c r="BG75" i="92" s="1"/>
  <c r="BF126" i="92"/>
  <c r="BG126" i="92" s="1"/>
  <c r="BF129" i="92"/>
  <c r="BG129" i="92" s="1"/>
  <c r="BF38" i="92"/>
  <c r="BG38" i="92" s="1"/>
  <c r="BF96" i="92"/>
  <c r="BG96" i="92" s="1"/>
  <c r="BF71" i="92"/>
  <c r="BG71" i="92" s="1"/>
  <c r="BF73" i="92"/>
  <c r="BG73" i="92" s="1"/>
  <c r="BF97" i="92"/>
  <c r="BG97" i="92" s="1"/>
  <c r="BF41" i="92"/>
  <c r="BG41" i="92" s="1"/>
  <c r="BF55" i="92"/>
  <c r="BG55" i="92" s="1"/>
  <c r="BF118" i="92"/>
  <c r="BG118" i="92" s="1"/>
  <c r="BF102" i="92"/>
  <c r="BG102" i="92" s="1"/>
  <c r="BF119" i="92"/>
  <c r="BG119" i="92" s="1"/>
  <c r="BV101" i="92"/>
  <c r="BV6" i="92"/>
  <c r="BV43" i="92"/>
  <c r="BV14" i="92"/>
  <c r="BV99" i="92"/>
  <c r="BV76" i="92"/>
  <c r="BV102" i="92"/>
  <c r="BV93" i="92"/>
  <c r="BV105" i="92"/>
  <c r="BV92" i="92"/>
  <c r="BV58" i="92"/>
  <c r="BV32" i="92"/>
  <c r="BV63" i="92"/>
  <c r="BV25" i="92"/>
  <c r="BV132" i="92"/>
  <c r="BV60" i="92"/>
  <c r="BV121" i="92"/>
  <c r="BV8" i="92"/>
  <c r="BV42" i="92"/>
  <c r="BV88" i="92"/>
  <c r="BV116" i="92"/>
  <c r="BV94" i="92"/>
  <c r="BV49" i="92"/>
  <c r="BV106" i="92"/>
  <c r="BV67" i="92"/>
  <c r="BV30" i="92"/>
  <c r="BV19" i="92"/>
  <c r="BV74" i="92"/>
  <c r="BV120" i="92"/>
  <c r="BV53" i="92"/>
  <c r="BV70" i="92"/>
  <c r="BV68" i="92"/>
  <c r="BV64" i="92"/>
  <c r="BV27" i="92"/>
  <c r="BV16" i="92"/>
  <c r="BV96" i="92"/>
  <c r="BV33" i="92"/>
  <c r="BV131" i="92"/>
  <c r="BV100" i="92"/>
  <c r="BV28" i="92"/>
  <c r="BV103" i="92"/>
  <c r="BV39" i="92"/>
  <c r="BV36" i="92"/>
  <c r="BV61" i="92"/>
  <c r="BV66" i="92"/>
  <c r="BV54" i="92"/>
  <c r="BV41" i="92"/>
  <c r="BV110" i="92"/>
  <c r="BV97" i="92"/>
  <c r="BV72" i="92"/>
  <c r="BV104" i="92"/>
  <c r="BV114" i="92"/>
  <c r="BV55" i="92"/>
  <c r="BV95" i="92"/>
  <c r="BV129" i="92"/>
  <c r="BV86" i="92"/>
  <c r="BV87" i="92"/>
  <c r="BV75" i="92"/>
  <c r="BV111" i="92"/>
  <c r="BV11" i="92"/>
  <c r="BV15" i="92"/>
  <c r="BV57" i="92"/>
  <c r="BV123" i="92"/>
  <c r="BV18" i="92"/>
  <c r="BV91" i="92"/>
  <c r="BV24" i="92"/>
  <c r="BV85" i="92"/>
  <c r="BV17" i="92"/>
  <c r="BV22" i="92"/>
  <c r="BV46" i="92"/>
  <c r="BV125" i="92"/>
  <c r="BV9" i="92"/>
  <c r="BV126" i="92"/>
  <c r="BV112" i="92"/>
  <c r="BV47" i="92"/>
  <c r="BV59" i="92"/>
  <c r="BV118" i="92"/>
  <c r="BV77" i="92"/>
  <c r="BV130" i="92"/>
  <c r="BV127" i="92"/>
  <c r="BV117" i="92"/>
  <c r="BV56" i="92"/>
  <c r="BV115" i="92"/>
  <c r="BV107" i="92"/>
  <c r="BV124" i="92"/>
  <c r="BV128" i="92"/>
  <c r="BV71" i="92"/>
  <c r="BV109" i="92"/>
  <c r="BV108" i="92"/>
  <c r="BV29" i="92"/>
  <c r="BV81" i="92"/>
  <c r="BV38" i="92"/>
  <c r="BV65" i="92"/>
  <c r="BV69" i="92"/>
  <c r="BV119" i="92"/>
  <c r="BV13" i="92"/>
  <c r="BT3" i="92"/>
  <c r="BV83" i="92"/>
  <c r="BV84" i="92"/>
  <c r="BV48" i="92"/>
  <c r="BV98" i="92"/>
  <c r="BV7" i="92"/>
  <c r="BV113" i="92"/>
  <c r="BV62" i="92"/>
  <c r="BV20" i="92"/>
  <c r="BV52" i="92"/>
  <c r="BV51" i="92"/>
  <c r="BV80" i="92"/>
  <c r="BV35" i="92"/>
  <c r="BV37" i="92"/>
  <c r="BV34" i="92"/>
  <c r="BV82" i="92"/>
  <c r="BV50" i="92"/>
  <c r="BV26" i="92"/>
  <c r="BV79" i="92"/>
  <c r="BV10" i="92"/>
  <c r="BV12" i="92"/>
  <c r="BV3" i="92"/>
  <c r="BV78" i="92"/>
  <c r="BV21" i="92"/>
  <c r="BU3" i="92"/>
  <c r="BV90" i="92"/>
  <c r="BV5" i="92"/>
  <c r="BV40" i="92"/>
  <c r="BV23" i="92"/>
  <c r="BV31" i="92"/>
  <c r="BV44" i="92"/>
  <c r="BV73" i="92"/>
  <c r="BV45" i="92"/>
  <c r="BV89" i="92"/>
  <c r="BV122" i="92"/>
  <c r="BR116" i="92"/>
  <c r="BR102" i="92"/>
  <c r="BR110" i="92"/>
  <c r="BR62" i="92"/>
  <c r="BR106" i="92"/>
  <c r="BR55" i="92"/>
  <c r="BR72" i="92"/>
  <c r="BR104" i="92"/>
  <c r="BR32" i="92"/>
  <c r="BR98" i="92"/>
  <c r="BR45" i="92"/>
  <c r="I22" i="95"/>
  <c r="BR67" i="92"/>
  <c r="AB24" i="95"/>
  <c r="BR83" i="92"/>
  <c r="BR6" i="92"/>
  <c r="BR41" i="92"/>
  <c r="AD24" i="95"/>
  <c r="BR34" i="92"/>
  <c r="BR36" i="92"/>
  <c r="K23" i="95"/>
  <c r="G22" i="95"/>
  <c r="BR51" i="92"/>
  <c r="J22" i="95"/>
  <c r="AD23" i="95" s="1"/>
  <c r="BR17" i="92"/>
  <c r="BR91" i="92"/>
  <c r="BR93" i="92"/>
  <c r="BR132" i="92"/>
  <c r="BR10" i="92"/>
  <c r="BR120" i="92"/>
  <c r="BR88" i="92"/>
  <c r="BR8" i="92"/>
  <c r="BR47" i="92"/>
  <c r="BR131" i="92"/>
  <c r="BR56" i="92"/>
  <c r="BR122" i="92"/>
  <c r="BR29" i="92"/>
  <c r="BR100" i="92"/>
  <c r="BR43" i="92"/>
  <c r="BR49" i="92"/>
  <c r="BR70" i="92"/>
  <c r="BR74" i="92"/>
  <c r="BR37" i="92"/>
  <c r="BR125" i="92"/>
  <c r="BR68" i="92"/>
  <c r="BR121" i="92"/>
  <c r="BR19" i="92"/>
  <c r="BR35" i="92"/>
  <c r="BR39" i="92"/>
  <c r="BR115" i="92"/>
  <c r="BR99" i="92"/>
  <c r="BR26" i="92"/>
  <c r="BR48" i="92"/>
  <c r="BR57" i="92"/>
  <c r="BR61" i="92"/>
  <c r="BR79" i="92"/>
  <c r="BR16" i="92"/>
  <c r="BR60" i="92"/>
  <c r="BR50" i="92"/>
  <c r="BR52" i="92"/>
  <c r="BR108" i="92"/>
  <c r="BR11" i="92"/>
  <c r="BR127" i="92"/>
  <c r="BR80" i="92"/>
  <c r="BR126" i="92"/>
  <c r="BR112" i="92"/>
  <c r="BR23" i="92"/>
  <c r="BR15" i="92"/>
  <c r="BR7" i="92"/>
  <c r="BR75" i="92"/>
  <c r="BR28" i="92"/>
  <c r="BR97" i="92"/>
  <c r="BR103" i="92"/>
  <c r="BR96" i="92"/>
  <c r="BR87" i="92"/>
  <c r="BR64" i="92"/>
  <c r="BR82" i="92"/>
  <c r="BR114" i="92"/>
  <c r="BR73" i="92"/>
  <c r="BR9" i="92"/>
  <c r="BR40" i="92"/>
  <c r="BR77" i="92"/>
  <c r="BR118" i="92"/>
  <c r="BR42" i="92"/>
  <c r="BR128" i="92"/>
  <c r="BR63" i="92"/>
  <c r="BR25" i="92"/>
  <c r="BR27" i="92"/>
  <c r="BR18" i="92"/>
  <c r="BR20" i="92"/>
  <c r="BR107" i="92"/>
  <c r="BR109" i="92"/>
  <c r="BR14" i="92"/>
  <c r="BR84" i="92"/>
  <c r="BR65" i="92"/>
  <c r="BR95" i="92"/>
  <c r="BR71" i="92"/>
  <c r="BR38" i="92"/>
  <c r="BR130" i="92"/>
  <c r="BR90" i="92"/>
  <c r="BR44" i="92"/>
  <c r="BR117" i="92"/>
  <c r="BR69" i="92"/>
  <c r="BR85" i="92"/>
  <c r="BR66" i="92"/>
  <c r="BR78" i="92"/>
  <c r="BR54" i="92"/>
  <c r="BR111" i="92"/>
  <c r="BS85" i="92"/>
  <c r="BS101" i="92"/>
  <c r="BM101" i="92" s="1"/>
  <c r="BN101" i="92" s="1"/>
  <c r="BS46" i="92"/>
  <c r="BS94" i="92"/>
  <c r="BS90" i="92"/>
  <c r="BM90" i="92" s="1"/>
  <c r="BN90" i="92" s="1"/>
  <c r="BS11" i="92"/>
  <c r="BM11" i="92" s="1"/>
  <c r="BN11" i="92" s="1"/>
  <c r="BS102" i="92"/>
  <c r="BM102" i="92" s="1"/>
  <c r="BN102" i="92" s="1"/>
  <c r="BS64" i="92"/>
  <c r="BM64" i="92" s="1"/>
  <c r="BN64" i="92" s="1"/>
  <c r="BS92" i="92"/>
  <c r="BS72" i="92"/>
  <c r="BM72" i="92" s="1"/>
  <c r="BN72" i="92" s="1"/>
  <c r="BS51" i="92"/>
  <c r="BS45" i="92"/>
  <c r="BS17" i="92"/>
  <c r="BS19" i="92"/>
  <c r="BS59" i="92"/>
  <c r="BS37" i="92"/>
  <c r="BS119" i="92"/>
  <c r="BM119" i="92" s="1"/>
  <c r="BN119" i="92" s="1"/>
  <c r="BS48" i="92"/>
  <c r="BM48" i="92" s="1"/>
  <c r="BN48" i="92" s="1"/>
  <c r="BS124" i="92"/>
  <c r="BM124" i="92" s="1"/>
  <c r="BN124" i="92" s="1"/>
  <c r="BS34" i="92"/>
  <c r="BM34" i="92" s="1"/>
  <c r="BN34" i="92" s="1"/>
  <c r="BW121" i="92"/>
  <c r="BW86" i="92"/>
  <c r="BW21" i="92"/>
  <c r="BW57" i="92"/>
  <c r="BW69" i="92"/>
  <c r="BW87" i="92"/>
  <c r="BW52" i="92"/>
  <c r="BW13" i="92"/>
  <c r="BW109" i="92"/>
  <c r="BW6" i="92"/>
  <c r="BS96" i="92"/>
  <c r="BS97" i="92"/>
  <c r="BS116" i="92"/>
  <c r="BS78" i="92"/>
  <c r="BS93" i="92"/>
  <c r="BS95" i="92"/>
  <c r="BS131" i="92"/>
  <c r="BS91" i="92"/>
  <c r="BS6" i="92"/>
  <c r="BM6" i="92" s="1"/>
  <c r="BN6" i="92" s="1"/>
  <c r="BS126" i="92"/>
  <c r="BM126" i="92" s="1"/>
  <c r="BN126" i="92" s="1"/>
  <c r="BW22" i="92"/>
  <c r="BW12" i="92"/>
  <c r="BW130" i="92"/>
  <c r="BW113" i="92"/>
  <c r="BW33" i="92"/>
  <c r="BW39" i="92"/>
  <c r="BW9" i="92"/>
  <c r="BS16" i="92"/>
  <c r="BS68" i="92"/>
  <c r="BS54" i="92"/>
  <c r="BS118" i="92"/>
  <c r="BM118" i="92" s="1"/>
  <c r="BN118" i="92" s="1"/>
  <c r="BS74" i="92"/>
  <c r="BM74" i="92" s="1"/>
  <c r="BN74" i="92" s="1"/>
  <c r="BS123" i="92"/>
  <c r="BM123" i="92" s="1"/>
  <c r="BN123" i="92" s="1"/>
  <c r="BS109" i="92"/>
  <c r="BS66" i="92"/>
  <c r="BW45" i="92"/>
  <c r="BW49" i="92"/>
  <c r="BW127" i="92"/>
  <c r="BW73" i="92"/>
  <c r="BW129" i="92"/>
  <c r="BW81" i="92"/>
  <c r="BW106" i="92"/>
  <c r="BW58" i="92"/>
  <c r="BW76" i="92"/>
  <c r="BW53" i="92"/>
  <c r="BW66" i="92"/>
  <c r="BX86" i="92"/>
  <c r="BX31" i="92"/>
  <c r="BS20" i="92"/>
  <c r="BS84" i="92"/>
  <c r="BS80" i="92"/>
  <c r="BS69" i="92"/>
  <c r="BS39" i="92"/>
  <c r="BM39" i="92" s="1"/>
  <c r="BN39" i="92" s="1"/>
  <c r="BS106" i="92"/>
  <c r="BM106" i="92" s="1"/>
  <c r="BN106" i="92" s="1"/>
  <c r="BS132" i="92"/>
  <c r="BM132" i="92" s="1"/>
  <c r="BN132" i="92" s="1"/>
  <c r="BS65" i="92"/>
  <c r="BS128" i="92"/>
  <c r="BS31" i="92"/>
  <c r="BW107" i="92"/>
  <c r="BS112" i="92"/>
  <c r="BS41" i="92"/>
  <c r="BS33" i="92"/>
  <c r="BS60" i="92"/>
  <c r="BS18" i="92"/>
  <c r="BM18" i="92" s="1"/>
  <c r="BN18" i="92" s="1"/>
  <c r="BS110" i="92"/>
  <c r="BM110" i="92" s="1"/>
  <c r="BN110" i="92" s="1"/>
  <c r="BS63" i="92"/>
  <c r="BW85" i="92"/>
  <c r="BW122" i="92"/>
  <c r="BW80" i="92"/>
  <c r="BW28" i="92"/>
  <c r="BW119" i="92"/>
  <c r="BW88" i="92"/>
  <c r="BW61" i="92"/>
  <c r="BW31" i="92"/>
  <c r="BX13" i="92"/>
  <c r="BS79" i="92"/>
  <c r="BS26" i="92"/>
  <c r="BM26" i="92" s="1"/>
  <c r="BN26" i="92" s="1"/>
  <c r="BS129" i="92"/>
  <c r="BM129" i="92" s="1"/>
  <c r="BN129" i="92" s="1"/>
  <c r="BS24" i="92"/>
  <c r="BS105" i="92"/>
  <c r="BS53" i="92"/>
  <c r="BS29" i="92"/>
  <c r="BW96" i="92"/>
  <c r="BW38" i="92"/>
  <c r="BW94" i="92"/>
  <c r="BW117" i="92"/>
  <c r="BW95" i="92"/>
  <c r="BW64" i="92"/>
  <c r="BW71" i="92"/>
  <c r="BW128" i="92"/>
  <c r="BW63" i="92"/>
  <c r="BX58" i="92"/>
  <c r="BS86" i="92"/>
  <c r="BS125" i="92"/>
  <c r="BS89" i="92"/>
  <c r="BM89" i="92" s="1"/>
  <c r="BN89" i="92" s="1"/>
  <c r="BS52" i="92"/>
  <c r="BS82" i="92"/>
  <c r="BS23" i="92"/>
  <c r="BW16" i="92"/>
  <c r="BW84" i="92"/>
  <c r="BW77" i="92"/>
  <c r="BW37" i="92"/>
  <c r="BW123" i="92"/>
  <c r="BW115" i="92"/>
  <c r="BW65" i="92"/>
  <c r="BW27" i="92"/>
  <c r="BW29" i="92"/>
  <c r="BX22" i="92"/>
  <c r="BS12" i="92"/>
  <c r="BM12" i="92" s="1"/>
  <c r="BN12" i="92" s="1"/>
  <c r="BS43" i="92"/>
  <c r="BM43" i="92" s="1"/>
  <c r="BN43" i="92" s="1"/>
  <c r="BS28" i="92"/>
  <c r="BM28" i="92" s="1"/>
  <c r="BN28" i="92" s="1"/>
  <c r="BS9" i="92"/>
  <c r="BS10" i="92"/>
  <c r="BM10" i="92" s="1"/>
  <c r="BN10" i="92" s="1"/>
  <c r="BS61" i="92"/>
  <c r="BM61" i="92" s="1"/>
  <c r="BN61" i="92" s="1"/>
  <c r="BW32" i="92"/>
  <c r="BW44" i="92"/>
  <c r="BW99" i="92"/>
  <c r="BW93" i="92"/>
  <c r="BW24" i="92"/>
  <c r="BW132" i="92"/>
  <c r="BW50" i="92"/>
  <c r="BW25" i="92"/>
  <c r="BX101" i="92"/>
  <c r="BX29" i="92"/>
  <c r="BS114" i="92"/>
  <c r="BM114" i="92" s="1"/>
  <c r="BN114" i="92" s="1"/>
  <c r="BS113" i="92"/>
  <c r="BS15" i="92"/>
  <c r="BS108" i="92"/>
  <c r="BS88" i="92"/>
  <c r="BS25" i="92"/>
  <c r="BW20" i="92"/>
  <c r="BW41" i="92"/>
  <c r="BW78" i="92"/>
  <c r="BW15" i="92"/>
  <c r="BW62" i="92"/>
  <c r="BW105" i="92"/>
  <c r="BW111" i="92"/>
  <c r="BW100" i="92"/>
  <c r="BX89" i="92"/>
  <c r="BS104" i="92"/>
  <c r="BS122" i="92"/>
  <c r="BS73" i="92"/>
  <c r="BS7" i="92"/>
  <c r="BS120" i="92"/>
  <c r="BS76" i="92"/>
  <c r="BS98" i="92"/>
  <c r="BW112" i="92"/>
  <c r="BW19" i="92"/>
  <c r="BW118" i="92"/>
  <c r="BW7" i="92"/>
  <c r="BW108" i="92"/>
  <c r="BW82" i="92"/>
  <c r="BW35" i="92"/>
  <c r="BW56" i="92"/>
  <c r="BX37" i="92"/>
  <c r="BS107" i="92"/>
  <c r="BS83" i="92"/>
  <c r="BM83" i="92" s="1"/>
  <c r="BN83" i="92" s="1"/>
  <c r="BS115" i="92"/>
  <c r="BM115" i="92" s="1"/>
  <c r="BN115" i="92" s="1"/>
  <c r="BS5" i="92"/>
  <c r="BM5" i="92" s="1"/>
  <c r="BN5" i="92" s="1"/>
  <c r="BW97" i="92"/>
  <c r="BW90" i="92"/>
  <c r="BW48" i="92"/>
  <c r="BX120" i="92"/>
  <c r="BS38" i="92"/>
  <c r="BS87" i="92"/>
  <c r="BS71" i="92"/>
  <c r="BW116" i="92"/>
  <c r="BW11" i="92"/>
  <c r="BW10" i="92"/>
  <c r="BW51" i="92"/>
  <c r="BS127" i="92"/>
  <c r="BM127" i="92" s="1"/>
  <c r="BN127" i="92" s="1"/>
  <c r="BS55" i="92"/>
  <c r="BS35" i="92"/>
  <c r="BW104" i="92"/>
  <c r="BW43" i="92"/>
  <c r="BW60" i="92"/>
  <c r="BW92" i="92"/>
  <c r="BW70" i="92"/>
  <c r="BS8" i="92"/>
  <c r="BM8" i="92" s="1"/>
  <c r="BN8" i="92" s="1"/>
  <c r="BS42" i="92"/>
  <c r="BM42" i="92" s="1"/>
  <c r="BN42" i="92" s="1"/>
  <c r="BS100" i="92"/>
  <c r="BM100" i="92" s="1"/>
  <c r="BN100" i="92" s="1"/>
  <c r="BW26" i="92"/>
  <c r="BW120" i="92"/>
  <c r="BW23" i="92"/>
  <c r="BX30" i="92"/>
  <c r="BW3" i="92"/>
  <c r="BS49" i="92"/>
  <c r="BS30" i="92"/>
  <c r="BS56" i="92"/>
  <c r="BW125" i="92"/>
  <c r="BW36" i="92"/>
  <c r="BW98" i="92"/>
  <c r="BX119" i="92"/>
  <c r="BS44" i="92"/>
  <c r="BM44" i="92" s="1"/>
  <c r="BN44" i="92" s="1"/>
  <c r="BS62" i="92"/>
  <c r="BS47" i="92"/>
  <c r="BW59" i="92"/>
  <c r="BW75" i="92"/>
  <c r="BW126" i="92"/>
  <c r="BX123" i="92"/>
  <c r="BS75" i="92"/>
  <c r="BW114" i="92"/>
  <c r="BW18" i="92"/>
  <c r="BW5" i="92"/>
  <c r="BS103" i="92"/>
  <c r="BM103" i="92" s="1"/>
  <c r="BN103" i="92" s="1"/>
  <c r="BS50" i="92"/>
  <c r="BM50" i="92" s="1"/>
  <c r="BN50" i="92" s="1"/>
  <c r="BW17" i="92"/>
  <c r="BW42" i="92"/>
  <c r="BW14" i="92"/>
  <c r="BS67" i="92"/>
  <c r="BW30" i="92"/>
  <c r="BS21" i="92"/>
  <c r="BM21" i="92" s="1"/>
  <c r="BN21" i="92" s="1"/>
  <c r="BS36" i="92"/>
  <c r="BS70" i="92"/>
  <c r="BW103" i="92"/>
  <c r="BW131" i="92"/>
  <c r="BW47" i="92"/>
  <c r="BS130" i="92"/>
  <c r="BM130" i="92" s="1"/>
  <c r="BN130" i="92" s="1"/>
  <c r="BW83" i="92"/>
  <c r="BS121" i="92"/>
  <c r="BS14" i="92"/>
  <c r="BW68" i="92"/>
  <c r="BW110" i="92"/>
  <c r="BS57" i="92"/>
  <c r="BS13" i="92"/>
  <c r="BW8" i="92"/>
  <c r="BW67" i="92"/>
  <c r="BW40" i="92"/>
  <c r="BS77" i="92"/>
  <c r="BM77" i="92" s="1"/>
  <c r="BN77" i="92" s="1"/>
  <c r="BS58" i="92"/>
  <c r="BW79" i="92"/>
  <c r="BW89" i="92"/>
  <c r="BW124" i="92"/>
  <c r="BS99" i="92"/>
  <c r="BS40" i="92"/>
  <c r="BW101" i="92"/>
  <c r="BW74" i="92"/>
  <c r="BW91" i="92"/>
  <c r="BW46" i="92"/>
  <c r="BW54" i="92"/>
  <c r="BW55" i="92"/>
  <c r="BW102" i="92"/>
  <c r="BS22" i="92"/>
  <c r="BW34" i="92"/>
  <c r="BS32" i="92"/>
  <c r="BM32" i="92" s="1"/>
  <c r="BN32" i="92" s="1"/>
  <c r="BW72" i="92"/>
  <c r="BS117" i="92"/>
  <c r="BS81" i="92"/>
  <c r="BM81" i="92" s="1"/>
  <c r="BN81" i="92" s="1"/>
  <c r="BS111" i="92"/>
  <c r="BS27" i="92"/>
  <c r="BX118" i="92"/>
  <c r="BX55" i="92"/>
  <c r="BX94" i="92"/>
  <c r="BX46" i="92"/>
  <c r="BX126" i="92"/>
  <c r="BX91" i="92"/>
  <c r="BX106" i="92"/>
  <c r="BX100" i="92"/>
  <c r="BX74" i="92"/>
  <c r="BX52" i="92"/>
  <c r="BX72" i="92"/>
  <c r="BX104" i="92"/>
  <c r="BX121" i="92"/>
  <c r="BX41" i="92"/>
  <c r="BX48" i="92"/>
  <c r="BX84" i="92"/>
  <c r="BX111" i="92"/>
  <c r="BX116" i="92"/>
  <c r="BX20" i="92"/>
  <c r="BX132" i="92"/>
  <c r="BX39" i="92"/>
  <c r="BX23" i="92"/>
  <c r="BX64" i="92"/>
  <c r="BX107" i="92"/>
  <c r="BX99" i="92"/>
  <c r="BX68" i="92"/>
  <c r="BX69" i="92"/>
  <c r="BX81" i="92"/>
  <c r="BX36" i="92"/>
  <c r="BX103" i="92"/>
  <c r="BX43" i="92"/>
  <c r="BX34" i="92"/>
  <c r="BX9" i="92"/>
  <c r="BX102" i="92"/>
  <c r="BX42" i="92"/>
  <c r="BX93" i="92"/>
  <c r="BX125" i="92"/>
  <c r="BX128" i="92"/>
  <c r="BX7" i="92"/>
  <c r="BX95" i="92"/>
  <c r="BX57" i="92"/>
  <c r="BX24" i="92"/>
  <c r="BX71" i="92"/>
  <c r="BX60" i="92"/>
  <c r="BX114" i="92"/>
  <c r="BX14" i="92"/>
  <c r="BX97" i="92"/>
  <c r="BX82" i="92"/>
  <c r="BX38" i="92"/>
  <c r="BX109" i="92"/>
  <c r="BX45" i="92"/>
  <c r="BX85" i="92"/>
  <c r="BX130" i="92"/>
  <c r="BX96" i="92"/>
  <c r="BX35" i="92"/>
  <c r="BX76" i="92"/>
  <c r="BX10" i="92"/>
  <c r="BX112" i="92"/>
  <c r="BX75" i="92"/>
  <c r="BX27" i="92"/>
  <c r="BX66" i="92"/>
  <c r="BX61" i="92"/>
  <c r="BX40" i="92"/>
  <c r="BX56" i="92"/>
  <c r="BX5" i="92"/>
  <c r="BX127" i="92"/>
  <c r="BX6" i="92"/>
  <c r="BX50" i="92"/>
  <c r="BX105" i="92"/>
  <c r="BX16" i="92"/>
  <c r="BX122" i="92"/>
  <c r="BX73" i="92"/>
  <c r="BX32" i="92"/>
  <c r="BX92" i="92"/>
  <c r="BX47" i="92"/>
  <c r="BX53" i="92"/>
  <c r="BX44" i="92"/>
  <c r="BX33" i="92"/>
  <c r="BX79" i="92"/>
  <c r="BX25" i="92"/>
  <c r="BX70" i="92"/>
  <c r="BX28" i="92"/>
  <c r="BX80" i="92"/>
  <c r="BX108" i="92"/>
  <c r="BX124" i="92"/>
  <c r="BX18" i="92"/>
  <c r="BX90" i="92"/>
  <c r="BX113" i="92"/>
  <c r="BX21" i="92"/>
  <c r="BX78" i="92"/>
  <c r="BX19" i="92"/>
  <c r="BX51" i="92"/>
  <c r="BX115" i="92"/>
  <c r="BX11" i="92"/>
  <c r="BX54" i="92"/>
  <c r="BX15" i="92"/>
  <c r="BX17" i="92"/>
  <c r="BX87" i="92"/>
  <c r="BX129" i="92"/>
  <c r="BX77" i="92"/>
  <c r="BX8" i="92"/>
  <c r="BX63" i="92"/>
  <c r="BX65" i="92"/>
  <c r="BX26" i="92"/>
  <c r="BX49" i="92"/>
  <c r="BX88" i="92"/>
  <c r="BX59" i="92"/>
  <c r="BX110" i="92"/>
  <c r="BX98" i="92"/>
  <c r="BX62" i="92"/>
  <c r="BX131" i="92"/>
  <c r="BX12" i="92"/>
  <c r="BX67" i="92"/>
  <c r="BX117" i="92"/>
  <c r="BX83" i="92"/>
  <c r="BR129" i="92"/>
  <c r="BR105" i="92"/>
  <c r="BR33" i="92"/>
  <c r="BR124" i="92"/>
  <c r="BR94" i="92"/>
  <c r="BR12" i="92"/>
  <c r="BR46" i="92"/>
  <c r="BR113" i="92"/>
  <c r="BZ3" i="92"/>
  <c r="BX3" i="92"/>
  <c r="BY3" i="92"/>
  <c r="BM167" i="92" l="1"/>
  <c r="BN167" i="92" s="1"/>
  <c r="BM166" i="92"/>
  <c r="BN166" i="92" s="1"/>
  <c r="BZ173" i="92"/>
  <c r="BZ163" i="92"/>
  <c r="BZ151" i="92"/>
  <c r="BZ137" i="92"/>
  <c r="CC177" i="92"/>
  <c r="CC166" i="92"/>
  <c r="CC155" i="92"/>
  <c r="CC142" i="92"/>
  <c r="CD186" i="92"/>
  <c r="CD168" i="92"/>
  <c r="CD161" i="92"/>
  <c r="CD148" i="92"/>
  <c r="CD136" i="92"/>
  <c r="CE177" i="92"/>
  <c r="CE166" i="92"/>
  <c r="CE155" i="92"/>
  <c r="CE142" i="92"/>
  <c r="BZ181" i="92"/>
  <c r="BZ169" i="92"/>
  <c r="BZ155" i="92"/>
  <c r="BT155" i="92" s="1"/>
  <c r="BU155" i="92" s="1"/>
  <c r="BZ141" i="92"/>
  <c r="CC173" i="92"/>
  <c r="CC165" i="92"/>
  <c r="CC147" i="92"/>
  <c r="CC136" i="92"/>
  <c r="CD178" i="92"/>
  <c r="CD162" i="92"/>
  <c r="CD151" i="92"/>
  <c r="CD135" i="92"/>
  <c r="CE183" i="92"/>
  <c r="CE164" i="92"/>
  <c r="CE150" i="92"/>
  <c r="CE137" i="92"/>
  <c r="BZ183" i="92"/>
  <c r="BT183" i="92" s="1"/>
  <c r="BU183" i="92" s="1"/>
  <c r="BZ166" i="92"/>
  <c r="BZ153" i="92"/>
  <c r="BT153" i="92" s="1"/>
  <c r="BU153" i="92" s="1"/>
  <c r="BZ140" i="92"/>
  <c r="CC175" i="92"/>
  <c r="CC160" i="92"/>
  <c r="CC148" i="92"/>
  <c r="CC134" i="92"/>
  <c r="CD174" i="92"/>
  <c r="CD163" i="92"/>
  <c r="CD152" i="92"/>
  <c r="CD138" i="92"/>
  <c r="CE178" i="92"/>
  <c r="CE162" i="92"/>
  <c r="CE151" i="92"/>
  <c r="CE135" i="92"/>
  <c r="BZ178" i="92"/>
  <c r="BZ160" i="92"/>
  <c r="BZ146" i="92"/>
  <c r="CC185" i="92"/>
  <c r="CC172" i="92"/>
  <c r="CC154" i="92"/>
  <c r="CC137" i="92"/>
  <c r="CD177" i="92"/>
  <c r="CD160" i="92"/>
  <c r="CD144" i="92"/>
  <c r="CE186" i="92"/>
  <c r="CE171" i="92"/>
  <c r="CE153" i="92"/>
  <c r="CE136" i="92"/>
  <c r="BZ175" i="92"/>
  <c r="BZ157" i="92"/>
  <c r="BZ145" i="92"/>
  <c r="BT145" i="92" s="1"/>
  <c r="BU145" i="92" s="1"/>
  <c r="CC179" i="92"/>
  <c r="CC167" i="92"/>
  <c r="CC150" i="92"/>
  <c r="CC138" i="92"/>
  <c r="CD175" i="92"/>
  <c r="CD156" i="92"/>
  <c r="CD143" i="92"/>
  <c r="CE182" i="92"/>
  <c r="CE169" i="92"/>
  <c r="CE147" i="92"/>
  <c r="CE139" i="92"/>
  <c r="BZ177" i="92"/>
  <c r="BZ156" i="92"/>
  <c r="BZ135" i="92"/>
  <c r="BT135" i="92" s="1"/>
  <c r="BU135" i="92" s="1"/>
  <c r="CC170" i="92"/>
  <c r="CC151" i="92"/>
  <c r="CD184" i="92"/>
  <c r="CD167" i="92"/>
  <c r="CD147" i="92"/>
  <c r="CE185" i="92"/>
  <c r="CE163" i="92"/>
  <c r="CE146" i="92"/>
  <c r="BZ174" i="92"/>
  <c r="BZ158" i="92"/>
  <c r="BZ138" i="92"/>
  <c r="CC171" i="92"/>
  <c r="CC152" i="92"/>
  <c r="CD185" i="92"/>
  <c r="CD169" i="92"/>
  <c r="CD149" i="92"/>
  <c r="CE179" i="92"/>
  <c r="CE165" i="92"/>
  <c r="CE144" i="92"/>
  <c r="BZ176" i="92"/>
  <c r="BZ159" i="92"/>
  <c r="BZ136" i="92"/>
  <c r="BT136" i="92" s="1"/>
  <c r="BU136" i="92" s="1"/>
  <c r="CC184" i="92"/>
  <c r="CC169" i="92"/>
  <c r="CC149" i="92"/>
  <c r="CD179" i="92"/>
  <c r="CD166" i="92"/>
  <c r="CD146" i="92"/>
  <c r="CE180" i="92"/>
  <c r="CE160" i="92"/>
  <c r="CE145" i="92"/>
  <c r="BZ172" i="92"/>
  <c r="BZ152" i="92"/>
  <c r="BZ133" i="92"/>
  <c r="CC180" i="92"/>
  <c r="CC163" i="92"/>
  <c r="CC145" i="92"/>
  <c r="CD181" i="92"/>
  <c r="CD157" i="92"/>
  <c r="CD141" i="92"/>
  <c r="CE173" i="92"/>
  <c r="CE156" i="92"/>
  <c r="CE140" i="92"/>
  <c r="BZ184" i="92"/>
  <c r="BZ171" i="92"/>
  <c r="BZ147" i="92"/>
  <c r="CC181" i="92"/>
  <c r="CC161" i="92"/>
  <c r="CC143" i="92"/>
  <c r="CD183" i="92"/>
  <c r="CD158" i="92"/>
  <c r="CD140" i="92"/>
  <c r="BZ185" i="92"/>
  <c r="BZ154" i="92"/>
  <c r="CC178" i="92"/>
  <c r="CC144" i="92"/>
  <c r="CD171" i="92"/>
  <c r="CD139" i="92"/>
  <c r="CE157" i="92"/>
  <c r="CD188" i="92"/>
  <c r="BZ186" i="92"/>
  <c r="BT186" i="92" s="1"/>
  <c r="BU186" i="92" s="1"/>
  <c r="BZ150" i="92"/>
  <c r="BT150" i="92" s="1"/>
  <c r="BU150" i="92" s="1"/>
  <c r="CC174" i="92"/>
  <c r="CC141" i="92"/>
  <c r="CD164" i="92"/>
  <c r="CD133" i="92"/>
  <c r="CE158" i="92"/>
  <c r="CE187" i="92"/>
  <c r="BZ168" i="92"/>
  <c r="BZ143" i="92"/>
  <c r="BT143" i="92" s="1"/>
  <c r="BU143" i="92" s="1"/>
  <c r="CC162" i="92"/>
  <c r="CC133" i="92"/>
  <c r="CD155" i="92"/>
  <c r="CE175" i="92"/>
  <c r="CE148" i="92"/>
  <c r="BZ149" i="92"/>
  <c r="BT149" i="92" s="1"/>
  <c r="BU149" i="92" s="1"/>
  <c r="CC153" i="92"/>
  <c r="CD159" i="92"/>
  <c r="CE168" i="92"/>
  <c r="CE134" i="92"/>
  <c r="BZ144" i="92"/>
  <c r="BT144" i="92" s="1"/>
  <c r="BU144" i="92" s="1"/>
  <c r="CC146" i="92"/>
  <c r="CD154" i="92"/>
  <c r="CE170" i="92"/>
  <c r="CE133" i="92"/>
  <c r="BZ188" i="92"/>
  <c r="BT188" i="92" s="1"/>
  <c r="BU188" i="92" s="1"/>
  <c r="BZ179" i="92"/>
  <c r="BZ142" i="92"/>
  <c r="BT142" i="92" s="1"/>
  <c r="BU142" i="92" s="1"/>
  <c r="CC186" i="92"/>
  <c r="CC140" i="92"/>
  <c r="CD153" i="92"/>
  <c r="CE172" i="92"/>
  <c r="CC187" i="92"/>
  <c r="BZ164" i="92"/>
  <c r="CC164" i="92"/>
  <c r="CD173" i="92"/>
  <c r="CD134" i="92"/>
  <c r="CE152" i="92"/>
  <c r="CC158" i="92"/>
  <c r="CD142" i="92"/>
  <c r="CE141" i="92"/>
  <c r="BZ182" i="92"/>
  <c r="BT182" i="92" s="1"/>
  <c r="BU182" i="92" s="1"/>
  <c r="CC135" i="92"/>
  <c r="CC159" i="92"/>
  <c r="CD137" i="92"/>
  <c r="CE138" i="92"/>
  <c r="CE184" i="92"/>
  <c r="BZ167" i="92"/>
  <c r="CD180" i="92"/>
  <c r="CE176" i="92"/>
  <c r="BZ162" i="92"/>
  <c r="CC182" i="92"/>
  <c r="CD176" i="92"/>
  <c r="CE167" i="92"/>
  <c r="BZ165" i="92"/>
  <c r="BT165" i="92" s="1"/>
  <c r="BU165" i="92" s="1"/>
  <c r="CC183" i="92"/>
  <c r="CD170" i="92"/>
  <c r="CE161" i="92"/>
  <c r="BZ187" i="92"/>
  <c r="CC168" i="92"/>
  <c r="CE154" i="92"/>
  <c r="CC157" i="92"/>
  <c r="CE149" i="92"/>
  <c r="CC156" i="92"/>
  <c r="CE143" i="92"/>
  <c r="BZ161" i="92"/>
  <c r="CD172" i="92"/>
  <c r="CC188" i="92"/>
  <c r="BZ148" i="92"/>
  <c r="BT148" i="92" s="1"/>
  <c r="BU148" i="92" s="1"/>
  <c r="CD165" i="92"/>
  <c r="CD187" i="92"/>
  <c r="BZ134" i="92"/>
  <c r="BT134" i="92" s="1"/>
  <c r="BU134" i="92" s="1"/>
  <c r="CD150" i="92"/>
  <c r="CE188" i="92"/>
  <c r="BZ139" i="92"/>
  <c r="BT139" i="92" s="1"/>
  <c r="BU139" i="92" s="1"/>
  <c r="CD145" i="92"/>
  <c r="CE181" i="92"/>
  <c r="CE174" i="92"/>
  <c r="BZ180" i="92"/>
  <c r="BZ170" i="92"/>
  <c r="CC176" i="92"/>
  <c r="CC139" i="92"/>
  <c r="CD182" i="92"/>
  <c r="CE159" i="92"/>
  <c r="BZ1" i="92"/>
  <c r="BY2" i="92"/>
  <c r="BS2" i="92"/>
  <c r="BU2" i="92"/>
  <c r="BT2" i="92"/>
  <c r="BX2" i="92"/>
  <c r="BV2" i="92"/>
  <c r="BW2" i="92"/>
  <c r="BY170" i="92"/>
  <c r="BM141" i="92"/>
  <c r="BN141" i="92" s="1"/>
  <c r="BY141" i="92"/>
  <c r="BY150" i="92"/>
  <c r="BY153" i="92"/>
  <c r="BY158" i="92"/>
  <c r="BT158" i="92"/>
  <c r="BU158" i="92" s="1"/>
  <c r="BY160" i="92"/>
  <c r="BM168" i="92"/>
  <c r="BN168" i="92" s="1"/>
  <c r="BY168" i="92"/>
  <c r="BT168" i="92"/>
  <c r="BU168" i="92" s="1"/>
  <c r="BT157" i="92"/>
  <c r="BU157" i="92" s="1"/>
  <c r="BY157" i="92"/>
  <c r="BY180" i="92"/>
  <c r="BY137" i="92"/>
  <c r="BY184" i="92"/>
  <c r="BY140" i="92"/>
  <c r="BT140" i="92"/>
  <c r="BU140" i="92" s="1"/>
  <c r="BY169" i="92"/>
  <c r="BT169" i="92"/>
  <c r="BU169" i="92" s="1"/>
  <c r="BY188" i="92"/>
  <c r="BY142" i="92"/>
  <c r="BY186" i="92"/>
  <c r="BY187" i="92"/>
  <c r="BY185" i="92"/>
  <c r="BT185" i="92"/>
  <c r="BU185" i="92" s="1"/>
  <c r="BY145" i="92"/>
  <c r="BY149" i="92"/>
  <c r="BY151" i="92"/>
  <c r="BT171" i="92"/>
  <c r="BU171" i="92" s="1"/>
  <c r="BY171" i="92"/>
  <c r="BY155" i="92"/>
  <c r="BY176" i="92"/>
  <c r="BY138" i="92"/>
  <c r="BY154" i="92"/>
  <c r="BT175" i="92"/>
  <c r="BU175" i="92" s="1"/>
  <c r="BY175" i="92"/>
  <c r="BY135" i="92"/>
  <c r="BY159" i="92"/>
  <c r="BT159" i="92"/>
  <c r="BU159" i="92" s="1"/>
  <c r="BY174" i="92"/>
  <c r="BT174" i="92"/>
  <c r="BU174" i="92" s="1"/>
  <c r="BY143" i="92"/>
  <c r="BY161" i="92"/>
  <c r="BY181" i="92"/>
  <c r="BT181" i="92"/>
  <c r="BU181" i="92" s="1"/>
  <c r="BT164" i="92"/>
  <c r="BU164" i="92" s="1"/>
  <c r="BY164" i="92"/>
  <c r="BT179" i="92"/>
  <c r="BU179" i="92" s="1"/>
  <c r="BY179" i="92"/>
  <c r="BY144" i="92"/>
  <c r="BY133" i="92"/>
  <c r="BT133" i="92"/>
  <c r="BU133" i="92" s="1"/>
  <c r="BY148" i="92"/>
  <c r="BY163" i="92"/>
  <c r="BT177" i="92"/>
  <c r="BU177" i="92" s="1"/>
  <c r="BY177" i="92"/>
  <c r="BY134" i="92"/>
  <c r="BT152" i="92"/>
  <c r="BU152" i="92" s="1"/>
  <c r="BY152" i="92"/>
  <c r="BY162" i="92"/>
  <c r="BT162" i="92"/>
  <c r="BU162" i="92" s="1"/>
  <c r="BY183" i="92"/>
  <c r="BY136" i="92"/>
  <c r="BM147" i="92"/>
  <c r="BN147" i="92" s="1"/>
  <c r="BY147" i="92"/>
  <c r="BT147" i="92"/>
  <c r="BU147" i="92" s="1"/>
  <c r="BY165" i="92"/>
  <c r="BY173" i="92"/>
  <c r="BT173" i="92"/>
  <c r="BU173" i="92" s="1"/>
  <c r="BY178" i="92"/>
  <c r="BY139" i="92"/>
  <c r="BY146" i="92"/>
  <c r="BT156" i="92"/>
  <c r="BU156" i="92" s="1"/>
  <c r="BY156" i="92"/>
  <c r="BY172" i="92"/>
  <c r="BY182" i="92"/>
  <c r="BY42" i="92"/>
  <c r="BY78" i="92"/>
  <c r="BY67" i="92"/>
  <c r="BY96" i="92"/>
  <c r="BM66" i="92"/>
  <c r="BN66" i="92" s="1"/>
  <c r="BY132" i="92"/>
  <c r="BY74" i="92"/>
  <c r="H23" i="95"/>
  <c r="BY39" i="92"/>
  <c r="BY126" i="92"/>
  <c r="BY37" i="92"/>
  <c r="BY13" i="92"/>
  <c r="BM13" i="92"/>
  <c r="BN13" i="92" s="1"/>
  <c r="BM33" i="92"/>
  <c r="BN33" i="92" s="1"/>
  <c r="BY101" i="92"/>
  <c r="BY30" i="92"/>
  <c r="BY89" i="92"/>
  <c r="BM30" i="92"/>
  <c r="BN30" i="92" s="1"/>
  <c r="BM16" i="92"/>
  <c r="BN16" i="92" s="1"/>
  <c r="BM60" i="92"/>
  <c r="BN60" i="92" s="1"/>
  <c r="BM94" i="92"/>
  <c r="BN94" i="92" s="1"/>
  <c r="BM57" i="92"/>
  <c r="BN57" i="92" s="1"/>
  <c r="BM85" i="92"/>
  <c r="BN85" i="92" s="1"/>
  <c r="BM70" i="92"/>
  <c r="BN70" i="92" s="1"/>
  <c r="BM84" i="92"/>
  <c r="BN84" i="92" s="1"/>
  <c r="BM68" i="92"/>
  <c r="BN68" i="92" s="1"/>
  <c r="BM91" i="92"/>
  <c r="BN91" i="92" s="1"/>
  <c r="BM75" i="92"/>
  <c r="BN75" i="92" s="1"/>
  <c r="BM71" i="92"/>
  <c r="BN71" i="92" s="1"/>
  <c r="BM69" i="92"/>
  <c r="BN69" i="92" s="1"/>
  <c r="BY120" i="92"/>
  <c r="BY86" i="92"/>
  <c r="BY31" i="92"/>
  <c r="BM73" i="92"/>
  <c r="BN73" i="92" s="1"/>
  <c r="BM38" i="92"/>
  <c r="BN38" i="92" s="1"/>
  <c r="BM52" i="92"/>
  <c r="BN52" i="92" s="1"/>
  <c r="BM35" i="92"/>
  <c r="BN35" i="92" s="1"/>
  <c r="BM41" i="92"/>
  <c r="BN41" i="92" s="1"/>
  <c r="BM80" i="92"/>
  <c r="BN80" i="92" s="1"/>
  <c r="BM46" i="92"/>
  <c r="BN46" i="92" s="1"/>
  <c r="BM7" i="92"/>
  <c r="BN7" i="92" s="1"/>
  <c r="BY29" i="92"/>
  <c r="BY22" i="92"/>
  <c r="BM27" i="92"/>
  <c r="BN27" i="92" s="1"/>
  <c r="BM25" i="92"/>
  <c r="BN25" i="92" s="1"/>
  <c r="BM19" i="92"/>
  <c r="BN19" i="92" s="1"/>
  <c r="BM59" i="92"/>
  <c r="BN59" i="92" s="1"/>
  <c r="BM113" i="92"/>
  <c r="BN113" i="92" s="1"/>
  <c r="BM56" i="92"/>
  <c r="BN56" i="92" s="1"/>
  <c r="BM111" i="92"/>
  <c r="BN111" i="92" s="1"/>
  <c r="BM128" i="92"/>
  <c r="BN128" i="92" s="1"/>
  <c r="BM67" i="92"/>
  <c r="BN67" i="92" s="1"/>
  <c r="BM55" i="92"/>
  <c r="BN55" i="92" s="1"/>
  <c r="BM24" i="92"/>
  <c r="BN24" i="92" s="1"/>
  <c r="BM96" i="92"/>
  <c r="BN96" i="92" s="1"/>
  <c r="BM109" i="92"/>
  <c r="BN109" i="92" s="1"/>
  <c r="BM95" i="92"/>
  <c r="BN95" i="92" s="1"/>
  <c r="BM47" i="92"/>
  <c r="BN47" i="92" s="1"/>
  <c r="BM105" i="92"/>
  <c r="BN105" i="92" s="1"/>
  <c r="BM49" i="92"/>
  <c r="BN49" i="92" s="1"/>
  <c r="BM117" i="92"/>
  <c r="BN117" i="92" s="1"/>
  <c r="BM36" i="92"/>
  <c r="BN36" i="92" s="1"/>
  <c r="BM131" i="92"/>
  <c r="BN131" i="92" s="1"/>
  <c r="BM54" i="92"/>
  <c r="BN54" i="92" s="1"/>
  <c r="BM53" i="92"/>
  <c r="BN53" i="92" s="1"/>
  <c r="BM108" i="92"/>
  <c r="BN108" i="92" s="1"/>
  <c r="BM37" i="92"/>
  <c r="BN37" i="92" s="1"/>
  <c r="BM20" i="92"/>
  <c r="BN20" i="92" s="1"/>
  <c r="BM40" i="92"/>
  <c r="BN40" i="92" s="1"/>
  <c r="BM116" i="92"/>
  <c r="BN116" i="92" s="1"/>
  <c r="BY123" i="92"/>
  <c r="BM51" i="92"/>
  <c r="BN51" i="92" s="1"/>
  <c r="BM107" i="92"/>
  <c r="BN107" i="92" s="1"/>
  <c r="BM112" i="92"/>
  <c r="BN112" i="92" s="1"/>
  <c r="BM17" i="92"/>
  <c r="BN17" i="92" s="1"/>
  <c r="BM22" i="92"/>
  <c r="BN22" i="92" s="1"/>
  <c r="BM86" i="92"/>
  <c r="BN86" i="92" s="1"/>
  <c r="BM92" i="92"/>
  <c r="BN92" i="92" s="1"/>
  <c r="BM125" i="92"/>
  <c r="BN125" i="92" s="1"/>
  <c r="BM104" i="92"/>
  <c r="BN104" i="92" s="1"/>
  <c r="BM97" i="92"/>
  <c r="BN97" i="92" s="1"/>
  <c r="BY58" i="92"/>
  <c r="BY118" i="92"/>
  <c r="BY119" i="92"/>
  <c r="BM45" i="92"/>
  <c r="BN45" i="92" s="1"/>
  <c r="BM58" i="92"/>
  <c r="BN58" i="92" s="1"/>
  <c r="BM63" i="92"/>
  <c r="BN63" i="92" s="1"/>
  <c r="BM93" i="92"/>
  <c r="BN93" i="92" s="1"/>
  <c r="BM87" i="92"/>
  <c r="BN87" i="92" s="1"/>
  <c r="BM9" i="92"/>
  <c r="BN9" i="92" s="1"/>
  <c r="BM122" i="92"/>
  <c r="BN122" i="92" s="1"/>
  <c r="BM29" i="92"/>
  <c r="BN29" i="92" s="1"/>
  <c r="BM121" i="92"/>
  <c r="BN121" i="92" s="1"/>
  <c r="BM15" i="92"/>
  <c r="BN15" i="92" s="1"/>
  <c r="BM23" i="92"/>
  <c r="BN23" i="92" s="1"/>
  <c r="BM78" i="92"/>
  <c r="BN78" i="92" s="1"/>
  <c r="BM65" i="92"/>
  <c r="BN65" i="92" s="1"/>
  <c r="BM88" i="92"/>
  <c r="BN88" i="92" s="1"/>
  <c r="BM98" i="92"/>
  <c r="BN98" i="92" s="1"/>
  <c r="BM31" i="92"/>
  <c r="BN31" i="92" s="1"/>
  <c r="BM82" i="92"/>
  <c r="BN82" i="92" s="1"/>
  <c r="BM62" i="92"/>
  <c r="BN62" i="92" s="1"/>
  <c r="BM14" i="92"/>
  <c r="BN14" i="92" s="1"/>
  <c r="BM79" i="92"/>
  <c r="BN79" i="92" s="1"/>
  <c r="BM99" i="92"/>
  <c r="BN99" i="92" s="1"/>
  <c r="BM76" i="92"/>
  <c r="BN76" i="92" s="1"/>
  <c r="BM120" i="92"/>
  <c r="BN120" i="92" s="1"/>
  <c r="CC37" i="92"/>
  <c r="CC97" i="92"/>
  <c r="CC27" i="92"/>
  <c r="CC117" i="92"/>
  <c r="CC91" i="92"/>
  <c r="CC56" i="92"/>
  <c r="CC113" i="92"/>
  <c r="CC24" i="92"/>
  <c r="CC96" i="92"/>
  <c r="CC47" i="92"/>
  <c r="CC108" i="92"/>
  <c r="CC114" i="92"/>
  <c r="CC29" i="92"/>
  <c r="CC45" i="92"/>
  <c r="CC131" i="92"/>
  <c r="CC10" i="92"/>
  <c r="CC107" i="92"/>
  <c r="CC22" i="92"/>
  <c r="CC128" i="92"/>
  <c r="CC83" i="92"/>
  <c r="CC95" i="92"/>
  <c r="CC71" i="92"/>
  <c r="CC7" i="92"/>
  <c r="CC86" i="92"/>
  <c r="CC65" i="92"/>
  <c r="CC103" i="92"/>
  <c r="CC125" i="92"/>
  <c r="CC35" i="92"/>
  <c r="CC119" i="92"/>
  <c r="CC126" i="92"/>
  <c r="CC50" i="92"/>
  <c r="CC36" i="92"/>
  <c r="CC31" i="92"/>
  <c r="CC14" i="92"/>
  <c r="CC87" i="92"/>
  <c r="CC92" i="92"/>
  <c r="CC57" i="92"/>
  <c r="CC60" i="92"/>
  <c r="CC122" i="92"/>
  <c r="CC116" i="92"/>
  <c r="CC40" i="92"/>
  <c r="CC19" i="92"/>
  <c r="CC130" i="92"/>
  <c r="CC127" i="92"/>
  <c r="CC72" i="92"/>
  <c r="CC85" i="92"/>
  <c r="CC82" i="92"/>
  <c r="CC73" i="92"/>
  <c r="CC51" i="92"/>
  <c r="CC43" i="92"/>
  <c r="CC79" i="92"/>
  <c r="CC105" i="92"/>
  <c r="CC52" i="92"/>
  <c r="CC132" i="92"/>
  <c r="CC64" i="92"/>
  <c r="CC18" i="92"/>
  <c r="CC102" i="92"/>
  <c r="CC8" i="92"/>
  <c r="CC111" i="92"/>
  <c r="CC41" i="92"/>
  <c r="CC53" i="92"/>
  <c r="CC15" i="92"/>
  <c r="CC66" i="92"/>
  <c r="CC48" i="92"/>
  <c r="CC17" i="92"/>
  <c r="CC46" i="92"/>
  <c r="CC9" i="92"/>
  <c r="CC38" i="92"/>
  <c r="CC124" i="92"/>
  <c r="CC112" i="92"/>
  <c r="CC78" i="92"/>
  <c r="CC109" i="92"/>
  <c r="CC32" i="92"/>
  <c r="CC49" i="92"/>
  <c r="CC81" i="92"/>
  <c r="CC30" i="92"/>
  <c r="CC110" i="92"/>
  <c r="CC101" i="92"/>
  <c r="CC123" i="92"/>
  <c r="CC104" i="92"/>
  <c r="CC88" i="92"/>
  <c r="CC68" i="92"/>
  <c r="CC20" i="92"/>
  <c r="CC76" i="92"/>
  <c r="CC63" i="92"/>
  <c r="CC89" i="92"/>
  <c r="CC77" i="92"/>
  <c r="CC39" i="92"/>
  <c r="CC44" i="92"/>
  <c r="CC59" i="92"/>
  <c r="CC26" i="92"/>
  <c r="CC118" i="92"/>
  <c r="CC58" i="92"/>
  <c r="CC28" i="92"/>
  <c r="CC61" i="92"/>
  <c r="CC25" i="92"/>
  <c r="CC13" i="92"/>
  <c r="CC74" i="92"/>
  <c r="CC90" i="92"/>
  <c r="CC3" i="92"/>
  <c r="CC80" i="92"/>
  <c r="CC12" i="92"/>
  <c r="CC21" i="92"/>
  <c r="CC33" i="92"/>
  <c r="CC55" i="92"/>
  <c r="CC70" i="92"/>
  <c r="CC54" i="92"/>
  <c r="CC75" i="92"/>
  <c r="CC16" i="92"/>
  <c r="CC5" i="92"/>
  <c r="CB3" i="92"/>
  <c r="CA3" i="92"/>
  <c r="CC84" i="92"/>
  <c r="CC94" i="92"/>
  <c r="CC23" i="92"/>
  <c r="CC115" i="92"/>
  <c r="CC93" i="92"/>
  <c r="CC34" i="92"/>
  <c r="CC121" i="92"/>
  <c r="CC129" i="92"/>
  <c r="CC62" i="92"/>
  <c r="CC99" i="92"/>
  <c r="CC6" i="92"/>
  <c r="CC69" i="92"/>
  <c r="CC100" i="92"/>
  <c r="CC11" i="92"/>
  <c r="CC120" i="92"/>
  <c r="CC42" i="92"/>
  <c r="CC98" i="92"/>
  <c r="CC106" i="92"/>
  <c r="CC67" i="92"/>
  <c r="BY97" i="92"/>
  <c r="BY66" i="92"/>
  <c r="BY112" i="92"/>
  <c r="BY60" i="92"/>
  <c r="BY77" i="92"/>
  <c r="BY84" i="92"/>
  <c r="BY33" i="92"/>
  <c r="BY45" i="92"/>
  <c r="BY46" i="92"/>
  <c r="BY108" i="92"/>
  <c r="BY54" i="92"/>
  <c r="BY64" i="92"/>
  <c r="AB23" i="95"/>
  <c r="BY65" i="92"/>
  <c r="BY110" i="92"/>
  <c r="G21" i="95"/>
  <c r="BY109" i="92"/>
  <c r="BY69" i="92"/>
  <c r="BY104" i="92"/>
  <c r="BY9" i="92"/>
  <c r="BY15" i="92"/>
  <c r="BY61" i="92"/>
  <c r="BY25" i="92"/>
  <c r="BY23" i="92"/>
  <c r="BY68" i="92"/>
  <c r="AC23" i="95"/>
  <c r="I21" i="95"/>
  <c r="BY6" i="92"/>
  <c r="BY17" i="92"/>
  <c r="BY85" i="92"/>
  <c r="K22" i="95"/>
  <c r="BY19" i="92"/>
  <c r="BY51" i="92"/>
  <c r="BY124" i="92"/>
  <c r="BY131" i="92"/>
  <c r="BY70" i="92"/>
  <c r="BY28" i="92"/>
  <c r="BY114" i="92"/>
  <c r="BY34" i="92"/>
  <c r="BY20" i="92"/>
  <c r="BY82" i="92"/>
  <c r="BY91" i="92"/>
  <c r="BY116" i="92"/>
  <c r="BY59" i="92"/>
  <c r="BY11" i="92"/>
  <c r="BY117" i="92"/>
  <c r="BY26" i="92"/>
  <c r="BY75" i="92"/>
  <c r="BY55" i="92"/>
  <c r="BY80" i="92"/>
  <c r="BY10" i="92"/>
  <c r="BY113" i="92"/>
  <c r="BY16" i="92"/>
  <c r="BY106" i="92"/>
  <c r="BY40" i="92"/>
  <c r="BY41" i="92"/>
  <c r="BY94" i="92"/>
  <c r="BY88" i="92"/>
  <c r="BY73" i="92"/>
  <c r="BY50" i="92"/>
  <c r="BY72" i="92"/>
  <c r="BY76" i="92"/>
  <c r="BY18" i="92"/>
  <c r="BY128" i="92"/>
  <c r="BY102" i="92"/>
  <c r="BY62" i="92"/>
  <c r="BY24" i="92"/>
  <c r="BY129" i="92"/>
  <c r="J21" i="95"/>
  <c r="BY127" i="92"/>
  <c r="BY95" i="92"/>
  <c r="BY7" i="92"/>
  <c r="BY71" i="92"/>
  <c r="BY5" i="92"/>
  <c r="BY47" i="92"/>
  <c r="BY125" i="92"/>
  <c r="BY38" i="92"/>
  <c r="BY83" i="92"/>
  <c r="BY49" i="92"/>
  <c r="BY115" i="92"/>
  <c r="BY122" i="92"/>
  <c r="BY93" i="92"/>
  <c r="BY90" i="92"/>
  <c r="BY44" i="92"/>
  <c r="BY98" i="92"/>
  <c r="BY87" i="92"/>
  <c r="BY56" i="92"/>
  <c r="BY130" i="92"/>
  <c r="BY36" i="92"/>
  <c r="BY107" i="92"/>
  <c r="BY79" i="92"/>
  <c r="BY52" i="92"/>
  <c r="BY43" i="92"/>
  <c r="BY103" i="92"/>
  <c r="BY100" i="92"/>
  <c r="BY53" i="92"/>
  <c r="BY57" i="92"/>
  <c r="BY32" i="92"/>
  <c r="BY27" i="92"/>
  <c r="BY121" i="92"/>
  <c r="BY111" i="92"/>
  <c r="BY92" i="92"/>
  <c r="BY48" i="92"/>
  <c r="BY99" i="92"/>
  <c r="BY63" i="92"/>
  <c r="BY105" i="92"/>
  <c r="BY14" i="92"/>
  <c r="BZ96" i="92"/>
  <c r="BT96" i="92" s="1"/>
  <c r="BU96" i="92" s="1"/>
  <c r="BZ17" i="92"/>
  <c r="BT17" i="92" s="1"/>
  <c r="BU17" i="92" s="1"/>
  <c r="BZ41" i="92"/>
  <c r="BT41" i="92" s="1"/>
  <c r="BU41" i="92" s="1"/>
  <c r="BZ77" i="92"/>
  <c r="BT77" i="92" s="1"/>
  <c r="BU77" i="92" s="1"/>
  <c r="BZ89" i="92"/>
  <c r="BZ42" i="92"/>
  <c r="BZ62" i="92"/>
  <c r="BZ132" i="92"/>
  <c r="BZ71" i="92"/>
  <c r="BT71" i="92" s="1"/>
  <c r="BU71" i="92" s="1"/>
  <c r="BZ23" i="92"/>
  <c r="BZ47" i="92"/>
  <c r="CD121" i="92"/>
  <c r="CD86" i="92"/>
  <c r="CD21" i="92"/>
  <c r="CD57" i="92"/>
  <c r="CD69" i="92"/>
  <c r="CD87" i="92"/>
  <c r="CD52" i="92"/>
  <c r="CD13" i="92"/>
  <c r="CD109" i="92"/>
  <c r="CD6" i="92"/>
  <c r="CE22" i="92"/>
  <c r="BZ22" i="92"/>
  <c r="BT22" i="92" s="1"/>
  <c r="BU22" i="92" s="1"/>
  <c r="BZ49" i="92"/>
  <c r="BT49" i="92" s="1"/>
  <c r="BU49" i="92" s="1"/>
  <c r="BZ19" i="92"/>
  <c r="BZ59" i="92"/>
  <c r="BT59" i="92" s="1"/>
  <c r="BU59" i="92" s="1"/>
  <c r="BZ37" i="92"/>
  <c r="BT37" i="92" s="1"/>
  <c r="BU37" i="92" s="1"/>
  <c r="BZ119" i="92"/>
  <c r="BZ48" i="92"/>
  <c r="BZ124" i="92"/>
  <c r="BZ34" i="92"/>
  <c r="BT34" i="92" s="1"/>
  <c r="BU34" i="92" s="1"/>
  <c r="BZ51" i="92"/>
  <c r="CD45" i="92"/>
  <c r="CD17" i="92"/>
  <c r="CD19" i="92"/>
  <c r="CD59" i="92"/>
  <c r="CD37" i="92"/>
  <c r="CD119" i="92"/>
  <c r="CD48" i="92"/>
  <c r="CD124" i="92"/>
  <c r="CD34" i="92"/>
  <c r="CD51" i="92"/>
  <c r="CE118" i="92"/>
  <c r="BZ45" i="92"/>
  <c r="BZ68" i="92"/>
  <c r="BZ26" i="92"/>
  <c r="BZ83" i="92"/>
  <c r="BT83" i="92" s="1"/>
  <c r="BU83" i="92" s="1"/>
  <c r="BZ11" i="92"/>
  <c r="BT11" i="92" s="1"/>
  <c r="BU11" i="92" s="1"/>
  <c r="BZ9" i="92"/>
  <c r="BZ18" i="92"/>
  <c r="BT18" i="92" s="1"/>
  <c r="BU18" i="92" s="1"/>
  <c r="BZ14" i="92"/>
  <c r="BZ98" i="92"/>
  <c r="BT98" i="92" s="1"/>
  <c r="BU98" i="92" s="1"/>
  <c r="CD32" i="92"/>
  <c r="CD122" i="92"/>
  <c r="CD43" i="92"/>
  <c r="CD90" i="92"/>
  <c r="CD81" i="92"/>
  <c r="CD108" i="92"/>
  <c r="CD82" i="92"/>
  <c r="CD35" i="92"/>
  <c r="CD56" i="92"/>
  <c r="CE123" i="92"/>
  <c r="BZ16" i="92"/>
  <c r="BT16" i="92" s="1"/>
  <c r="BU16" i="92" s="1"/>
  <c r="BZ125" i="92"/>
  <c r="BZ67" i="92"/>
  <c r="BT67" i="92" s="1"/>
  <c r="BU67" i="92" s="1"/>
  <c r="BZ87" i="92"/>
  <c r="BZ106" i="92"/>
  <c r="BZ105" i="92"/>
  <c r="BZ111" i="92"/>
  <c r="BZ100" i="92"/>
  <c r="BT100" i="92" s="1"/>
  <c r="BU100" i="92" s="1"/>
  <c r="CD107" i="92"/>
  <c r="CD38" i="92"/>
  <c r="CD80" i="92"/>
  <c r="CD33" i="92"/>
  <c r="CD42" i="92"/>
  <c r="CD120" i="92"/>
  <c r="CD10" i="92"/>
  <c r="CD110" i="92"/>
  <c r="CD126" i="92"/>
  <c r="CE120" i="92"/>
  <c r="BZ32" i="92"/>
  <c r="BZ122" i="92"/>
  <c r="BT122" i="92" s="1"/>
  <c r="BU122" i="92" s="1"/>
  <c r="BZ43" i="92"/>
  <c r="BT43" i="92" s="1"/>
  <c r="BU43" i="92" s="1"/>
  <c r="BZ90" i="92"/>
  <c r="BT90" i="92" s="1"/>
  <c r="BU90" i="92" s="1"/>
  <c r="BZ39" i="92"/>
  <c r="BT39" i="92" s="1"/>
  <c r="BU39" i="92" s="1"/>
  <c r="BZ108" i="92"/>
  <c r="BZ82" i="92"/>
  <c r="BZ35" i="92"/>
  <c r="BZ56" i="92"/>
  <c r="CD8" i="92"/>
  <c r="CD84" i="92"/>
  <c r="CD94" i="92"/>
  <c r="CD129" i="92"/>
  <c r="CD30" i="92"/>
  <c r="CD36" i="92"/>
  <c r="CD40" i="92"/>
  <c r="CD72" i="92"/>
  <c r="CD66" i="92"/>
  <c r="CE13" i="92"/>
  <c r="BZ112" i="92"/>
  <c r="BZ46" i="92"/>
  <c r="BZ113" i="92"/>
  <c r="BZ28" i="92"/>
  <c r="BT28" i="92" s="1"/>
  <c r="BU28" i="92" s="1"/>
  <c r="BZ60" i="92"/>
  <c r="BZ131" i="92"/>
  <c r="BZ92" i="92"/>
  <c r="BZ5" i="92"/>
  <c r="CD114" i="92"/>
  <c r="CD101" i="92"/>
  <c r="CD127" i="92"/>
  <c r="CD99" i="92"/>
  <c r="CD93" i="92"/>
  <c r="CD123" i="92"/>
  <c r="CD64" i="92"/>
  <c r="CD76" i="92"/>
  <c r="CD61" i="92"/>
  <c r="CD31" i="92"/>
  <c r="CE101" i="92"/>
  <c r="BZ79" i="92"/>
  <c r="BT79" i="92" s="1"/>
  <c r="BU79" i="92" s="1"/>
  <c r="BZ54" i="92"/>
  <c r="BZ117" i="92"/>
  <c r="BZ52" i="92"/>
  <c r="BT52" i="92" s="1"/>
  <c r="BU52" i="92" s="1"/>
  <c r="BZ109" i="92"/>
  <c r="BZ25" i="92"/>
  <c r="CD104" i="92"/>
  <c r="CD78" i="92"/>
  <c r="CD39" i="92"/>
  <c r="CD115" i="92"/>
  <c r="CD111" i="92"/>
  <c r="CD63" i="92"/>
  <c r="CE119" i="92"/>
  <c r="BZ101" i="92"/>
  <c r="BZ80" i="92"/>
  <c r="BZ93" i="92"/>
  <c r="BZ120" i="92"/>
  <c r="BZ88" i="92"/>
  <c r="BT88" i="92" s="1"/>
  <c r="BU88" i="92" s="1"/>
  <c r="CD85" i="92"/>
  <c r="CD44" i="92"/>
  <c r="CD118" i="92"/>
  <c r="CD55" i="92"/>
  <c r="CD58" i="92"/>
  <c r="CD29" i="92"/>
  <c r="CE58" i="92"/>
  <c r="BZ86" i="92"/>
  <c r="BZ94" i="92"/>
  <c r="BZ74" i="92"/>
  <c r="BZ36" i="92"/>
  <c r="BZ76" i="92"/>
  <c r="BZ126" i="92"/>
  <c r="CD22" i="92"/>
  <c r="CD46" i="92"/>
  <c r="CD103" i="92"/>
  <c r="CD60" i="92"/>
  <c r="CD132" i="92"/>
  <c r="CD53" i="92"/>
  <c r="BZ12" i="92"/>
  <c r="BZ57" i="92"/>
  <c r="BZ15" i="92"/>
  <c r="BZ75" i="92"/>
  <c r="BZ65" i="92"/>
  <c r="BZ66" i="92"/>
  <c r="CD96" i="92"/>
  <c r="CD130" i="92"/>
  <c r="CD83" i="92"/>
  <c r="CD95" i="92"/>
  <c r="CD18" i="92"/>
  <c r="CD23" i="92"/>
  <c r="BZ114" i="92"/>
  <c r="BZ38" i="92"/>
  <c r="BZ99" i="92"/>
  <c r="BZ81" i="92"/>
  <c r="BT81" i="92" s="1"/>
  <c r="BU81" i="92" s="1"/>
  <c r="BZ64" i="92"/>
  <c r="BZ110" i="92"/>
  <c r="BZ31" i="92"/>
  <c r="BT31" i="92" s="1"/>
  <c r="BU31" i="92" s="1"/>
  <c r="CD20" i="92"/>
  <c r="CD116" i="92"/>
  <c r="CD89" i="92"/>
  <c r="CD102" i="92"/>
  <c r="CD91" i="92"/>
  <c r="CD27" i="92"/>
  <c r="BZ104" i="92"/>
  <c r="BT104" i="92" s="1"/>
  <c r="BU104" i="92" s="1"/>
  <c r="BZ84" i="92"/>
  <c r="BZ78" i="92"/>
  <c r="BZ30" i="92"/>
  <c r="BZ13" i="92"/>
  <c r="BT13" i="92" s="1"/>
  <c r="BU13" i="92" s="1"/>
  <c r="BZ72" i="92"/>
  <c r="BT72" i="92" s="1"/>
  <c r="BU72" i="92" s="1"/>
  <c r="BZ63" i="92"/>
  <c r="CD112" i="92"/>
  <c r="CD54" i="92"/>
  <c r="CD28" i="92"/>
  <c r="CD9" i="92"/>
  <c r="CD92" i="92"/>
  <c r="CD25" i="92"/>
  <c r="CE45" i="92"/>
  <c r="BZ8" i="92"/>
  <c r="BZ33" i="92"/>
  <c r="BZ40" i="92"/>
  <c r="BT40" i="92" s="1"/>
  <c r="BU40" i="92" s="1"/>
  <c r="CD73" i="92"/>
  <c r="CD131" i="92"/>
  <c r="CD5" i="92"/>
  <c r="CD3" i="92"/>
  <c r="BZ44" i="92"/>
  <c r="BZ55" i="92"/>
  <c r="BZ6" i="92"/>
  <c r="CD79" i="92"/>
  <c r="CD117" i="92"/>
  <c r="CD88" i="92"/>
  <c r="CE112" i="92"/>
  <c r="BZ127" i="92"/>
  <c r="BT127" i="92" s="1"/>
  <c r="BU127" i="92" s="1"/>
  <c r="BZ24" i="92"/>
  <c r="BT24" i="92" s="1"/>
  <c r="BU24" i="92" s="1"/>
  <c r="BZ128" i="92"/>
  <c r="BT128" i="92" s="1"/>
  <c r="BU128" i="92" s="1"/>
  <c r="BZ116" i="92"/>
  <c r="BT116" i="92" s="1"/>
  <c r="BU116" i="92" s="1"/>
  <c r="BZ102" i="92"/>
  <c r="BZ27" i="92"/>
  <c r="CD68" i="92"/>
  <c r="CD11" i="92"/>
  <c r="CD14" i="92"/>
  <c r="CE30" i="92"/>
  <c r="BZ130" i="92"/>
  <c r="BZ10" i="92"/>
  <c r="CD26" i="92"/>
  <c r="BZ73" i="92"/>
  <c r="BT73" i="92" s="1"/>
  <c r="BU73" i="92" s="1"/>
  <c r="BZ91" i="92"/>
  <c r="CD125" i="92"/>
  <c r="CD105" i="92"/>
  <c r="BZ118" i="92"/>
  <c r="BT118" i="92" s="1"/>
  <c r="BU118" i="92" s="1"/>
  <c r="BZ50" i="92"/>
  <c r="BT50" i="92" s="1"/>
  <c r="BU50" i="92" s="1"/>
  <c r="CD113" i="92"/>
  <c r="CD71" i="92"/>
  <c r="BZ69" i="92"/>
  <c r="CD67" i="92"/>
  <c r="BZ107" i="92"/>
  <c r="BZ123" i="92"/>
  <c r="BT123" i="92" s="1"/>
  <c r="BU123" i="92" s="1"/>
  <c r="CD12" i="92"/>
  <c r="CD24" i="92"/>
  <c r="CD47" i="92"/>
  <c r="CE86" i="92"/>
  <c r="BZ20" i="92"/>
  <c r="CD106" i="92"/>
  <c r="CD70" i="92"/>
  <c r="CE89" i="92"/>
  <c r="BZ103" i="92"/>
  <c r="BZ53" i="92"/>
  <c r="BT53" i="92" s="1"/>
  <c r="BU53" i="92" s="1"/>
  <c r="CD77" i="92"/>
  <c r="CD65" i="92"/>
  <c r="BZ61" i="92"/>
  <c r="CD50" i="92"/>
  <c r="CD49" i="92"/>
  <c r="BZ129" i="92"/>
  <c r="BT129" i="92" s="1"/>
  <c r="BU129" i="92" s="1"/>
  <c r="BZ70" i="92"/>
  <c r="BT70" i="92" s="1"/>
  <c r="BU70" i="92" s="1"/>
  <c r="CD74" i="92"/>
  <c r="CD128" i="92"/>
  <c r="BZ85" i="92"/>
  <c r="BZ7" i="92"/>
  <c r="BZ29" i="92"/>
  <c r="BT29" i="92" s="1"/>
  <c r="BU29" i="92" s="1"/>
  <c r="CD15" i="92"/>
  <c r="CD98" i="92"/>
  <c r="BZ121" i="92"/>
  <c r="BT121" i="92" s="1"/>
  <c r="BU121" i="92" s="1"/>
  <c r="BZ95" i="92"/>
  <c r="BT95" i="92" s="1"/>
  <c r="BU95" i="92" s="1"/>
  <c r="CD16" i="92"/>
  <c r="CD7" i="92"/>
  <c r="CD100" i="92"/>
  <c r="CD75" i="92"/>
  <c r="BZ97" i="92"/>
  <c r="CE37" i="92"/>
  <c r="BZ21" i="92"/>
  <c r="BZ115" i="92"/>
  <c r="BT115" i="92" s="1"/>
  <c r="BU115" i="92" s="1"/>
  <c r="BZ58" i="92"/>
  <c r="BT58" i="92" s="1"/>
  <c r="BU58" i="92" s="1"/>
  <c r="CD97" i="92"/>
  <c r="CD41" i="92"/>
  <c r="CD62" i="92"/>
  <c r="CE92" i="92"/>
  <c r="CE72" i="92"/>
  <c r="CE117" i="92"/>
  <c r="CE77" i="92"/>
  <c r="CE105" i="92"/>
  <c r="CE100" i="92"/>
  <c r="CE17" i="92"/>
  <c r="CE114" i="92"/>
  <c r="CE11" i="92"/>
  <c r="CE68" i="92"/>
  <c r="CE43" i="92"/>
  <c r="CE84" i="92"/>
  <c r="CE80" i="92"/>
  <c r="CE14" i="92"/>
  <c r="CE109" i="92"/>
  <c r="CE36" i="92"/>
  <c r="CE62" i="92"/>
  <c r="CE83" i="92"/>
  <c r="CE33" i="92"/>
  <c r="CE121" i="92"/>
  <c r="CE35" i="92"/>
  <c r="CE6" i="92"/>
  <c r="CE79" i="92"/>
  <c r="CE69" i="92"/>
  <c r="CE130" i="92"/>
  <c r="CE132" i="92"/>
  <c r="CE124" i="92"/>
  <c r="CE47" i="92"/>
  <c r="CE40" i="92"/>
  <c r="CE97" i="92"/>
  <c r="CE52" i="92"/>
  <c r="CE53" i="92"/>
  <c r="CE18" i="92"/>
  <c r="CE61" i="92"/>
  <c r="CE78" i="92"/>
  <c r="CE126" i="92"/>
  <c r="CE10" i="92"/>
  <c r="CE5" i="92"/>
  <c r="CE81" i="92"/>
  <c r="CE66" i="92"/>
  <c r="CE9" i="92"/>
  <c r="CE131" i="92"/>
  <c r="CE60" i="92"/>
  <c r="CE103" i="92"/>
  <c r="CE104" i="92"/>
  <c r="CE20" i="92"/>
  <c r="CE90" i="92"/>
  <c r="CE70" i="92"/>
  <c r="CE106" i="92"/>
  <c r="CE32" i="92"/>
  <c r="CE95" i="92"/>
  <c r="CE28" i="92"/>
  <c r="CE87" i="92"/>
  <c r="CE38" i="92"/>
  <c r="CE49" i="92"/>
  <c r="CE25" i="92"/>
  <c r="CE39" i="92"/>
  <c r="CE48" i="92"/>
  <c r="CE111" i="92"/>
  <c r="CE54" i="92"/>
  <c r="CE15" i="92"/>
  <c r="CE94" i="92"/>
  <c r="CE19" i="92"/>
  <c r="CE75" i="92"/>
  <c r="CE21" i="92"/>
  <c r="CE85" i="92"/>
  <c r="CE73" i="92"/>
  <c r="CE108" i="92"/>
  <c r="CE42" i="92"/>
  <c r="CE63" i="92"/>
  <c r="CE44" i="92"/>
  <c r="CE128" i="92"/>
  <c r="CE115" i="92"/>
  <c r="CE7" i="92"/>
  <c r="CE107" i="92"/>
  <c r="CE23" i="92"/>
  <c r="CE110" i="92"/>
  <c r="CE88" i="92"/>
  <c r="CE12" i="92"/>
  <c r="CE67" i="92"/>
  <c r="CE31" i="92"/>
  <c r="CE16" i="92"/>
  <c r="CE127" i="92"/>
  <c r="CE26" i="92"/>
  <c r="CE113" i="92"/>
  <c r="CE102" i="92"/>
  <c r="CE96" i="92"/>
  <c r="CE41" i="92"/>
  <c r="CE55" i="92"/>
  <c r="CE99" i="92"/>
  <c r="CE93" i="92"/>
  <c r="CE71" i="92"/>
  <c r="CE8" i="92"/>
  <c r="CE64" i="92"/>
  <c r="CE76" i="92"/>
  <c r="CE129" i="92"/>
  <c r="CE27" i="92"/>
  <c r="CE34" i="92"/>
  <c r="CE59" i="92"/>
  <c r="CE29" i="92"/>
  <c r="CE56" i="92"/>
  <c r="CE122" i="92"/>
  <c r="CE65" i="92"/>
  <c r="CE57" i="92"/>
  <c r="CE46" i="92"/>
  <c r="CE51" i="92"/>
  <c r="CE24" i="92"/>
  <c r="CE125" i="92"/>
  <c r="CE116" i="92"/>
  <c r="CE98" i="92"/>
  <c r="CE74" i="92"/>
  <c r="CE50" i="92"/>
  <c r="CE91" i="92"/>
  <c r="CE82" i="92"/>
  <c r="BY12" i="92"/>
  <c r="BY8" i="92"/>
  <c r="BY21" i="92"/>
  <c r="BY35" i="92"/>
  <c r="BY81" i="92"/>
  <c r="CG3" i="92"/>
  <c r="CF3" i="92"/>
  <c r="CE3" i="92"/>
  <c r="CF137" i="92" l="1"/>
  <c r="BT141" i="92"/>
  <c r="BU141" i="92" s="1"/>
  <c r="BT170" i="92"/>
  <c r="BU170" i="92" s="1"/>
  <c r="BT184" i="92"/>
  <c r="BU184" i="92" s="1"/>
  <c r="BT172" i="92"/>
  <c r="BU172" i="92" s="1"/>
  <c r="BT176" i="92"/>
  <c r="BU176" i="92" s="1"/>
  <c r="CF146" i="92"/>
  <c r="BT146" i="92"/>
  <c r="BU146" i="92" s="1"/>
  <c r="BT137" i="92"/>
  <c r="BU137" i="92" s="1"/>
  <c r="BT180" i="92"/>
  <c r="BU180" i="92" s="1"/>
  <c r="CF160" i="92"/>
  <c r="CF151" i="92"/>
  <c r="BT151" i="92"/>
  <c r="BU151" i="92" s="1"/>
  <c r="BT154" i="92"/>
  <c r="BU154" i="92" s="1"/>
  <c r="BT160" i="92"/>
  <c r="BU160" i="92" s="1"/>
  <c r="CF173" i="92"/>
  <c r="BT163" i="92"/>
  <c r="BU163" i="92" s="1"/>
  <c r="CF149" i="92"/>
  <c r="BT138" i="92"/>
  <c r="BU138" i="92" s="1"/>
  <c r="BT187" i="92"/>
  <c r="BU187" i="92" s="1"/>
  <c r="CG183" i="92"/>
  <c r="CG185" i="92"/>
  <c r="CA185" i="92" s="1"/>
  <c r="CB185" i="92" s="1"/>
  <c r="CG168" i="92"/>
  <c r="CA168" i="92" s="1"/>
  <c r="CB168" i="92" s="1"/>
  <c r="CG161" i="92"/>
  <c r="CA161" i="92" s="1"/>
  <c r="CB161" i="92" s="1"/>
  <c r="CG148" i="92"/>
  <c r="CG136" i="92"/>
  <c r="CJ185" i="92"/>
  <c r="CJ176" i="92"/>
  <c r="CJ160" i="92"/>
  <c r="CG186" i="92"/>
  <c r="CG170" i="92"/>
  <c r="CG157" i="92"/>
  <c r="CG149" i="92"/>
  <c r="CA149" i="92" s="1"/>
  <c r="CB149" i="92" s="1"/>
  <c r="CG134" i="92"/>
  <c r="CA134" i="92" s="1"/>
  <c r="CB134" i="92" s="1"/>
  <c r="CJ186" i="92"/>
  <c r="CJ168" i="92"/>
  <c r="CJ161" i="92"/>
  <c r="CJ148" i="92"/>
  <c r="CJ136" i="92"/>
  <c r="CK177" i="92"/>
  <c r="CK166" i="92"/>
  <c r="CK155" i="92"/>
  <c r="CK142" i="92"/>
  <c r="CL186" i="92"/>
  <c r="CL168" i="92"/>
  <c r="CL161" i="92"/>
  <c r="CL148" i="92"/>
  <c r="CL136" i="92"/>
  <c r="CG173" i="92"/>
  <c r="CG160" i="92"/>
  <c r="CG144" i="92"/>
  <c r="CJ175" i="92"/>
  <c r="CJ156" i="92"/>
  <c r="CJ144" i="92"/>
  <c r="CK184" i="92"/>
  <c r="CK176" i="92"/>
  <c r="CK161" i="92"/>
  <c r="CK149" i="92"/>
  <c r="CK139" i="92"/>
  <c r="CL173" i="92"/>
  <c r="CL165" i="92"/>
  <c r="CL147" i="92"/>
  <c r="CL134" i="92"/>
  <c r="CG176" i="92"/>
  <c r="CG158" i="92"/>
  <c r="CG143" i="92"/>
  <c r="CJ184" i="92"/>
  <c r="CJ172" i="92"/>
  <c r="CJ159" i="92"/>
  <c r="CJ143" i="92"/>
  <c r="CK186" i="92"/>
  <c r="CK170" i="92"/>
  <c r="CK156" i="92"/>
  <c r="CK144" i="92"/>
  <c r="CL184" i="92"/>
  <c r="CL176" i="92"/>
  <c r="CL157" i="92"/>
  <c r="CL146" i="92"/>
  <c r="CL133" i="92"/>
  <c r="CG174" i="92"/>
  <c r="CA174" i="92" s="1"/>
  <c r="CB174" i="92" s="1"/>
  <c r="CG159" i="92"/>
  <c r="CG140" i="92"/>
  <c r="CM140" i="92" s="1"/>
  <c r="CJ173" i="92"/>
  <c r="CJ154" i="92"/>
  <c r="CJ140" i="92"/>
  <c r="CK183" i="92"/>
  <c r="CK163" i="92"/>
  <c r="CK148" i="92"/>
  <c r="CL185" i="92"/>
  <c r="CL171" i="92"/>
  <c r="CL155" i="92"/>
  <c r="CL137" i="92"/>
  <c r="CJ187" i="92"/>
  <c r="CG175" i="92"/>
  <c r="CG154" i="92"/>
  <c r="CA154" i="92" s="1"/>
  <c r="CB154" i="92" s="1"/>
  <c r="CG137" i="92"/>
  <c r="CA137" i="92" s="1"/>
  <c r="CB137" i="92" s="1"/>
  <c r="CJ170" i="92"/>
  <c r="CJ155" i="92"/>
  <c r="CJ137" i="92"/>
  <c r="CK178" i="92"/>
  <c r="CK165" i="92"/>
  <c r="CK146" i="92"/>
  <c r="CL179" i="92"/>
  <c r="CL167" i="92"/>
  <c r="CL153" i="92"/>
  <c r="CL135" i="92"/>
  <c r="CG172" i="92"/>
  <c r="CA172" i="92" s="1"/>
  <c r="CB172" i="92" s="1"/>
  <c r="CG155" i="92"/>
  <c r="CM155" i="92" s="1"/>
  <c r="CG135" i="92"/>
  <c r="CJ171" i="92"/>
  <c r="CJ153" i="92"/>
  <c r="CJ135" i="92"/>
  <c r="CK174" i="92"/>
  <c r="CK160" i="92"/>
  <c r="CK145" i="92"/>
  <c r="CL182" i="92"/>
  <c r="CL169" i="92"/>
  <c r="CL150" i="92"/>
  <c r="CL138" i="92"/>
  <c r="CG184" i="92"/>
  <c r="CA184" i="92" s="1"/>
  <c r="CB184" i="92" s="1"/>
  <c r="CG169" i="92"/>
  <c r="CG151" i="92"/>
  <c r="CG133" i="92"/>
  <c r="CJ182" i="92"/>
  <c r="CJ166" i="92"/>
  <c r="CJ152" i="92"/>
  <c r="CJ139" i="92"/>
  <c r="CK168" i="92"/>
  <c r="CK159" i="92"/>
  <c r="CK140" i="92"/>
  <c r="CL183" i="92"/>
  <c r="CL162" i="92"/>
  <c r="CL149" i="92"/>
  <c r="CG163" i="92"/>
  <c r="CG139" i="92"/>
  <c r="CA139" i="92" s="1"/>
  <c r="CB139" i="92" s="1"/>
  <c r="CJ169" i="92"/>
  <c r="CJ145" i="92"/>
  <c r="CK175" i="92"/>
  <c r="CK151" i="92"/>
  <c r="CL181" i="92"/>
  <c r="CL158" i="92"/>
  <c r="CG179" i="92"/>
  <c r="CG165" i="92"/>
  <c r="CA165" i="92" s="1"/>
  <c r="CB165" i="92" s="1"/>
  <c r="CJ164" i="92"/>
  <c r="CJ142" i="92"/>
  <c r="CK172" i="92"/>
  <c r="CK152" i="92"/>
  <c r="CL177" i="92"/>
  <c r="CL159" i="92"/>
  <c r="CG177" i="92"/>
  <c r="CA177" i="92" s="1"/>
  <c r="CB177" i="92" s="1"/>
  <c r="CG152" i="92"/>
  <c r="CA152" i="92" s="1"/>
  <c r="CB152" i="92" s="1"/>
  <c r="CJ180" i="92"/>
  <c r="CJ157" i="92"/>
  <c r="CJ133" i="92"/>
  <c r="CK164" i="92"/>
  <c r="CK137" i="92"/>
  <c r="CL170" i="92"/>
  <c r="CL144" i="92"/>
  <c r="CM144" i="92" s="1"/>
  <c r="CG180" i="92"/>
  <c r="CG146" i="92"/>
  <c r="CA146" i="92" s="1"/>
  <c r="CB146" i="92" s="1"/>
  <c r="CJ163" i="92"/>
  <c r="CK179" i="92"/>
  <c r="CK153" i="92"/>
  <c r="CL174" i="92"/>
  <c r="CL143" i="92"/>
  <c r="CG181" i="92"/>
  <c r="CG145" i="92"/>
  <c r="CA145" i="92" s="1"/>
  <c r="CB145" i="92" s="1"/>
  <c r="CJ165" i="92"/>
  <c r="CK182" i="92"/>
  <c r="CK150" i="92"/>
  <c r="CL175" i="92"/>
  <c r="CL142" i="92"/>
  <c r="CG178" i="92"/>
  <c r="CG142" i="92"/>
  <c r="CJ158" i="92"/>
  <c r="CK180" i="92"/>
  <c r="CK147" i="92"/>
  <c r="CL172" i="92"/>
  <c r="CL141" i="92"/>
  <c r="CG162" i="92"/>
  <c r="CA162" i="92" s="1"/>
  <c r="CB162" i="92" s="1"/>
  <c r="CJ177" i="92"/>
  <c r="CJ146" i="92"/>
  <c r="CK169" i="92"/>
  <c r="CK136" i="92"/>
  <c r="CL156" i="92"/>
  <c r="CG166" i="92"/>
  <c r="CJ147" i="92"/>
  <c r="CK158" i="92"/>
  <c r="CL163" i="92"/>
  <c r="CG188" i="92"/>
  <c r="CA188" i="92" s="1"/>
  <c r="CB188" i="92" s="1"/>
  <c r="CJ188" i="92"/>
  <c r="CK143" i="92"/>
  <c r="CK187" i="92"/>
  <c r="CG164" i="92"/>
  <c r="CA164" i="92" s="1"/>
  <c r="CB164" i="92" s="1"/>
  <c r="CJ149" i="92"/>
  <c r="CK154" i="92"/>
  <c r="CL160" i="92"/>
  <c r="CG156" i="92"/>
  <c r="CA156" i="92" s="1"/>
  <c r="CB156" i="92" s="1"/>
  <c r="CJ141" i="92"/>
  <c r="CL154" i="92"/>
  <c r="CG147" i="92"/>
  <c r="CA147" i="92" s="1"/>
  <c r="CB147" i="92" s="1"/>
  <c r="CJ183" i="92"/>
  <c r="CK185" i="92"/>
  <c r="CK138" i="92"/>
  <c r="CL145" i="92"/>
  <c r="CG141" i="92"/>
  <c r="CA141" i="92" s="1"/>
  <c r="CB141" i="92" s="1"/>
  <c r="CJ178" i="92"/>
  <c r="CK181" i="92"/>
  <c r="CK134" i="92"/>
  <c r="CL140" i="92"/>
  <c r="CG138" i="92"/>
  <c r="CA138" i="92" s="1"/>
  <c r="CB138" i="92" s="1"/>
  <c r="CJ174" i="92"/>
  <c r="CK173" i="92"/>
  <c r="CK133" i="92"/>
  <c r="CL139" i="92"/>
  <c r="CK167" i="92"/>
  <c r="CK162" i="92"/>
  <c r="CK157" i="92"/>
  <c r="CJ167" i="92"/>
  <c r="CL180" i="92"/>
  <c r="CG153" i="92"/>
  <c r="CM153" i="92" s="1"/>
  <c r="CK188" i="92"/>
  <c r="CG182" i="92"/>
  <c r="CA182" i="92" s="1"/>
  <c r="CB182" i="92" s="1"/>
  <c r="CJ162" i="92"/>
  <c r="CL178" i="92"/>
  <c r="CG187" i="92"/>
  <c r="CL151" i="92"/>
  <c r="CG171" i="92"/>
  <c r="CA171" i="92" s="1"/>
  <c r="CB171" i="92" s="1"/>
  <c r="CJ150" i="92"/>
  <c r="CL166" i="92"/>
  <c r="CG167" i="92"/>
  <c r="CA167" i="92" s="1"/>
  <c r="CB167" i="92" s="1"/>
  <c r="CJ151" i="92"/>
  <c r="CL164" i="92"/>
  <c r="CJ138" i="92"/>
  <c r="CG150" i="92"/>
  <c r="CA150" i="92" s="1"/>
  <c r="CB150" i="92" s="1"/>
  <c r="CJ134" i="92"/>
  <c r="CL152" i="92"/>
  <c r="CJ179" i="92"/>
  <c r="CL188" i="92"/>
  <c r="CK141" i="92"/>
  <c r="CJ181" i="92"/>
  <c r="CK171" i="92"/>
  <c r="CK135" i="92"/>
  <c r="CL187" i="92"/>
  <c r="CG1" i="92"/>
  <c r="CF2" i="92"/>
  <c r="BZ2" i="92"/>
  <c r="CA2" i="92"/>
  <c r="CB2" i="92"/>
  <c r="CE2" i="92"/>
  <c r="CC2" i="92"/>
  <c r="CD2" i="92"/>
  <c r="CA170" i="92"/>
  <c r="CB170" i="92" s="1"/>
  <c r="CF170" i="92"/>
  <c r="CA180" i="92"/>
  <c r="CB180" i="92" s="1"/>
  <c r="CF180" i="92"/>
  <c r="CF139" i="92"/>
  <c r="CF134" i="92"/>
  <c r="CF148" i="92"/>
  <c r="CA148" i="92"/>
  <c r="CB148" i="92" s="1"/>
  <c r="BT161" i="92"/>
  <c r="BU161" i="92" s="1"/>
  <c r="CF161" i="92"/>
  <c r="CF187" i="92"/>
  <c r="CF165" i="92"/>
  <c r="CF162" i="92"/>
  <c r="BT167" i="92"/>
  <c r="BU167" i="92" s="1"/>
  <c r="CF167" i="92"/>
  <c r="CF182" i="92"/>
  <c r="CF164" i="92"/>
  <c r="CA142" i="92"/>
  <c r="CB142" i="92" s="1"/>
  <c r="CF142" i="92"/>
  <c r="CF179" i="92"/>
  <c r="CF188" i="92"/>
  <c r="CA144" i="92"/>
  <c r="CB144" i="92" s="1"/>
  <c r="CF144" i="92"/>
  <c r="CF143" i="92"/>
  <c r="CA143" i="92"/>
  <c r="CB143" i="92" s="1"/>
  <c r="CF168" i="92"/>
  <c r="CF150" i="92"/>
  <c r="CA186" i="92"/>
  <c r="CB186" i="92" s="1"/>
  <c r="CF186" i="92"/>
  <c r="CF154" i="92"/>
  <c r="CF185" i="92"/>
  <c r="CF147" i="92"/>
  <c r="CF171" i="92"/>
  <c r="CF184" i="92"/>
  <c r="CF133" i="92"/>
  <c r="CA133" i="92"/>
  <c r="CB133" i="92" s="1"/>
  <c r="CF152" i="92"/>
  <c r="CF172" i="92"/>
  <c r="CF136" i="92"/>
  <c r="CA136" i="92"/>
  <c r="CB136" i="92" s="1"/>
  <c r="CA159" i="92"/>
  <c r="CB159" i="92" s="1"/>
  <c r="CF159" i="92"/>
  <c r="CF176" i="92"/>
  <c r="CF138" i="92"/>
  <c r="CF158" i="92"/>
  <c r="CF174" i="92"/>
  <c r="CF135" i="92"/>
  <c r="CA135" i="92"/>
  <c r="CB135" i="92" s="1"/>
  <c r="CF156" i="92"/>
  <c r="CF177" i="92"/>
  <c r="CF145" i="92"/>
  <c r="CA157" i="92"/>
  <c r="CB157" i="92" s="1"/>
  <c r="CF157" i="92"/>
  <c r="CF175" i="92"/>
  <c r="BT178" i="92"/>
  <c r="BU178" i="92" s="1"/>
  <c r="CF178" i="92"/>
  <c r="CF140" i="92"/>
  <c r="CF153" i="92"/>
  <c r="BT166" i="92"/>
  <c r="BU166" i="92" s="1"/>
  <c r="CF166" i="92"/>
  <c r="CF183" i="92"/>
  <c r="CA183" i="92"/>
  <c r="CB183" i="92" s="1"/>
  <c r="CF141" i="92"/>
  <c r="CF155" i="92"/>
  <c r="CF169" i="92"/>
  <c r="CA169" i="92"/>
  <c r="CB169" i="92" s="1"/>
  <c r="CF181" i="92"/>
  <c r="CF163" i="92"/>
  <c r="CA163" i="92"/>
  <c r="CB163" i="92" s="1"/>
  <c r="CF122" i="92"/>
  <c r="BT66" i="92"/>
  <c r="BU66" i="92" s="1"/>
  <c r="BT92" i="92"/>
  <c r="BU92" i="92" s="1"/>
  <c r="BT120" i="92"/>
  <c r="BU120" i="92" s="1"/>
  <c r="BT35" i="92"/>
  <c r="BU35" i="92" s="1"/>
  <c r="H22" i="95"/>
  <c r="CF127" i="92"/>
  <c r="CF104" i="92"/>
  <c r="CF17" i="92"/>
  <c r="CF30" i="92"/>
  <c r="BT64" i="92"/>
  <c r="BU64" i="92" s="1"/>
  <c r="BT60" i="92"/>
  <c r="BU60" i="92" s="1"/>
  <c r="CF45" i="92"/>
  <c r="BT65" i="92"/>
  <c r="BU65" i="92" s="1"/>
  <c r="BT51" i="92"/>
  <c r="BU51" i="92" s="1"/>
  <c r="BT99" i="92"/>
  <c r="BU99" i="92" s="1"/>
  <c r="BT84" i="92"/>
  <c r="BU84" i="92" s="1"/>
  <c r="BT38" i="92"/>
  <c r="BU38" i="92" s="1"/>
  <c r="CF120" i="92"/>
  <c r="BT10" i="92"/>
  <c r="BU10" i="92" s="1"/>
  <c r="BT114" i="92"/>
  <c r="BU114" i="92" s="1"/>
  <c r="BT45" i="92"/>
  <c r="BU45" i="92" s="1"/>
  <c r="BT30" i="92"/>
  <c r="BU30" i="92" s="1"/>
  <c r="BT46" i="92"/>
  <c r="BU46" i="92" s="1"/>
  <c r="BT111" i="92"/>
  <c r="BU111" i="92" s="1"/>
  <c r="CF118" i="92"/>
  <c r="CF86" i="92"/>
  <c r="CF112" i="92"/>
  <c r="BT76" i="92"/>
  <c r="BU76" i="92" s="1"/>
  <c r="BT103" i="92"/>
  <c r="BU103" i="92" s="1"/>
  <c r="BT109" i="92"/>
  <c r="BU109" i="92" s="1"/>
  <c r="BT86" i="92"/>
  <c r="BU86" i="92" s="1"/>
  <c r="BT25" i="92"/>
  <c r="BU25" i="92" s="1"/>
  <c r="BT94" i="92"/>
  <c r="BU94" i="92" s="1"/>
  <c r="CF119" i="92"/>
  <c r="BT124" i="92"/>
  <c r="BU124" i="92" s="1"/>
  <c r="BT62" i="92"/>
  <c r="BU62" i="92" s="1"/>
  <c r="BT97" i="92"/>
  <c r="BU97" i="92" s="1"/>
  <c r="BT85" i="92"/>
  <c r="BU85" i="92" s="1"/>
  <c r="BT21" i="92"/>
  <c r="BU21" i="92" s="1"/>
  <c r="BT131" i="92"/>
  <c r="BU131" i="92" s="1"/>
  <c r="CF101" i="92"/>
  <c r="CF37" i="92"/>
  <c r="CF89" i="92"/>
  <c r="BT42" i="92"/>
  <c r="BU42" i="92" s="1"/>
  <c r="BT23" i="92"/>
  <c r="BU23" i="92" s="1"/>
  <c r="BT48" i="92"/>
  <c r="BU48" i="92" s="1"/>
  <c r="BT130" i="92"/>
  <c r="BU130" i="92" s="1"/>
  <c r="BT108" i="92"/>
  <c r="BU108" i="92" s="1"/>
  <c r="BT15" i="92"/>
  <c r="BU15" i="92" s="1"/>
  <c r="BT87" i="92"/>
  <c r="BU87" i="92" s="1"/>
  <c r="BT68" i="92"/>
  <c r="BU68" i="92" s="1"/>
  <c r="BT102" i="92"/>
  <c r="BU102" i="92" s="1"/>
  <c r="BT126" i="92"/>
  <c r="BU126" i="92" s="1"/>
  <c r="BT12" i="92"/>
  <c r="BU12" i="92" s="1"/>
  <c r="BT61" i="92"/>
  <c r="BU61" i="92" s="1"/>
  <c r="BT27" i="92"/>
  <c r="BU27" i="92" s="1"/>
  <c r="BT14" i="92"/>
  <c r="BU14" i="92" s="1"/>
  <c r="BT93" i="92"/>
  <c r="BU93" i="92" s="1"/>
  <c r="BT117" i="92"/>
  <c r="BU117" i="92" s="1"/>
  <c r="BT56" i="92"/>
  <c r="BU56" i="92" s="1"/>
  <c r="BT80" i="92"/>
  <c r="BU80" i="92" s="1"/>
  <c r="BT91" i="92"/>
  <c r="BU91" i="92" s="1"/>
  <c r="BT119" i="92"/>
  <c r="BU119" i="92" s="1"/>
  <c r="BT132" i="92"/>
  <c r="BU132" i="92" s="1"/>
  <c r="BT74" i="92"/>
  <c r="BU74" i="92" s="1"/>
  <c r="BT63" i="92"/>
  <c r="BU63" i="92" s="1"/>
  <c r="BT8" i="92"/>
  <c r="BU8" i="92" s="1"/>
  <c r="BT32" i="92"/>
  <c r="BU32" i="92" s="1"/>
  <c r="BT20" i="92"/>
  <c r="BU20" i="92" s="1"/>
  <c r="BT101" i="92"/>
  <c r="BU101" i="92" s="1"/>
  <c r="BT75" i="92"/>
  <c r="BU75" i="92" s="1"/>
  <c r="BT33" i="92"/>
  <c r="BU33" i="92" s="1"/>
  <c r="BT54" i="92"/>
  <c r="BU54" i="92" s="1"/>
  <c r="CF123" i="92"/>
  <c r="BT26" i="92"/>
  <c r="BU26" i="92" s="1"/>
  <c r="BT106" i="92"/>
  <c r="BU106" i="92" s="1"/>
  <c r="BT9" i="92"/>
  <c r="BU9" i="92" s="1"/>
  <c r="BT55" i="92"/>
  <c r="BU55" i="92" s="1"/>
  <c r="BT105" i="92"/>
  <c r="BU105" i="92" s="1"/>
  <c r="BT78" i="92"/>
  <c r="BU78" i="92" s="1"/>
  <c r="BT112" i="92"/>
  <c r="BU112" i="92" s="1"/>
  <c r="BT36" i="92"/>
  <c r="BU36" i="92" s="1"/>
  <c r="BT82" i="92"/>
  <c r="BU82" i="92" s="1"/>
  <c r="BT69" i="92"/>
  <c r="BU69" i="92" s="1"/>
  <c r="CF58" i="92"/>
  <c r="CF13" i="92"/>
  <c r="CF22" i="92"/>
  <c r="BT6" i="92"/>
  <c r="BU6" i="92" s="1"/>
  <c r="BT5" i="92"/>
  <c r="BU5" i="92" s="1"/>
  <c r="BT110" i="92"/>
  <c r="BU110" i="92" s="1"/>
  <c r="BT44" i="92"/>
  <c r="BU44" i="92" s="1"/>
  <c r="BT47" i="92"/>
  <c r="BU47" i="92" s="1"/>
  <c r="BT113" i="92"/>
  <c r="BU113" i="92" s="1"/>
  <c r="BT125" i="92"/>
  <c r="BU125" i="92" s="1"/>
  <c r="BT89" i="92"/>
  <c r="BU89" i="92" s="1"/>
  <c r="BT19" i="92"/>
  <c r="BU19" i="92" s="1"/>
  <c r="BT57" i="92"/>
  <c r="BU57" i="92" s="1"/>
  <c r="BT7" i="92"/>
  <c r="BU7" i="92" s="1"/>
  <c r="BT107" i="92"/>
  <c r="BU107" i="92" s="1"/>
  <c r="CJ31" i="92"/>
  <c r="CJ26" i="92"/>
  <c r="CJ112" i="92"/>
  <c r="CJ20" i="92"/>
  <c r="CJ61" i="92"/>
  <c r="CJ79" i="92"/>
  <c r="CJ87" i="92"/>
  <c r="CJ23" i="92"/>
  <c r="CJ118" i="92"/>
  <c r="CJ75" i="92"/>
  <c r="CJ66" i="92"/>
  <c r="CJ52" i="92"/>
  <c r="CJ57" i="92"/>
  <c r="CJ48" i="92"/>
  <c r="CJ123" i="92"/>
  <c r="CJ54" i="92"/>
  <c r="CJ98" i="92"/>
  <c r="CJ122" i="92"/>
  <c r="CJ111" i="92"/>
  <c r="CJ13" i="92"/>
  <c r="CJ41" i="92"/>
  <c r="CJ12" i="92"/>
  <c r="CJ40" i="92"/>
  <c r="CJ81" i="92"/>
  <c r="CJ59" i="92"/>
  <c r="CJ21" i="92"/>
  <c r="CJ110" i="92"/>
  <c r="CJ11" i="92"/>
  <c r="CJ130" i="92"/>
  <c r="CJ90" i="92"/>
  <c r="CJ15" i="92"/>
  <c r="CJ3" i="92"/>
  <c r="CJ37" i="92"/>
  <c r="CJ18" i="92"/>
  <c r="CJ113" i="92"/>
  <c r="CJ69" i="92"/>
  <c r="CJ29" i="92"/>
  <c r="CJ44" i="92"/>
  <c r="CJ128" i="92"/>
  <c r="CJ5" i="92"/>
  <c r="CJ86" i="92"/>
  <c r="CJ62" i="92"/>
  <c r="CJ126" i="92"/>
  <c r="CJ99" i="92"/>
  <c r="CJ58" i="92"/>
  <c r="CJ121" i="92"/>
  <c r="CJ94" i="92"/>
  <c r="CJ74" i="92"/>
  <c r="CJ84" i="92"/>
  <c r="CJ56" i="92"/>
  <c r="CJ109" i="92"/>
  <c r="CJ114" i="92"/>
  <c r="CJ115" i="92"/>
  <c r="CJ22" i="92"/>
  <c r="CJ55" i="92"/>
  <c r="CJ7" i="92"/>
  <c r="CJ46" i="92"/>
  <c r="CJ119" i="92"/>
  <c r="CJ124" i="92"/>
  <c r="CJ16" i="92"/>
  <c r="CJ92" i="92"/>
  <c r="CJ63" i="92"/>
  <c r="CJ10" i="92"/>
  <c r="CJ39" i="92"/>
  <c r="CJ6" i="92"/>
  <c r="CJ91" i="92"/>
  <c r="CJ24" i="92"/>
  <c r="CJ82" i="92"/>
  <c r="CJ38" i="92"/>
  <c r="CJ67" i="92"/>
  <c r="CJ35" i="92"/>
  <c r="CJ50" i="92"/>
  <c r="CJ14" i="92"/>
  <c r="CJ102" i="92"/>
  <c r="CJ47" i="92"/>
  <c r="CJ80" i="92"/>
  <c r="CJ132" i="92"/>
  <c r="CJ8" i="92"/>
  <c r="CJ64" i="92"/>
  <c r="CJ28" i="92"/>
  <c r="CJ19" i="92"/>
  <c r="CJ53" i="92"/>
  <c r="CJ43" i="92"/>
  <c r="CJ88" i="92"/>
  <c r="CJ30" i="92"/>
  <c r="CJ78" i="92"/>
  <c r="CJ33" i="92"/>
  <c r="CJ131" i="92"/>
  <c r="CJ95" i="92"/>
  <c r="CJ9" i="92"/>
  <c r="CJ101" i="92"/>
  <c r="CJ93" i="92"/>
  <c r="CJ106" i="92"/>
  <c r="CJ70" i="92"/>
  <c r="CJ27" i="92"/>
  <c r="CJ104" i="92"/>
  <c r="CJ89" i="92"/>
  <c r="CJ83" i="92"/>
  <c r="CJ103" i="92"/>
  <c r="CJ76" i="92"/>
  <c r="CJ85" i="92"/>
  <c r="CJ71" i="92"/>
  <c r="CJ120" i="92"/>
  <c r="CJ117" i="92"/>
  <c r="CJ72" i="92"/>
  <c r="CJ32" i="92"/>
  <c r="CJ96" i="92"/>
  <c r="CJ105" i="92"/>
  <c r="CJ17" i="92"/>
  <c r="CJ49" i="92"/>
  <c r="CJ34" i="92"/>
  <c r="CJ107" i="92"/>
  <c r="CI3" i="92"/>
  <c r="CJ100" i="92"/>
  <c r="CJ45" i="92"/>
  <c r="CJ42" i="92"/>
  <c r="CJ60" i="92"/>
  <c r="CJ125" i="92"/>
  <c r="CJ68" i="92"/>
  <c r="CJ77" i="92"/>
  <c r="CJ36" i="92"/>
  <c r="CJ73" i="92"/>
  <c r="CJ97" i="92"/>
  <c r="CJ108" i="92"/>
  <c r="CJ129" i="92"/>
  <c r="CJ51" i="92"/>
  <c r="CJ127" i="92"/>
  <c r="CJ25" i="92"/>
  <c r="CJ116" i="92"/>
  <c r="CJ65" i="92"/>
  <c r="CH3" i="92"/>
  <c r="CF48" i="92"/>
  <c r="CF116" i="92"/>
  <c r="CF24" i="92"/>
  <c r="CF31" i="92"/>
  <c r="CF39" i="92"/>
  <c r="CF73" i="92"/>
  <c r="CF124" i="92"/>
  <c r="AB22" i="95"/>
  <c r="CF18" i="92"/>
  <c r="CF74" i="92"/>
  <c r="CF82" i="92"/>
  <c r="CF78" i="92"/>
  <c r="CF117" i="92"/>
  <c r="CF91" i="92"/>
  <c r="CF43" i="92"/>
  <c r="G20" i="95"/>
  <c r="CF15" i="92"/>
  <c r="CF47" i="92"/>
  <c r="CF62" i="92"/>
  <c r="CF46" i="92"/>
  <c r="CF16" i="92"/>
  <c r="CF5" i="92"/>
  <c r="CF100" i="92"/>
  <c r="J20" i="95"/>
  <c r="AD21" i="95" s="1"/>
  <c r="CF125" i="92"/>
  <c r="CF36" i="92"/>
  <c r="CF14" i="92"/>
  <c r="CF35" i="92"/>
  <c r="K21" i="95"/>
  <c r="CF26" i="92"/>
  <c r="CF132" i="92"/>
  <c r="I20" i="95"/>
  <c r="CF33" i="92"/>
  <c r="CF102" i="92"/>
  <c r="CF57" i="92"/>
  <c r="CF111" i="92"/>
  <c r="CF68" i="92"/>
  <c r="CF54" i="92"/>
  <c r="CF42" i="92"/>
  <c r="CF6" i="92"/>
  <c r="CF40" i="92"/>
  <c r="CF83" i="92"/>
  <c r="CF90" i="92"/>
  <c r="CF59" i="92"/>
  <c r="CF41" i="92"/>
  <c r="CF69" i="92"/>
  <c r="CF85" i="92"/>
  <c r="CF19" i="92"/>
  <c r="CF28" i="92"/>
  <c r="CF11" i="92"/>
  <c r="CF51" i="92"/>
  <c r="CF71" i="92"/>
  <c r="CF109" i="92"/>
  <c r="CF65" i="92"/>
  <c r="CF80" i="92"/>
  <c r="CF99" i="92"/>
  <c r="CF72" i="92"/>
  <c r="CF87" i="92"/>
  <c r="CF93" i="92"/>
  <c r="CF67" i="92"/>
  <c r="CF126" i="92"/>
  <c r="CF23" i="92"/>
  <c r="CF60" i="92"/>
  <c r="CF63" i="92"/>
  <c r="CF70" i="92"/>
  <c r="CF130" i="92"/>
  <c r="CF108" i="92"/>
  <c r="CF84" i="92"/>
  <c r="CF25" i="92"/>
  <c r="CF66" i="92"/>
  <c r="CF94" i="92"/>
  <c r="CF9" i="92"/>
  <c r="CF115" i="92"/>
  <c r="CF61" i="92"/>
  <c r="AC22" i="95"/>
  <c r="AD22" i="95"/>
  <c r="CF95" i="92"/>
  <c r="CF50" i="92"/>
  <c r="CF110" i="92"/>
  <c r="CF56" i="92"/>
  <c r="CF20" i="92"/>
  <c r="CF49" i="92"/>
  <c r="CF98" i="92"/>
  <c r="CF96" i="92"/>
  <c r="CF76" i="92"/>
  <c r="CF114" i="92"/>
  <c r="CF113" i="92"/>
  <c r="CF128" i="92"/>
  <c r="CF81" i="92"/>
  <c r="CF10" i="92"/>
  <c r="CF77" i="92"/>
  <c r="CF44" i="92"/>
  <c r="CF106" i="92"/>
  <c r="CF34" i="92"/>
  <c r="CF38" i="92"/>
  <c r="CF131" i="92"/>
  <c r="CF52" i="92"/>
  <c r="CF121" i="92"/>
  <c r="CF75" i="92"/>
  <c r="CF53" i="92"/>
  <c r="CF27" i="92"/>
  <c r="CF7" i="92"/>
  <c r="CF97" i="92"/>
  <c r="CF129" i="92"/>
  <c r="CF32" i="92"/>
  <c r="CF64" i="92"/>
  <c r="CF105" i="92"/>
  <c r="CG85" i="92"/>
  <c r="CG101" i="92"/>
  <c r="CA101" i="92" s="1"/>
  <c r="CB101" i="92" s="1"/>
  <c r="CG46" i="92"/>
  <c r="CG94" i="92"/>
  <c r="CG90" i="92"/>
  <c r="CG11" i="92"/>
  <c r="CG102" i="92"/>
  <c r="CG64" i="92"/>
  <c r="CA64" i="92" s="1"/>
  <c r="CB64" i="92" s="1"/>
  <c r="CG92" i="92"/>
  <c r="CG72" i="92"/>
  <c r="CA72" i="92" s="1"/>
  <c r="CB72" i="92" s="1"/>
  <c r="CG51" i="92"/>
  <c r="CK20" i="92"/>
  <c r="CK38" i="92"/>
  <c r="CK125" i="92"/>
  <c r="CK103" i="92"/>
  <c r="CK74" i="92"/>
  <c r="CK95" i="92"/>
  <c r="CK48" i="92"/>
  <c r="CK40" i="92"/>
  <c r="CK35" i="92"/>
  <c r="CK98" i="92"/>
  <c r="CK29" i="92"/>
  <c r="CL37" i="92"/>
  <c r="CG114" i="92"/>
  <c r="CG79" i="92"/>
  <c r="CG21" i="92"/>
  <c r="CG113" i="92"/>
  <c r="CG129" i="92"/>
  <c r="CG42" i="92"/>
  <c r="CG108" i="92"/>
  <c r="CG105" i="92"/>
  <c r="CG14" i="92"/>
  <c r="CA14" i="92" s="1"/>
  <c r="CB14" i="92" s="1"/>
  <c r="CG25" i="92"/>
  <c r="CA25" i="92" s="1"/>
  <c r="CB25" i="92" s="1"/>
  <c r="CG29" i="92"/>
  <c r="CA29" i="92" s="1"/>
  <c r="CB29" i="92" s="1"/>
  <c r="CK104" i="92"/>
  <c r="CK101" i="92"/>
  <c r="CK21" i="92"/>
  <c r="CK113" i="92"/>
  <c r="CK129" i="92"/>
  <c r="CK42" i="92"/>
  <c r="CK108" i="92"/>
  <c r="CK105" i="92"/>
  <c r="CK14" i="92"/>
  <c r="CK25" i="92"/>
  <c r="CL45" i="92"/>
  <c r="CL13" i="92"/>
  <c r="CG45" i="92"/>
  <c r="CG97" i="92"/>
  <c r="CG54" i="92"/>
  <c r="CA54" i="92" s="1"/>
  <c r="CB54" i="92" s="1"/>
  <c r="CG103" i="92"/>
  <c r="CG7" i="92"/>
  <c r="CG9" i="92"/>
  <c r="CG132" i="92"/>
  <c r="CA132" i="92" s="1"/>
  <c r="CB132" i="92" s="1"/>
  <c r="CG50" i="92"/>
  <c r="CA50" i="92" s="1"/>
  <c r="CB50" i="92" s="1"/>
  <c r="CG98" i="92"/>
  <c r="CK16" i="92"/>
  <c r="CK43" i="92"/>
  <c r="CK90" i="92"/>
  <c r="CK39" i="92"/>
  <c r="CK62" i="92"/>
  <c r="CK82" i="92"/>
  <c r="CK110" i="92"/>
  <c r="CK51" i="92"/>
  <c r="CL119" i="92"/>
  <c r="CG96" i="92"/>
  <c r="CG68" i="92"/>
  <c r="CG26" i="92"/>
  <c r="CA26" i="92" s="1"/>
  <c r="CB26" i="92" s="1"/>
  <c r="CG83" i="92"/>
  <c r="CA83" i="92" s="1"/>
  <c r="CB83" i="92" s="1"/>
  <c r="CG87" i="92"/>
  <c r="CA87" i="92" s="1"/>
  <c r="CB87" i="92" s="1"/>
  <c r="CG106" i="92"/>
  <c r="CG18" i="92"/>
  <c r="CA18" i="92" s="1"/>
  <c r="CB18" i="92" s="1"/>
  <c r="CG111" i="92"/>
  <c r="CG100" i="92"/>
  <c r="CK32" i="92"/>
  <c r="CK122" i="92"/>
  <c r="CK80" i="92"/>
  <c r="CK69" i="92"/>
  <c r="CK81" i="92"/>
  <c r="CK120" i="92"/>
  <c r="CK10" i="92"/>
  <c r="CK34" i="92"/>
  <c r="CL123" i="92"/>
  <c r="CG16" i="92"/>
  <c r="CG125" i="92"/>
  <c r="CG67" i="92"/>
  <c r="CA67" i="92" s="1"/>
  <c r="CB67" i="92" s="1"/>
  <c r="CG39" i="92"/>
  <c r="CG62" i="92"/>
  <c r="CG82" i="92"/>
  <c r="CG35" i="92"/>
  <c r="CG56" i="92"/>
  <c r="CA56" i="92" s="1"/>
  <c r="CB56" i="92" s="1"/>
  <c r="CK107" i="92"/>
  <c r="CK84" i="92"/>
  <c r="CK94" i="92"/>
  <c r="CK33" i="92"/>
  <c r="CK30" i="92"/>
  <c r="CK36" i="92"/>
  <c r="CK124" i="92"/>
  <c r="CK72" i="92"/>
  <c r="CK126" i="92"/>
  <c r="CL36" i="92"/>
  <c r="CG8" i="92"/>
  <c r="CA8" i="92" s="1"/>
  <c r="CB8" i="92" s="1"/>
  <c r="CG84" i="92"/>
  <c r="CA84" i="92" s="1"/>
  <c r="CB84" i="92" s="1"/>
  <c r="CG57" i="92"/>
  <c r="CG89" i="92"/>
  <c r="CA89" i="92" s="1"/>
  <c r="CB89" i="92" s="1"/>
  <c r="CG55" i="92"/>
  <c r="CA55" i="92" s="1"/>
  <c r="CB55" i="92" s="1"/>
  <c r="CG75" i="92"/>
  <c r="CA75" i="92" s="1"/>
  <c r="CB75" i="92" s="1"/>
  <c r="CG124" i="92"/>
  <c r="CA124" i="92" s="1"/>
  <c r="CB124" i="92" s="1"/>
  <c r="CG6" i="92"/>
  <c r="CG66" i="92"/>
  <c r="CK79" i="92"/>
  <c r="CK130" i="92"/>
  <c r="CK77" i="92"/>
  <c r="CK117" i="92"/>
  <c r="CG20" i="92"/>
  <c r="CA20" i="92" s="1"/>
  <c r="CB20" i="92" s="1"/>
  <c r="CG44" i="92"/>
  <c r="CA44" i="92" s="1"/>
  <c r="CB44" i="92" s="1"/>
  <c r="CG73" i="92"/>
  <c r="CA73" i="92" s="1"/>
  <c r="CB73" i="92" s="1"/>
  <c r="CG28" i="92"/>
  <c r="CA28" i="92" s="1"/>
  <c r="CB28" i="92" s="1"/>
  <c r="CG60" i="92"/>
  <c r="CA60" i="92" s="1"/>
  <c r="CB60" i="92" s="1"/>
  <c r="CG48" i="92"/>
  <c r="CA48" i="92" s="1"/>
  <c r="CB48" i="92" s="1"/>
  <c r="CG91" i="92"/>
  <c r="CG47" i="92"/>
  <c r="CK114" i="92"/>
  <c r="CK86" i="92"/>
  <c r="CK127" i="92"/>
  <c r="CK99" i="92"/>
  <c r="CK37" i="92"/>
  <c r="CK123" i="92"/>
  <c r="CK64" i="92"/>
  <c r="CK88" i="92"/>
  <c r="CK23" i="92"/>
  <c r="CK70" i="92"/>
  <c r="CL101" i="92"/>
  <c r="CL29" i="92"/>
  <c r="CG121" i="92"/>
  <c r="CG127" i="92"/>
  <c r="CG33" i="92"/>
  <c r="CA33" i="92" s="1"/>
  <c r="CB33" i="92" s="1"/>
  <c r="CG52" i="92"/>
  <c r="CA52" i="92" s="1"/>
  <c r="CB52" i="92" s="1"/>
  <c r="CG76" i="92"/>
  <c r="CA76" i="92" s="1"/>
  <c r="CB76" i="92" s="1"/>
  <c r="CG5" i="92"/>
  <c r="CK49" i="92"/>
  <c r="CK73" i="92"/>
  <c r="CK87" i="92"/>
  <c r="CK13" i="92"/>
  <c r="CK111" i="92"/>
  <c r="CK31" i="92"/>
  <c r="CL30" i="92"/>
  <c r="CG22" i="92"/>
  <c r="CG41" i="92"/>
  <c r="CA41" i="92" s="1"/>
  <c r="CB41" i="92" s="1"/>
  <c r="CG117" i="92"/>
  <c r="CA117" i="92" s="1"/>
  <c r="CB117" i="92" s="1"/>
  <c r="CG120" i="92"/>
  <c r="CG71" i="92"/>
  <c r="CA71" i="92" s="1"/>
  <c r="CB71" i="92" s="1"/>
  <c r="CG70" i="92"/>
  <c r="CA70" i="92" s="1"/>
  <c r="CB70" i="92" s="1"/>
  <c r="CK17" i="92"/>
  <c r="CK59" i="92"/>
  <c r="CK55" i="92"/>
  <c r="CK115" i="92"/>
  <c r="CK6" i="92"/>
  <c r="CK63" i="92"/>
  <c r="CG32" i="92"/>
  <c r="CA32" i="92" s="1"/>
  <c r="CB32" i="92" s="1"/>
  <c r="CG19" i="92"/>
  <c r="CA19" i="92" s="1"/>
  <c r="CB19" i="92" s="1"/>
  <c r="CG37" i="92"/>
  <c r="CA37" i="92" s="1"/>
  <c r="CB37" i="92" s="1"/>
  <c r="CG36" i="92"/>
  <c r="CA36" i="92" s="1"/>
  <c r="CB36" i="92" s="1"/>
  <c r="CG65" i="92"/>
  <c r="CA65" i="92" s="1"/>
  <c r="CB65" i="92" s="1"/>
  <c r="CG31" i="92"/>
  <c r="CK97" i="92"/>
  <c r="CK78" i="92"/>
  <c r="CK60" i="92"/>
  <c r="CK58" i="92"/>
  <c r="CL58" i="92"/>
  <c r="CG107" i="92"/>
  <c r="CA107" i="92" s="1"/>
  <c r="CB107" i="92" s="1"/>
  <c r="CG116" i="92"/>
  <c r="CA116" i="92" s="1"/>
  <c r="CB116" i="92" s="1"/>
  <c r="CG93" i="92"/>
  <c r="CG131" i="92"/>
  <c r="CA131" i="92" s="1"/>
  <c r="CB131" i="92" s="1"/>
  <c r="CG110" i="92"/>
  <c r="CG63" i="92"/>
  <c r="CK68" i="92"/>
  <c r="CK118" i="92"/>
  <c r="CK119" i="92"/>
  <c r="CK132" i="92"/>
  <c r="CK53" i="92"/>
  <c r="CG86" i="92"/>
  <c r="CG80" i="92"/>
  <c r="CA80" i="92" s="1"/>
  <c r="CB80" i="92" s="1"/>
  <c r="CG15" i="92"/>
  <c r="CA15" i="92" s="1"/>
  <c r="CB15" i="92" s="1"/>
  <c r="CG13" i="92"/>
  <c r="CG53" i="92"/>
  <c r="CA53" i="92" s="1"/>
  <c r="CB53" i="92" s="1"/>
  <c r="CK121" i="92"/>
  <c r="CK46" i="92"/>
  <c r="CK67" i="92"/>
  <c r="CK102" i="92"/>
  <c r="CK91" i="92"/>
  <c r="CK128" i="92"/>
  <c r="CG12" i="92"/>
  <c r="CG77" i="92"/>
  <c r="CA77" i="92" s="1"/>
  <c r="CB77" i="92" s="1"/>
  <c r="CG81" i="92"/>
  <c r="CA81" i="92" s="1"/>
  <c r="CB81" i="92" s="1"/>
  <c r="CG115" i="92"/>
  <c r="CA115" i="92" s="1"/>
  <c r="CB115" i="92" s="1"/>
  <c r="CG23" i="92"/>
  <c r="CA23" i="92" s="1"/>
  <c r="CB23" i="92" s="1"/>
  <c r="CK22" i="92"/>
  <c r="CK41" i="92"/>
  <c r="CK89" i="92"/>
  <c r="CK52" i="92"/>
  <c r="CK92" i="92"/>
  <c r="CK27" i="92"/>
  <c r="CL22" i="92"/>
  <c r="CG49" i="92"/>
  <c r="CG99" i="92"/>
  <c r="CA99" i="92" s="1"/>
  <c r="CB99" i="92" s="1"/>
  <c r="CG30" i="92"/>
  <c r="CA30" i="92" s="1"/>
  <c r="CB30" i="92" s="1"/>
  <c r="CG58" i="92"/>
  <c r="CA58" i="92" s="1"/>
  <c r="CB58" i="92" s="1"/>
  <c r="CG61" i="92"/>
  <c r="CA61" i="92" s="1"/>
  <c r="CB61" i="92" s="1"/>
  <c r="CK45" i="92"/>
  <c r="CK19" i="92"/>
  <c r="CK28" i="92"/>
  <c r="CK9" i="92"/>
  <c r="CG43" i="92"/>
  <c r="CG40" i="92"/>
  <c r="CA40" i="92" s="1"/>
  <c r="CB40" i="92" s="1"/>
  <c r="CK116" i="92"/>
  <c r="CK131" i="92"/>
  <c r="CK47" i="92"/>
  <c r="CG118" i="92"/>
  <c r="CA118" i="92" s="1"/>
  <c r="CB118" i="92" s="1"/>
  <c r="CG34" i="92"/>
  <c r="CA34" i="92" s="1"/>
  <c r="CB34" i="92" s="1"/>
  <c r="CK57" i="92"/>
  <c r="CK109" i="92"/>
  <c r="CL112" i="92"/>
  <c r="CG74" i="92"/>
  <c r="CG27" i="92"/>
  <c r="CK93" i="92"/>
  <c r="CK71" i="92"/>
  <c r="CL78" i="92"/>
  <c r="CG104" i="92"/>
  <c r="CG119" i="92"/>
  <c r="CA119" i="92" s="1"/>
  <c r="CB119" i="92" s="1"/>
  <c r="CK85" i="92"/>
  <c r="CK15" i="92"/>
  <c r="CK65" i="92"/>
  <c r="CL118" i="92"/>
  <c r="CG112" i="92"/>
  <c r="CG95" i="92"/>
  <c r="CG126" i="92"/>
  <c r="CA126" i="92" s="1"/>
  <c r="CB126" i="92" s="1"/>
  <c r="CK96" i="92"/>
  <c r="CK7" i="92"/>
  <c r="CK50" i="92"/>
  <c r="CL89" i="92"/>
  <c r="CG59" i="92"/>
  <c r="CA59" i="92" s="1"/>
  <c r="CB59" i="92" s="1"/>
  <c r="CK11" i="92"/>
  <c r="CG78" i="92"/>
  <c r="CA78" i="92" s="1"/>
  <c r="CB78" i="92" s="1"/>
  <c r="CK24" i="92"/>
  <c r="CG69" i="92"/>
  <c r="CK106" i="92"/>
  <c r="CG24" i="92"/>
  <c r="CA24" i="92" s="1"/>
  <c r="CB24" i="92" s="1"/>
  <c r="CG17" i="92"/>
  <c r="CG88" i="92"/>
  <c r="CK44" i="92"/>
  <c r="CK100" i="92"/>
  <c r="CL86" i="92"/>
  <c r="CG122" i="92"/>
  <c r="CA122" i="92" s="1"/>
  <c r="CB122" i="92" s="1"/>
  <c r="CG128" i="92"/>
  <c r="CK56" i="92"/>
  <c r="CG123" i="92"/>
  <c r="CA123" i="92" s="1"/>
  <c r="CB123" i="92" s="1"/>
  <c r="CK75" i="92"/>
  <c r="CK54" i="92"/>
  <c r="CK8" i="92"/>
  <c r="CK18" i="92"/>
  <c r="CG10" i="92"/>
  <c r="CK112" i="92"/>
  <c r="CK76" i="92"/>
  <c r="CG109" i="92"/>
  <c r="CK12" i="92"/>
  <c r="CK61" i="92"/>
  <c r="CK5" i="92"/>
  <c r="CG38" i="92"/>
  <c r="CA38" i="92" s="1"/>
  <c r="CB38" i="92" s="1"/>
  <c r="CG130" i="92"/>
  <c r="CK26" i="92"/>
  <c r="CK83" i="92"/>
  <c r="CK66" i="92"/>
  <c r="CK3" i="92"/>
  <c r="CL44" i="92"/>
  <c r="CL61" i="92"/>
  <c r="CL82" i="92"/>
  <c r="CL51" i="92"/>
  <c r="CL49" i="92"/>
  <c r="CL15" i="92"/>
  <c r="CL71" i="92"/>
  <c r="CL114" i="92"/>
  <c r="CL111" i="92"/>
  <c r="CL74" i="92"/>
  <c r="CL16" i="92"/>
  <c r="CL99" i="92"/>
  <c r="CL107" i="92"/>
  <c r="CL11" i="92"/>
  <c r="CL105" i="92"/>
  <c r="CL27" i="92"/>
  <c r="CL63" i="92"/>
  <c r="CL87" i="92"/>
  <c r="CL42" i="92"/>
  <c r="CL69" i="92"/>
  <c r="CL91" i="92"/>
  <c r="CL40" i="92"/>
  <c r="CL125" i="92"/>
  <c r="CL41" i="92"/>
  <c r="CL117" i="92"/>
  <c r="CL96" i="92"/>
  <c r="CL55" i="92"/>
  <c r="CL21" i="92"/>
  <c r="CL52" i="92"/>
  <c r="CL10" i="92"/>
  <c r="CL34" i="92"/>
  <c r="CL113" i="92"/>
  <c r="CL20" i="92"/>
  <c r="CL60" i="92"/>
  <c r="CL65" i="92"/>
  <c r="CL124" i="92"/>
  <c r="CL80" i="92"/>
  <c r="CL14" i="92"/>
  <c r="CL104" i="92"/>
  <c r="CL7" i="92"/>
  <c r="CL12" i="92"/>
  <c r="CL120" i="92"/>
  <c r="CL67" i="92"/>
  <c r="CL88" i="92"/>
  <c r="CL106" i="92"/>
  <c r="CL59" i="92"/>
  <c r="CL24" i="92"/>
  <c r="CL62" i="92"/>
  <c r="CL46" i="92"/>
  <c r="CL95" i="92"/>
  <c r="CL93" i="92"/>
  <c r="CL94" i="92"/>
  <c r="CL90" i="92"/>
  <c r="CL64" i="92"/>
  <c r="CL121" i="92"/>
  <c r="CL108" i="92"/>
  <c r="CL92" i="92"/>
  <c r="CL131" i="92"/>
  <c r="CL9" i="92"/>
  <c r="CL23" i="92"/>
  <c r="CL75" i="92"/>
  <c r="CL97" i="92"/>
  <c r="CL31" i="92"/>
  <c r="CL130" i="92"/>
  <c r="CL122" i="92"/>
  <c r="CL116" i="92"/>
  <c r="CL132" i="92"/>
  <c r="CL109" i="92"/>
  <c r="CL50" i="92"/>
  <c r="CL127" i="92"/>
  <c r="CL57" i="92"/>
  <c r="CL79" i="92"/>
  <c r="CL43" i="92"/>
  <c r="CL73" i="92"/>
  <c r="CL19" i="92"/>
  <c r="CL81" i="92"/>
  <c r="CL66" i="92"/>
  <c r="CL128" i="92"/>
  <c r="CL25" i="92"/>
  <c r="CL5" i="92"/>
  <c r="CL76" i="92"/>
  <c r="CL39" i="92"/>
  <c r="CL100" i="92"/>
  <c r="CL38" i="92"/>
  <c r="CL32" i="92"/>
  <c r="CL8" i="92"/>
  <c r="CL17" i="92"/>
  <c r="CL110" i="92"/>
  <c r="CL85" i="92"/>
  <c r="CL72" i="92"/>
  <c r="CL77" i="92"/>
  <c r="CL35" i="92"/>
  <c r="CL47" i="92"/>
  <c r="CL33" i="92"/>
  <c r="CL70" i="92"/>
  <c r="CL98" i="92"/>
  <c r="CL54" i="92"/>
  <c r="CL28" i="92"/>
  <c r="CL129" i="92"/>
  <c r="CL102" i="92"/>
  <c r="CL126" i="92"/>
  <c r="CL84" i="92"/>
  <c r="CL68" i="92"/>
  <c r="CL115" i="92"/>
  <c r="CL26" i="92"/>
  <c r="CL83" i="92"/>
  <c r="CL48" i="92"/>
  <c r="CL18" i="92"/>
  <c r="CL53" i="92"/>
  <c r="CL56" i="92"/>
  <c r="CL103" i="92"/>
  <c r="CL6" i="92"/>
  <c r="CF79" i="92"/>
  <c r="CF88" i="92"/>
  <c r="CF8" i="92"/>
  <c r="CF12" i="92"/>
  <c r="CF29" i="92"/>
  <c r="CF55" i="92"/>
  <c r="CF21" i="92"/>
  <c r="CF103" i="92"/>
  <c r="CF92" i="92"/>
  <c r="CF107" i="92"/>
  <c r="CN3" i="92"/>
  <c r="CM3" i="92"/>
  <c r="CL3" i="92"/>
  <c r="CM145" i="92" l="1"/>
  <c r="CM150" i="92"/>
  <c r="CA155" i="92"/>
  <c r="CB155" i="92" s="1"/>
  <c r="CA181" i="92"/>
  <c r="CB181" i="92" s="1"/>
  <c r="CA153" i="92"/>
  <c r="CB153" i="92" s="1"/>
  <c r="CA179" i="92"/>
  <c r="CB179" i="92" s="1"/>
  <c r="CA176" i="92"/>
  <c r="CB176" i="92" s="1"/>
  <c r="CA187" i="92"/>
  <c r="CB187" i="92" s="1"/>
  <c r="CA140" i="92"/>
  <c r="CB140" i="92" s="1"/>
  <c r="CA178" i="92"/>
  <c r="CB178" i="92" s="1"/>
  <c r="CM149" i="92"/>
  <c r="CA158" i="92"/>
  <c r="CB158" i="92" s="1"/>
  <c r="CM174" i="92"/>
  <c r="CM157" i="92"/>
  <c r="CA175" i="92"/>
  <c r="CB175" i="92" s="1"/>
  <c r="CN177" i="92"/>
  <c r="CN166" i="92"/>
  <c r="CH166" i="92" s="1"/>
  <c r="CI166" i="92" s="1"/>
  <c r="CN155" i="92"/>
  <c r="CN142" i="92"/>
  <c r="CQ180" i="92"/>
  <c r="CQ171" i="92"/>
  <c r="CQ158" i="92"/>
  <c r="CQ144" i="92"/>
  <c r="CQ133" i="92"/>
  <c r="CR173" i="92"/>
  <c r="CR163" i="92"/>
  <c r="CR151" i="92"/>
  <c r="CR137" i="92"/>
  <c r="CS180" i="92"/>
  <c r="CS171" i="92"/>
  <c r="CS158" i="92"/>
  <c r="CS144" i="92"/>
  <c r="CS133" i="92"/>
  <c r="CN184" i="92"/>
  <c r="CN176" i="92"/>
  <c r="CH176" i="92" s="1"/>
  <c r="CI176" i="92" s="1"/>
  <c r="CN161" i="92"/>
  <c r="CH161" i="92" s="1"/>
  <c r="CI161" i="92" s="1"/>
  <c r="CN149" i="92"/>
  <c r="CN139" i="92"/>
  <c r="CQ179" i="92"/>
  <c r="CQ172" i="92"/>
  <c r="CQ159" i="92"/>
  <c r="CQ143" i="92"/>
  <c r="CR186" i="92"/>
  <c r="CR170" i="92"/>
  <c r="CR156" i="92"/>
  <c r="CR144" i="92"/>
  <c r="CS184" i="92"/>
  <c r="CS176" i="92"/>
  <c r="CS161" i="92"/>
  <c r="CS149" i="92"/>
  <c r="CS139" i="92"/>
  <c r="CN186" i="92"/>
  <c r="CN170" i="92"/>
  <c r="CH170" i="92" s="1"/>
  <c r="CI170" i="92" s="1"/>
  <c r="CN156" i="92"/>
  <c r="CN144" i="92"/>
  <c r="CQ181" i="92"/>
  <c r="CQ169" i="92"/>
  <c r="CQ155" i="92"/>
  <c r="CQ141" i="92"/>
  <c r="CR182" i="92"/>
  <c r="CR171" i="92"/>
  <c r="CR159" i="92"/>
  <c r="CR143" i="92"/>
  <c r="CS186" i="92"/>
  <c r="CS170" i="92"/>
  <c r="CS156" i="92"/>
  <c r="CS145" i="92"/>
  <c r="CN180" i="92"/>
  <c r="CN164" i="92"/>
  <c r="CN152" i="92"/>
  <c r="CH152" i="92" s="1"/>
  <c r="CI152" i="92" s="1"/>
  <c r="CN134" i="92"/>
  <c r="CH134" i="92" s="1"/>
  <c r="CI134" i="92" s="1"/>
  <c r="CQ178" i="92"/>
  <c r="CQ165" i="92"/>
  <c r="CQ149" i="92"/>
  <c r="CR185" i="92"/>
  <c r="CR167" i="92"/>
  <c r="CR153" i="92"/>
  <c r="CR138" i="92"/>
  <c r="CS174" i="92"/>
  <c r="CS160" i="92"/>
  <c r="CS143" i="92"/>
  <c r="CR188" i="92"/>
  <c r="CN181" i="92"/>
  <c r="CN162" i="92"/>
  <c r="CH162" i="92" s="1"/>
  <c r="CI162" i="92" s="1"/>
  <c r="CN147" i="92"/>
  <c r="CH147" i="92" s="1"/>
  <c r="CI147" i="92" s="1"/>
  <c r="CN133" i="92"/>
  <c r="CQ174" i="92"/>
  <c r="CQ160" i="92"/>
  <c r="CQ146" i="92"/>
  <c r="CR179" i="92"/>
  <c r="CR169" i="92"/>
  <c r="CR150" i="92"/>
  <c r="CR136" i="92"/>
  <c r="CS173" i="92"/>
  <c r="CS157" i="92"/>
  <c r="CS142" i="92"/>
  <c r="CN183" i="92"/>
  <c r="CN163" i="92"/>
  <c r="CN148" i="92"/>
  <c r="CQ173" i="92"/>
  <c r="CQ161" i="92"/>
  <c r="CQ145" i="92"/>
  <c r="CR180" i="92"/>
  <c r="CR166" i="92"/>
  <c r="CR152" i="92"/>
  <c r="CR134" i="92"/>
  <c r="CS175" i="92"/>
  <c r="CS159" i="92"/>
  <c r="CS141" i="92"/>
  <c r="CN173" i="92"/>
  <c r="CN157" i="92"/>
  <c r="CN143" i="92"/>
  <c r="CQ168" i="92"/>
  <c r="CQ154" i="92"/>
  <c r="CN174" i="92"/>
  <c r="CN153" i="92"/>
  <c r="CQ182" i="92"/>
  <c r="CQ156" i="92"/>
  <c r="CQ136" i="92"/>
  <c r="CR172" i="92"/>
  <c r="CR149" i="92"/>
  <c r="CS181" i="92"/>
  <c r="CS165" i="92"/>
  <c r="CS135" i="92"/>
  <c r="CN188" i="92"/>
  <c r="CH188" i="92" s="1"/>
  <c r="CI188" i="92" s="1"/>
  <c r="CN175" i="92"/>
  <c r="CN150" i="92"/>
  <c r="CH150" i="92" s="1"/>
  <c r="CI150" i="92" s="1"/>
  <c r="CQ183" i="92"/>
  <c r="CQ153" i="92"/>
  <c r="CQ134" i="92"/>
  <c r="CR164" i="92"/>
  <c r="CR146" i="92"/>
  <c r="CS183" i="92"/>
  <c r="CS154" i="92"/>
  <c r="CS138" i="92"/>
  <c r="CQ187" i="92"/>
  <c r="CN167" i="92"/>
  <c r="CH167" i="92" s="1"/>
  <c r="CI167" i="92" s="1"/>
  <c r="CN141" i="92"/>
  <c r="CH141" i="92" s="1"/>
  <c r="CI141" i="92" s="1"/>
  <c r="CQ170" i="92"/>
  <c r="CQ147" i="92"/>
  <c r="CR183" i="92"/>
  <c r="CR161" i="92"/>
  <c r="CR140" i="92"/>
  <c r="CS172" i="92"/>
  <c r="CS151" i="92"/>
  <c r="CN172" i="92"/>
  <c r="CH172" i="92" s="1"/>
  <c r="CI172" i="92" s="1"/>
  <c r="CN137" i="92"/>
  <c r="CH137" i="92" s="1"/>
  <c r="CI137" i="92" s="1"/>
  <c r="CQ185" i="92"/>
  <c r="CQ151" i="92"/>
  <c r="CR178" i="92"/>
  <c r="CR147" i="92"/>
  <c r="CS178" i="92"/>
  <c r="CS147" i="92"/>
  <c r="CN171" i="92"/>
  <c r="CN135" i="92"/>
  <c r="CH135" i="92" s="1"/>
  <c r="CI135" i="92" s="1"/>
  <c r="CQ186" i="92"/>
  <c r="CQ152" i="92"/>
  <c r="CR174" i="92"/>
  <c r="CR148" i="92"/>
  <c r="CS168" i="92"/>
  <c r="CS148" i="92"/>
  <c r="CN169" i="92"/>
  <c r="CH169" i="92" s="1"/>
  <c r="CI169" i="92" s="1"/>
  <c r="CN138" i="92"/>
  <c r="CH138" i="92" s="1"/>
  <c r="CI138" i="92" s="1"/>
  <c r="CQ177" i="92"/>
  <c r="CQ148" i="92"/>
  <c r="CR175" i="92"/>
  <c r="CR145" i="92"/>
  <c r="CS167" i="92"/>
  <c r="CS146" i="92"/>
  <c r="CN187" i="92"/>
  <c r="CN185" i="92"/>
  <c r="CH185" i="92" s="1"/>
  <c r="CI185" i="92" s="1"/>
  <c r="CN154" i="92"/>
  <c r="CH154" i="92" s="1"/>
  <c r="CI154" i="92" s="1"/>
  <c r="CQ164" i="92"/>
  <c r="CQ138" i="92"/>
  <c r="CR160" i="92"/>
  <c r="CR133" i="92"/>
  <c r="CS163" i="92"/>
  <c r="CN158" i="92"/>
  <c r="CH158" i="92" s="1"/>
  <c r="CI158" i="92" s="1"/>
  <c r="CQ137" i="92"/>
  <c r="CR154" i="92"/>
  <c r="CS164" i="92"/>
  <c r="CQ175" i="92"/>
  <c r="CS155" i="92"/>
  <c r="CN159" i="92"/>
  <c r="CH159" i="92" s="1"/>
  <c r="CI159" i="92" s="1"/>
  <c r="CQ184" i="92"/>
  <c r="CQ135" i="92"/>
  <c r="CR155" i="92"/>
  <c r="CS162" i="92"/>
  <c r="CN151" i="92"/>
  <c r="CH151" i="92" s="1"/>
  <c r="CI151" i="92" s="1"/>
  <c r="CQ139" i="92"/>
  <c r="CR142" i="92"/>
  <c r="CN140" i="92"/>
  <c r="CQ166" i="92"/>
  <c r="CR177" i="92"/>
  <c r="CR139" i="92"/>
  <c r="CS152" i="92"/>
  <c r="CN179" i="92"/>
  <c r="CH179" i="92" s="1"/>
  <c r="CI179" i="92" s="1"/>
  <c r="CN136" i="92"/>
  <c r="CH136" i="92" s="1"/>
  <c r="CI136" i="92" s="1"/>
  <c r="CQ162" i="92"/>
  <c r="CR176" i="92"/>
  <c r="CS185" i="92"/>
  <c r="CS140" i="92"/>
  <c r="CN182" i="92"/>
  <c r="CQ163" i="92"/>
  <c r="CR168" i="92"/>
  <c r="CS179" i="92"/>
  <c r="CS137" i="92"/>
  <c r="CR165" i="92"/>
  <c r="CS134" i="92"/>
  <c r="CQ188" i="92"/>
  <c r="CR187" i="92"/>
  <c r="CR157" i="92"/>
  <c r="CS187" i="92"/>
  <c r="CR158" i="92"/>
  <c r="CN178" i="92"/>
  <c r="CH178" i="92" s="1"/>
  <c r="CI178" i="92" s="1"/>
  <c r="CQ157" i="92"/>
  <c r="CS182" i="92"/>
  <c r="CN146" i="92"/>
  <c r="CN168" i="92"/>
  <c r="CH168" i="92" s="1"/>
  <c r="CI168" i="92" s="1"/>
  <c r="CQ150" i="92"/>
  <c r="CS177" i="92"/>
  <c r="CS153" i="92"/>
  <c r="CN165" i="92"/>
  <c r="CH165" i="92" s="1"/>
  <c r="CI165" i="92" s="1"/>
  <c r="CQ142" i="92"/>
  <c r="CS169" i="92"/>
  <c r="CN160" i="92"/>
  <c r="CQ140" i="92"/>
  <c r="CS166" i="92"/>
  <c r="CR184" i="92"/>
  <c r="CN145" i="92"/>
  <c r="CR181" i="92"/>
  <c r="CS150" i="92"/>
  <c r="CR141" i="92"/>
  <c r="CR135" i="92"/>
  <c r="CS188" i="92"/>
  <c r="CS136" i="92"/>
  <c r="CQ167" i="92"/>
  <c r="CR162" i="92"/>
  <c r="CQ176" i="92"/>
  <c r="CN1" i="92"/>
  <c r="CL2" i="92"/>
  <c r="CM2" i="92"/>
  <c r="CJ2" i="92"/>
  <c r="CK2" i="92"/>
  <c r="CH2" i="92"/>
  <c r="CG2" i="92"/>
  <c r="CI2" i="92"/>
  <c r="CM167" i="92"/>
  <c r="CM171" i="92"/>
  <c r="CH187" i="92"/>
  <c r="CI187" i="92" s="1"/>
  <c r="CM187" i="92"/>
  <c r="CM182" i="92"/>
  <c r="CM138" i="92"/>
  <c r="CM141" i="92"/>
  <c r="CM147" i="92"/>
  <c r="CH156" i="92"/>
  <c r="CI156" i="92" s="1"/>
  <c r="CM156" i="92"/>
  <c r="CM164" i="92"/>
  <c r="CH164" i="92"/>
  <c r="CI164" i="92" s="1"/>
  <c r="CM188" i="92"/>
  <c r="CA166" i="92"/>
  <c r="CB166" i="92" s="1"/>
  <c r="CM166" i="92"/>
  <c r="CM162" i="92"/>
  <c r="CH142" i="92"/>
  <c r="CI142" i="92" s="1"/>
  <c r="CM142" i="92"/>
  <c r="CM178" i="92"/>
  <c r="CM181" i="92"/>
  <c r="CH146" i="92"/>
  <c r="CI146" i="92" s="1"/>
  <c r="CM146" i="92"/>
  <c r="CH180" i="92"/>
  <c r="CI180" i="92" s="1"/>
  <c r="CM180" i="92"/>
  <c r="CM152" i="92"/>
  <c r="CH177" i="92"/>
  <c r="CI177" i="92" s="1"/>
  <c r="CM177" i="92"/>
  <c r="CM165" i="92"/>
  <c r="CM179" i="92"/>
  <c r="CH139" i="92"/>
  <c r="CI139" i="92" s="1"/>
  <c r="CM139" i="92"/>
  <c r="CM163" i="92"/>
  <c r="CH163" i="92"/>
  <c r="CI163" i="92" s="1"/>
  <c r="CH133" i="92"/>
  <c r="CI133" i="92" s="1"/>
  <c r="CM133" i="92"/>
  <c r="CA151" i="92"/>
  <c r="CB151" i="92" s="1"/>
  <c r="CM151" i="92"/>
  <c r="CM169" i="92"/>
  <c r="CM184" i="92"/>
  <c r="CM135" i="92"/>
  <c r="CM172" i="92"/>
  <c r="CM137" i="92"/>
  <c r="CM154" i="92"/>
  <c r="CM175" i="92"/>
  <c r="CH175" i="92"/>
  <c r="CI175" i="92" s="1"/>
  <c r="CM159" i="92"/>
  <c r="CM143" i="92"/>
  <c r="CH143" i="92"/>
  <c r="CI143" i="92" s="1"/>
  <c r="CM158" i="92"/>
  <c r="CM176" i="92"/>
  <c r="CA160" i="92"/>
  <c r="CB160" i="92" s="1"/>
  <c r="CM160" i="92"/>
  <c r="CA173" i="92"/>
  <c r="CB173" i="92" s="1"/>
  <c r="CM173" i="92"/>
  <c r="CH173" i="92"/>
  <c r="CI173" i="92" s="1"/>
  <c r="CM134" i="92"/>
  <c r="CM170" i="92"/>
  <c r="CM186" i="92"/>
  <c r="CH186" i="92"/>
  <c r="CI186" i="92" s="1"/>
  <c r="CM136" i="92"/>
  <c r="CM148" i="92"/>
  <c r="CH148" i="92"/>
  <c r="CI148" i="92" s="1"/>
  <c r="CM161" i="92"/>
  <c r="CM168" i="92"/>
  <c r="CM185" i="92"/>
  <c r="CM183" i="92"/>
  <c r="CM63" i="92"/>
  <c r="CM107" i="92"/>
  <c r="CM7" i="92"/>
  <c r="CA120" i="92"/>
  <c r="CB120" i="92" s="1"/>
  <c r="CA92" i="92"/>
  <c r="CB92" i="92" s="1"/>
  <c r="CM48" i="92"/>
  <c r="CM100" i="92"/>
  <c r="CA35" i="92"/>
  <c r="CB35" i="92" s="1"/>
  <c r="CM39" i="92"/>
  <c r="CM125" i="92"/>
  <c r="H21" i="95"/>
  <c r="CM44" i="92"/>
  <c r="CM72" i="92"/>
  <c r="CM93" i="92"/>
  <c r="CM70" i="92"/>
  <c r="CM61" i="92"/>
  <c r="CM22" i="92"/>
  <c r="CA105" i="92"/>
  <c r="CB105" i="92" s="1"/>
  <c r="CA96" i="92"/>
  <c r="CB96" i="92" s="1"/>
  <c r="CA127" i="92"/>
  <c r="CB127" i="92" s="1"/>
  <c r="CA104" i="92"/>
  <c r="CB104" i="92" s="1"/>
  <c r="CA22" i="92"/>
  <c r="CB22" i="92" s="1"/>
  <c r="CA98" i="92"/>
  <c r="CB98" i="92" s="1"/>
  <c r="CA39" i="92"/>
  <c r="CB39" i="92" s="1"/>
  <c r="CA102" i="92"/>
  <c r="CB102" i="92" s="1"/>
  <c r="CA62" i="92"/>
  <c r="CB62" i="92" s="1"/>
  <c r="CA95" i="92"/>
  <c r="CB95" i="92" s="1"/>
  <c r="CA82" i="92"/>
  <c r="CB82" i="92" s="1"/>
  <c r="CA46" i="92"/>
  <c r="CB46" i="92" s="1"/>
  <c r="CM112" i="92"/>
  <c r="CM101" i="92"/>
  <c r="CA100" i="92"/>
  <c r="CB100" i="92" s="1"/>
  <c r="CA125" i="92"/>
  <c r="CB125" i="92" s="1"/>
  <c r="CA129" i="92"/>
  <c r="CB129" i="92" s="1"/>
  <c r="CA17" i="92"/>
  <c r="CB17" i="92" s="1"/>
  <c r="CA9" i="92"/>
  <c r="CB9" i="92" s="1"/>
  <c r="CA91" i="92"/>
  <c r="CB91" i="92" s="1"/>
  <c r="CM123" i="92"/>
  <c r="CA49" i="92"/>
  <c r="CB49" i="92" s="1"/>
  <c r="CA90" i="92"/>
  <c r="CB90" i="92" s="1"/>
  <c r="CA112" i="92"/>
  <c r="CB112" i="92" s="1"/>
  <c r="CA97" i="92"/>
  <c r="CB97" i="92" s="1"/>
  <c r="CA130" i="92"/>
  <c r="CB130" i="92" s="1"/>
  <c r="CM78" i="92"/>
  <c r="CM13" i="92"/>
  <c r="CM36" i="92"/>
  <c r="CM89" i="92"/>
  <c r="CM45" i="92"/>
  <c r="CA66" i="92"/>
  <c r="CB66" i="92" s="1"/>
  <c r="CA11" i="92"/>
  <c r="CB11" i="92" s="1"/>
  <c r="CA5" i="92"/>
  <c r="CB5" i="92" s="1"/>
  <c r="CA121" i="92"/>
  <c r="CB121" i="92" s="1"/>
  <c r="CA27" i="92"/>
  <c r="CB27" i="92" s="1"/>
  <c r="CA94" i="92"/>
  <c r="CB94" i="92" s="1"/>
  <c r="CA113" i="92"/>
  <c r="CB113" i="92" s="1"/>
  <c r="CA51" i="92"/>
  <c r="CB51" i="92" s="1"/>
  <c r="CA69" i="92"/>
  <c r="CB69" i="92" s="1"/>
  <c r="CA10" i="92"/>
  <c r="CB10" i="92" s="1"/>
  <c r="CM58" i="92"/>
  <c r="CM37" i="92"/>
  <c r="CM29" i="92"/>
  <c r="CA110" i="92"/>
  <c r="CB110" i="92" s="1"/>
  <c r="CA43" i="92"/>
  <c r="CB43" i="92" s="1"/>
  <c r="CA79" i="92"/>
  <c r="CB79" i="92" s="1"/>
  <c r="CA109" i="92"/>
  <c r="CB109" i="92" s="1"/>
  <c r="CA12" i="92"/>
  <c r="CB12" i="92" s="1"/>
  <c r="CA88" i="92"/>
  <c r="CB88" i="92" s="1"/>
  <c r="CA45" i="92"/>
  <c r="CB45" i="92" s="1"/>
  <c r="CA85" i="92"/>
  <c r="CB85" i="92" s="1"/>
  <c r="CA103" i="92"/>
  <c r="CB103" i="92" s="1"/>
  <c r="CM118" i="92"/>
  <c r="CM30" i="92"/>
  <c r="CA13" i="92"/>
  <c r="CB13" i="92" s="1"/>
  <c r="CA63" i="92"/>
  <c r="CB63" i="92" s="1"/>
  <c r="CA16" i="92"/>
  <c r="CB16" i="92" s="1"/>
  <c r="CA93" i="92"/>
  <c r="CB93" i="92" s="1"/>
  <c r="CA114" i="92"/>
  <c r="CB114" i="92" s="1"/>
  <c r="CA74" i="92"/>
  <c r="CB74" i="92" s="1"/>
  <c r="CA47" i="92"/>
  <c r="CB47" i="92" s="1"/>
  <c r="CA7" i="92"/>
  <c r="CB7" i="92" s="1"/>
  <c r="CM119" i="92"/>
  <c r="CM86" i="92"/>
  <c r="CA31" i="92"/>
  <c r="CB31" i="92" s="1"/>
  <c r="CA128" i="92"/>
  <c r="CB128" i="92" s="1"/>
  <c r="CA108" i="92"/>
  <c r="CB108" i="92" s="1"/>
  <c r="CA42" i="92"/>
  <c r="CB42" i="92" s="1"/>
  <c r="CA86" i="92"/>
  <c r="CB86" i="92" s="1"/>
  <c r="CA6" i="92"/>
  <c r="CB6" i="92" s="1"/>
  <c r="CA57" i="92"/>
  <c r="CB57" i="92" s="1"/>
  <c r="CA106" i="92"/>
  <c r="CB106" i="92" s="1"/>
  <c r="CA68" i="92"/>
  <c r="CB68" i="92" s="1"/>
  <c r="CA111" i="92"/>
  <c r="CB111" i="92" s="1"/>
  <c r="CA21" i="92"/>
  <c r="CB21" i="92" s="1"/>
  <c r="CQ31" i="92"/>
  <c r="CQ84" i="92"/>
  <c r="CQ76" i="92"/>
  <c r="CQ96" i="92"/>
  <c r="CQ57" i="92"/>
  <c r="CO3" i="92"/>
  <c r="CQ127" i="92"/>
  <c r="CQ99" i="92"/>
  <c r="CQ24" i="92"/>
  <c r="CQ52" i="92"/>
  <c r="CQ85" i="92"/>
  <c r="CQ115" i="92"/>
  <c r="CQ44" i="92"/>
  <c r="CQ17" i="92"/>
  <c r="CQ89" i="92"/>
  <c r="CQ100" i="92"/>
  <c r="CQ82" i="92"/>
  <c r="CQ55" i="92"/>
  <c r="CQ5" i="92"/>
  <c r="CQ38" i="92"/>
  <c r="CQ129" i="92"/>
  <c r="CQ28" i="92"/>
  <c r="CQ73" i="92"/>
  <c r="CQ46" i="92"/>
  <c r="CQ62" i="92"/>
  <c r="CQ77" i="92"/>
  <c r="CQ9" i="92"/>
  <c r="CQ39" i="92"/>
  <c r="CQ51" i="92"/>
  <c r="CQ124" i="92"/>
  <c r="CQ54" i="92"/>
  <c r="CQ42" i="92"/>
  <c r="CQ41" i="92"/>
  <c r="CQ106" i="92"/>
  <c r="CQ110" i="92"/>
  <c r="CQ53" i="92"/>
  <c r="CQ18" i="92"/>
  <c r="CQ72" i="92"/>
  <c r="CQ105" i="92"/>
  <c r="CQ47" i="92"/>
  <c r="CQ80" i="92"/>
  <c r="CQ63" i="92"/>
  <c r="CQ45" i="92"/>
  <c r="CQ83" i="92"/>
  <c r="CQ65" i="92"/>
  <c r="CQ50" i="92"/>
  <c r="CQ37" i="92"/>
  <c r="CQ112" i="92"/>
  <c r="CQ14" i="92"/>
  <c r="CQ91" i="92"/>
  <c r="CQ87" i="92"/>
  <c r="CQ66" i="92"/>
  <c r="CQ123" i="92"/>
  <c r="CQ8" i="92"/>
  <c r="CQ49" i="92"/>
  <c r="CQ21" i="92"/>
  <c r="CQ120" i="92"/>
  <c r="CQ3" i="92"/>
  <c r="CQ60" i="92"/>
  <c r="CQ128" i="92"/>
  <c r="CQ95" i="92"/>
  <c r="CQ81" i="92"/>
  <c r="CP3" i="92"/>
  <c r="CQ78" i="92"/>
  <c r="CQ58" i="92"/>
  <c r="CQ33" i="92"/>
  <c r="CQ98" i="92"/>
  <c r="CQ74" i="92"/>
  <c r="CQ70" i="92"/>
  <c r="CQ111" i="92"/>
  <c r="CQ64" i="92"/>
  <c r="CQ97" i="92"/>
  <c r="CQ117" i="92"/>
  <c r="CQ23" i="92"/>
  <c r="CQ75" i="92"/>
  <c r="CQ7" i="92"/>
  <c r="CQ103" i="92"/>
  <c r="CQ130" i="92"/>
  <c r="CQ10" i="92"/>
  <c r="CQ26" i="92"/>
  <c r="CQ69" i="92"/>
  <c r="CQ35" i="92"/>
  <c r="CQ61" i="92"/>
  <c r="CQ132" i="92"/>
  <c r="CQ116" i="92"/>
  <c r="CQ40" i="92"/>
  <c r="CQ90" i="92"/>
  <c r="CQ102" i="92"/>
  <c r="CQ114" i="92"/>
  <c r="CQ107" i="92"/>
  <c r="CQ6" i="92"/>
  <c r="CQ34" i="92"/>
  <c r="CQ113" i="92"/>
  <c r="CQ92" i="92"/>
  <c r="CQ88" i="92"/>
  <c r="CQ30" i="92"/>
  <c r="CQ11" i="92"/>
  <c r="CQ93" i="92"/>
  <c r="CQ29" i="92"/>
  <c r="CQ131" i="92"/>
  <c r="CQ94" i="92"/>
  <c r="CQ15" i="92"/>
  <c r="CQ27" i="92"/>
  <c r="CQ32" i="92"/>
  <c r="CQ86" i="92"/>
  <c r="CQ68" i="92"/>
  <c r="CQ109" i="92"/>
  <c r="CQ119" i="92"/>
  <c r="CQ101" i="92"/>
  <c r="CQ122" i="92"/>
  <c r="CQ59" i="92"/>
  <c r="CQ56" i="92"/>
  <c r="CQ19" i="92"/>
  <c r="CQ43" i="92"/>
  <c r="CQ108" i="92"/>
  <c r="CQ16" i="92"/>
  <c r="CQ12" i="92"/>
  <c r="CQ13" i="92"/>
  <c r="CQ125" i="92"/>
  <c r="CQ118" i="92"/>
  <c r="CQ121" i="92"/>
  <c r="CQ20" i="92"/>
  <c r="CQ48" i="92"/>
  <c r="CQ22" i="92"/>
  <c r="CQ67" i="92"/>
  <c r="CQ36" i="92"/>
  <c r="CQ79" i="92"/>
  <c r="CQ25" i="92"/>
  <c r="CQ104" i="92"/>
  <c r="CQ71" i="92"/>
  <c r="CQ126" i="92"/>
  <c r="CM96" i="92"/>
  <c r="CM62" i="92"/>
  <c r="CM25" i="92"/>
  <c r="CM32" i="92"/>
  <c r="CM54" i="92"/>
  <c r="CM79" i="92"/>
  <c r="CM16" i="92"/>
  <c r="CM69" i="92"/>
  <c r="CM104" i="92"/>
  <c r="CM24" i="92"/>
  <c r="CM77" i="92"/>
  <c r="AC21" i="95"/>
  <c r="AB21" i="95"/>
  <c r="CM11" i="92"/>
  <c r="CM19" i="92"/>
  <c r="CM52" i="92"/>
  <c r="CM57" i="92"/>
  <c r="CM33" i="92"/>
  <c r="CM68" i="92"/>
  <c r="CM47" i="92"/>
  <c r="CM50" i="92"/>
  <c r="CM84" i="92"/>
  <c r="CM35" i="92"/>
  <c r="K20" i="95"/>
  <c r="CM90" i="92"/>
  <c r="I19" i="95"/>
  <c r="G19" i="95"/>
  <c r="CM26" i="92"/>
  <c r="CM98" i="92"/>
  <c r="CM64" i="92"/>
  <c r="CM75" i="92"/>
  <c r="CM14" i="92"/>
  <c r="CM65" i="92"/>
  <c r="CM92" i="92"/>
  <c r="CM106" i="92"/>
  <c r="CM20" i="92"/>
  <c r="CM128" i="92"/>
  <c r="CM66" i="92"/>
  <c r="CM28" i="92"/>
  <c r="CM124" i="92"/>
  <c r="CM18" i="92"/>
  <c r="CM31" i="92"/>
  <c r="CM97" i="92"/>
  <c r="CM73" i="92"/>
  <c r="CM111" i="92"/>
  <c r="CM41" i="92"/>
  <c r="CM51" i="92"/>
  <c r="CM59" i="92"/>
  <c r="CM6" i="92"/>
  <c r="CM53" i="92"/>
  <c r="CM129" i="92"/>
  <c r="J19" i="95"/>
  <c r="CM49" i="92"/>
  <c r="CM40" i="92"/>
  <c r="CM76" i="92"/>
  <c r="CM109" i="92"/>
  <c r="CM83" i="92"/>
  <c r="CM108" i="92"/>
  <c r="CM88" i="92"/>
  <c r="CM56" i="92"/>
  <c r="CM102" i="92"/>
  <c r="CM42" i="92"/>
  <c r="CM74" i="92"/>
  <c r="CM17" i="92"/>
  <c r="CM127" i="92"/>
  <c r="CM82" i="92"/>
  <c r="CM132" i="92"/>
  <c r="CM113" i="92"/>
  <c r="CM126" i="92"/>
  <c r="CM110" i="92"/>
  <c r="CM115" i="92"/>
  <c r="CM94" i="92"/>
  <c r="CM8" i="92"/>
  <c r="CM9" i="92"/>
  <c r="CM131" i="92"/>
  <c r="CM121" i="92"/>
  <c r="CM91" i="92"/>
  <c r="CM34" i="92"/>
  <c r="CM81" i="92"/>
  <c r="CM122" i="92"/>
  <c r="CM10" i="92"/>
  <c r="CM130" i="92"/>
  <c r="CM95" i="92"/>
  <c r="CM21" i="92"/>
  <c r="CM43" i="92"/>
  <c r="CM46" i="92"/>
  <c r="CM71" i="92"/>
  <c r="CM60" i="92"/>
  <c r="CM67" i="92"/>
  <c r="CM103" i="92"/>
  <c r="CM120" i="92"/>
  <c r="CM116" i="92"/>
  <c r="CM12" i="92"/>
  <c r="CM114" i="92"/>
  <c r="CM27" i="92"/>
  <c r="CM117" i="92"/>
  <c r="CM15" i="92"/>
  <c r="CM85" i="92"/>
  <c r="CM87" i="92"/>
  <c r="CM55" i="92"/>
  <c r="CM38" i="92"/>
  <c r="CM23" i="92"/>
  <c r="CM80" i="92"/>
  <c r="CM105" i="92"/>
  <c r="CM5" i="92"/>
  <c r="CM99" i="92"/>
  <c r="CN96" i="92"/>
  <c r="CN17" i="92"/>
  <c r="CH17" i="92" s="1"/>
  <c r="CI17" i="92" s="1"/>
  <c r="CN41" i="92"/>
  <c r="CN77" i="92"/>
  <c r="CH77" i="92" s="1"/>
  <c r="CI77" i="92" s="1"/>
  <c r="CN89" i="92"/>
  <c r="CN8" i="92"/>
  <c r="CN38" i="92"/>
  <c r="CN43" i="92"/>
  <c r="CN67" i="92"/>
  <c r="CH67" i="92" s="1"/>
  <c r="CI67" i="92" s="1"/>
  <c r="CN11" i="92"/>
  <c r="CH11" i="92" s="1"/>
  <c r="CI11" i="92" s="1"/>
  <c r="CN102" i="92"/>
  <c r="CH102" i="92" s="1"/>
  <c r="CI102" i="92" s="1"/>
  <c r="CN64" i="92"/>
  <c r="CH64" i="92" s="1"/>
  <c r="CI64" i="92" s="1"/>
  <c r="CN92" i="92"/>
  <c r="CN72" i="92"/>
  <c r="CN51" i="92"/>
  <c r="CH51" i="92" s="1"/>
  <c r="CI51" i="92" s="1"/>
  <c r="CR20" i="92"/>
  <c r="CR38" i="92"/>
  <c r="CR125" i="92"/>
  <c r="CR103" i="92"/>
  <c r="CR74" i="92"/>
  <c r="CR95" i="92"/>
  <c r="CR48" i="92"/>
  <c r="CR40" i="92"/>
  <c r="CR35" i="92"/>
  <c r="CR98" i="92"/>
  <c r="CR29" i="92"/>
  <c r="CS118" i="92"/>
  <c r="CS70" i="92"/>
  <c r="CN20" i="92"/>
  <c r="CN84" i="92"/>
  <c r="CN80" i="92"/>
  <c r="CN90" i="92"/>
  <c r="CN87" i="92"/>
  <c r="CN52" i="92"/>
  <c r="CH52" i="92" s="1"/>
  <c r="CI52" i="92" s="1"/>
  <c r="CN13" i="92"/>
  <c r="CH13" i="92" s="1"/>
  <c r="CI13" i="92" s="1"/>
  <c r="CN109" i="92"/>
  <c r="CH109" i="92" s="1"/>
  <c r="CI109" i="92" s="1"/>
  <c r="CN6" i="92"/>
  <c r="CR114" i="92"/>
  <c r="CR112" i="92"/>
  <c r="CR84" i="92"/>
  <c r="CR43" i="92"/>
  <c r="CR83" i="92"/>
  <c r="CR15" i="92"/>
  <c r="CR123" i="92"/>
  <c r="CR131" i="92"/>
  <c r="CR124" i="92"/>
  <c r="CR110" i="92"/>
  <c r="CR100" i="92"/>
  <c r="CS89" i="92"/>
  <c r="CN114" i="92"/>
  <c r="CN79" i="92"/>
  <c r="CH79" i="92" s="1"/>
  <c r="CI79" i="92" s="1"/>
  <c r="CN46" i="92"/>
  <c r="CN57" i="92"/>
  <c r="CH57" i="92" s="1"/>
  <c r="CI57" i="92" s="1"/>
  <c r="CN33" i="92"/>
  <c r="CN81" i="92"/>
  <c r="CN106" i="92"/>
  <c r="CH106" i="92" s="1"/>
  <c r="CI106" i="92" s="1"/>
  <c r="CN58" i="92"/>
  <c r="CH58" i="92" s="1"/>
  <c r="CI58" i="92" s="1"/>
  <c r="CN76" i="92"/>
  <c r="CH76" i="92" s="1"/>
  <c r="CI76" i="92" s="1"/>
  <c r="CN53" i="92"/>
  <c r="CH53" i="92" s="1"/>
  <c r="CI53" i="92" s="1"/>
  <c r="CN66" i="92"/>
  <c r="CR85" i="92"/>
  <c r="CR101" i="92"/>
  <c r="CR46" i="92"/>
  <c r="CR94" i="92"/>
  <c r="CR90" i="92"/>
  <c r="CR11" i="92"/>
  <c r="CR102" i="92"/>
  <c r="CR64" i="92"/>
  <c r="CR92" i="92"/>
  <c r="CR72" i="92"/>
  <c r="CR51" i="92"/>
  <c r="CS30" i="92"/>
  <c r="CN16" i="92"/>
  <c r="CH16" i="92" s="1"/>
  <c r="CI16" i="92" s="1"/>
  <c r="CN44" i="92"/>
  <c r="CH44" i="92" s="1"/>
  <c r="CI44" i="92" s="1"/>
  <c r="CN99" i="92"/>
  <c r="CH99" i="92" s="1"/>
  <c r="CI99" i="92" s="1"/>
  <c r="CN74" i="92"/>
  <c r="CN9" i="92"/>
  <c r="CN105" i="92"/>
  <c r="CN35" i="92"/>
  <c r="CN126" i="92"/>
  <c r="CH126" i="92" s="1"/>
  <c r="CI126" i="92" s="1"/>
  <c r="CR45" i="92"/>
  <c r="CR68" i="92"/>
  <c r="CR80" i="92"/>
  <c r="CR129" i="92"/>
  <c r="CR55" i="92"/>
  <c r="CR76" i="92"/>
  <c r="CR128" i="92"/>
  <c r="CS120" i="92"/>
  <c r="CN32" i="92"/>
  <c r="CN130" i="92"/>
  <c r="CN118" i="92"/>
  <c r="CH118" i="92" s="1"/>
  <c r="CI118" i="92" s="1"/>
  <c r="CN42" i="92"/>
  <c r="CH42" i="92" s="1"/>
  <c r="CI42" i="92" s="1"/>
  <c r="CN75" i="92"/>
  <c r="CH75" i="92" s="1"/>
  <c r="CI75" i="92" s="1"/>
  <c r="CN88" i="92"/>
  <c r="CH88" i="92" s="1"/>
  <c r="CI88" i="92" s="1"/>
  <c r="CN27" i="92"/>
  <c r="CR22" i="92"/>
  <c r="CR113" i="92"/>
  <c r="CR117" i="92"/>
  <c r="CR52" i="92"/>
  <c r="CR18" i="92"/>
  <c r="CR34" i="92"/>
  <c r="CR47" i="92"/>
  <c r="CS123" i="92"/>
  <c r="CN107" i="92"/>
  <c r="CN127" i="92"/>
  <c r="CH127" i="92" s="1"/>
  <c r="CI127" i="92" s="1"/>
  <c r="CN103" i="92"/>
  <c r="CH103" i="92" s="1"/>
  <c r="CI103" i="92" s="1"/>
  <c r="CN30" i="92"/>
  <c r="CH30" i="92" s="1"/>
  <c r="CI30" i="92" s="1"/>
  <c r="CN48" i="92"/>
  <c r="CN71" i="92"/>
  <c r="CN25" i="92"/>
  <c r="CR96" i="92"/>
  <c r="CR122" i="92"/>
  <c r="CR73" i="92"/>
  <c r="CR37" i="92"/>
  <c r="CR9" i="92"/>
  <c r="CR105" i="92"/>
  <c r="CR6" i="92"/>
  <c r="CR5" i="92"/>
  <c r="CN112" i="92"/>
  <c r="CN19" i="92"/>
  <c r="CN83" i="92"/>
  <c r="CN55" i="92"/>
  <c r="CN131" i="92"/>
  <c r="CN65" i="92"/>
  <c r="CN98" i="92"/>
  <c r="CH98" i="92" s="1"/>
  <c r="CI98" i="92" s="1"/>
  <c r="CR16" i="92"/>
  <c r="CR44" i="92"/>
  <c r="CR77" i="92"/>
  <c r="CR93" i="92"/>
  <c r="CR106" i="92"/>
  <c r="CR82" i="92"/>
  <c r="CR70" i="92"/>
  <c r="CS22" i="92"/>
  <c r="CS13" i="92"/>
  <c r="CN12" i="92"/>
  <c r="CN26" i="92"/>
  <c r="CH26" i="92" s="1"/>
  <c r="CI26" i="92" s="1"/>
  <c r="CN28" i="92"/>
  <c r="CH28" i="92" s="1"/>
  <c r="CI28" i="92" s="1"/>
  <c r="CN95" i="92"/>
  <c r="CH95" i="92" s="1"/>
  <c r="CI95" i="92" s="1"/>
  <c r="CN132" i="92"/>
  <c r="CN111" i="92"/>
  <c r="CH111" i="92" s="1"/>
  <c r="CI111" i="92" s="1"/>
  <c r="CN47" i="92"/>
  <c r="CR8" i="92"/>
  <c r="CR127" i="92"/>
  <c r="CR78" i="92"/>
  <c r="CR39" i="92"/>
  <c r="CR120" i="92"/>
  <c r="CR109" i="92"/>
  <c r="CR61" i="92"/>
  <c r="CS101" i="92"/>
  <c r="CN49" i="92"/>
  <c r="CN125" i="92"/>
  <c r="CN117" i="92"/>
  <c r="CN123" i="92"/>
  <c r="CN18" i="92"/>
  <c r="CH18" i="92" s="1"/>
  <c r="CI18" i="92" s="1"/>
  <c r="CN110" i="92"/>
  <c r="CN5" i="92"/>
  <c r="CR79" i="92"/>
  <c r="CR41" i="92"/>
  <c r="CR118" i="92"/>
  <c r="CR81" i="92"/>
  <c r="CR36" i="92"/>
  <c r="CR88" i="92"/>
  <c r="CR27" i="92"/>
  <c r="CS86" i="92"/>
  <c r="CS31" i="92"/>
  <c r="CN122" i="92"/>
  <c r="CN93" i="92"/>
  <c r="CN115" i="92"/>
  <c r="CN128" i="92"/>
  <c r="CH128" i="92" s="1"/>
  <c r="CI128" i="92" s="1"/>
  <c r="CR21" i="92"/>
  <c r="CR89" i="92"/>
  <c r="CR13" i="92"/>
  <c r="CR23" i="92"/>
  <c r="CN21" i="92"/>
  <c r="CH21" i="92" s="1"/>
  <c r="CI21" i="92" s="1"/>
  <c r="CN15" i="92"/>
  <c r="CN82" i="92"/>
  <c r="CN100" i="92"/>
  <c r="CR130" i="92"/>
  <c r="CR28" i="92"/>
  <c r="CR115" i="92"/>
  <c r="CR25" i="92"/>
  <c r="CN104" i="92"/>
  <c r="CN116" i="92"/>
  <c r="CH116" i="92" s="1"/>
  <c r="CI116" i="92" s="1"/>
  <c r="CN7" i="92"/>
  <c r="CH7" i="92" s="1"/>
  <c r="CI7" i="92" s="1"/>
  <c r="CN10" i="92"/>
  <c r="CN56" i="92"/>
  <c r="CH56" i="92" s="1"/>
  <c r="CI56" i="92" s="1"/>
  <c r="CR19" i="92"/>
  <c r="CR7" i="92"/>
  <c r="CR58" i="92"/>
  <c r="CR56" i="92"/>
  <c r="CN85" i="92"/>
  <c r="CH85" i="92" s="1"/>
  <c r="CI85" i="92" s="1"/>
  <c r="CN54" i="92"/>
  <c r="CN39" i="92"/>
  <c r="CN40" i="92"/>
  <c r="CN70" i="92"/>
  <c r="CH70" i="92" s="1"/>
  <c r="CI70" i="92" s="1"/>
  <c r="CR104" i="92"/>
  <c r="CR116" i="92"/>
  <c r="CR87" i="92"/>
  <c r="CR132" i="92"/>
  <c r="CS45" i="92"/>
  <c r="CN22" i="92"/>
  <c r="CN113" i="92"/>
  <c r="CN119" i="92"/>
  <c r="CN91" i="92"/>
  <c r="CN63" i="92"/>
  <c r="CR32" i="92"/>
  <c r="CR26" i="92"/>
  <c r="CR30" i="92"/>
  <c r="CR91" i="92"/>
  <c r="CR66" i="92"/>
  <c r="CS21" i="92"/>
  <c r="CN45" i="92"/>
  <c r="CH45" i="92" s="1"/>
  <c r="CI45" i="92" s="1"/>
  <c r="CN73" i="92"/>
  <c r="CN24" i="92"/>
  <c r="CH24" i="92" s="1"/>
  <c r="CI24" i="92" s="1"/>
  <c r="CN50" i="92"/>
  <c r="CN29" i="92"/>
  <c r="CR107" i="92"/>
  <c r="CR57" i="92"/>
  <c r="CR60" i="92"/>
  <c r="CR71" i="92"/>
  <c r="CR31" i="92"/>
  <c r="CS94" i="92"/>
  <c r="CN101" i="92"/>
  <c r="CH101" i="92" s="1"/>
  <c r="CI101" i="92" s="1"/>
  <c r="CN59" i="92"/>
  <c r="CN62" i="92"/>
  <c r="CN14" i="92"/>
  <c r="CR86" i="92"/>
  <c r="CR99" i="92"/>
  <c r="CR119" i="92"/>
  <c r="CR65" i="92"/>
  <c r="CR63" i="92"/>
  <c r="CS78" i="92"/>
  <c r="CN129" i="92"/>
  <c r="CH129" i="92" s="1"/>
  <c r="CI129" i="92" s="1"/>
  <c r="CN31" i="92"/>
  <c r="CR49" i="92"/>
  <c r="CR75" i="92"/>
  <c r="CN37" i="92"/>
  <c r="CN60" i="92"/>
  <c r="CN108" i="92"/>
  <c r="CR54" i="92"/>
  <c r="CR14" i="92"/>
  <c r="CN86" i="92"/>
  <c r="CH86" i="92" s="1"/>
  <c r="CI86" i="92" s="1"/>
  <c r="CN36" i="92"/>
  <c r="CH36" i="92" s="1"/>
  <c r="CI36" i="92" s="1"/>
  <c r="CR67" i="92"/>
  <c r="CR53" i="92"/>
  <c r="CS37" i="92"/>
  <c r="CN97" i="92"/>
  <c r="CH97" i="92" s="1"/>
  <c r="CI97" i="92" s="1"/>
  <c r="CR69" i="92"/>
  <c r="CR126" i="92"/>
  <c r="CS119" i="92"/>
  <c r="CN68" i="92"/>
  <c r="CN124" i="92"/>
  <c r="CR33" i="92"/>
  <c r="CS58" i="92"/>
  <c r="CR24" i="92"/>
  <c r="CS112" i="92"/>
  <c r="CN23" i="92"/>
  <c r="CH23" i="92" s="1"/>
  <c r="CI23" i="92" s="1"/>
  <c r="CR62" i="92"/>
  <c r="CS76" i="92"/>
  <c r="CN61" i="92"/>
  <c r="CR108" i="92"/>
  <c r="CR50" i="92"/>
  <c r="CN78" i="92"/>
  <c r="CR17" i="92"/>
  <c r="CN69" i="92"/>
  <c r="CR97" i="92"/>
  <c r="CR10" i="92"/>
  <c r="CN121" i="92"/>
  <c r="CR111" i="92"/>
  <c r="CR121" i="92"/>
  <c r="CN94" i="92"/>
  <c r="CR12" i="92"/>
  <c r="CN34" i="92"/>
  <c r="CR59" i="92"/>
  <c r="CR42" i="92"/>
  <c r="CR3" i="92"/>
  <c r="CN120" i="92"/>
  <c r="CS57" i="92"/>
  <c r="CS88" i="92"/>
  <c r="CS93" i="92"/>
  <c r="CS95" i="92"/>
  <c r="CS79" i="92"/>
  <c r="CS8" i="92"/>
  <c r="CS115" i="92"/>
  <c r="CS110" i="92"/>
  <c r="CS27" i="92"/>
  <c r="CS109" i="92"/>
  <c r="CS24" i="92"/>
  <c r="CS107" i="92"/>
  <c r="CS60" i="92"/>
  <c r="CS7" i="92"/>
  <c r="CS63" i="92"/>
  <c r="CS53" i="92"/>
  <c r="CS38" i="92"/>
  <c r="CS74" i="92"/>
  <c r="CS73" i="92"/>
  <c r="CS17" i="92"/>
  <c r="CS125" i="92"/>
  <c r="CS14" i="92"/>
  <c r="CS108" i="92"/>
  <c r="CS67" i="92"/>
  <c r="CS56" i="92"/>
  <c r="CS80" i="92"/>
  <c r="CS126" i="92"/>
  <c r="CS49" i="92"/>
  <c r="CS122" i="92"/>
  <c r="CS71" i="92"/>
  <c r="CS104" i="92"/>
  <c r="CS131" i="92"/>
  <c r="CS20" i="92"/>
  <c r="CS92" i="92"/>
  <c r="CS42" i="92"/>
  <c r="CS28" i="92"/>
  <c r="CS72" i="92"/>
  <c r="CS16" i="92"/>
  <c r="CS33" i="92"/>
  <c r="CS102" i="92"/>
  <c r="CS61" i="92"/>
  <c r="CS11" i="92"/>
  <c r="CS128" i="92"/>
  <c r="CS77" i="92"/>
  <c r="CS52" i="92"/>
  <c r="CS64" i="92"/>
  <c r="CS51" i="92"/>
  <c r="CS29" i="92"/>
  <c r="CS44" i="92"/>
  <c r="CS121" i="92"/>
  <c r="CS87" i="92"/>
  <c r="CS98" i="92"/>
  <c r="CS130" i="92"/>
  <c r="CS35" i="92"/>
  <c r="CS5" i="92"/>
  <c r="CS124" i="92"/>
  <c r="CS18" i="92"/>
  <c r="CS36" i="92"/>
  <c r="CS55" i="92"/>
  <c r="CS47" i="92"/>
  <c r="CS114" i="92"/>
  <c r="CS54" i="92"/>
  <c r="CS39" i="92"/>
  <c r="CS129" i="92"/>
  <c r="CS82" i="92"/>
  <c r="CS43" i="92"/>
  <c r="CS91" i="92"/>
  <c r="CS75" i="92"/>
  <c r="CS99" i="92"/>
  <c r="CS32" i="92"/>
  <c r="CS100" i="92"/>
  <c r="CS90" i="92"/>
  <c r="CS15" i="92"/>
  <c r="CS40" i="92"/>
  <c r="CS34" i="92"/>
  <c r="CS96" i="92"/>
  <c r="CS81" i="92"/>
  <c r="CS48" i="92"/>
  <c r="CS25" i="92"/>
  <c r="CS68" i="92"/>
  <c r="CS127" i="92"/>
  <c r="CS9" i="92"/>
  <c r="CS116" i="92"/>
  <c r="CS10" i="92"/>
  <c r="CS106" i="92"/>
  <c r="CS85" i="92"/>
  <c r="CS46" i="92"/>
  <c r="CS69" i="92"/>
  <c r="CS6" i="92"/>
  <c r="CS23" i="92"/>
  <c r="CS132" i="92"/>
  <c r="CS103" i="92"/>
  <c r="CS105" i="92"/>
  <c r="CS113" i="92"/>
  <c r="CS19" i="92"/>
  <c r="CS111" i="92"/>
  <c r="CS12" i="92"/>
  <c r="CS117" i="92"/>
  <c r="CS41" i="92"/>
  <c r="CS26" i="92"/>
  <c r="CS59" i="92"/>
  <c r="CS84" i="92"/>
  <c r="CS66" i="92"/>
  <c r="CS65" i="92"/>
  <c r="CS62" i="92"/>
  <c r="CS50" i="92"/>
  <c r="CS97" i="92"/>
  <c r="CS83" i="92"/>
  <c r="CT3" i="92"/>
  <c r="CS3" i="92"/>
  <c r="CU3" i="92"/>
  <c r="CH184" i="92" l="1"/>
  <c r="CI184" i="92" s="1"/>
  <c r="CH181" i="92"/>
  <c r="CI181" i="92" s="1"/>
  <c r="CH182" i="92"/>
  <c r="CI182" i="92" s="1"/>
  <c r="CH160" i="92"/>
  <c r="CI160" i="92" s="1"/>
  <c r="CH171" i="92"/>
  <c r="CI171" i="92" s="1"/>
  <c r="CT152" i="92"/>
  <c r="CH183" i="92"/>
  <c r="CI183" i="92" s="1"/>
  <c r="CH145" i="92"/>
  <c r="CI145" i="92" s="1"/>
  <c r="CT146" i="92"/>
  <c r="CU181" i="92"/>
  <c r="CU167" i="92"/>
  <c r="CO167" i="92" s="1"/>
  <c r="CP167" i="92" s="1"/>
  <c r="CU159" i="92"/>
  <c r="CO159" i="92" s="1"/>
  <c r="CP159" i="92" s="1"/>
  <c r="CU145" i="92"/>
  <c r="CX179" i="92"/>
  <c r="CX170" i="92"/>
  <c r="CX157" i="92"/>
  <c r="CX149" i="92"/>
  <c r="CX134" i="92"/>
  <c r="CY178" i="92"/>
  <c r="CY164" i="92"/>
  <c r="CY153" i="92"/>
  <c r="CY141" i="92"/>
  <c r="CZ179" i="92"/>
  <c r="CZ170" i="92"/>
  <c r="CZ157" i="92"/>
  <c r="CZ149" i="92"/>
  <c r="CU178" i="92"/>
  <c r="CU162" i="92"/>
  <c r="CO162" i="92" s="1"/>
  <c r="CP162" i="92" s="1"/>
  <c r="CU151" i="92"/>
  <c r="CO151" i="92" s="1"/>
  <c r="CP151" i="92" s="1"/>
  <c r="CU135" i="92"/>
  <c r="CO135" i="92" s="1"/>
  <c r="CP135" i="92" s="1"/>
  <c r="CX175" i="92"/>
  <c r="CX160" i="92"/>
  <c r="CX148" i="92"/>
  <c r="CX139" i="92"/>
  <c r="CY173" i="92"/>
  <c r="CY165" i="92"/>
  <c r="CY147" i="92"/>
  <c r="CY136" i="92"/>
  <c r="CZ178" i="92"/>
  <c r="CZ162" i="92"/>
  <c r="CZ151" i="92"/>
  <c r="CZ135" i="92"/>
  <c r="CU173" i="92"/>
  <c r="CU165" i="92"/>
  <c r="CU147" i="92"/>
  <c r="CU136" i="92"/>
  <c r="CX185" i="92"/>
  <c r="CX168" i="92"/>
  <c r="CX156" i="92"/>
  <c r="CX144" i="92"/>
  <c r="CY184" i="92"/>
  <c r="CY176" i="92"/>
  <c r="CY161" i="92"/>
  <c r="CY149" i="92"/>
  <c r="CY139" i="92"/>
  <c r="CZ173" i="92"/>
  <c r="CZ165" i="92"/>
  <c r="CZ147" i="92"/>
  <c r="CZ136" i="92"/>
  <c r="CU180" i="92"/>
  <c r="CO180" i="92" s="1"/>
  <c r="CP180" i="92" s="1"/>
  <c r="CU164" i="92"/>
  <c r="CU148" i="92"/>
  <c r="CU133" i="92"/>
  <c r="CX178" i="92"/>
  <c r="CX165" i="92"/>
  <c r="CX145" i="92"/>
  <c r="CY179" i="92"/>
  <c r="CY167" i="92"/>
  <c r="CY150" i="92"/>
  <c r="CY138" i="92"/>
  <c r="CZ175" i="92"/>
  <c r="CZ156" i="92"/>
  <c r="CZ143" i="92"/>
  <c r="CU183" i="92"/>
  <c r="CU163" i="92"/>
  <c r="CU149" i="92"/>
  <c r="CO149" i="92" s="1"/>
  <c r="CP149" i="92" s="1"/>
  <c r="CX174" i="92"/>
  <c r="CX161" i="92"/>
  <c r="CX143" i="92"/>
  <c r="CY182" i="92"/>
  <c r="CY169" i="92"/>
  <c r="CY151" i="92"/>
  <c r="CY134" i="92"/>
  <c r="CZ176" i="92"/>
  <c r="CZ158" i="92"/>
  <c r="CZ142" i="92"/>
  <c r="CU177" i="92"/>
  <c r="CU160" i="92"/>
  <c r="DA160" i="92" s="1"/>
  <c r="CU146" i="92"/>
  <c r="CO146" i="92" s="1"/>
  <c r="CP146" i="92" s="1"/>
  <c r="CX173" i="92"/>
  <c r="CX158" i="92"/>
  <c r="CX142" i="92"/>
  <c r="CY180" i="92"/>
  <c r="CY166" i="92"/>
  <c r="CY152" i="92"/>
  <c r="CY133" i="92"/>
  <c r="CZ168" i="92"/>
  <c r="CZ159" i="92"/>
  <c r="CZ141" i="92"/>
  <c r="CU182" i="92"/>
  <c r="CO182" i="92" s="1"/>
  <c r="CP182" i="92" s="1"/>
  <c r="CU156" i="92"/>
  <c r="CO156" i="92" s="1"/>
  <c r="CP156" i="92" s="1"/>
  <c r="CU137" i="92"/>
  <c r="CO137" i="92" s="1"/>
  <c r="CP137" i="92" s="1"/>
  <c r="CX171" i="92"/>
  <c r="CX151" i="92"/>
  <c r="CY186" i="92"/>
  <c r="CY160" i="92"/>
  <c r="CY142" i="92"/>
  <c r="CZ174" i="92"/>
  <c r="CZ153" i="92"/>
  <c r="CZ133" i="92"/>
  <c r="CY188" i="92"/>
  <c r="CU174" i="92"/>
  <c r="CO174" i="92" s="1"/>
  <c r="CP174" i="92" s="1"/>
  <c r="CU158" i="92"/>
  <c r="CO158" i="92" s="1"/>
  <c r="CP158" i="92" s="1"/>
  <c r="CU138" i="92"/>
  <c r="CX167" i="92"/>
  <c r="CX152" i="92"/>
  <c r="CY181" i="92"/>
  <c r="CY157" i="92"/>
  <c r="CY140" i="92"/>
  <c r="CZ172" i="92"/>
  <c r="CZ150" i="92"/>
  <c r="CU170" i="92"/>
  <c r="CU150" i="92"/>
  <c r="CO150" i="92" s="1"/>
  <c r="CP150" i="92" s="1"/>
  <c r="CX182" i="92"/>
  <c r="CX162" i="92"/>
  <c r="CX140" i="92"/>
  <c r="CY175" i="92"/>
  <c r="CY154" i="92"/>
  <c r="CZ185" i="92"/>
  <c r="CZ166" i="92"/>
  <c r="CZ144" i="92"/>
  <c r="CU176" i="92"/>
  <c r="CO176" i="92" s="1"/>
  <c r="CP176" i="92" s="1"/>
  <c r="CU144" i="92"/>
  <c r="CX166" i="92"/>
  <c r="CX135" i="92"/>
  <c r="CY162" i="92"/>
  <c r="CY135" i="92"/>
  <c r="CZ163" i="92"/>
  <c r="CZ134" i="92"/>
  <c r="CU168" i="92"/>
  <c r="DA168" i="92" s="1"/>
  <c r="CU143" i="92"/>
  <c r="CX164" i="92"/>
  <c r="CX138" i="92"/>
  <c r="CY163" i="92"/>
  <c r="CZ184" i="92"/>
  <c r="CZ160" i="92"/>
  <c r="CZ139" i="92"/>
  <c r="CZ187" i="92"/>
  <c r="CU142" i="92"/>
  <c r="CO142" i="92" s="1"/>
  <c r="CP142" i="92" s="1"/>
  <c r="CU172" i="92"/>
  <c r="CX163" i="92"/>
  <c r="CX136" i="92"/>
  <c r="CY156" i="92"/>
  <c r="CZ186" i="92"/>
  <c r="CZ161" i="92"/>
  <c r="CZ188" i="92"/>
  <c r="CU184" i="92"/>
  <c r="CO184" i="92" s="1"/>
  <c r="CP184" i="92" s="1"/>
  <c r="CU157" i="92"/>
  <c r="CX183" i="92"/>
  <c r="CX150" i="92"/>
  <c r="CY174" i="92"/>
  <c r="CY146" i="92"/>
  <c r="CZ177" i="92"/>
  <c r="CZ146" i="92"/>
  <c r="CU166" i="92"/>
  <c r="CX155" i="92"/>
  <c r="CY172" i="92"/>
  <c r="CZ181" i="92"/>
  <c r="CZ137" i="92"/>
  <c r="CU188" i="92"/>
  <c r="CO188" i="92" s="1"/>
  <c r="CP188" i="92" s="1"/>
  <c r="CU154" i="92"/>
  <c r="CO154" i="92" s="1"/>
  <c r="CP154" i="92" s="1"/>
  <c r="CX147" i="92"/>
  <c r="CU161" i="92"/>
  <c r="CO161" i="92" s="1"/>
  <c r="CP161" i="92" s="1"/>
  <c r="CX153" i="92"/>
  <c r="CY171" i="92"/>
  <c r="CZ183" i="92"/>
  <c r="CZ138" i="92"/>
  <c r="CX187" i="92"/>
  <c r="CX184" i="92"/>
  <c r="CY158" i="92"/>
  <c r="CZ171" i="92"/>
  <c r="CX188" i="92"/>
  <c r="CU152" i="92"/>
  <c r="CX181" i="92"/>
  <c r="CX137" i="92"/>
  <c r="CY148" i="92"/>
  <c r="CZ164" i="92"/>
  <c r="CU185" i="92"/>
  <c r="CO185" i="92" s="1"/>
  <c r="CP185" i="92" s="1"/>
  <c r="CU141" i="92"/>
  <c r="CX177" i="92"/>
  <c r="CX133" i="92"/>
  <c r="CY144" i="92"/>
  <c r="CZ154" i="92"/>
  <c r="CU186" i="92"/>
  <c r="CU140" i="92"/>
  <c r="CX176" i="92"/>
  <c r="CY185" i="92"/>
  <c r="CY145" i="92"/>
  <c r="CZ155" i="92"/>
  <c r="CU139" i="92"/>
  <c r="CO139" i="92" s="1"/>
  <c r="CP139" i="92" s="1"/>
  <c r="CY177" i="92"/>
  <c r="CZ148" i="92"/>
  <c r="CY168" i="92"/>
  <c r="CZ145" i="92"/>
  <c r="CY170" i="92"/>
  <c r="CZ140" i="92"/>
  <c r="CU179" i="92"/>
  <c r="CO179" i="92" s="1"/>
  <c r="CP179" i="92" s="1"/>
  <c r="CX172" i="92"/>
  <c r="CY143" i="92"/>
  <c r="CU187" i="92"/>
  <c r="CU155" i="92"/>
  <c r="CO155" i="92" s="1"/>
  <c r="CP155" i="92" s="1"/>
  <c r="CU175" i="92"/>
  <c r="CO175" i="92" s="1"/>
  <c r="CP175" i="92" s="1"/>
  <c r="CX169" i="92"/>
  <c r="CY137" i="92"/>
  <c r="CY187" i="92"/>
  <c r="CX154" i="92"/>
  <c r="CZ167" i="92"/>
  <c r="CU171" i="92"/>
  <c r="CX159" i="92"/>
  <c r="CZ182" i="92"/>
  <c r="CU169" i="92"/>
  <c r="CO169" i="92" s="1"/>
  <c r="CP169" i="92" s="1"/>
  <c r="CZ180" i="92"/>
  <c r="CX146" i="92"/>
  <c r="CU153" i="92"/>
  <c r="CO153" i="92" s="1"/>
  <c r="CP153" i="92" s="1"/>
  <c r="CX141" i="92"/>
  <c r="CZ169" i="92"/>
  <c r="CU134" i="92"/>
  <c r="CX186" i="92"/>
  <c r="CY183" i="92"/>
  <c r="CY159" i="92"/>
  <c r="CZ152" i="92"/>
  <c r="CX180" i="92"/>
  <c r="CY155" i="92"/>
  <c r="CU1" i="92"/>
  <c r="CT2" i="92"/>
  <c r="CO2" i="92"/>
  <c r="CP2" i="92"/>
  <c r="CR2" i="92"/>
  <c r="CN2" i="92"/>
  <c r="CQ2" i="92"/>
  <c r="CS2" i="92"/>
  <c r="CO145" i="92"/>
  <c r="CP145" i="92" s="1"/>
  <c r="CT145" i="92"/>
  <c r="CT160" i="92"/>
  <c r="CO160" i="92"/>
  <c r="CP160" i="92" s="1"/>
  <c r="CT165" i="92"/>
  <c r="CO165" i="92"/>
  <c r="CP165" i="92" s="1"/>
  <c r="CT168" i="92"/>
  <c r="CO168" i="92"/>
  <c r="CP168" i="92" s="1"/>
  <c r="CT178" i="92"/>
  <c r="CO178" i="92"/>
  <c r="CP178" i="92" s="1"/>
  <c r="CT182" i="92"/>
  <c r="CT136" i="92"/>
  <c r="CT179" i="92"/>
  <c r="CH140" i="92"/>
  <c r="CI140" i="92" s="1"/>
  <c r="CT140" i="92"/>
  <c r="CT151" i="92"/>
  <c r="CT159" i="92"/>
  <c r="CT158" i="92"/>
  <c r="CT154" i="92"/>
  <c r="CT185" i="92"/>
  <c r="CT187" i="92"/>
  <c r="CT138" i="92"/>
  <c r="CT169" i="92"/>
  <c r="CT135" i="92"/>
  <c r="CT171" i="92"/>
  <c r="CO171" i="92"/>
  <c r="CP171" i="92" s="1"/>
  <c r="CT137" i="92"/>
  <c r="CT172" i="92"/>
  <c r="CT141" i="92"/>
  <c r="CT167" i="92"/>
  <c r="CT150" i="92"/>
  <c r="CT175" i="92"/>
  <c r="CT188" i="92"/>
  <c r="CH153" i="92"/>
  <c r="CI153" i="92" s="1"/>
  <c r="CT153" i="92"/>
  <c r="CH174" i="92"/>
  <c r="CI174" i="92" s="1"/>
  <c r="CT174" i="92"/>
  <c r="CO143" i="92"/>
  <c r="CP143" i="92" s="1"/>
  <c r="CT143" i="92"/>
  <c r="CH157" i="92"/>
  <c r="CI157" i="92" s="1"/>
  <c r="CT157" i="92"/>
  <c r="CT173" i="92"/>
  <c r="CO173" i="92"/>
  <c r="CP173" i="92" s="1"/>
  <c r="CT148" i="92"/>
  <c r="CO148" i="92"/>
  <c r="CP148" i="92" s="1"/>
  <c r="CO163" i="92"/>
  <c r="CP163" i="92" s="1"/>
  <c r="CT163" i="92"/>
  <c r="CT183" i="92"/>
  <c r="CO183" i="92"/>
  <c r="CP183" i="92" s="1"/>
  <c r="CT133" i="92"/>
  <c r="CO133" i="92"/>
  <c r="CP133" i="92" s="1"/>
  <c r="CT147" i="92"/>
  <c r="CO147" i="92"/>
  <c r="CP147" i="92" s="1"/>
  <c r="CT162" i="92"/>
  <c r="CT181" i="92"/>
  <c r="CT134" i="92"/>
  <c r="CT164" i="92"/>
  <c r="CO164" i="92"/>
  <c r="CP164" i="92" s="1"/>
  <c r="CT180" i="92"/>
  <c r="CH144" i="92"/>
  <c r="CI144" i="92" s="1"/>
  <c r="CT144" i="92"/>
  <c r="CO144" i="92"/>
  <c r="CP144" i="92" s="1"/>
  <c r="CT156" i="92"/>
  <c r="CT170" i="92"/>
  <c r="CO170" i="92"/>
  <c r="CP170" i="92" s="1"/>
  <c r="CO186" i="92"/>
  <c r="CP186" i="92" s="1"/>
  <c r="CT186" i="92"/>
  <c r="CT139" i="92"/>
  <c r="CH149" i="92"/>
  <c r="CI149" i="92" s="1"/>
  <c r="CT149" i="92"/>
  <c r="CT161" i="92"/>
  <c r="CT176" i="92"/>
  <c r="CT184" i="92"/>
  <c r="CT142" i="92"/>
  <c r="CH155" i="92"/>
  <c r="CI155" i="92" s="1"/>
  <c r="CT155" i="92"/>
  <c r="CT166" i="92"/>
  <c r="CO166" i="92"/>
  <c r="CP166" i="92" s="1"/>
  <c r="CO177" i="92"/>
  <c r="CP177" i="92" s="1"/>
  <c r="CT177" i="92"/>
  <c r="CT5" i="92"/>
  <c r="CT96" i="92"/>
  <c r="CT6" i="92"/>
  <c r="CH82" i="92"/>
  <c r="CI82" i="92" s="1"/>
  <c r="CT52" i="92"/>
  <c r="CT20" i="92"/>
  <c r="CH92" i="92"/>
  <c r="CI92" i="92" s="1"/>
  <c r="CH120" i="92"/>
  <c r="CI120" i="92" s="1"/>
  <c r="CT127" i="92"/>
  <c r="CT33" i="92"/>
  <c r="H20" i="95"/>
  <c r="CT53" i="92"/>
  <c r="CT23" i="92"/>
  <c r="CT72" i="92"/>
  <c r="CT92" i="92"/>
  <c r="CT78" i="92"/>
  <c r="CH43" i="92"/>
  <c r="CI43" i="92" s="1"/>
  <c r="CH40" i="92"/>
  <c r="CI40" i="92" s="1"/>
  <c r="CH80" i="92"/>
  <c r="CI80" i="92" s="1"/>
  <c r="CH38" i="92"/>
  <c r="CI38" i="92" s="1"/>
  <c r="CH105" i="92"/>
  <c r="CI105" i="92" s="1"/>
  <c r="CT119" i="92"/>
  <c r="CH81" i="92"/>
  <c r="CI81" i="92" s="1"/>
  <c r="CH55" i="92"/>
  <c r="CI55" i="92" s="1"/>
  <c r="CH130" i="92"/>
  <c r="CI130" i="92" s="1"/>
  <c r="CT94" i="92"/>
  <c r="CT89" i="92"/>
  <c r="CH61" i="92"/>
  <c r="CI61" i="92" s="1"/>
  <c r="CH54" i="92"/>
  <c r="CI54" i="92" s="1"/>
  <c r="CH68" i="92"/>
  <c r="CI68" i="92" s="1"/>
  <c r="CT37" i="92"/>
  <c r="CT22" i="92"/>
  <c r="CH14" i="92"/>
  <c r="CI14" i="92" s="1"/>
  <c r="CH119" i="92"/>
  <c r="CI119" i="92" s="1"/>
  <c r="CH25" i="92"/>
  <c r="CI25" i="92" s="1"/>
  <c r="CH37" i="92"/>
  <c r="CI37" i="92" s="1"/>
  <c r="CH89" i="92"/>
  <c r="CI89" i="92" s="1"/>
  <c r="CH78" i="92"/>
  <c r="CI78" i="92" s="1"/>
  <c r="CT45" i="92"/>
  <c r="CT123" i="92"/>
  <c r="CT112" i="92"/>
  <c r="CH83" i="92"/>
  <c r="CI83" i="92" s="1"/>
  <c r="CH65" i="92"/>
  <c r="CI65" i="92" s="1"/>
  <c r="CH46" i="92"/>
  <c r="CI46" i="92" s="1"/>
  <c r="CT101" i="92"/>
  <c r="CT30" i="92"/>
  <c r="CH35" i="92"/>
  <c r="CI35" i="92" s="1"/>
  <c r="CH93" i="92"/>
  <c r="CI93" i="92" s="1"/>
  <c r="CH73" i="92"/>
  <c r="CI73" i="92" s="1"/>
  <c r="CH110" i="92"/>
  <c r="CI110" i="92" s="1"/>
  <c r="CH100" i="92"/>
  <c r="CI100" i="92" s="1"/>
  <c r="CH113" i="92"/>
  <c r="CI113" i="92" s="1"/>
  <c r="CH94" i="92"/>
  <c r="CI94" i="92" s="1"/>
  <c r="CH108" i="92"/>
  <c r="CI108" i="92" s="1"/>
  <c r="CH22" i="92"/>
  <c r="CI22" i="92" s="1"/>
  <c r="CT31" i="92"/>
  <c r="CH8" i="92"/>
  <c r="CI8" i="92" s="1"/>
  <c r="CH84" i="92"/>
  <c r="CI84" i="92" s="1"/>
  <c r="CH15" i="92"/>
  <c r="CI15" i="92" s="1"/>
  <c r="CH5" i="92"/>
  <c r="CI5" i="92" s="1"/>
  <c r="CH60" i="92"/>
  <c r="CI60" i="92" s="1"/>
  <c r="CH90" i="92"/>
  <c r="CI90" i="92" s="1"/>
  <c r="CH50" i="92"/>
  <c r="CI50" i="92" s="1"/>
  <c r="CT21" i="92"/>
  <c r="CH33" i="92"/>
  <c r="CI33" i="92" s="1"/>
  <c r="CH20" i="92"/>
  <c r="CI20" i="92" s="1"/>
  <c r="CH72" i="92"/>
  <c r="CI72" i="92" s="1"/>
  <c r="CH115" i="92"/>
  <c r="CI115" i="92" s="1"/>
  <c r="CH71" i="92"/>
  <c r="CI71" i="92" s="1"/>
  <c r="CH123" i="92"/>
  <c r="CI123" i="92" s="1"/>
  <c r="CH31" i="92"/>
  <c r="CI31" i="92" s="1"/>
  <c r="CH124" i="92"/>
  <c r="CI124" i="92" s="1"/>
  <c r="CH125" i="92"/>
  <c r="CI125" i="92" s="1"/>
  <c r="CH9" i="92"/>
  <c r="CI9" i="92" s="1"/>
  <c r="CH96" i="92"/>
  <c r="CI96" i="92" s="1"/>
  <c r="CH12" i="92"/>
  <c r="CI12" i="92" s="1"/>
  <c r="CT120" i="92"/>
  <c r="CT76" i="92"/>
  <c r="CT13" i="92"/>
  <c r="CH41" i="92"/>
  <c r="CI41" i="92" s="1"/>
  <c r="CH59" i="92"/>
  <c r="CI59" i="92" s="1"/>
  <c r="CH29" i="92"/>
  <c r="CI29" i="92" s="1"/>
  <c r="CH63" i="92"/>
  <c r="CI63" i="92" s="1"/>
  <c r="CH48" i="92"/>
  <c r="CI48" i="92" s="1"/>
  <c r="CH6" i="92"/>
  <c r="CI6" i="92" s="1"/>
  <c r="CH132" i="92"/>
  <c r="CI132" i="92" s="1"/>
  <c r="CH62" i="92"/>
  <c r="CI62" i="92" s="1"/>
  <c r="CH49" i="92"/>
  <c r="CI49" i="92" s="1"/>
  <c r="CT58" i="92"/>
  <c r="CH32" i="92"/>
  <c r="CI32" i="92" s="1"/>
  <c r="CH117" i="92"/>
  <c r="CI117" i="92" s="1"/>
  <c r="CH122" i="92"/>
  <c r="CI122" i="92" s="1"/>
  <c r="CH69" i="92"/>
  <c r="CI69" i="92" s="1"/>
  <c r="CH74" i="92"/>
  <c r="CI74" i="92" s="1"/>
  <c r="CH91" i="92"/>
  <c r="CI91" i="92" s="1"/>
  <c r="CH66" i="92"/>
  <c r="CI66" i="92" s="1"/>
  <c r="CH39" i="92"/>
  <c r="CI39" i="92" s="1"/>
  <c r="CH121" i="92"/>
  <c r="CI121" i="92" s="1"/>
  <c r="CH104" i="92"/>
  <c r="CI104" i="92" s="1"/>
  <c r="CT86" i="92"/>
  <c r="CT70" i="92"/>
  <c r="CT118" i="92"/>
  <c r="CH107" i="92"/>
  <c r="CI107" i="92" s="1"/>
  <c r="CH19" i="92"/>
  <c r="CI19" i="92" s="1"/>
  <c r="CH87" i="92"/>
  <c r="CI87" i="92" s="1"/>
  <c r="CH34" i="92"/>
  <c r="CI34" i="92" s="1"/>
  <c r="CH131" i="92"/>
  <c r="CI131" i="92" s="1"/>
  <c r="CH114" i="92"/>
  <c r="CI114" i="92" s="1"/>
  <c r="CH112" i="92"/>
  <c r="CI112" i="92" s="1"/>
  <c r="CH27" i="92"/>
  <c r="CI27" i="92" s="1"/>
  <c r="CH47" i="92"/>
  <c r="CI47" i="92" s="1"/>
  <c r="CH10" i="92"/>
  <c r="CI10" i="92" s="1"/>
  <c r="CX31" i="92"/>
  <c r="CX84" i="92"/>
  <c r="CX76" i="92"/>
  <c r="CX96" i="92"/>
  <c r="CX57" i="92"/>
  <c r="CX115" i="92"/>
  <c r="CX127" i="92"/>
  <c r="CX99" i="92"/>
  <c r="CX24" i="92"/>
  <c r="CX52" i="92"/>
  <c r="CX85" i="92"/>
  <c r="CX121" i="92"/>
  <c r="CX8" i="92"/>
  <c r="CX42" i="92"/>
  <c r="CX88" i="92"/>
  <c r="CX116" i="92"/>
  <c r="CX94" i="92"/>
  <c r="CX49" i="92"/>
  <c r="CX106" i="92"/>
  <c r="CX67" i="92"/>
  <c r="CX30" i="92"/>
  <c r="CX64" i="92"/>
  <c r="CX6" i="92"/>
  <c r="CX27" i="92"/>
  <c r="CX61" i="92"/>
  <c r="CX113" i="92"/>
  <c r="CX118" i="92"/>
  <c r="CX100" i="92"/>
  <c r="CX28" i="92"/>
  <c r="CX103" i="92"/>
  <c r="CX130" i="92"/>
  <c r="CX41" i="92"/>
  <c r="CX11" i="92"/>
  <c r="CX124" i="92"/>
  <c r="CX91" i="92"/>
  <c r="CX16" i="92"/>
  <c r="CX92" i="92"/>
  <c r="CX89" i="92"/>
  <c r="CX128" i="92"/>
  <c r="CX62" i="92"/>
  <c r="CX51" i="92"/>
  <c r="CX97" i="92"/>
  <c r="CX18" i="92"/>
  <c r="CX80" i="92"/>
  <c r="CX10" i="92"/>
  <c r="CX12" i="92"/>
  <c r="CX59" i="92"/>
  <c r="CX14" i="92"/>
  <c r="CX109" i="92"/>
  <c r="CX29" i="92"/>
  <c r="CX54" i="92"/>
  <c r="CX55" i="92"/>
  <c r="CX95" i="92"/>
  <c r="CX129" i="92"/>
  <c r="CX86" i="92"/>
  <c r="CX19" i="92"/>
  <c r="CX35" i="92"/>
  <c r="CX70" i="92"/>
  <c r="CX36" i="92"/>
  <c r="CX104" i="92"/>
  <c r="CX132" i="92"/>
  <c r="CX38" i="92"/>
  <c r="CX40" i="92"/>
  <c r="CX110" i="92"/>
  <c r="CW3" i="92"/>
  <c r="CX112" i="92"/>
  <c r="CX87" i="92"/>
  <c r="CX131" i="92"/>
  <c r="CX46" i="92"/>
  <c r="CV3" i="92"/>
  <c r="CX101" i="92"/>
  <c r="CX102" i="92"/>
  <c r="CX58" i="92"/>
  <c r="CX77" i="92"/>
  <c r="CX34" i="92"/>
  <c r="CX105" i="92"/>
  <c r="CX63" i="92"/>
  <c r="CX107" i="92"/>
  <c r="CX119" i="92"/>
  <c r="CX50" i="92"/>
  <c r="CX111" i="92"/>
  <c r="CX39" i="92"/>
  <c r="CX43" i="92"/>
  <c r="CX78" i="92"/>
  <c r="CX123" i="92"/>
  <c r="CX7" i="92"/>
  <c r="CX9" i="92"/>
  <c r="CX15" i="92"/>
  <c r="CX56" i="92"/>
  <c r="CX75" i="92"/>
  <c r="CX114" i="92"/>
  <c r="CX44" i="92"/>
  <c r="CX122" i="92"/>
  <c r="CX21" i="92"/>
  <c r="CX33" i="92"/>
  <c r="CX60" i="92"/>
  <c r="CX5" i="92"/>
  <c r="CX120" i="92"/>
  <c r="CX20" i="92"/>
  <c r="CX69" i="92"/>
  <c r="CX68" i="92"/>
  <c r="CX32" i="92"/>
  <c r="CX98" i="92"/>
  <c r="CX93" i="92"/>
  <c r="CX82" i="92"/>
  <c r="CX3" i="92"/>
  <c r="CX26" i="92"/>
  <c r="CX72" i="92"/>
  <c r="CX48" i="92"/>
  <c r="CX71" i="92"/>
  <c r="CX90" i="92"/>
  <c r="CX74" i="92"/>
  <c r="CX117" i="92"/>
  <c r="CX73" i="92"/>
  <c r="CX17" i="92"/>
  <c r="CX65" i="92"/>
  <c r="CX23" i="92"/>
  <c r="CX25" i="92"/>
  <c r="CX22" i="92"/>
  <c r="CX125" i="92"/>
  <c r="CX47" i="92"/>
  <c r="CX83" i="92"/>
  <c r="CX66" i="92"/>
  <c r="CX53" i="92"/>
  <c r="CX108" i="92"/>
  <c r="CX13" i="92"/>
  <c r="CX37" i="92"/>
  <c r="CX126" i="92"/>
  <c r="CX45" i="92"/>
  <c r="CX81" i="92"/>
  <c r="CX79" i="92"/>
  <c r="CT106" i="92"/>
  <c r="CT87" i="92"/>
  <c r="CT90" i="92"/>
  <c r="CT50" i="92"/>
  <c r="CT43" i="92"/>
  <c r="CT65" i="92"/>
  <c r="CT104" i="92"/>
  <c r="CT34" i="92"/>
  <c r="CT95" i="92"/>
  <c r="CT14" i="92"/>
  <c r="CT103" i="92"/>
  <c r="CT16" i="92"/>
  <c r="CT44" i="92"/>
  <c r="CT47" i="92"/>
  <c r="CT67" i="92"/>
  <c r="AB20" i="95"/>
  <c r="G18" i="95"/>
  <c r="J18" i="95"/>
  <c r="AD19" i="95" s="1"/>
  <c r="K19" i="95"/>
  <c r="I18" i="95"/>
  <c r="CT25" i="92"/>
  <c r="CT8" i="92"/>
  <c r="CT32" i="92"/>
  <c r="CT110" i="92"/>
  <c r="CT82" i="92"/>
  <c r="CT59" i="92"/>
  <c r="CT38" i="92"/>
  <c r="CT80" i="92"/>
  <c r="CT24" i="92"/>
  <c r="CT111" i="92"/>
  <c r="CT128" i="92"/>
  <c r="CT108" i="92"/>
  <c r="CT99" i="92"/>
  <c r="CT79" i="92"/>
  <c r="CT105" i="92"/>
  <c r="CT46" i="92"/>
  <c r="CT12" i="92"/>
  <c r="CT17" i="92"/>
  <c r="CT42" i="92"/>
  <c r="CT19" i="92"/>
  <c r="CT35" i="92"/>
  <c r="CT40" i="92"/>
  <c r="CT11" i="92"/>
  <c r="CT62" i="92"/>
  <c r="CT74" i="92"/>
  <c r="CT85" i="92"/>
  <c r="CT66" i="92"/>
  <c r="CT102" i="92"/>
  <c r="CT97" i="92"/>
  <c r="AC20" i="95"/>
  <c r="AD20" i="95"/>
  <c r="CT64" i="92"/>
  <c r="CT7" i="92"/>
  <c r="CT115" i="92"/>
  <c r="CT84" i="92"/>
  <c r="CT132" i="92"/>
  <c r="CT57" i="92"/>
  <c r="CT41" i="92"/>
  <c r="CT75" i="92"/>
  <c r="CT73" i="92"/>
  <c r="CT51" i="92"/>
  <c r="CT83" i="92"/>
  <c r="CT116" i="92"/>
  <c r="CT39" i="92"/>
  <c r="CT126" i="92"/>
  <c r="CT63" i="92"/>
  <c r="CT109" i="92"/>
  <c r="CT130" i="92"/>
  <c r="CT113" i="92"/>
  <c r="CT129" i="92"/>
  <c r="CT10" i="92"/>
  <c r="CT15" i="92"/>
  <c r="CT98" i="92"/>
  <c r="CT49" i="92"/>
  <c r="CT69" i="92"/>
  <c r="CT54" i="92"/>
  <c r="CT60" i="92"/>
  <c r="CT9" i="92"/>
  <c r="CT121" i="92"/>
  <c r="CT114" i="92"/>
  <c r="CT56" i="92"/>
  <c r="CT26" i="92"/>
  <c r="CT100" i="92"/>
  <c r="CT29" i="92"/>
  <c r="CT107" i="92"/>
  <c r="CT93" i="92"/>
  <c r="CT117" i="92"/>
  <c r="CT27" i="92"/>
  <c r="CT81" i="92"/>
  <c r="CT91" i="92"/>
  <c r="CT124" i="92"/>
  <c r="CT131" i="92"/>
  <c r="CT71" i="92"/>
  <c r="CT88" i="92"/>
  <c r="CT28" i="92"/>
  <c r="CT68" i="92"/>
  <c r="CU114" i="92"/>
  <c r="CU112" i="92"/>
  <c r="CO112" i="92" s="1"/>
  <c r="CP112" i="92" s="1"/>
  <c r="CU84" i="92"/>
  <c r="CO84" i="92" s="1"/>
  <c r="CP84" i="92" s="1"/>
  <c r="CU43" i="92"/>
  <c r="CU83" i="92"/>
  <c r="CO83" i="92" s="1"/>
  <c r="CP83" i="92" s="1"/>
  <c r="CU15" i="92"/>
  <c r="CO15" i="92" s="1"/>
  <c r="CP15" i="92" s="1"/>
  <c r="CU123" i="92"/>
  <c r="CO123" i="92" s="1"/>
  <c r="CP123" i="92" s="1"/>
  <c r="CU131" i="92"/>
  <c r="CO131" i="92" s="1"/>
  <c r="CP131" i="92" s="1"/>
  <c r="CU124" i="92"/>
  <c r="CO124" i="92" s="1"/>
  <c r="CP124" i="92" s="1"/>
  <c r="CU110" i="92"/>
  <c r="CO110" i="92" s="1"/>
  <c r="CP110" i="92" s="1"/>
  <c r="CU100" i="92"/>
  <c r="CY107" i="92"/>
  <c r="CY54" i="92"/>
  <c r="CY78" i="92"/>
  <c r="CY37" i="92"/>
  <c r="CY60" i="92"/>
  <c r="CY36" i="92"/>
  <c r="CY82" i="92"/>
  <c r="CY14" i="92"/>
  <c r="CY27" i="92"/>
  <c r="CY31" i="92"/>
  <c r="CZ21" i="92"/>
  <c r="CZ76" i="92"/>
  <c r="CU85" i="92"/>
  <c r="CO85" i="92" s="1"/>
  <c r="CP85" i="92" s="1"/>
  <c r="CU86" i="92"/>
  <c r="CU130" i="92"/>
  <c r="CU73" i="92"/>
  <c r="CU89" i="92"/>
  <c r="CO89" i="92" s="1"/>
  <c r="CP89" i="92" s="1"/>
  <c r="CU30" i="92"/>
  <c r="CO30" i="92" s="1"/>
  <c r="CP30" i="92" s="1"/>
  <c r="CU120" i="92"/>
  <c r="CU82" i="92"/>
  <c r="CU111" i="92"/>
  <c r="CO111" i="92" s="1"/>
  <c r="CP111" i="92" s="1"/>
  <c r="CU22" i="92"/>
  <c r="CO22" i="92" s="1"/>
  <c r="CP22" i="92" s="1"/>
  <c r="CU49" i="92"/>
  <c r="CO49" i="92" s="1"/>
  <c r="CP49" i="92" s="1"/>
  <c r="CU41" i="92"/>
  <c r="CU99" i="92"/>
  <c r="CU117" i="92"/>
  <c r="CU60" i="92"/>
  <c r="CU75" i="92"/>
  <c r="CU40" i="92"/>
  <c r="CO40" i="92" s="1"/>
  <c r="CP40" i="92" s="1"/>
  <c r="CU34" i="92"/>
  <c r="CO34" i="92" s="1"/>
  <c r="CP34" i="92" s="1"/>
  <c r="CU51" i="92"/>
  <c r="CY22" i="92"/>
  <c r="CY49" i="92"/>
  <c r="CY41" i="92"/>
  <c r="CY99" i="92"/>
  <c r="CY117" i="92"/>
  <c r="CY119" i="92"/>
  <c r="CY48" i="92"/>
  <c r="CY124" i="92"/>
  <c r="CY34" i="92"/>
  <c r="CY51" i="92"/>
  <c r="CZ101" i="92"/>
  <c r="CZ58" i="92"/>
  <c r="CU45" i="92"/>
  <c r="CO45" i="92" s="1"/>
  <c r="CP45" i="92" s="1"/>
  <c r="CU17" i="92"/>
  <c r="CO17" i="92" s="1"/>
  <c r="CP17" i="92" s="1"/>
  <c r="CU19" i="92"/>
  <c r="CU59" i="92"/>
  <c r="CU37" i="92"/>
  <c r="CU119" i="92"/>
  <c r="CO119" i="92" s="1"/>
  <c r="CP119" i="92" s="1"/>
  <c r="CU48" i="92"/>
  <c r="CO48" i="92" s="1"/>
  <c r="CP48" i="92" s="1"/>
  <c r="CU91" i="92"/>
  <c r="CU72" i="92"/>
  <c r="CY45" i="92"/>
  <c r="CY17" i="92"/>
  <c r="CY19" i="92"/>
  <c r="CY59" i="92"/>
  <c r="CY93" i="92"/>
  <c r="CY95" i="92"/>
  <c r="CY131" i="92"/>
  <c r="CY91" i="92"/>
  <c r="CY72" i="92"/>
  <c r="CZ86" i="92"/>
  <c r="CU16" i="92"/>
  <c r="CO16" i="92" s="1"/>
  <c r="CP16" i="92" s="1"/>
  <c r="CU68" i="92"/>
  <c r="CO68" i="92" s="1"/>
  <c r="CP68" i="92" s="1"/>
  <c r="CU54" i="92"/>
  <c r="CO54" i="92" s="1"/>
  <c r="CP54" i="92" s="1"/>
  <c r="CU118" i="92"/>
  <c r="CU74" i="92"/>
  <c r="CO74" i="92" s="1"/>
  <c r="CP74" i="92" s="1"/>
  <c r="CU24" i="92"/>
  <c r="CU64" i="92"/>
  <c r="CU109" i="92"/>
  <c r="CU66" i="92"/>
  <c r="CY16" i="92"/>
  <c r="CY68" i="92"/>
  <c r="CY26" i="92"/>
  <c r="CY103" i="92"/>
  <c r="CY15" i="92"/>
  <c r="CY24" i="92"/>
  <c r="CY64" i="92"/>
  <c r="CY109" i="92"/>
  <c r="CY66" i="92"/>
  <c r="CZ78" i="92"/>
  <c r="CU12" i="92"/>
  <c r="CU80" i="92"/>
  <c r="CU28" i="92"/>
  <c r="CO28" i="92" s="1"/>
  <c r="CP28" i="92" s="1"/>
  <c r="CU9" i="92"/>
  <c r="CO9" i="92" s="1"/>
  <c r="CP9" i="92" s="1"/>
  <c r="CU10" i="92"/>
  <c r="CO10" i="92" s="1"/>
  <c r="CP10" i="92" s="1"/>
  <c r="CU61" i="92"/>
  <c r="CO61" i="92" s="1"/>
  <c r="CP61" i="92" s="1"/>
  <c r="CU29" i="92"/>
  <c r="CO29" i="92" s="1"/>
  <c r="CP29" i="92" s="1"/>
  <c r="CY104" i="92"/>
  <c r="CY97" i="92"/>
  <c r="CY80" i="92"/>
  <c r="CY129" i="92"/>
  <c r="CU104" i="92"/>
  <c r="CU122" i="92"/>
  <c r="CO122" i="92" s="1"/>
  <c r="CP122" i="92" s="1"/>
  <c r="CU113" i="92"/>
  <c r="CU11" i="92"/>
  <c r="CO11" i="92" s="1"/>
  <c r="CP11" i="92" s="1"/>
  <c r="CU108" i="92"/>
  <c r="CO108" i="92" s="1"/>
  <c r="CP108" i="92" s="1"/>
  <c r="CU76" i="92"/>
  <c r="CO76" i="92" s="1"/>
  <c r="CP76" i="92" s="1"/>
  <c r="CU25" i="92"/>
  <c r="CO25" i="92" s="1"/>
  <c r="CP25" i="92" s="1"/>
  <c r="CY96" i="92"/>
  <c r="CY84" i="92"/>
  <c r="CY113" i="92"/>
  <c r="CY74" i="92"/>
  <c r="CY9" i="92"/>
  <c r="CY105" i="92"/>
  <c r="CY6" i="92"/>
  <c r="CY70" i="92"/>
  <c r="CZ123" i="92"/>
  <c r="CU121" i="92"/>
  <c r="CO121" i="92" s="1"/>
  <c r="CP121" i="92" s="1"/>
  <c r="CU38" i="92"/>
  <c r="CU77" i="92"/>
  <c r="CO77" i="92" s="1"/>
  <c r="CP77" i="92" s="1"/>
  <c r="CU87" i="92"/>
  <c r="CO87" i="92" s="1"/>
  <c r="CP87" i="92" s="1"/>
  <c r="CU36" i="92"/>
  <c r="CU71" i="92"/>
  <c r="CU98" i="92"/>
  <c r="CY32" i="92"/>
  <c r="CY44" i="92"/>
  <c r="CY73" i="92"/>
  <c r="CU46" i="92"/>
  <c r="CU69" i="92"/>
  <c r="CO69" i="92" s="1"/>
  <c r="CP69" i="92" s="1"/>
  <c r="CU106" i="92"/>
  <c r="CO106" i="92" s="1"/>
  <c r="CP106" i="92" s="1"/>
  <c r="CU50" i="92"/>
  <c r="CO50" i="92" s="1"/>
  <c r="CP50" i="92" s="1"/>
  <c r="CU70" i="92"/>
  <c r="CO70" i="92" s="1"/>
  <c r="CP70" i="92" s="1"/>
  <c r="CY101" i="92"/>
  <c r="CY94" i="92"/>
  <c r="CY11" i="92"/>
  <c r="CY108" i="92"/>
  <c r="CY88" i="92"/>
  <c r="CY25" i="92"/>
  <c r="CZ37" i="92"/>
  <c r="CU21" i="92"/>
  <c r="CU33" i="92"/>
  <c r="CU62" i="92"/>
  <c r="CO62" i="92" s="1"/>
  <c r="CP62" i="92" s="1"/>
  <c r="CU14" i="92"/>
  <c r="CU31" i="92"/>
  <c r="CO31" i="92" s="1"/>
  <c r="CP31" i="92" s="1"/>
  <c r="CY86" i="92"/>
  <c r="CY57" i="92"/>
  <c r="CY87" i="92"/>
  <c r="CY120" i="92"/>
  <c r="CY76" i="92"/>
  <c r="CY98" i="92"/>
  <c r="CZ30" i="92"/>
  <c r="CU96" i="92"/>
  <c r="CU127" i="92"/>
  <c r="CO127" i="92" s="1"/>
  <c r="CP127" i="92" s="1"/>
  <c r="CU129" i="92"/>
  <c r="CO129" i="92" s="1"/>
  <c r="CP129" i="92" s="1"/>
  <c r="CU35" i="92"/>
  <c r="CU63" i="92"/>
  <c r="CO63" i="92" s="1"/>
  <c r="CP63" i="92" s="1"/>
  <c r="CY12" i="92"/>
  <c r="CY77" i="92"/>
  <c r="CY39" i="92"/>
  <c r="CY75" i="92"/>
  <c r="CY71" i="92"/>
  <c r="CY100" i="92"/>
  <c r="CZ119" i="92"/>
  <c r="CU8" i="92"/>
  <c r="CO8" i="92" s="1"/>
  <c r="CP8" i="92" s="1"/>
  <c r="CU125" i="92"/>
  <c r="CO125" i="92" s="1"/>
  <c r="CP125" i="92" s="1"/>
  <c r="CU39" i="92"/>
  <c r="CO39" i="92" s="1"/>
  <c r="CP39" i="92" s="1"/>
  <c r="CU58" i="92"/>
  <c r="CO58" i="92" s="1"/>
  <c r="CP58" i="92" s="1"/>
  <c r="CU23" i="92"/>
  <c r="CO23" i="92" s="1"/>
  <c r="CP23" i="92" s="1"/>
  <c r="CY114" i="92"/>
  <c r="CY46" i="92"/>
  <c r="CY67" i="92"/>
  <c r="CY30" i="92"/>
  <c r="CY115" i="92"/>
  <c r="CY111" i="92"/>
  <c r="CY47" i="92"/>
  <c r="CZ121" i="92"/>
  <c r="CU20" i="92"/>
  <c r="CO20" i="92" s="1"/>
  <c r="CP20" i="92" s="1"/>
  <c r="CU94" i="92"/>
  <c r="CO94" i="92" s="1"/>
  <c r="CP94" i="92" s="1"/>
  <c r="CU81" i="92"/>
  <c r="CO81" i="92" s="1"/>
  <c r="CP81" i="92" s="1"/>
  <c r="CU132" i="92"/>
  <c r="CO132" i="92" s="1"/>
  <c r="CP132" i="92" s="1"/>
  <c r="CU128" i="92"/>
  <c r="CO128" i="92" s="1"/>
  <c r="CP128" i="92" s="1"/>
  <c r="CY85" i="92"/>
  <c r="CY21" i="92"/>
  <c r="CY90" i="92"/>
  <c r="CY55" i="92"/>
  <c r="CY58" i="92"/>
  <c r="CY35" i="92"/>
  <c r="CY5" i="92"/>
  <c r="CZ22" i="92"/>
  <c r="CU107" i="92"/>
  <c r="CO107" i="92" s="1"/>
  <c r="CP107" i="92" s="1"/>
  <c r="CU90" i="92"/>
  <c r="CO90" i="92" s="1"/>
  <c r="CP90" i="92" s="1"/>
  <c r="CU92" i="92"/>
  <c r="CY125" i="92"/>
  <c r="CY102" i="92"/>
  <c r="CY50" i="92"/>
  <c r="CU79" i="92"/>
  <c r="CO79" i="92" s="1"/>
  <c r="CP79" i="92" s="1"/>
  <c r="CU93" i="92"/>
  <c r="CU88" i="92"/>
  <c r="CY43" i="92"/>
  <c r="CY52" i="92"/>
  <c r="CY110" i="92"/>
  <c r="CU101" i="92"/>
  <c r="CO101" i="92" s="1"/>
  <c r="CP101" i="92" s="1"/>
  <c r="CU7" i="92"/>
  <c r="CU65" i="92"/>
  <c r="CO65" i="92" s="1"/>
  <c r="CP65" i="92" s="1"/>
  <c r="CY121" i="92"/>
  <c r="CY118" i="92"/>
  <c r="CY106" i="92"/>
  <c r="CY53" i="92"/>
  <c r="CU97" i="92"/>
  <c r="CU42" i="92"/>
  <c r="CU6" i="92"/>
  <c r="CY8" i="92"/>
  <c r="CY83" i="92"/>
  <c r="CY62" i="92"/>
  <c r="CY23" i="92"/>
  <c r="CU44" i="92"/>
  <c r="CU95" i="92"/>
  <c r="CO95" i="92" s="1"/>
  <c r="CP95" i="92" s="1"/>
  <c r="CU27" i="92"/>
  <c r="CY112" i="92"/>
  <c r="CY33" i="92"/>
  <c r="CY13" i="92"/>
  <c r="CY128" i="92"/>
  <c r="CZ45" i="92"/>
  <c r="CU116" i="92"/>
  <c r="CO116" i="92" s="1"/>
  <c r="CP116" i="92" s="1"/>
  <c r="CU102" i="92"/>
  <c r="CU56" i="92"/>
  <c r="CO56" i="92" s="1"/>
  <c r="CP56" i="92" s="1"/>
  <c r="CY79" i="92"/>
  <c r="CY89" i="92"/>
  <c r="CY132" i="92"/>
  <c r="CY56" i="92"/>
  <c r="CZ112" i="92"/>
  <c r="CU26" i="92"/>
  <c r="CO26" i="92" s="1"/>
  <c r="CP26" i="92" s="1"/>
  <c r="CU52" i="92"/>
  <c r="CU126" i="92"/>
  <c r="CY122" i="92"/>
  <c r="CY28" i="92"/>
  <c r="CY18" i="92"/>
  <c r="CY126" i="92"/>
  <c r="CZ94" i="92"/>
  <c r="CU103" i="92"/>
  <c r="CY81" i="92"/>
  <c r="CU67" i="92"/>
  <c r="CY42" i="92"/>
  <c r="CU55" i="92"/>
  <c r="CY123" i="92"/>
  <c r="CU13" i="92"/>
  <c r="CU18" i="92"/>
  <c r="CY20" i="92"/>
  <c r="CY40" i="92"/>
  <c r="CU105" i="92"/>
  <c r="CO105" i="92" s="1"/>
  <c r="CP105" i="92" s="1"/>
  <c r="CY38" i="92"/>
  <c r="CY92" i="92"/>
  <c r="CU53" i="92"/>
  <c r="CO53" i="92" s="1"/>
  <c r="CP53" i="92" s="1"/>
  <c r="CY130" i="92"/>
  <c r="CY65" i="92"/>
  <c r="CZ118" i="92"/>
  <c r="CZ89" i="92"/>
  <c r="CY116" i="92"/>
  <c r="CU78" i="92"/>
  <c r="CY61" i="92"/>
  <c r="CU115" i="92"/>
  <c r="CO115" i="92" s="1"/>
  <c r="CP115" i="92" s="1"/>
  <c r="CY63" i="92"/>
  <c r="CY127" i="92"/>
  <c r="CZ13" i="92"/>
  <c r="CU32" i="92"/>
  <c r="CO32" i="92" s="1"/>
  <c r="CP32" i="92" s="1"/>
  <c r="CY69" i="92"/>
  <c r="CY7" i="92"/>
  <c r="CU57" i="92"/>
  <c r="CY10" i="92"/>
  <c r="CY29" i="92"/>
  <c r="CU47" i="92"/>
  <c r="CY3" i="92"/>
  <c r="CU5" i="92"/>
  <c r="CZ46" i="92"/>
  <c r="CZ29" i="92"/>
  <c r="CZ11" i="92"/>
  <c r="CZ117" i="92"/>
  <c r="CZ122" i="92"/>
  <c r="CZ52" i="92"/>
  <c r="CZ74" i="92"/>
  <c r="CZ17" i="92"/>
  <c r="CZ72" i="92"/>
  <c r="CZ23" i="92"/>
  <c r="CZ65" i="92"/>
  <c r="CZ120" i="92"/>
  <c r="CZ85" i="92"/>
  <c r="CZ95" i="92"/>
  <c r="CZ73" i="92"/>
  <c r="CZ96" i="92"/>
  <c r="CZ25" i="92"/>
  <c r="CZ36" i="92"/>
  <c r="CZ68" i="92"/>
  <c r="CZ56" i="92"/>
  <c r="CZ69" i="92"/>
  <c r="CZ49" i="92"/>
  <c r="CZ6" i="92"/>
  <c r="CZ107" i="92"/>
  <c r="CZ60" i="92"/>
  <c r="CZ116" i="92"/>
  <c r="CZ40" i="92"/>
  <c r="CZ55" i="92"/>
  <c r="CZ66" i="92"/>
  <c r="CZ127" i="92"/>
  <c r="CZ81" i="92"/>
  <c r="CZ53" i="92"/>
  <c r="CZ124" i="92"/>
  <c r="CZ131" i="92"/>
  <c r="CZ67" i="92"/>
  <c r="CZ57" i="92"/>
  <c r="CZ90" i="92"/>
  <c r="CZ41" i="92"/>
  <c r="CZ109" i="92"/>
  <c r="CZ129" i="92"/>
  <c r="CZ54" i="92"/>
  <c r="CZ5" i="92"/>
  <c r="CZ64" i="92"/>
  <c r="CZ27" i="92"/>
  <c r="CZ97" i="92"/>
  <c r="CZ87" i="92"/>
  <c r="CZ9" i="92"/>
  <c r="CZ63" i="92"/>
  <c r="CZ39" i="92"/>
  <c r="CZ12" i="92"/>
  <c r="CZ92" i="92"/>
  <c r="CZ20" i="92"/>
  <c r="CZ83" i="92"/>
  <c r="CZ26" i="92"/>
  <c r="CZ98" i="92"/>
  <c r="CZ128" i="92"/>
  <c r="CZ91" i="92"/>
  <c r="CZ10" i="92"/>
  <c r="CZ28" i="92"/>
  <c r="CZ104" i="92"/>
  <c r="CZ125" i="92"/>
  <c r="CZ80" i="92"/>
  <c r="CZ7" i="92"/>
  <c r="CZ110" i="92"/>
  <c r="CZ38" i="92"/>
  <c r="CZ35" i="92"/>
  <c r="CZ47" i="92"/>
  <c r="CZ103" i="92"/>
  <c r="CZ24" i="92"/>
  <c r="CZ62" i="92"/>
  <c r="CZ100" i="92"/>
  <c r="CZ114" i="92"/>
  <c r="CZ44" i="92"/>
  <c r="CZ42" i="92"/>
  <c r="CZ34" i="92"/>
  <c r="CZ32" i="92"/>
  <c r="CZ105" i="92"/>
  <c r="CZ126" i="92"/>
  <c r="CZ82" i="92"/>
  <c r="CZ115" i="92"/>
  <c r="CZ99" i="92"/>
  <c r="CZ14" i="92"/>
  <c r="CZ130" i="92"/>
  <c r="CZ48" i="92"/>
  <c r="CZ102" i="92"/>
  <c r="CZ113" i="92"/>
  <c r="CZ70" i="92"/>
  <c r="CZ106" i="92"/>
  <c r="CZ75" i="92"/>
  <c r="CZ33" i="92"/>
  <c r="CZ88" i="92"/>
  <c r="CZ79" i="92"/>
  <c r="CZ77" i="92"/>
  <c r="CZ108" i="92"/>
  <c r="CZ111" i="92"/>
  <c r="CZ59" i="92"/>
  <c r="CZ43" i="92"/>
  <c r="CZ71" i="92"/>
  <c r="CZ61" i="92"/>
  <c r="CZ84" i="92"/>
  <c r="CZ132" i="92"/>
  <c r="CZ18" i="92"/>
  <c r="CZ16" i="92"/>
  <c r="CZ8" i="92"/>
  <c r="CZ93" i="92"/>
  <c r="CZ31" i="92"/>
  <c r="CZ50" i="92"/>
  <c r="CZ19" i="92"/>
  <c r="CZ15" i="92"/>
  <c r="CZ51" i="92"/>
  <c r="CT55" i="92"/>
  <c r="CT36" i="92"/>
  <c r="CT48" i="92"/>
  <c r="CT18" i="92"/>
  <c r="CT125" i="92"/>
  <c r="CT77" i="92"/>
  <c r="CT61" i="92"/>
  <c r="CT122" i="92"/>
  <c r="DB3" i="92"/>
  <c r="DA3" i="92"/>
  <c r="CZ3" i="92"/>
  <c r="CO152" i="92" l="1"/>
  <c r="CP152" i="92" s="1"/>
  <c r="CO134" i="92"/>
  <c r="CP134" i="92" s="1"/>
  <c r="CO138" i="92"/>
  <c r="CP138" i="92" s="1"/>
  <c r="CO141" i="92"/>
  <c r="CP141" i="92" s="1"/>
  <c r="CO172" i="92"/>
  <c r="CP172" i="92" s="1"/>
  <c r="CO187" i="92"/>
  <c r="CP187" i="92" s="1"/>
  <c r="CO181" i="92"/>
  <c r="CP181" i="92" s="1"/>
  <c r="CO136" i="92"/>
  <c r="CP136" i="92" s="1"/>
  <c r="DB183" i="92"/>
  <c r="DB169" i="92"/>
  <c r="DB154" i="92"/>
  <c r="DB143" i="92"/>
  <c r="CV143" i="92" s="1"/>
  <c r="CW143" i="92" s="1"/>
  <c r="DE183" i="92"/>
  <c r="DE169" i="92"/>
  <c r="DE154" i="92"/>
  <c r="DE143" i="92"/>
  <c r="DF185" i="92"/>
  <c r="DF176" i="92"/>
  <c r="DF160" i="92"/>
  <c r="DF147" i="92"/>
  <c r="DF138" i="92"/>
  <c r="DG183" i="92"/>
  <c r="DG169" i="92"/>
  <c r="DG154" i="92"/>
  <c r="DH154" i="92" s="1"/>
  <c r="DG143" i="92"/>
  <c r="DB178" i="92"/>
  <c r="CV178" i="92" s="1"/>
  <c r="CW178" i="92" s="1"/>
  <c r="DB164" i="92"/>
  <c r="DB153" i="92"/>
  <c r="DB141" i="92"/>
  <c r="DE178" i="92"/>
  <c r="DE164" i="92"/>
  <c r="DE153" i="92"/>
  <c r="DE141" i="92"/>
  <c r="DF179" i="92"/>
  <c r="DF170" i="92"/>
  <c r="DF157" i="92"/>
  <c r="DF149" i="92"/>
  <c r="DF134" i="92"/>
  <c r="DG178" i="92"/>
  <c r="DG164" i="92"/>
  <c r="DG153" i="92"/>
  <c r="DG141" i="92"/>
  <c r="DB175" i="92"/>
  <c r="DB161" i="92"/>
  <c r="DB146" i="92"/>
  <c r="DE175" i="92"/>
  <c r="DE161" i="92"/>
  <c r="DE146" i="92"/>
  <c r="DF184" i="92"/>
  <c r="DF172" i="92"/>
  <c r="DF159" i="92"/>
  <c r="DF142" i="92"/>
  <c r="DG182" i="92"/>
  <c r="DG167" i="92"/>
  <c r="DG150" i="92"/>
  <c r="DG135" i="92"/>
  <c r="DB187" i="92"/>
  <c r="CV187" i="92" s="1"/>
  <c r="CW187" i="92" s="1"/>
  <c r="DB176" i="92"/>
  <c r="CV176" i="92" s="1"/>
  <c r="CW176" i="92" s="1"/>
  <c r="DB157" i="92"/>
  <c r="DB144" i="92"/>
  <c r="DE176" i="92"/>
  <c r="DE157" i="92"/>
  <c r="DE144" i="92"/>
  <c r="DF186" i="92"/>
  <c r="DF171" i="92"/>
  <c r="DF154" i="92"/>
  <c r="DF141" i="92"/>
  <c r="DG180" i="92"/>
  <c r="DG166" i="92"/>
  <c r="DG151" i="92"/>
  <c r="DG138" i="92"/>
  <c r="DB184" i="92"/>
  <c r="DB168" i="92"/>
  <c r="DB179" i="92"/>
  <c r="DB162" i="92"/>
  <c r="DB148" i="92"/>
  <c r="DE186" i="92"/>
  <c r="DE167" i="92"/>
  <c r="DE152" i="92"/>
  <c r="DE139" i="92"/>
  <c r="DF167" i="92"/>
  <c r="DF150" i="92"/>
  <c r="DF139" i="92"/>
  <c r="DG168" i="92"/>
  <c r="DG159" i="92"/>
  <c r="DG136" i="92"/>
  <c r="DB182" i="92"/>
  <c r="CV182" i="92" s="1"/>
  <c r="CW182" i="92" s="1"/>
  <c r="DB163" i="92"/>
  <c r="DB149" i="92"/>
  <c r="DE179" i="92"/>
  <c r="DE166" i="92"/>
  <c r="DE147" i="92"/>
  <c r="DE133" i="92"/>
  <c r="DF169" i="92"/>
  <c r="DF151" i="92"/>
  <c r="DF133" i="92"/>
  <c r="DG170" i="92"/>
  <c r="DG155" i="92"/>
  <c r="DG134" i="92"/>
  <c r="DB174" i="92"/>
  <c r="DH174" i="92" s="1"/>
  <c r="DB158" i="92"/>
  <c r="CV158" i="92" s="1"/>
  <c r="CW158" i="92" s="1"/>
  <c r="DB137" i="92"/>
  <c r="CV137" i="92" s="1"/>
  <c r="CW137" i="92" s="1"/>
  <c r="DE177" i="92"/>
  <c r="DE160" i="92"/>
  <c r="DE142" i="92"/>
  <c r="DF183" i="92"/>
  <c r="DF163" i="92"/>
  <c r="DF144" i="92"/>
  <c r="DG179" i="92"/>
  <c r="DG163" i="92"/>
  <c r="DG149" i="92"/>
  <c r="DB170" i="92"/>
  <c r="DB152" i="92"/>
  <c r="CV152" i="92" s="1"/>
  <c r="CW152" i="92" s="1"/>
  <c r="DE173" i="92"/>
  <c r="DE150" i="92"/>
  <c r="DF180" i="92"/>
  <c r="DF161" i="92"/>
  <c r="DF135" i="92"/>
  <c r="DG171" i="92"/>
  <c r="DG144" i="92"/>
  <c r="DB172" i="92"/>
  <c r="CV172" i="92" s="1"/>
  <c r="CW172" i="92" s="1"/>
  <c r="DB147" i="92"/>
  <c r="CV147" i="92" s="1"/>
  <c r="CW147" i="92" s="1"/>
  <c r="DE168" i="92"/>
  <c r="DE151" i="92"/>
  <c r="DF181" i="92"/>
  <c r="DF156" i="92"/>
  <c r="DF136" i="92"/>
  <c r="DG162" i="92"/>
  <c r="DG145" i="92"/>
  <c r="DG165" i="92"/>
  <c r="DB171" i="92"/>
  <c r="CV171" i="92" s="1"/>
  <c r="CW171" i="92" s="1"/>
  <c r="DB145" i="92"/>
  <c r="CV145" i="92" s="1"/>
  <c r="CW145" i="92" s="1"/>
  <c r="DE170" i="92"/>
  <c r="DE148" i="92"/>
  <c r="DF177" i="92"/>
  <c r="DF158" i="92"/>
  <c r="DG184" i="92"/>
  <c r="DG142" i="92"/>
  <c r="DB186" i="92"/>
  <c r="CV186" i="92" s="1"/>
  <c r="CW186" i="92" s="1"/>
  <c r="DB156" i="92"/>
  <c r="DB136" i="92"/>
  <c r="DE185" i="92"/>
  <c r="DE165" i="92"/>
  <c r="DE135" i="92"/>
  <c r="DF168" i="92"/>
  <c r="DF146" i="92"/>
  <c r="DG174" i="92"/>
  <c r="DG158" i="92"/>
  <c r="DB150" i="92"/>
  <c r="CV150" i="92" s="1"/>
  <c r="CW150" i="92" s="1"/>
  <c r="DE159" i="92"/>
  <c r="DF173" i="92"/>
  <c r="DF140" i="92"/>
  <c r="DG157" i="92"/>
  <c r="DE182" i="92"/>
  <c r="DF166" i="92"/>
  <c r="DG152" i="92"/>
  <c r="DB185" i="92"/>
  <c r="CV185" i="92" s="1"/>
  <c r="CW185" i="92" s="1"/>
  <c r="DB151" i="92"/>
  <c r="CV151" i="92" s="1"/>
  <c r="CW151" i="92" s="1"/>
  <c r="DE184" i="92"/>
  <c r="DE155" i="92"/>
  <c r="DF175" i="92"/>
  <c r="DF137" i="92"/>
  <c r="DG156" i="92"/>
  <c r="DB180" i="92"/>
  <c r="DB142" i="92"/>
  <c r="DE149" i="92"/>
  <c r="DG185" i="92"/>
  <c r="DB173" i="92"/>
  <c r="DB138" i="92"/>
  <c r="CV138" i="92" s="1"/>
  <c r="CW138" i="92" s="1"/>
  <c r="DE174" i="92"/>
  <c r="DE137" i="92"/>
  <c r="DF165" i="92"/>
  <c r="DG177" i="92"/>
  <c r="DG146" i="92"/>
  <c r="DB167" i="92"/>
  <c r="CV167" i="92" s="1"/>
  <c r="CW167" i="92" s="1"/>
  <c r="DB134" i="92"/>
  <c r="CV134" i="92" s="1"/>
  <c r="CW134" i="92" s="1"/>
  <c r="DE172" i="92"/>
  <c r="DE138" i="92"/>
  <c r="DF155" i="92"/>
  <c r="DG173" i="92"/>
  <c r="DG140" i="92"/>
  <c r="DB166" i="92"/>
  <c r="CV166" i="92" s="1"/>
  <c r="CW166" i="92" s="1"/>
  <c r="DB139" i="92"/>
  <c r="CV139" i="92" s="1"/>
  <c r="CW139" i="92" s="1"/>
  <c r="DE171" i="92"/>
  <c r="DE136" i="92"/>
  <c r="DF153" i="92"/>
  <c r="DG175" i="92"/>
  <c r="DG137" i="92"/>
  <c r="DB160" i="92"/>
  <c r="DE163" i="92"/>
  <c r="DF148" i="92"/>
  <c r="DG133" i="92"/>
  <c r="DG187" i="92"/>
  <c r="DG188" i="92"/>
  <c r="DB159" i="92"/>
  <c r="CV159" i="92" s="1"/>
  <c r="CW159" i="92" s="1"/>
  <c r="DE156" i="92"/>
  <c r="DF145" i="92"/>
  <c r="DB155" i="92"/>
  <c r="CV155" i="92" s="1"/>
  <c r="CW155" i="92" s="1"/>
  <c r="DE158" i="92"/>
  <c r="DF143" i="92"/>
  <c r="DB133" i="92"/>
  <c r="DE134" i="92"/>
  <c r="DG176" i="92"/>
  <c r="DE187" i="92"/>
  <c r="DB181" i="92"/>
  <c r="CV181" i="92" s="1"/>
  <c r="CW181" i="92" s="1"/>
  <c r="DG147" i="92"/>
  <c r="DF182" i="92"/>
  <c r="DG172" i="92"/>
  <c r="DF164" i="92"/>
  <c r="DE188" i="92"/>
  <c r="DF178" i="92"/>
  <c r="DG160" i="92"/>
  <c r="DB188" i="92"/>
  <c r="CV188" i="92" s="1"/>
  <c r="CW188" i="92" s="1"/>
  <c r="DF174" i="92"/>
  <c r="DG161" i="92"/>
  <c r="DE180" i="92"/>
  <c r="DG186" i="92"/>
  <c r="DB165" i="92"/>
  <c r="CV165" i="92" s="1"/>
  <c r="CW165" i="92" s="1"/>
  <c r="DG139" i="92"/>
  <c r="DF187" i="92"/>
  <c r="DG181" i="92"/>
  <c r="DB177" i="92"/>
  <c r="CV177" i="92" s="1"/>
  <c r="CW177" i="92" s="1"/>
  <c r="DG148" i="92"/>
  <c r="DB140" i="92"/>
  <c r="CV140" i="92" s="1"/>
  <c r="CW140" i="92" s="1"/>
  <c r="DF188" i="92"/>
  <c r="DB135" i="92"/>
  <c r="CV135" i="92" s="1"/>
  <c r="CW135" i="92" s="1"/>
  <c r="DE181" i="92"/>
  <c r="DF162" i="92"/>
  <c r="DF152" i="92"/>
  <c r="DE162" i="92"/>
  <c r="DE145" i="92"/>
  <c r="DE140" i="92"/>
  <c r="DB1" i="92"/>
  <c r="DA2" i="92"/>
  <c r="CZ2" i="92"/>
  <c r="CW2" i="92"/>
  <c r="CV2" i="92"/>
  <c r="CX2" i="92"/>
  <c r="CU2" i="92"/>
  <c r="CY2" i="92"/>
  <c r="DA134" i="92"/>
  <c r="DA153" i="92"/>
  <c r="CV153" i="92"/>
  <c r="CW153" i="92" s="1"/>
  <c r="DA169" i="92"/>
  <c r="DA171" i="92"/>
  <c r="CV175" i="92"/>
  <c r="CW175" i="92" s="1"/>
  <c r="DA175" i="92"/>
  <c r="DA155" i="92"/>
  <c r="DA187" i="92"/>
  <c r="DA179" i="92"/>
  <c r="CV179" i="92"/>
  <c r="CW179" i="92" s="1"/>
  <c r="DA139" i="92"/>
  <c r="CO140" i="92"/>
  <c r="CP140" i="92" s="1"/>
  <c r="DA140" i="92"/>
  <c r="DA186" i="92"/>
  <c r="DA141" i="92"/>
  <c r="CV141" i="92"/>
  <c r="CW141" i="92" s="1"/>
  <c r="DA185" i="92"/>
  <c r="DA152" i="92"/>
  <c r="DA161" i="92"/>
  <c r="CV161" i="92"/>
  <c r="CW161" i="92" s="1"/>
  <c r="DA154" i="92"/>
  <c r="DA188" i="92"/>
  <c r="DA166" i="92"/>
  <c r="CO157" i="92"/>
  <c r="CP157" i="92" s="1"/>
  <c r="DA157" i="92"/>
  <c r="DA184" i="92"/>
  <c r="DA172" i="92"/>
  <c r="DA142" i="92"/>
  <c r="CV142" i="92"/>
  <c r="CW142" i="92" s="1"/>
  <c r="DA143" i="92"/>
  <c r="DA144" i="92"/>
  <c r="DA176" i="92"/>
  <c r="DA150" i="92"/>
  <c r="DA170" i="92"/>
  <c r="CV170" i="92"/>
  <c r="CW170" i="92" s="1"/>
  <c r="DA138" i="92"/>
  <c r="DA158" i="92"/>
  <c r="DA174" i="92"/>
  <c r="DA137" i="92"/>
  <c r="DA156" i="92"/>
  <c r="DA182" i="92"/>
  <c r="DA146" i="92"/>
  <c r="CV146" i="92"/>
  <c r="CW146" i="92" s="1"/>
  <c r="DA177" i="92"/>
  <c r="DA149" i="92"/>
  <c r="CV163" i="92"/>
  <c r="CW163" i="92" s="1"/>
  <c r="DA163" i="92"/>
  <c r="CV183" i="92"/>
  <c r="CW183" i="92" s="1"/>
  <c r="DA183" i="92"/>
  <c r="DA133" i="92"/>
  <c r="CV133" i="92"/>
  <c r="CW133" i="92" s="1"/>
  <c r="CV148" i="92"/>
  <c r="CW148" i="92" s="1"/>
  <c r="DA148" i="92"/>
  <c r="DA164" i="92"/>
  <c r="CV164" i="92"/>
  <c r="CW164" i="92" s="1"/>
  <c r="DA180" i="92"/>
  <c r="CV136" i="92"/>
  <c r="CW136" i="92" s="1"/>
  <c r="DA136" i="92"/>
  <c r="DA147" i="92"/>
  <c r="DA165" i="92"/>
  <c r="DA173" i="92"/>
  <c r="DA135" i="92"/>
  <c r="DA151" i="92"/>
  <c r="CV162" i="92"/>
  <c r="CW162" i="92" s="1"/>
  <c r="DA162" i="92"/>
  <c r="DA178" i="92"/>
  <c r="DA145" i="92"/>
  <c r="DA159" i="92"/>
  <c r="DA167" i="92"/>
  <c r="DA181" i="92"/>
  <c r="CO82" i="92"/>
  <c r="CP82" i="92" s="1"/>
  <c r="DA14" i="92"/>
  <c r="DA130" i="92"/>
  <c r="CO120" i="92"/>
  <c r="CP120" i="92" s="1"/>
  <c r="DA120" i="92"/>
  <c r="DA131" i="92"/>
  <c r="DA110" i="92"/>
  <c r="DA82" i="92"/>
  <c r="CO35" i="92"/>
  <c r="CP35" i="92" s="1"/>
  <c r="H19" i="95"/>
  <c r="DA100" i="92"/>
  <c r="DA59" i="92"/>
  <c r="DA24" i="92"/>
  <c r="DA43" i="92"/>
  <c r="DA21" i="92"/>
  <c r="DA13" i="92"/>
  <c r="CO88" i="92"/>
  <c r="CP88" i="92" s="1"/>
  <c r="CO46" i="92"/>
  <c r="CP46" i="92" s="1"/>
  <c r="DA86" i="92"/>
  <c r="DA112" i="92"/>
  <c r="I17" i="95"/>
  <c r="DA119" i="92"/>
  <c r="CO75" i="92"/>
  <c r="CP75" i="92" s="1"/>
  <c r="CO97" i="92"/>
  <c r="CP97" i="92" s="1"/>
  <c r="CO73" i="92"/>
  <c r="CP73" i="92" s="1"/>
  <c r="CO130" i="92"/>
  <c r="CP130" i="92" s="1"/>
  <c r="DA37" i="92"/>
  <c r="CO86" i="92"/>
  <c r="CP86" i="92" s="1"/>
  <c r="CO72" i="92"/>
  <c r="CP72" i="92" s="1"/>
  <c r="DA44" i="92"/>
  <c r="CO67" i="92"/>
  <c r="CP67" i="92" s="1"/>
  <c r="CO52" i="92"/>
  <c r="CP52" i="92" s="1"/>
  <c r="CO21" i="92"/>
  <c r="CP21" i="92" s="1"/>
  <c r="CO100" i="92"/>
  <c r="CP100" i="92" s="1"/>
  <c r="CO37" i="92"/>
  <c r="CP37" i="92" s="1"/>
  <c r="CO91" i="92"/>
  <c r="CP91" i="92" s="1"/>
  <c r="CO12" i="92"/>
  <c r="CP12" i="92" s="1"/>
  <c r="DA22" i="92"/>
  <c r="CO96" i="92"/>
  <c r="CP96" i="92" s="1"/>
  <c r="CO93" i="92"/>
  <c r="CP93" i="92" s="1"/>
  <c r="CO104" i="92"/>
  <c r="CP104" i="92" s="1"/>
  <c r="CO92" i="92"/>
  <c r="CP92" i="92" s="1"/>
  <c r="DA58" i="92"/>
  <c r="DA45" i="92"/>
  <c r="CO126" i="92"/>
  <c r="CP126" i="92" s="1"/>
  <c r="CO42" i="92"/>
  <c r="CP42" i="92" s="1"/>
  <c r="CO6" i="92"/>
  <c r="CP6" i="92" s="1"/>
  <c r="CO41" i="92"/>
  <c r="CP41" i="92" s="1"/>
  <c r="CO59" i="92"/>
  <c r="CP59" i="92" s="1"/>
  <c r="CO99" i="92"/>
  <c r="CP99" i="92" s="1"/>
  <c r="CO113" i="92"/>
  <c r="CP113" i="92" s="1"/>
  <c r="CO57" i="92"/>
  <c r="CP57" i="92" s="1"/>
  <c r="DA118" i="92"/>
  <c r="DA101" i="92"/>
  <c r="DA94" i="92"/>
  <c r="DA76" i="92"/>
  <c r="DA123" i="92"/>
  <c r="CO118" i="92"/>
  <c r="CP118" i="92" s="1"/>
  <c r="CO66" i="92"/>
  <c r="CP66" i="92" s="1"/>
  <c r="CO51" i="92"/>
  <c r="CP51" i="92" s="1"/>
  <c r="CO71" i="92"/>
  <c r="CP71" i="92" s="1"/>
  <c r="CO24" i="92"/>
  <c r="CP24" i="92" s="1"/>
  <c r="CO38" i="92"/>
  <c r="CP38" i="92" s="1"/>
  <c r="DA78" i="92"/>
  <c r="DA121" i="92"/>
  <c r="DA30" i="92"/>
  <c r="CO7" i="92"/>
  <c r="CP7" i="92" s="1"/>
  <c r="CO102" i="92"/>
  <c r="CP102" i="92" s="1"/>
  <c r="CO64" i="92"/>
  <c r="CP64" i="92" s="1"/>
  <c r="CO27" i="92"/>
  <c r="CP27" i="92" s="1"/>
  <c r="CO47" i="92"/>
  <c r="CP47" i="92" s="1"/>
  <c r="CO114" i="92"/>
  <c r="CP114" i="92" s="1"/>
  <c r="CO19" i="92"/>
  <c r="CP19" i="92" s="1"/>
  <c r="CO14" i="92"/>
  <c r="CP14" i="92" s="1"/>
  <c r="CO55" i="92"/>
  <c r="CP55" i="92" s="1"/>
  <c r="CO80" i="92"/>
  <c r="CP80" i="92" s="1"/>
  <c r="CO78" i="92"/>
  <c r="CP78" i="92" s="1"/>
  <c r="DA89" i="92"/>
  <c r="CO98" i="92"/>
  <c r="CP98" i="92" s="1"/>
  <c r="CO36" i="92"/>
  <c r="CP36" i="92" s="1"/>
  <c r="CO13" i="92"/>
  <c r="CP13" i="92" s="1"/>
  <c r="CO109" i="92"/>
  <c r="CP109" i="92" s="1"/>
  <c r="CO103" i="92"/>
  <c r="CP103" i="92" s="1"/>
  <c r="CO117" i="92"/>
  <c r="CP117" i="92" s="1"/>
  <c r="CO44" i="92"/>
  <c r="CP44" i="92" s="1"/>
  <c r="CO18" i="92"/>
  <c r="CP18" i="92" s="1"/>
  <c r="CO60" i="92"/>
  <c r="CP60" i="92" s="1"/>
  <c r="CO5" i="92"/>
  <c r="CP5" i="92" s="1"/>
  <c r="CO33" i="92"/>
  <c r="CP33" i="92" s="1"/>
  <c r="CO43" i="92"/>
  <c r="CP43" i="92" s="1"/>
  <c r="DE27" i="92"/>
  <c r="DE87" i="92"/>
  <c r="DE69" i="92"/>
  <c r="DE32" i="92"/>
  <c r="DE131" i="92"/>
  <c r="DE122" i="92"/>
  <c r="DE5" i="92"/>
  <c r="DE49" i="92"/>
  <c r="DE103" i="92"/>
  <c r="DE130" i="92"/>
  <c r="DE97" i="92"/>
  <c r="DE79" i="92"/>
  <c r="DE109" i="92"/>
  <c r="DE58" i="92"/>
  <c r="DE45" i="92"/>
  <c r="DE98" i="92"/>
  <c r="DE55" i="92"/>
  <c r="DE94" i="92"/>
  <c r="DE65" i="92"/>
  <c r="DE11" i="92"/>
  <c r="DE124" i="92"/>
  <c r="DE26" i="92"/>
  <c r="DE34" i="92"/>
  <c r="DE102" i="92"/>
  <c r="DE31" i="92"/>
  <c r="DE56" i="92"/>
  <c r="DE72" i="92"/>
  <c r="DE67" i="92"/>
  <c r="DE120" i="92"/>
  <c r="DE126" i="92"/>
  <c r="DE15" i="92"/>
  <c r="DE6" i="92"/>
  <c r="DE20" i="92"/>
  <c r="DE99" i="92"/>
  <c r="DE63" i="92"/>
  <c r="DE121" i="92"/>
  <c r="DE22" i="92"/>
  <c r="DE111" i="92"/>
  <c r="DE95" i="92"/>
  <c r="DE12" i="92"/>
  <c r="DE28" i="92"/>
  <c r="DE21" i="92"/>
  <c r="DE77" i="92"/>
  <c r="DE91" i="92"/>
  <c r="DE118" i="92"/>
  <c r="DE80" i="92"/>
  <c r="DE54" i="92"/>
  <c r="DE8" i="92"/>
  <c r="DE82" i="92"/>
  <c r="DE73" i="92"/>
  <c r="DD3" i="92"/>
  <c r="DE127" i="92"/>
  <c r="DE18" i="92"/>
  <c r="DE47" i="92"/>
  <c r="DE48" i="92"/>
  <c r="DE132" i="92"/>
  <c r="DE38" i="92"/>
  <c r="DE39" i="92"/>
  <c r="DE50" i="92"/>
  <c r="DC3" i="92"/>
  <c r="DE113" i="92"/>
  <c r="DE66" i="92"/>
  <c r="DE88" i="92"/>
  <c r="DE40" i="92"/>
  <c r="DE62" i="92"/>
  <c r="DE35" i="92"/>
  <c r="DE14" i="92"/>
  <c r="DE24" i="92"/>
  <c r="DE57" i="92"/>
  <c r="DE17" i="92"/>
  <c r="DE86" i="92"/>
  <c r="DE30" i="92"/>
  <c r="DE42" i="92"/>
  <c r="DE71" i="92"/>
  <c r="DE90" i="92"/>
  <c r="DE117" i="92"/>
  <c r="DE107" i="92"/>
  <c r="DE81" i="92"/>
  <c r="DE9" i="92"/>
  <c r="DE104" i="92"/>
  <c r="DE115" i="92"/>
  <c r="DE51" i="92"/>
  <c r="DE3" i="92"/>
  <c r="DE105" i="92"/>
  <c r="DE33" i="92"/>
  <c r="DE64" i="92"/>
  <c r="DE61" i="92"/>
  <c r="DE23" i="92"/>
  <c r="DE83" i="92"/>
  <c r="DE68" i="92"/>
  <c r="DE93" i="92"/>
  <c r="DE108" i="92"/>
  <c r="DE25" i="92"/>
  <c r="DE129" i="92"/>
  <c r="DE101" i="92"/>
  <c r="DE46" i="92"/>
  <c r="DE119" i="92"/>
  <c r="DE37" i="92"/>
  <c r="DE89" i="92"/>
  <c r="DE13" i="92"/>
  <c r="DE36" i="92"/>
  <c r="DE96" i="92"/>
  <c r="DE52" i="92"/>
  <c r="DE7" i="92"/>
  <c r="DE19" i="92"/>
  <c r="DE100" i="92"/>
  <c r="DE44" i="92"/>
  <c r="DE84" i="92"/>
  <c r="DE128" i="92"/>
  <c r="DE74" i="92"/>
  <c r="DE92" i="92"/>
  <c r="DE116" i="92"/>
  <c r="DE59" i="92"/>
  <c r="DE76" i="92"/>
  <c r="DE114" i="92"/>
  <c r="DE41" i="92"/>
  <c r="DE110" i="92"/>
  <c r="DE112" i="92"/>
  <c r="DE29" i="92"/>
  <c r="DE85" i="92"/>
  <c r="DE106" i="92"/>
  <c r="DE53" i="92"/>
  <c r="DE43" i="92"/>
  <c r="DE75" i="92"/>
  <c r="DE123" i="92"/>
  <c r="DE60" i="92"/>
  <c r="DE78" i="92"/>
  <c r="DE16" i="92"/>
  <c r="DE10" i="92"/>
  <c r="DE125" i="92"/>
  <c r="DE70" i="92"/>
  <c r="DA42" i="92"/>
  <c r="DA12" i="92"/>
  <c r="DA41" i="92"/>
  <c r="DA64" i="92"/>
  <c r="DA132" i="92"/>
  <c r="DA81" i="92"/>
  <c r="DA125" i="92"/>
  <c r="DA65" i="92"/>
  <c r="DA52" i="92"/>
  <c r="DA92" i="92"/>
  <c r="DA34" i="92"/>
  <c r="DA15" i="92"/>
  <c r="DA33" i="92"/>
  <c r="DA35" i="92"/>
  <c r="K18" i="95"/>
  <c r="DA17" i="92"/>
  <c r="DA74" i="92"/>
  <c r="DA20" i="92"/>
  <c r="AB19" i="95"/>
  <c r="AC19" i="95"/>
  <c r="DA98" i="92"/>
  <c r="DA25" i="92"/>
  <c r="DA18" i="92"/>
  <c r="DA51" i="92"/>
  <c r="G17" i="95"/>
  <c r="DA8" i="92"/>
  <c r="DA77" i="92"/>
  <c r="DA84" i="92"/>
  <c r="DA9" i="92"/>
  <c r="DA60" i="92"/>
  <c r="DA69" i="92"/>
  <c r="DA113" i="92"/>
  <c r="DA56" i="92"/>
  <c r="DA72" i="92"/>
  <c r="DA73" i="92"/>
  <c r="DA88" i="92"/>
  <c r="DA16" i="92"/>
  <c r="DA75" i="92"/>
  <c r="DA10" i="92"/>
  <c r="DA87" i="92"/>
  <c r="DA107" i="92"/>
  <c r="DA23" i="92"/>
  <c r="DA62" i="92"/>
  <c r="DA29" i="92"/>
  <c r="DA49" i="92"/>
  <c r="DA70" i="92"/>
  <c r="DA71" i="92"/>
  <c r="DA54" i="92"/>
  <c r="DA109" i="92"/>
  <c r="DA124" i="92"/>
  <c r="DA111" i="92"/>
  <c r="DA19" i="92"/>
  <c r="DA129" i="92"/>
  <c r="J17" i="95"/>
  <c r="DA96" i="92"/>
  <c r="DA79" i="92"/>
  <c r="DA11" i="92"/>
  <c r="DA114" i="92"/>
  <c r="DA48" i="92"/>
  <c r="DA80" i="92"/>
  <c r="DA66" i="92"/>
  <c r="DA68" i="92"/>
  <c r="DA36" i="92"/>
  <c r="DA40" i="92"/>
  <c r="DA67" i="92"/>
  <c r="DA95" i="92"/>
  <c r="DA61" i="92"/>
  <c r="DA83" i="92"/>
  <c r="DA108" i="92"/>
  <c r="DA90" i="92"/>
  <c r="DA115" i="92"/>
  <c r="DA97" i="92"/>
  <c r="DA50" i="92"/>
  <c r="DA106" i="92"/>
  <c r="DA53" i="92"/>
  <c r="DA122" i="92"/>
  <c r="DA99" i="92"/>
  <c r="DA28" i="92"/>
  <c r="DA116" i="92"/>
  <c r="DA117" i="92"/>
  <c r="DA126" i="92"/>
  <c r="DA85" i="92"/>
  <c r="DA104" i="92"/>
  <c r="DA39" i="92"/>
  <c r="DA57" i="92"/>
  <c r="DA103" i="92"/>
  <c r="DA91" i="92"/>
  <c r="DA46" i="92"/>
  <c r="DA105" i="92"/>
  <c r="DA128" i="92"/>
  <c r="DA26" i="92"/>
  <c r="DA31" i="92"/>
  <c r="DA38" i="92"/>
  <c r="DA5" i="92"/>
  <c r="DA93" i="92"/>
  <c r="DA102" i="92"/>
  <c r="DA7" i="92"/>
  <c r="DA127" i="92"/>
  <c r="DA47" i="92"/>
  <c r="DA6" i="92"/>
  <c r="DB45" i="92"/>
  <c r="DB49" i="92"/>
  <c r="CV49" i="92" s="1"/>
  <c r="CW49" i="92" s="1"/>
  <c r="DB127" i="92"/>
  <c r="CV127" i="92" s="1"/>
  <c r="CW127" i="92" s="1"/>
  <c r="DB73" i="92"/>
  <c r="CV73" i="92" s="1"/>
  <c r="CW73" i="92" s="1"/>
  <c r="DB129" i="92"/>
  <c r="CV129" i="92" s="1"/>
  <c r="CW129" i="92" s="1"/>
  <c r="DB81" i="92"/>
  <c r="DB106" i="92"/>
  <c r="DB58" i="92"/>
  <c r="CV58" i="92" s="1"/>
  <c r="CW58" i="92" s="1"/>
  <c r="DB76" i="92"/>
  <c r="CV76" i="92" s="1"/>
  <c r="CW76" i="92" s="1"/>
  <c r="DB53" i="92"/>
  <c r="CV53" i="92" s="1"/>
  <c r="CW53" i="92" s="1"/>
  <c r="DB66" i="92"/>
  <c r="DF85" i="92"/>
  <c r="DF101" i="92"/>
  <c r="DF46" i="92"/>
  <c r="DF94" i="92"/>
  <c r="DF90" i="92"/>
  <c r="DF11" i="92"/>
  <c r="DF102" i="92"/>
  <c r="DF64" i="92"/>
  <c r="DF92" i="92"/>
  <c r="DF72" i="92"/>
  <c r="DB114" i="92"/>
  <c r="CV114" i="92" s="1"/>
  <c r="CW114" i="92" s="1"/>
  <c r="DB79" i="92"/>
  <c r="CV79" i="92" s="1"/>
  <c r="CW79" i="92" s="1"/>
  <c r="DB46" i="92"/>
  <c r="CV46" i="92" s="1"/>
  <c r="CW46" i="92" s="1"/>
  <c r="DB57" i="92"/>
  <c r="DB33" i="92"/>
  <c r="CV33" i="92" s="1"/>
  <c r="CW33" i="92" s="1"/>
  <c r="DB42" i="92"/>
  <c r="DB108" i="92"/>
  <c r="CV108" i="92" s="1"/>
  <c r="CW108" i="92" s="1"/>
  <c r="DB105" i="92"/>
  <c r="CV105" i="92" s="1"/>
  <c r="CW105" i="92" s="1"/>
  <c r="DB14" i="92"/>
  <c r="DB25" i="92"/>
  <c r="DB29" i="92"/>
  <c r="DF114" i="92"/>
  <c r="DF79" i="92"/>
  <c r="DF21" i="92"/>
  <c r="DF113" i="92"/>
  <c r="DF129" i="92"/>
  <c r="DF42" i="92"/>
  <c r="DF108" i="92"/>
  <c r="DF105" i="92"/>
  <c r="DF14" i="92"/>
  <c r="DF25" i="92"/>
  <c r="DF63" i="92"/>
  <c r="DG21" i="92"/>
  <c r="DG58" i="92"/>
  <c r="DB22" i="92"/>
  <c r="DB97" i="92"/>
  <c r="CV97" i="92" s="1"/>
  <c r="CW97" i="92" s="1"/>
  <c r="DB54" i="92"/>
  <c r="CV54" i="92" s="1"/>
  <c r="CW54" i="92" s="1"/>
  <c r="DB103" i="92"/>
  <c r="CV103" i="92" s="1"/>
  <c r="CW103" i="92" s="1"/>
  <c r="DB7" i="92"/>
  <c r="DB52" i="92"/>
  <c r="DB132" i="92"/>
  <c r="DB50" i="92"/>
  <c r="CV50" i="92" s="1"/>
  <c r="CW50" i="92" s="1"/>
  <c r="DB98" i="92"/>
  <c r="DF16" i="92"/>
  <c r="DF125" i="92"/>
  <c r="DF67" i="92"/>
  <c r="DF39" i="92"/>
  <c r="DF62" i="92"/>
  <c r="DF82" i="92"/>
  <c r="DF35" i="92"/>
  <c r="DF56" i="92"/>
  <c r="DG112" i="92"/>
  <c r="DG120" i="92"/>
  <c r="DB96" i="92"/>
  <c r="DB68" i="92"/>
  <c r="DB26" i="92"/>
  <c r="DB83" i="92"/>
  <c r="CV83" i="92" s="1"/>
  <c r="CW83" i="92" s="1"/>
  <c r="DB11" i="92"/>
  <c r="DB9" i="92"/>
  <c r="CV9" i="92" s="1"/>
  <c r="CW9" i="92" s="1"/>
  <c r="DB16" i="92"/>
  <c r="CV16" i="92" s="1"/>
  <c r="CW16" i="92" s="1"/>
  <c r="DB125" i="92"/>
  <c r="DB67" i="92"/>
  <c r="DB87" i="92"/>
  <c r="CV87" i="92" s="1"/>
  <c r="CW87" i="92" s="1"/>
  <c r="DB62" i="92"/>
  <c r="DB82" i="92"/>
  <c r="DB35" i="92"/>
  <c r="DB56" i="92"/>
  <c r="DF107" i="92"/>
  <c r="DF38" i="92"/>
  <c r="DF80" i="92"/>
  <c r="DF33" i="92"/>
  <c r="DF30" i="92"/>
  <c r="DF36" i="92"/>
  <c r="DF40" i="92"/>
  <c r="DF34" i="92"/>
  <c r="DG86" i="92"/>
  <c r="DG13" i="92"/>
  <c r="DB32" i="92"/>
  <c r="DB122" i="92"/>
  <c r="CV122" i="92" s="1"/>
  <c r="CW122" i="92" s="1"/>
  <c r="DB43" i="92"/>
  <c r="DB90" i="92"/>
  <c r="DB39" i="92"/>
  <c r="DB120" i="92"/>
  <c r="DB10" i="92"/>
  <c r="CV10" i="92" s="1"/>
  <c r="CW10" i="92" s="1"/>
  <c r="DB110" i="92"/>
  <c r="DB51" i="92"/>
  <c r="CV51" i="92" s="1"/>
  <c r="CW51" i="92" s="1"/>
  <c r="DF8" i="92"/>
  <c r="DF84" i="92"/>
  <c r="DF57" i="92"/>
  <c r="DF89" i="92"/>
  <c r="DF55" i="92"/>
  <c r="DF75" i="92"/>
  <c r="DF124" i="92"/>
  <c r="DF6" i="92"/>
  <c r="DF126" i="92"/>
  <c r="DG76" i="92"/>
  <c r="DB8" i="92"/>
  <c r="CV8" i="92" s="1"/>
  <c r="CW8" i="92" s="1"/>
  <c r="DB84" i="92"/>
  <c r="DB94" i="92"/>
  <c r="CV94" i="92" s="1"/>
  <c r="CW94" i="92" s="1"/>
  <c r="DB89" i="92"/>
  <c r="DB55" i="92"/>
  <c r="DB75" i="92"/>
  <c r="CV75" i="92" s="1"/>
  <c r="CW75" i="92" s="1"/>
  <c r="DB124" i="92"/>
  <c r="CV124" i="92" s="1"/>
  <c r="CW124" i="92" s="1"/>
  <c r="DB72" i="92"/>
  <c r="CV72" i="92" s="1"/>
  <c r="CW72" i="92" s="1"/>
  <c r="DB126" i="92"/>
  <c r="CV126" i="92" s="1"/>
  <c r="CW126" i="92" s="1"/>
  <c r="DF112" i="92"/>
  <c r="DF130" i="92"/>
  <c r="DF77" i="92"/>
  <c r="DF117" i="92"/>
  <c r="DF119" i="92"/>
  <c r="DF131" i="92"/>
  <c r="DF109" i="92"/>
  <c r="DF53" i="92"/>
  <c r="DF47" i="92"/>
  <c r="DG78" i="92"/>
  <c r="DG47" i="92"/>
  <c r="DB20" i="92"/>
  <c r="DB44" i="92"/>
  <c r="CV44" i="92" s="1"/>
  <c r="CW44" i="92" s="1"/>
  <c r="DB113" i="92"/>
  <c r="CV113" i="92" s="1"/>
  <c r="CW113" i="92" s="1"/>
  <c r="DB21" i="92"/>
  <c r="DB28" i="92"/>
  <c r="DB102" i="92"/>
  <c r="DB109" i="92"/>
  <c r="DB100" i="92"/>
  <c r="CV100" i="92" s="1"/>
  <c r="CW100" i="92" s="1"/>
  <c r="DF121" i="92"/>
  <c r="DF122" i="92"/>
  <c r="DF78" i="92"/>
  <c r="DF81" i="92"/>
  <c r="DF115" i="92"/>
  <c r="DF110" i="92"/>
  <c r="DF31" i="92"/>
  <c r="DG101" i="92"/>
  <c r="DB85" i="92"/>
  <c r="DB19" i="92"/>
  <c r="CV19" i="92" s="1"/>
  <c r="CW19" i="92" s="1"/>
  <c r="DB93" i="92"/>
  <c r="DB131" i="92"/>
  <c r="DB65" i="92"/>
  <c r="DB5" i="92"/>
  <c r="CV5" i="92" s="1"/>
  <c r="CW5" i="92" s="1"/>
  <c r="DF96" i="92"/>
  <c r="DF41" i="92"/>
  <c r="DF83" i="92"/>
  <c r="DF123" i="92"/>
  <c r="DF18" i="92"/>
  <c r="DF61" i="92"/>
  <c r="DG89" i="92"/>
  <c r="DB121" i="92"/>
  <c r="DB116" i="92"/>
  <c r="DB74" i="92"/>
  <c r="DB111" i="92"/>
  <c r="CV111" i="92" s="1"/>
  <c r="CW111" i="92" s="1"/>
  <c r="DB70" i="92"/>
  <c r="CV70" i="92" s="1"/>
  <c r="CW70" i="92" s="1"/>
  <c r="DF32" i="92"/>
  <c r="DF19" i="92"/>
  <c r="DF69" i="92"/>
  <c r="DF24" i="92"/>
  <c r="DF10" i="92"/>
  <c r="DF128" i="92"/>
  <c r="DG37" i="92"/>
  <c r="DB77" i="92"/>
  <c r="DB95" i="92"/>
  <c r="DB88" i="92"/>
  <c r="DB63" i="92"/>
  <c r="CV63" i="92" s="1"/>
  <c r="CW63" i="92" s="1"/>
  <c r="DF22" i="92"/>
  <c r="DF54" i="92"/>
  <c r="DF15" i="92"/>
  <c r="DF58" i="92"/>
  <c r="DF98" i="92"/>
  <c r="DG119" i="92"/>
  <c r="DB104" i="92"/>
  <c r="CV104" i="92" s="1"/>
  <c r="CW104" i="92" s="1"/>
  <c r="DB99" i="92"/>
  <c r="DB123" i="92"/>
  <c r="DB71" i="92"/>
  <c r="DF45" i="92"/>
  <c r="DF26" i="92"/>
  <c r="DF7" i="92"/>
  <c r="DF132" i="92"/>
  <c r="DF100" i="92"/>
  <c r="DG123" i="92"/>
  <c r="DB107" i="92"/>
  <c r="CV107" i="92" s="1"/>
  <c r="CW107" i="92" s="1"/>
  <c r="DB59" i="92"/>
  <c r="CV59" i="92" s="1"/>
  <c r="CW59" i="92" s="1"/>
  <c r="DB24" i="92"/>
  <c r="CV24" i="92" s="1"/>
  <c r="CW24" i="92" s="1"/>
  <c r="DB34" i="92"/>
  <c r="DF20" i="92"/>
  <c r="DF43" i="92"/>
  <c r="DF87" i="92"/>
  <c r="DF91" i="92"/>
  <c r="DF51" i="92"/>
  <c r="DB112" i="92"/>
  <c r="CV112" i="92" s="1"/>
  <c r="CW112" i="92" s="1"/>
  <c r="DB78" i="92"/>
  <c r="DB36" i="92"/>
  <c r="CV36" i="92" s="1"/>
  <c r="CW36" i="92" s="1"/>
  <c r="DB6" i="92"/>
  <c r="DB86" i="92"/>
  <c r="DB69" i="92"/>
  <c r="CV69" i="92" s="1"/>
  <c r="CW69" i="92" s="1"/>
  <c r="DB64" i="92"/>
  <c r="DB23" i="92"/>
  <c r="DF49" i="92"/>
  <c r="DF59" i="92"/>
  <c r="DF52" i="92"/>
  <c r="DF71" i="92"/>
  <c r="DF70" i="92"/>
  <c r="DB12" i="92"/>
  <c r="DB117" i="92"/>
  <c r="DB13" i="92"/>
  <c r="DB61" i="92"/>
  <c r="CV61" i="92" s="1"/>
  <c r="CW61" i="92" s="1"/>
  <c r="DF17" i="92"/>
  <c r="DF118" i="92"/>
  <c r="DF9" i="92"/>
  <c r="DF65" i="92"/>
  <c r="DF29" i="92"/>
  <c r="DG121" i="92"/>
  <c r="DB118" i="92"/>
  <c r="CV118" i="92" s="1"/>
  <c r="CW118" i="92" s="1"/>
  <c r="DF44" i="92"/>
  <c r="DF106" i="92"/>
  <c r="DF66" i="92"/>
  <c r="DB37" i="92"/>
  <c r="CV37" i="92" s="1"/>
  <c r="CW37" i="92" s="1"/>
  <c r="DB128" i="92"/>
  <c r="DF127" i="92"/>
  <c r="DF120" i="92"/>
  <c r="DF5" i="92"/>
  <c r="DB15" i="92"/>
  <c r="CV15" i="92" s="1"/>
  <c r="CW15" i="92" s="1"/>
  <c r="DB27" i="92"/>
  <c r="CV27" i="92" s="1"/>
  <c r="CW27" i="92" s="1"/>
  <c r="DF116" i="92"/>
  <c r="DF48" i="92"/>
  <c r="DB30" i="92"/>
  <c r="DF73" i="92"/>
  <c r="DB119" i="92"/>
  <c r="CV119" i="92" s="1"/>
  <c r="CW119" i="92" s="1"/>
  <c r="DB31" i="92"/>
  <c r="DF103" i="92"/>
  <c r="DF88" i="92"/>
  <c r="DG45" i="92"/>
  <c r="DB101" i="92"/>
  <c r="CV101" i="92" s="1"/>
  <c r="CW101" i="92" s="1"/>
  <c r="DB48" i="92"/>
  <c r="CV48" i="92" s="1"/>
  <c r="CW48" i="92" s="1"/>
  <c r="DF28" i="92"/>
  <c r="DF76" i="92"/>
  <c r="DG94" i="92"/>
  <c r="DB17" i="92"/>
  <c r="CV17" i="92" s="1"/>
  <c r="CW17" i="92" s="1"/>
  <c r="DB115" i="92"/>
  <c r="CV115" i="92" s="1"/>
  <c r="CW115" i="92" s="1"/>
  <c r="DF104" i="92"/>
  <c r="DF37" i="92"/>
  <c r="DF50" i="92"/>
  <c r="DG118" i="92"/>
  <c r="DF95" i="92"/>
  <c r="DG30" i="92"/>
  <c r="DB38" i="92"/>
  <c r="CV38" i="92" s="1"/>
  <c r="CW38" i="92" s="1"/>
  <c r="DF13" i="92"/>
  <c r="DB130" i="92"/>
  <c r="DF111" i="92"/>
  <c r="DG5" i="92"/>
  <c r="DB41" i="92"/>
  <c r="DB60" i="92"/>
  <c r="CV60" i="92" s="1"/>
  <c r="CW60" i="92" s="1"/>
  <c r="DF12" i="92"/>
  <c r="DF27" i="92"/>
  <c r="DB18" i="92"/>
  <c r="CV18" i="92" s="1"/>
  <c r="CW18" i="92" s="1"/>
  <c r="DF97" i="92"/>
  <c r="DB40" i="92"/>
  <c r="DF68" i="92"/>
  <c r="DB80" i="92"/>
  <c r="CV80" i="92" s="1"/>
  <c r="CW80" i="92" s="1"/>
  <c r="DB91" i="92"/>
  <c r="CV91" i="92" s="1"/>
  <c r="CW91" i="92" s="1"/>
  <c r="DF93" i="92"/>
  <c r="DF3" i="92"/>
  <c r="DF74" i="92"/>
  <c r="DB92" i="92"/>
  <c r="DG22" i="92"/>
  <c r="DB47" i="92"/>
  <c r="CV47" i="92" s="1"/>
  <c r="CW47" i="92" s="1"/>
  <c r="DF86" i="92"/>
  <c r="DF99" i="92"/>
  <c r="DF60" i="92"/>
  <c r="DF23" i="92"/>
  <c r="DG87" i="92"/>
  <c r="DG27" i="92"/>
  <c r="DG65" i="92"/>
  <c r="DG88" i="92"/>
  <c r="DG81" i="92"/>
  <c r="DG114" i="92"/>
  <c r="DG127" i="92"/>
  <c r="DG31" i="92"/>
  <c r="DG10" i="92"/>
  <c r="DG60" i="92"/>
  <c r="DG55" i="92"/>
  <c r="DG113" i="92"/>
  <c r="DG42" i="92"/>
  <c r="DH42" i="92" s="1"/>
  <c r="DG106" i="92"/>
  <c r="DG109" i="92"/>
  <c r="DG115" i="92"/>
  <c r="DG23" i="92"/>
  <c r="DG26" i="92"/>
  <c r="DG56" i="92"/>
  <c r="DG39" i="92"/>
  <c r="DG82" i="92"/>
  <c r="DG46" i="92"/>
  <c r="DG44" i="92"/>
  <c r="DG24" i="92"/>
  <c r="DG8" i="92"/>
  <c r="DG130" i="92"/>
  <c r="DG124" i="92"/>
  <c r="DG111" i="92"/>
  <c r="DG67" i="92"/>
  <c r="DG59" i="92"/>
  <c r="DG122" i="92"/>
  <c r="DG66" i="92"/>
  <c r="DG43" i="92"/>
  <c r="DG7" i="92"/>
  <c r="DG71" i="92"/>
  <c r="DG62" i="92"/>
  <c r="DG6" i="92"/>
  <c r="DG126" i="92"/>
  <c r="DG98" i="92"/>
  <c r="DG73" i="92"/>
  <c r="DG79" i="92"/>
  <c r="DG95" i="92"/>
  <c r="DG54" i="92"/>
  <c r="DG107" i="92"/>
  <c r="DG84" i="92"/>
  <c r="DG100" i="92"/>
  <c r="DG9" i="92"/>
  <c r="DG12" i="92"/>
  <c r="DG83" i="92"/>
  <c r="DG69" i="92"/>
  <c r="DG36" i="92"/>
  <c r="DG40" i="92"/>
  <c r="DG17" i="92"/>
  <c r="DG97" i="92"/>
  <c r="DG19" i="92"/>
  <c r="DG35" i="92"/>
  <c r="DG63" i="92"/>
  <c r="DG38" i="92"/>
  <c r="DG52" i="92"/>
  <c r="DG25" i="92"/>
  <c r="DG68" i="92"/>
  <c r="DG116" i="92"/>
  <c r="DG117" i="92"/>
  <c r="DG102" i="92"/>
  <c r="DG15" i="92"/>
  <c r="DG129" i="92"/>
  <c r="DG61" i="92"/>
  <c r="DG80" i="92"/>
  <c r="DG128" i="92"/>
  <c r="DG64" i="92"/>
  <c r="DG132" i="92"/>
  <c r="DG11" i="92"/>
  <c r="DG48" i="92"/>
  <c r="DG103" i="92"/>
  <c r="DG92" i="92"/>
  <c r="DG72" i="92"/>
  <c r="DG29" i="92"/>
  <c r="DG18" i="92"/>
  <c r="DG28" i="92"/>
  <c r="DG70" i="92"/>
  <c r="DG34" i="92"/>
  <c r="DG110" i="92"/>
  <c r="DG41" i="92"/>
  <c r="DG74" i="92"/>
  <c r="DG105" i="92"/>
  <c r="DG49" i="92"/>
  <c r="DG108" i="92"/>
  <c r="DG53" i="92"/>
  <c r="DG91" i="92"/>
  <c r="DG125" i="92"/>
  <c r="DG104" i="92"/>
  <c r="DG90" i="92"/>
  <c r="DG93" i="92"/>
  <c r="DG77" i="92"/>
  <c r="DG32" i="92"/>
  <c r="DG131" i="92"/>
  <c r="DG16" i="92"/>
  <c r="DG57" i="92"/>
  <c r="DG33" i="92"/>
  <c r="DG14" i="92"/>
  <c r="DG20" i="92"/>
  <c r="DG99" i="92"/>
  <c r="DG85" i="92"/>
  <c r="DG96" i="92"/>
  <c r="DG51" i="92"/>
  <c r="DG75" i="92"/>
  <c r="DG50" i="92"/>
  <c r="DA32" i="92"/>
  <c r="DA27" i="92"/>
  <c r="DA55" i="92"/>
  <c r="DA63" i="92"/>
  <c r="DH3" i="92"/>
  <c r="DG3" i="92"/>
  <c r="DI3" i="92"/>
  <c r="DH152" i="92" l="1"/>
  <c r="CV154" i="92"/>
  <c r="CW154" i="92" s="1"/>
  <c r="DH135" i="92"/>
  <c r="CV156" i="92"/>
  <c r="CW156" i="92" s="1"/>
  <c r="CV169" i="92"/>
  <c r="CW169" i="92" s="1"/>
  <c r="DH137" i="92"/>
  <c r="CV184" i="92"/>
  <c r="CW184" i="92" s="1"/>
  <c r="CV157" i="92"/>
  <c r="CW157" i="92" s="1"/>
  <c r="DH162" i="92"/>
  <c r="DH138" i="92"/>
  <c r="CV173" i="92"/>
  <c r="CW173" i="92" s="1"/>
  <c r="CV180" i="92"/>
  <c r="CW180" i="92" s="1"/>
  <c r="CV149" i="92"/>
  <c r="CW149" i="92" s="1"/>
  <c r="CV174" i="92"/>
  <c r="CW174" i="92" s="1"/>
  <c r="CV144" i="92"/>
  <c r="CW144" i="92" s="1"/>
  <c r="DI181" i="92"/>
  <c r="DC181" i="92" s="1"/>
  <c r="DD181" i="92" s="1"/>
  <c r="DI167" i="92"/>
  <c r="DC167" i="92" s="1"/>
  <c r="DD167" i="92" s="1"/>
  <c r="DI159" i="92"/>
  <c r="DI182" i="92"/>
  <c r="DI171" i="92"/>
  <c r="DI154" i="92"/>
  <c r="DC154" i="92" s="1"/>
  <c r="DD154" i="92" s="1"/>
  <c r="DI143" i="92"/>
  <c r="DC143" i="92" s="1"/>
  <c r="DD143" i="92" s="1"/>
  <c r="DL181" i="92"/>
  <c r="DL167" i="92"/>
  <c r="DL159" i="92"/>
  <c r="DL145" i="92"/>
  <c r="DM184" i="92"/>
  <c r="DM175" i="92"/>
  <c r="DM165" i="92"/>
  <c r="DM152" i="92"/>
  <c r="DM135" i="92"/>
  <c r="DN181" i="92"/>
  <c r="DN167" i="92"/>
  <c r="DN159" i="92"/>
  <c r="DN145" i="92"/>
  <c r="DM187" i="92"/>
  <c r="DI180" i="92"/>
  <c r="DI169" i="92"/>
  <c r="DC169" i="92" s="1"/>
  <c r="DD169" i="92" s="1"/>
  <c r="DI155" i="92"/>
  <c r="DC155" i="92" s="1"/>
  <c r="DD155" i="92" s="1"/>
  <c r="DI142" i="92"/>
  <c r="DL183" i="92"/>
  <c r="DL169" i="92"/>
  <c r="DL154" i="92"/>
  <c r="DL143" i="92"/>
  <c r="DM185" i="92"/>
  <c r="DM176" i="92"/>
  <c r="DM160" i="92"/>
  <c r="DM147" i="92"/>
  <c r="DM138" i="92"/>
  <c r="DN183" i="92"/>
  <c r="DN169" i="92"/>
  <c r="DN154" i="92"/>
  <c r="DN143" i="92"/>
  <c r="DI176" i="92"/>
  <c r="DI156" i="92"/>
  <c r="DI141" i="92"/>
  <c r="DL184" i="92"/>
  <c r="DL168" i="92"/>
  <c r="DL156" i="92"/>
  <c r="DL142" i="92"/>
  <c r="DM182" i="92"/>
  <c r="DM167" i="92"/>
  <c r="DM155" i="92"/>
  <c r="DM140" i="92"/>
  <c r="DN177" i="92"/>
  <c r="DN162" i="92"/>
  <c r="DN152" i="92"/>
  <c r="DN136" i="92"/>
  <c r="DL187" i="92"/>
  <c r="DI168" i="92"/>
  <c r="DC168" i="92" s="1"/>
  <c r="DD168" i="92" s="1"/>
  <c r="DI158" i="92"/>
  <c r="DC158" i="92" s="1"/>
  <c r="DD158" i="92" s="1"/>
  <c r="DI140" i="92"/>
  <c r="DC140" i="92" s="1"/>
  <c r="DD140" i="92" s="1"/>
  <c r="DL185" i="92"/>
  <c r="DL170" i="92"/>
  <c r="DL158" i="92"/>
  <c r="DL141" i="92"/>
  <c r="DM180" i="92"/>
  <c r="DM169" i="92"/>
  <c r="DM153" i="92"/>
  <c r="DM137" i="92"/>
  <c r="DN178" i="92"/>
  <c r="DN163" i="92"/>
  <c r="DN147" i="92"/>
  <c r="DN134" i="92"/>
  <c r="DI179" i="92"/>
  <c r="DI164" i="92"/>
  <c r="DC164" i="92" s="1"/>
  <c r="DD164" i="92" s="1"/>
  <c r="DI152" i="92"/>
  <c r="DC152" i="92" s="1"/>
  <c r="DD152" i="92" s="1"/>
  <c r="DI136" i="92"/>
  <c r="DL180" i="92"/>
  <c r="DL164" i="92"/>
  <c r="DL151" i="92"/>
  <c r="DL138" i="92"/>
  <c r="DM178" i="92"/>
  <c r="DM163" i="92"/>
  <c r="DM149" i="92"/>
  <c r="DM133" i="92"/>
  <c r="DN176" i="92"/>
  <c r="DN157" i="92"/>
  <c r="DN144" i="92"/>
  <c r="DI185" i="92"/>
  <c r="DI163" i="92"/>
  <c r="DC163" i="92" s="1"/>
  <c r="DD163" i="92" s="1"/>
  <c r="DI144" i="92"/>
  <c r="DC144" i="92" s="1"/>
  <c r="DD144" i="92" s="1"/>
  <c r="DL178" i="92"/>
  <c r="DL161" i="92"/>
  <c r="DL137" i="92"/>
  <c r="DM173" i="92"/>
  <c r="DM159" i="92"/>
  <c r="DM134" i="92"/>
  <c r="DN170" i="92"/>
  <c r="DN150" i="92"/>
  <c r="DN133" i="92"/>
  <c r="DI186" i="92"/>
  <c r="DI165" i="92"/>
  <c r="DC165" i="92" s="1"/>
  <c r="DD165" i="92" s="1"/>
  <c r="DI145" i="92"/>
  <c r="DO145" i="92" s="1"/>
  <c r="DL174" i="92"/>
  <c r="DL157" i="92"/>
  <c r="DL135" i="92"/>
  <c r="DM168" i="92"/>
  <c r="DM154" i="92"/>
  <c r="DM139" i="92"/>
  <c r="DN172" i="92"/>
  <c r="DN151" i="92"/>
  <c r="DM188" i="92"/>
  <c r="DI137" i="92"/>
  <c r="DL155" i="92"/>
  <c r="DM170" i="92"/>
  <c r="DN184" i="92"/>
  <c r="DN148" i="92"/>
  <c r="DI183" i="92"/>
  <c r="DC183" i="92" s="1"/>
  <c r="DD183" i="92" s="1"/>
  <c r="DI160" i="92"/>
  <c r="DC160" i="92" s="1"/>
  <c r="DD160" i="92" s="1"/>
  <c r="DL173" i="92"/>
  <c r="DL136" i="92"/>
  <c r="DM150" i="92"/>
  <c r="DN171" i="92"/>
  <c r="DN187" i="92"/>
  <c r="DI175" i="92"/>
  <c r="DC175" i="92" s="1"/>
  <c r="DD175" i="92" s="1"/>
  <c r="DI151" i="92"/>
  <c r="DC151" i="92" s="1"/>
  <c r="DD151" i="92" s="1"/>
  <c r="DI133" i="92"/>
  <c r="DC133" i="92" s="1"/>
  <c r="DD133" i="92" s="1"/>
  <c r="DL166" i="92"/>
  <c r="DL148" i="92"/>
  <c r="DM179" i="92"/>
  <c r="DM162" i="92"/>
  <c r="DI174" i="92"/>
  <c r="DI149" i="92"/>
  <c r="DC149" i="92" s="1"/>
  <c r="DD149" i="92" s="1"/>
  <c r="DL165" i="92"/>
  <c r="DL133" i="92"/>
  <c r="DM156" i="92"/>
  <c r="DN186" i="92"/>
  <c r="DN161" i="92"/>
  <c r="DN138" i="92"/>
  <c r="DI188" i="92"/>
  <c r="DC188" i="92" s="1"/>
  <c r="DD188" i="92" s="1"/>
  <c r="DL188" i="92"/>
  <c r="DI170" i="92"/>
  <c r="DL186" i="92"/>
  <c r="DM181" i="92"/>
  <c r="DN182" i="92"/>
  <c r="DN158" i="92"/>
  <c r="DN188" i="92"/>
  <c r="DI173" i="92"/>
  <c r="DI146" i="92"/>
  <c r="DC146" i="92" s="1"/>
  <c r="DD146" i="92" s="1"/>
  <c r="DL160" i="92"/>
  <c r="DM186" i="92"/>
  <c r="DM158" i="92"/>
  <c r="DN179" i="92"/>
  <c r="DN156" i="92"/>
  <c r="DN139" i="92"/>
  <c r="DI135" i="92"/>
  <c r="DC135" i="92" s="1"/>
  <c r="DD135" i="92" s="1"/>
  <c r="DL153" i="92"/>
  <c r="DM151" i="92"/>
  <c r="DI162" i="92"/>
  <c r="DI139" i="92"/>
  <c r="DL177" i="92"/>
  <c r="DL147" i="92"/>
  <c r="DM174" i="92"/>
  <c r="DM144" i="92"/>
  <c r="DN173" i="92"/>
  <c r="DN149" i="92"/>
  <c r="DI161" i="92"/>
  <c r="DC161" i="92" s="1"/>
  <c r="DD161" i="92" s="1"/>
  <c r="DL175" i="92"/>
  <c r="DL149" i="92"/>
  <c r="DM172" i="92"/>
  <c r="DM145" i="92"/>
  <c r="DN175" i="92"/>
  <c r="DN146" i="92"/>
  <c r="DI157" i="92"/>
  <c r="DC157" i="92" s="1"/>
  <c r="DD157" i="92" s="1"/>
  <c r="DL176" i="92"/>
  <c r="DL146" i="92"/>
  <c r="DM171" i="92"/>
  <c r="DM143" i="92"/>
  <c r="DN168" i="92"/>
  <c r="DN142" i="92"/>
  <c r="DI150" i="92"/>
  <c r="DC150" i="92" s="1"/>
  <c r="DD150" i="92" s="1"/>
  <c r="DL171" i="92"/>
  <c r="DM164" i="92"/>
  <c r="DN164" i="92"/>
  <c r="DI147" i="92"/>
  <c r="DL162" i="92"/>
  <c r="DM161" i="92"/>
  <c r="DN165" i="92"/>
  <c r="DI187" i="92"/>
  <c r="DI148" i="92"/>
  <c r="DC148" i="92" s="1"/>
  <c r="DD148" i="92" s="1"/>
  <c r="DL163" i="92"/>
  <c r="DM157" i="92"/>
  <c r="DN160" i="92"/>
  <c r="DL144" i="92"/>
  <c r="DM142" i="92"/>
  <c r="DN141" i="92"/>
  <c r="DN185" i="92"/>
  <c r="DM183" i="92"/>
  <c r="DI184" i="92"/>
  <c r="DC184" i="92" s="1"/>
  <c r="DD184" i="92" s="1"/>
  <c r="DL140" i="92"/>
  <c r="DM141" i="92"/>
  <c r="DN140" i="92"/>
  <c r="DL139" i="92"/>
  <c r="DL179" i="92"/>
  <c r="DI177" i="92"/>
  <c r="DC177" i="92" s="1"/>
  <c r="DD177" i="92" s="1"/>
  <c r="DL134" i="92"/>
  <c r="DM136" i="92"/>
  <c r="DN137" i="92"/>
  <c r="DI178" i="92"/>
  <c r="DC178" i="92" s="1"/>
  <c r="DD178" i="92" s="1"/>
  <c r="DN135" i="92"/>
  <c r="DI172" i="92"/>
  <c r="DC172" i="92" s="1"/>
  <c r="DD172" i="92" s="1"/>
  <c r="DN180" i="92"/>
  <c r="DL150" i="92"/>
  <c r="DM166" i="92"/>
  <c r="DL152" i="92"/>
  <c r="DM177" i="92"/>
  <c r="DM146" i="92"/>
  <c r="DI166" i="92"/>
  <c r="DC166" i="92" s="1"/>
  <c r="DD166" i="92" s="1"/>
  <c r="DN174" i="92"/>
  <c r="DI134" i="92"/>
  <c r="DC134" i="92" s="1"/>
  <c r="DD134" i="92" s="1"/>
  <c r="DN153" i="92"/>
  <c r="DL172" i="92"/>
  <c r="DM148" i="92"/>
  <c r="DI153" i="92"/>
  <c r="DC153" i="92" s="1"/>
  <c r="DD153" i="92" s="1"/>
  <c r="DN166" i="92"/>
  <c r="DI138" i="92"/>
  <c r="DC138" i="92" s="1"/>
  <c r="DD138" i="92" s="1"/>
  <c r="DN155" i="92"/>
  <c r="DL182" i="92"/>
  <c r="DI1" i="92"/>
  <c r="DG2" i="92"/>
  <c r="DH2" i="92"/>
  <c r="DB2" i="92"/>
  <c r="DC2" i="92"/>
  <c r="DD2" i="92"/>
  <c r="DF2" i="92"/>
  <c r="DE2" i="92"/>
  <c r="DH140" i="92"/>
  <c r="DH177" i="92"/>
  <c r="DH165" i="92"/>
  <c r="DH188" i="92"/>
  <c r="DH181" i="92"/>
  <c r="DH133" i="92"/>
  <c r="DH155" i="92"/>
  <c r="DH159" i="92"/>
  <c r="DC159" i="92"/>
  <c r="DD159" i="92" s="1"/>
  <c r="CV160" i="92"/>
  <c r="CW160" i="92" s="1"/>
  <c r="DH160" i="92"/>
  <c r="DC139" i="92"/>
  <c r="DD139" i="92" s="1"/>
  <c r="DH139" i="92"/>
  <c r="DH166" i="92"/>
  <c r="DH134" i="92"/>
  <c r="DH167" i="92"/>
  <c r="DH173" i="92"/>
  <c r="DH142" i="92"/>
  <c r="DC180" i="92"/>
  <c r="DD180" i="92" s="1"/>
  <c r="DH180" i="92"/>
  <c r="DH151" i="92"/>
  <c r="DH185" i="92"/>
  <c r="DH150" i="92"/>
  <c r="DH136" i="92"/>
  <c r="DH156" i="92"/>
  <c r="DC156" i="92"/>
  <c r="DD156" i="92" s="1"/>
  <c r="DH186" i="92"/>
  <c r="DH145" i="92"/>
  <c r="DC171" i="92"/>
  <c r="DD171" i="92" s="1"/>
  <c r="DH171" i="92"/>
  <c r="DH147" i="92"/>
  <c r="DH172" i="92"/>
  <c r="DH170" i="92"/>
  <c r="DH158" i="92"/>
  <c r="DH149" i="92"/>
  <c r="DH163" i="92"/>
  <c r="DC182" i="92"/>
  <c r="DD182" i="92" s="1"/>
  <c r="DH182" i="92"/>
  <c r="DH148" i="92"/>
  <c r="DH179" i="92"/>
  <c r="DC179" i="92"/>
  <c r="DD179" i="92" s="1"/>
  <c r="CV168" i="92"/>
  <c r="CW168" i="92" s="1"/>
  <c r="DH168" i="92"/>
  <c r="DH184" i="92"/>
  <c r="DH144" i="92"/>
  <c r="DH157" i="92"/>
  <c r="DC176" i="92"/>
  <c r="DD176" i="92" s="1"/>
  <c r="DH176" i="92"/>
  <c r="DH187" i="92"/>
  <c r="DC187" i="92"/>
  <c r="DD187" i="92" s="1"/>
  <c r="DH146" i="92"/>
  <c r="DH161" i="92"/>
  <c r="DH175" i="92"/>
  <c r="DC141" i="92"/>
  <c r="DD141" i="92" s="1"/>
  <c r="DH141" i="92"/>
  <c r="DH153" i="92"/>
  <c r="DH164" i="92"/>
  <c r="DH178" i="92"/>
  <c r="DH143" i="92"/>
  <c r="DH169" i="92"/>
  <c r="DH183" i="92"/>
  <c r="DH81" i="92"/>
  <c r="CV66" i="92"/>
  <c r="CW66" i="92" s="1"/>
  <c r="DH16" i="92"/>
  <c r="CV120" i="92"/>
  <c r="CW120" i="92" s="1"/>
  <c r="DH39" i="92"/>
  <c r="DH87" i="92"/>
  <c r="DH132" i="92"/>
  <c r="H18" i="95"/>
  <c r="DH74" i="92"/>
  <c r="DH96" i="92"/>
  <c r="DH28" i="92"/>
  <c r="DH98" i="92"/>
  <c r="DH106" i="92"/>
  <c r="DH68" i="92"/>
  <c r="DH77" i="92"/>
  <c r="DH100" i="92"/>
  <c r="DH82" i="92"/>
  <c r="DH99" i="92"/>
  <c r="DH62" i="92"/>
  <c r="DH50" i="92"/>
  <c r="AB18" i="95"/>
  <c r="DH58" i="92"/>
  <c r="DH89" i="92"/>
  <c r="CV74" i="92"/>
  <c r="CW74" i="92" s="1"/>
  <c r="DH123" i="92"/>
  <c r="DH94" i="92"/>
  <c r="CV68" i="92"/>
  <c r="CW68" i="92" s="1"/>
  <c r="CV25" i="92"/>
  <c r="CW25" i="92" s="1"/>
  <c r="CV64" i="92"/>
  <c r="CW64" i="92" s="1"/>
  <c r="CV109" i="92"/>
  <c r="CW109" i="92" s="1"/>
  <c r="DH119" i="92"/>
  <c r="DH121" i="92"/>
  <c r="CV121" i="92"/>
  <c r="CW121" i="92" s="1"/>
  <c r="CV77" i="92"/>
  <c r="CW77" i="92" s="1"/>
  <c r="CV128" i="92"/>
  <c r="CW128" i="92" s="1"/>
  <c r="CV98" i="92"/>
  <c r="CW98" i="92" s="1"/>
  <c r="CV12" i="92"/>
  <c r="CW12" i="92" s="1"/>
  <c r="DH37" i="92"/>
  <c r="DH86" i="92"/>
  <c r="CV116" i="92"/>
  <c r="CW116" i="92" s="1"/>
  <c r="CV65" i="92"/>
  <c r="CW65" i="92" s="1"/>
  <c r="CV95" i="92"/>
  <c r="CW95" i="92" s="1"/>
  <c r="CV71" i="92"/>
  <c r="CW71" i="92" s="1"/>
  <c r="CV32" i="92"/>
  <c r="CW32" i="92" s="1"/>
  <c r="CV93" i="92"/>
  <c r="CW93" i="92" s="1"/>
  <c r="DH13" i="92"/>
  <c r="DH21" i="92"/>
  <c r="CV106" i="92"/>
  <c r="CW106" i="92" s="1"/>
  <c r="CV56" i="92"/>
  <c r="CW56" i="92" s="1"/>
  <c r="CV31" i="92"/>
  <c r="CW31" i="92" s="1"/>
  <c r="CV26" i="92"/>
  <c r="CW26" i="92" s="1"/>
  <c r="CV88" i="92"/>
  <c r="CW88" i="92" s="1"/>
  <c r="CV89" i="92"/>
  <c r="CW89" i="92" s="1"/>
  <c r="CV62" i="92"/>
  <c r="CW62" i="92" s="1"/>
  <c r="CV35" i="92"/>
  <c r="CW35" i="92" s="1"/>
  <c r="CV67" i="92"/>
  <c r="CW67" i="92" s="1"/>
  <c r="CV55" i="92"/>
  <c r="CW55" i="92" s="1"/>
  <c r="CV52" i="92"/>
  <c r="CW52" i="92" s="1"/>
  <c r="CV42" i="92"/>
  <c r="CW42" i="92" s="1"/>
  <c r="CV21" i="92"/>
  <c r="CW21" i="92" s="1"/>
  <c r="DH112" i="92"/>
  <c r="CV40" i="92"/>
  <c r="CW40" i="92" s="1"/>
  <c r="CV132" i="92"/>
  <c r="CW132" i="92" s="1"/>
  <c r="CV125" i="92"/>
  <c r="CW125" i="92" s="1"/>
  <c r="CV14" i="92"/>
  <c r="CW14" i="92" s="1"/>
  <c r="CV131" i="92"/>
  <c r="CW131" i="92" s="1"/>
  <c r="CV13" i="92"/>
  <c r="CW13" i="92" s="1"/>
  <c r="CV96" i="92"/>
  <c r="CW96" i="92" s="1"/>
  <c r="DH30" i="92"/>
  <c r="DH120" i="92"/>
  <c r="DH45" i="92"/>
  <c r="DH118" i="92"/>
  <c r="CV30" i="92"/>
  <c r="CW30" i="92" s="1"/>
  <c r="CV20" i="92"/>
  <c r="CW20" i="92" s="1"/>
  <c r="CV82" i="92"/>
  <c r="CW82" i="92" s="1"/>
  <c r="CV81" i="92"/>
  <c r="CW81" i="92" s="1"/>
  <c r="CV110" i="92"/>
  <c r="CW110" i="92" s="1"/>
  <c r="CV86" i="92"/>
  <c r="CW86" i="92" s="1"/>
  <c r="CV6" i="92"/>
  <c r="CW6" i="92" s="1"/>
  <c r="DH101" i="92"/>
  <c r="DH22" i="92"/>
  <c r="CV28" i="92"/>
  <c r="CW28" i="92" s="1"/>
  <c r="CV102" i="92"/>
  <c r="CW102" i="92" s="1"/>
  <c r="CV123" i="92"/>
  <c r="CW123" i="92" s="1"/>
  <c r="CV29" i="92"/>
  <c r="CW29" i="92" s="1"/>
  <c r="CV45" i="92"/>
  <c r="CW45" i="92" s="1"/>
  <c r="CV90" i="92"/>
  <c r="CW90" i="92" s="1"/>
  <c r="CV22" i="92"/>
  <c r="CW22" i="92" s="1"/>
  <c r="CV85" i="92"/>
  <c r="CW85" i="92" s="1"/>
  <c r="CV84" i="92"/>
  <c r="CW84" i="92" s="1"/>
  <c r="CV57" i="92"/>
  <c r="CW57" i="92" s="1"/>
  <c r="DH78" i="92"/>
  <c r="DH47" i="92"/>
  <c r="DH5" i="92"/>
  <c r="DH76" i="92"/>
  <c r="CV11" i="92"/>
  <c r="CW11" i="92" s="1"/>
  <c r="CV34" i="92"/>
  <c r="CW34" i="92" s="1"/>
  <c r="CV78" i="92"/>
  <c r="CW78" i="92" s="1"/>
  <c r="CV39" i="92"/>
  <c r="CW39" i="92" s="1"/>
  <c r="CV23" i="92"/>
  <c r="CW23" i="92" s="1"/>
  <c r="CV7" i="92"/>
  <c r="CW7" i="92" s="1"/>
  <c r="CV41" i="92"/>
  <c r="CW41" i="92" s="1"/>
  <c r="CV99" i="92"/>
  <c r="CW99" i="92" s="1"/>
  <c r="CV117" i="92"/>
  <c r="CW117" i="92" s="1"/>
  <c r="CV130" i="92"/>
  <c r="CW130" i="92" s="1"/>
  <c r="CV43" i="92"/>
  <c r="CW43" i="92" s="1"/>
  <c r="CV92" i="92"/>
  <c r="CW92" i="92" s="1"/>
  <c r="DL26" i="92"/>
  <c r="DL43" i="92"/>
  <c r="DL61" i="92"/>
  <c r="DL76" i="92"/>
  <c r="DL23" i="92"/>
  <c r="DL105" i="92"/>
  <c r="DL66" i="92"/>
  <c r="DL32" i="92"/>
  <c r="DL48" i="92"/>
  <c r="DL132" i="92"/>
  <c r="DL54" i="92"/>
  <c r="DL8" i="92"/>
  <c r="DL111" i="92"/>
  <c r="DL41" i="92"/>
  <c r="DL49" i="92"/>
  <c r="DL81" i="92"/>
  <c r="DL30" i="92"/>
  <c r="DL110" i="92"/>
  <c r="DL120" i="92"/>
  <c r="DL90" i="92"/>
  <c r="DL68" i="92"/>
  <c r="DL31" i="92"/>
  <c r="DL6" i="92"/>
  <c r="DL20" i="92"/>
  <c r="DL99" i="92"/>
  <c r="DL87" i="92"/>
  <c r="DL93" i="92"/>
  <c r="DL75" i="92"/>
  <c r="DL58" i="92"/>
  <c r="DL57" i="92"/>
  <c r="DL25" i="92"/>
  <c r="DL123" i="92"/>
  <c r="DL121" i="92"/>
  <c r="DL122" i="92"/>
  <c r="DL88" i="92"/>
  <c r="DL94" i="92"/>
  <c r="DL40" i="92"/>
  <c r="DL27" i="92"/>
  <c r="DL114" i="92"/>
  <c r="DL59" i="92"/>
  <c r="DL9" i="92"/>
  <c r="DL91" i="92"/>
  <c r="DL102" i="92"/>
  <c r="DL109" i="92"/>
  <c r="DL45" i="92"/>
  <c r="DL60" i="92"/>
  <c r="DL89" i="92"/>
  <c r="DL71" i="92"/>
  <c r="DL106" i="92"/>
  <c r="DL125" i="92"/>
  <c r="DL36" i="92"/>
  <c r="DL97" i="92"/>
  <c r="DL14" i="92"/>
  <c r="DL78" i="92"/>
  <c r="DL108" i="92"/>
  <c r="DL63" i="92"/>
  <c r="DL115" i="92"/>
  <c r="DL83" i="92"/>
  <c r="DL116" i="92"/>
  <c r="DL129" i="92"/>
  <c r="DL103" i="92"/>
  <c r="DL130" i="92"/>
  <c r="DJ3" i="92"/>
  <c r="DL101" i="92"/>
  <c r="DL24" i="92"/>
  <c r="DL104" i="92"/>
  <c r="DL51" i="92"/>
  <c r="DL18" i="92"/>
  <c r="DL29" i="92"/>
  <c r="DL13" i="92"/>
  <c r="DL38" i="92"/>
  <c r="DL86" i="92"/>
  <c r="DL21" i="92"/>
  <c r="DL11" i="92"/>
  <c r="DL85" i="92"/>
  <c r="DL17" i="92"/>
  <c r="DL128" i="92"/>
  <c r="DL95" i="92"/>
  <c r="DL112" i="92"/>
  <c r="DL82" i="92"/>
  <c r="DL73" i="92"/>
  <c r="DL19" i="92"/>
  <c r="DL39" i="92"/>
  <c r="DL79" i="92"/>
  <c r="DL118" i="92"/>
  <c r="DL52" i="92"/>
  <c r="DL3" i="92"/>
  <c r="DL127" i="92"/>
  <c r="DL107" i="92"/>
  <c r="DL70" i="92"/>
  <c r="DL56" i="92"/>
  <c r="DL69" i="92"/>
  <c r="DL77" i="92"/>
  <c r="DL50" i="92"/>
  <c r="DL84" i="92"/>
  <c r="DL92" i="92"/>
  <c r="DL22" i="92"/>
  <c r="DL67" i="92"/>
  <c r="DL15" i="92"/>
  <c r="DL98" i="92"/>
  <c r="DL28" i="92"/>
  <c r="DL74" i="92"/>
  <c r="DL5" i="92"/>
  <c r="DL16" i="92"/>
  <c r="DL35" i="92"/>
  <c r="DL64" i="92"/>
  <c r="DL100" i="92"/>
  <c r="DL113" i="92"/>
  <c r="DL37" i="92"/>
  <c r="DL33" i="92"/>
  <c r="DL42" i="92"/>
  <c r="DL7" i="92"/>
  <c r="DL119" i="92"/>
  <c r="DL72" i="92"/>
  <c r="DL10" i="92"/>
  <c r="DL47" i="92"/>
  <c r="DL55" i="92"/>
  <c r="DL53" i="92"/>
  <c r="DL80" i="92"/>
  <c r="DL126" i="92"/>
  <c r="DL117" i="92"/>
  <c r="DL12" i="92"/>
  <c r="DL124" i="92"/>
  <c r="DL131" i="92"/>
  <c r="DK3" i="92"/>
  <c r="DL34" i="92"/>
  <c r="DL46" i="92"/>
  <c r="DL96" i="92"/>
  <c r="DL62" i="92"/>
  <c r="DL65" i="92"/>
  <c r="DL44" i="92"/>
  <c r="DH92" i="92"/>
  <c r="DH116" i="92"/>
  <c r="DH29" i="92"/>
  <c r="DH75" i="92"/>
  <c r="DH64" i="92"/>
  <c r="DH63" i="92"/>
  <c r="DH91" i="92"/>
  <c r="DH17" i="92"/>
  <c r="DH117" i="92"/>
  <c r="DH57" i="92"/>
  <c r="DH12" i="92"/>
  <c r="DH52" i="92"/>
  <c r="DH71" i="92"/>
  <c r="DH41" i="92"/>
  <c r="DH128" i="92"/>
  <c r="DH33" i="92"/>
  <c r="DH43" i="92"/>
  <c r="DH55" i="92"/>
  <c r="DH20" i="92"/>
  <c r="DH24" i="92"/>
  <c r="DH15" i="92"/>
  <c r="DH83" i="92"/>
  <c r="DH14" i="92"/>
  <c r="DH70" i="92"/>
  <c r="DH53" i="92"/>
  <c r="DH19" i="92"/>
  <c r="DH108" i="92"/>
  <c r="DH72" i="92"/>
  <c r="DH97" i="92"/>
  <c r="DH35" i="92"/>
  <c r="DH26" i="92"/>
  <c r="I16" i="95"/>
  <c r="K17" i="95"/>
  <c r="G16" i="95"/>
  <c r="DH54" i="92"/>
  <c r="DH49" i="92"/>
  <c r="DH114" i="92"/>
  <c r="DH125" i="92"/>
  <c r="DH102" i="92"/>
  <c r="DH103" i="92"/>
  <c r="DH79" i="92"/>
  <c r="DH127" i="92"/>
  <c r="DH36" i="92"/>
  <c r="DH8" i="92"/>
  <c r="DH110" i="92"/>
  <c r="DH11" i="92"/>
  <c r="DH126" i="92"/>
  <c r="DH90" i="92"/>
  <c r="DH34" i="92"/>
  <c r="DH44" i="92"/>
  <c r="DH25" i="92"/>
  <c r="DH66" i="92"/>
  <c r="DH95" i="92"/>
  <c r="DH10" i="92"/>
  <c r="DH7" i="92"/>
  <c r="DH84" i="92"/>
  <c r="DH46" i="92"/>
  <c r="DH104" i="92"/>
  <c r="DH73" i="92"/>
  <c r="DH67" i="92"/>
  <c r="DH51" i="92"/>
  <c r="DH69" i="92"/>
  <c r="DH109" i="92"/>
  <c r="DH61" i="92"/>
  <c r="DH107" i="92"/>
  <c r="DH122" i="92"/>
  <c r="DH59" i="92"/>
  <c r="DH56" i="92"/>
  <c r="DH111" i="92"/>
  <c r="DH32" i="92"/>
  <c r="DH124" i="92"/>
  <c r="DH85" i="92"/>
  <c r="DH6" i="92"/>
  <c r="DH88" i="92"/>
  <c r="DH105" i="92"/>
  <c r="DH27" i="92"/>
  <c r="AD18" i="95"/>
  <c r="AC18" i="95"/>
  <c r="DH129" i="92"/>
  <c r="J16" i="95"/>
  <c r="DH23" i="92"/>
  <c r="DH80" i="92"/>
  <c r="DH18" i="92"/>
  <c r="DH60" i="92"/>
  <c r="DH40" i="92"/>
  <c r="DH31" i="92"/>
  <c r="DH48" i="92"/>
  <c r="DH131" i="92"/>
  <c r="DH115" i="92"/>
  <c r="DI22" i="92"/>
  <c r="DC22" i="92" s="1"/>
  <c r="DD22" i="92" s="1"/>
  <c r="DI12" i="92"/>
  <c r="DC12" i="92" s="1"/>
  <c r="DD12" i="92" s="1"/>
  <c r="DI130" i="92"/>
  <c r="DC130" i="92" s="1"/>
  <c r="DD130" i="92" s="1"/>
  <c r="DI113" i="92"/>
  <c r="DC113" i="92" s="1"/>
  <c r="DD113" i="92" s="1"/>
  <c r="DI33" i="92"/>
  <c r="DC33" i="92" s="1"/>
  <c r="DD33" i="92" s="1"/>
  <c r="DI39" i="92"/>
  <c r="DC39" i="92" s="1"/>
  <c r="DD39" i="92" s="1"/>
  <c r="DI9" i="92"/>
  <c r="DC9" i="92" s="1"/>
  <c r="DD9" i="92" s="1"/>
  <c r="DI115" i="92"/>
  <c r="DC115" i="92" s="1"/>
  <c r="DD115" i="92" s="1"/>
  <c r="DI88" i="92"/>
  <c r="DC88" i="92" s="1"/>
  <c r="DD88" i="92" s="1"/>
  <c r="DI126" i="92"/>
  <c r="DC126" i="92" s="1"/>
  <c r="DD126" i="92" s="1"/>
  <c r="DM104" i="92"/>
  <c r="DM79" i="92"/>
  <c r="DM44" i="92"/>
  <c r="DM80" i="92"/>
  <c r="DM67" i="92"/>
  <c r="DM7" i="92"/>
  <c r="DM24" i="92"/>
  <c r="DM91" i="92"/>
  <c r="DM34" i="92"/>
  <c r="DM56" i="92"/>
  <c r="DN113" i="92"/>
  <c r="DN76" i="92"/>
  <c r="DI45" i="92"/>
  <c r="DC45" i="92" s="1"/>
  <c r="DD45" i="92" s="1"/>
  <c r="DI49" i="92"/>
  <c r="DC49" i="92" s="1"/>
  <c r="DD49" i="92" s="1"/>
  <c r="DI127" i="92"/>
  <c r="DC127" i="92" s="1"/>
  <c r="DD127" i="92" s="1"/>
  <c r="DI73" i="92"/>
  <c r="DC73" i="92" s="1"/>
  <c r="DD73" i="92" s="1"/>
  <c r="DI129" i="92"/>
  <c r="DC129" i="92" s="1"/>
  <c r="DD129" i="92" s="1"/>
  <c r="DI81" i="92"/>
  <c r="DC81" i="92" s="1"/>
  <c r="DD81" i="92" s="1"/>
  <c r="DI106" i="92"/>
  <c r="DC106" i="92" s="1"/>
  <c r="DD106" i="92" s="1"/>
  <c r="DI58" i="92"/>
  <c r="DC58" i="92" s="1"/>
  <c r="DD58" i="92" s="1"/>
  <c r="DI76" i="92"/>
  <c r="DC76" i="92" s="1"/>
  <c r="DD76" i="92" s="1"/>
  <c r="DI53" i="92"/>
  <c r="DC53" i="92" s="1"/>
  <c r="DD53" i="92" s="1"/>
  <c r="DI66" i="92"/>
  <c r="DM85" i="92"/>
  <c r="DM101" i="92"/>
  <c r="DM46" i="92"/>
  <c r="DM94" i="92"/>
  <c r="DM90" i="92"/>
  <c r="DM11" i="92"/>
  <c r="DM102" i="92"/>
  <c r="DM64" i="92"/>
  <c r="DM92" i="92"/>
  <c r="DI96" i="92"/>
  <c r="DC96" i="92" s="1"/>
  <c r="DD96" i="92" s="1"/>
  <c r="DI17" i="92"/>
  <c r="DC17" i="92" s="1"/>
  <c r="DD17" i="92" s="1"/>
  <c r="DI41" i="92"/>
  <c r="DC41" i="92" s="1"/>
  <c r="DD41" i="92" s="1"/>
  <c r="DI77" i="92"/>
  <c r="DC77" i="92" s="1"/>
  <c r="DD77" i="92" s="1"/>
  <c r="DI89" i="92"/>
  <c r="DC89" i="92" s="1"/>
  <c r="DD89" i="92" s="1"/>
  <c r="DI42" i="92"/>
  <c r="DC42" i="92" s="1"/>
  <c r="DD42" i="92" s="1"/>
  <c r="DI62" i="92"/>
  <c r="DC62" i="92" s="1"/>
  <c r="DD62" i="92" s="1"/>
  <c r="DI132" i="92"/>
  <c r="DC132" i="92" s="1"/>
  <c r="DD132" i="92" s="1"/>
  <c r="DI71" i="92"/>
  <c r="DC71" i="92" s="1"/>
  <c r="DD71" i="92" s="1"/>
  <c r="DI23" i="92"/>
  <c r="DC23" i="92" s="1"/>
  <c r="DD23" i="92" s="1"/>
  <c r="DI47" i="92"/>
  <c r="DC47" i="92" s="1"/>
  <c r="DD47" i="92" s="1"/>
  <c r="DM121" i="92"/>
  <c r="DM86" i="92"/>
  <c r="DM21" i="92"/>
  <c r="DM57" i="92"/>
  <c r="DM69" i="92"/>
  <c r="DM87" i="92"/>
  <c r="DM52" i="92"/>
  <c r="DM13" i="92"/>
  <c r="DM109" i="92"/>
  <c r="DI101" i="92"/>
  <c r="DC101" i="92" s="1"/>
  <c r="DD101" i="92" s="1"/>
  <c r="DI116" i="92"/>
  <c r="DC116" i="92" s="1"/>
  <c r="DD116" i="92" s="1"/>
  <c r="DI103" i="92"/>
  <c r="DC103" i="92" s="1"/>
  <c r="DD103" i="92" s="1"/>
  <c r="DI11" i="92"/>
  <c r="DC11" i="92" s="1"/>
  <c r="DD11" i="92" s="1"/>
  <c r="DI120" i="92"/>
  <c r="DI40" i="92"/>
  <c r="DC40" i="92" s="1"/>
  <c r="DD40" i="92" s="1"/>
  <c r="DI72" i="92"/>
  <c r="DC72" i="92" s="1"/>
  <c r="DD72" i="92" s="1"/>
  <c r="DI70" i="92"/>
  <c r="DC70" i="92" s="1"/>
  <c r="DD70" i="92" s="1"/>
  <c r="DM32" i="92"/>
  <c r="DM38" i="92"/>
  <c r="DM73" i="92"/>
  <c r="DM117" i="92"/>
  <c r="DM95" i="92"/>
  <c r="DM58" i="92"/>
  <c r="DM50" i="92"/>
  <c r="DM27" i="92"/>
  <c r="DM63" i="92"/>
  <c r="DN104" i="92"/>
  <c r="DN89" i="92"/>
  <c r="DI114" i="92"/>
  <c r="DC114" i="92" s="1"/>
  <c r="DD114" i="92" s="1"/>
  <c r="DI86" i="92"/>
  <c r="DC86" i="92" s="1"/>
  <c r="DD86" i="92" s="1"/>
  <c r="DI54" i="92"/>
  <c r="DC54" i="92" s="1"/>
  <c r="DD54" i="92" s="1"/>
  <c r="DI83" i="92"/>
  <c r="DC83" i="92" s="1"/>
  <c r="DD83" i="92" s="1"/>
  <c r="DI87" i="92"/>
  <c r="DC87" i="92" s="1"/>
  <c r="DD87" i="92" s="1"/>
  <c r="DI36" i="92"/>
  <c r="DC36" i="92" s="1"/>
  <c r="DD36" i="92" s="1"/>
  <c r="DI124" i="92"/>
  <c r="DC124" i="92" s="1"/>
  <c r="DD124" i="92" s="1"/>
  <c r="DI6" i="92"/>
  <c r="DC6" i="92" s="1"/>
  <c r="DD6" i="92" s="1"/>
  <c r="DI31" i="92"/>
  <c r="DC31" i="92" s="1"/>
  <c r="DD31" i="92" s="1"/>
  <c r="DI85" i="92"/>
  <c r="DC85" i="92" s="1"/>
  <c r="DD85" i="92" s="1"/>
  <c r="DI68" i="92"/>
  <c r="DC68" i="92" s="1"/>
  <c r="DD68" i="92" s="1"/>
  <c r="DI125" i="92"/>
  <c r="DC125" i="92" s="1"/>
  <c r="DD125" i="92" s="1"/>
  <c r="DI90" i="92"/>
  <c r="DC90" i="92" s="1"/>
  <c r="DD90" i="92" s="1"/>
  <c r="DI55" i="92"/>
  <c r="DC55" i="92" s="1"/>
  <c r="DD55" i="92" s="1"/>
  <c r="DI48" i="92"/>
  <c r="DC48" i="92" s="1"/>
  <c r="DD48" i="92" s="1"/>
  <c r="DI92" i="92"/>
  <c r="DI107" i="92"/>
  <c r="DC107" i="92" s="1"/>
  <c r="DD107" i="92" s="1"/>
  <c r="DI21" i="92"/>
  <c r="DC21" i="92" s="1"/>
  <c r="DD21" i="92" s="1"/>
  <c r="DI69" i="92"/>
  <c r="DC69" i="92" s="1"/>
  <c r="DD69" i="92" s="1"/>
  <c r="DI123" i="92"/>
  <c r="DC123" i="92" s="1"/>
  <c r="DD123" i="92" s="1"/>
  <c r="DI82" i="92"/>
  <c r="DI128" i="92"/>
  <c r="DC128" i="92" s="1"/>
  <c r="DD128" i="92" s="1"/>
  <c r="DM96" i="92"/>
  <c r="DM122" i="92"/>
  <c r="DM77" i="92"/>
  <c r="DM93" i="92"/>
  <c r="DM106" i="92"/>
  <c r="DM82" i="92"/>
  <c r="DM72" i="92"/>
  <c r="DM126" i="92"/>
  <c r="DN118" i="92"/>
  <c r="DI8" i="92"/>
  <c r="DC8" i="92" s="1"/>
  <c r="DD8" i="92" s="1"/>
  <c r="DI19" i="92"/>
  <c r="DC19" i="92" s="1"/>
  <c r="DD19" i="92" s="1"/>
  <c r="DI28" i="92"/>
  <c r="DC28" i="92" s="1"/>
  <c r="DD28" i="92" s="1"/>
  <c r="DI24" i="92"/>
  <c r="DC24" i="92" s="1"/>
  <c r="DD24" i="92" s="1"/>
  <c r="DI10" i="92"/>
  <c r="DC10" i="92" s="1"/>
  <c r="DD10" i="92" s="1"/>
  <c r="DI27" i="92"/>
  <c r="DC27" i="92" s="1"/>
  <c r="DD27" i="92" s="1"/>
  <c r="DM16" i="92"/>
  <c r="DM84" i="92"/>
  <c r="DM99" i="92"/>
  <c r="DM74" i="92"/>
  <c r="DM62" i="92"/>
  <c r="DM10" i="92"/>
  <c r="DM6" i="92"/>
  <c r="DM66" i="92"/>
  <c r="DN37" i="92"/>
  <c r="DI20" i="92"/>
  <c r="DC20" i="92" s="1"/>
  <c r="DD20" i="92" s="1"/>
  <c r="DI26" i="92"/>
  <c r="DC26" i="92" s="1"/>
  <c r="DD26" i="92" s="1"/>
  <c r="DI117" i="92"/>
  <c r="DC117" i="92" s="1"/>
  <c r="DD117" i="92" s="1"/>
  <c r="DI102" i="92"/>
  <c r="DC102" i="92" s="1"/>
  <c r="DD102" i="92" s="1"/>
  <c r="DI91" i="92"/>
  <c r="DC91" i="92" s="1"/>
  <c r="DD91" i="92" s="1"/>
  <c r="DI25" i="92"/>
  <c r="DC25" i="92" s="1"/>
  <c r="DD25" i="92" s="1"/>
  <c r="DM107" i="92"/>
  <c r="DM130" i="92"/>
  <c r="DM59" i="92"/>
  <c r="DM15" i="92"/>
  <c r="DM108" i="92"/>
  <c r="DM40" i="92"/>
  <c r="DM47" i="92"/>
  <c r="DN121" i="92"/>
  <c r="DN30" i="92"/>
  <c r="DI112" i="92"/>
  <c r="DC112" i="92" s="1"/>
  <c r="DD112" i="92" s="1"/>
  <c r="DI43" i="92"/>
  <c r="DC43" i="92" s="1"/>
  <c r="DD43" i="92" s="1"/>
  <c r="DI37" i="92"/>
  <c r="DC37" i="92" s="1"/>
  <c r="DD37" i="92" s="1"/>
  <c r="DI52" i="92"/>
  <c r="DC52" i="92" s="1"/>
  <c r="DD52" i="92" s="1"/>
  <c r="DI109" i="92"/>
  <c r="DC109" i="92" s="1"/>
  <c r="DD109" i="92" s="1"/>
  <c r="DI98" i="92"/>
  <c r="DC98" i="92" s="1"/>
  <c r="DD98" i="92" s="1"/>
  <c r="DM8" i="92"/>
  <c r="DM127" i="92"/>
  <c r="DM78" i="92"/>
  <c r="DM39" i="92"/>
  <c r="DM120" i="92"/>
  <c r="DM124" i="92"/>
  <c r="DM53" i="92"/>
  <c r="DM5" i="92"/>
  <c r="DN22" i="92"/>
  <c r="DN119" i="92"/>
  <c r="DI97" i="92"/>
  <c r="DC97" i="92" s="1"/>
  <c r="DD97" i="92" s="1"/>
  <c r="DI94" i="92"/>
  <c r="DC94" i="92" s="1"/>
  <c r="DD94" i="92" s="1"/>
  <c r="DI74" i="92"/>
  <c r="DC74" i="92" s="1"/>
  <c r="DD74" i="92" s="1"/>
  <c r="DI75" i="92"/>
  <c r="DC75" i="92" s="1"/>
  <c r="DD75" i="92" s="1"/>
  <c r="DI50" i="92"/>
  <c r="DC50" i="92" s="1"/>
  <c r="DD50" i="92" s="1"/>
  <c r="DI56" i="92"/>
  <c r="DC56" i="92" s="1"/>
  <c r="DD56" i="92" s="1"/>
  <c r="DM112" i="92"/>
  <c r="DM19" i="92"/>
  <c r="DM103" i="92"/>
  <c r="DM42" i="92"/>
  <c r="DM75" i="92"/>
  <c r="DM76" i="92"/>
  <c r="DM61" i="92"/>
  <c r="DM31" i="92"/>
  <c r="DN112" i="92"/>
  <c r="DN120" i="92"/>
  <c r="DI57" i="92"/>
  <c r="DC57" i="92" s="1"/>
  <c r="DD57" i="92" s="1"/>
  <c r="DI15" i="92"/>
  <c r="DC15" i="92" s="1"/>
  <c r="DD15" i="92" s="1"/>
  <c r="DI131" i="92"/>
  <c r="DC131" i="92" s="1"/>
  <c r="DD131" i="92" s="1"/>
  <c r="DI14" i="92"/>
  <c r="DC14" i="92" s="1"/>
  <c r="DD14" i="92" s="1"/>
  <c r="DI51" i="92"/>
  <c r="DC51" i="92" s="1"/>
  <c r="DD51" i="92" s="1"/>
  <c r="DM12" i="92"/>
  <c r="DM116" i="92"/>
  <c r="DM83" i="92"/>
  <c r="DM30" i="92"/>
  <c r="DM48" i="92"/>
  <c r="DM71" i="92"/>
  <c r="DM128" i="92"/>
  <c r="DM29" i="92"/>
  <c r="DN101" i="92"/>
  <c r="DI122" i="92"/>
  <c r="DC122" i="92" s="1"/>
  <c r="DD122" i="92" s="1"/>
  <c r="DI7" i="92"/>
  <c r="DC7" i="92" s="1"/>
  <c r="DD7" i="92" s="1"/>
  <c r="DI111" i="92"/>
  <c r="DC111" i="92" s="1"/>
  <c r="DD111" i="92" s="1"/>
  <c r="DM54" i="92"/>
  <c r="DM55" i="92"/>
  <c r="DM65" i="92"/>
  <c r="DN86" i="92"/>
  <c r="DI44" i="92"/>
  <c r="DC44" i="92" s="1"/>
  <c r="DD44" i="92" s="1"/>
  <c r="DI119" i="92"/>
  <c r="DC119" i="92" s="1"/>
  <c r="DD119" i="92" s="1"/>
  <c r="DI34" i="92"/>
  <c r="DC34" i="92" s="1"/>
  <c r="DD34" i="92" s="1"/>
  <c r="DM22" i="92"/>
  <c r="DM43" i="92"/>
  <c r="DM123" i="92"/>
  <c r="DM35" i="92"/>
  <c r="DN94" i="92"/>
  <c r="DI46" i="92"/>
  <c r="DC46" i="92" s="1"/>
  <c r="DD46" i="92" s="1"/>
  <c r="DI95" i="92"/>
  <c r="DC95" i="92" s="1"/>
  <c r="DD95" i="92" s="1"/>
  <c r="DI61" i="92"/>
  <c r="DC61" i="92" s="1"/>
  <c r="DD61" i="92" s="1"/>
  <c r="DM45" i="92"/>
  <c r="DM113" i="92"/>
  <c r="DM9" i="92"/>
  <c r="DM110" i="92"/>
  <c r="DN78" i="92"/>
  <c r="DI80" i="92"/>
  <c r="DC80" i="92" s="1"/>
  <c r="DD80" i="92" s="1"/>
  <c r="DI108" i="92"/>
  <c r="DC108" i="92" s="1"/>
  <c r="DD108" i="92" s="1"/>
  <c r="DI100" i="92"/>
  <c r="DC100" i="92" s="1"/>
  <c r="DD100" i="92" s="1"/>
  <c r="DM20" i="92"/>
  <c r="DM118" i="92"/>
  <c r="DM36" i="92"/>
  <c r="DM23" i="92"/>
  <c r="DI59" i="92"/>
  <c r="DC59" i="92" s="1"/>
  <c r="DD59" i="92" s="1"/>
  <c r="DI65" i="92"/>
  <c r="DC65" i="92" s="1"/>
  <c r="DD65" i="92" s="1"/>
  <c r="DM41" i="92"/>
  <c r="DM115" i="92"/>
  <c r="DM70" i="92"/>
  <c r="DI78" i="92"/>
  <c r="DC78" i="92" s="1"/>
  <c r="DD78" i="92" s="1"/>
  <c r="DI35" i="92"/>
  <c r="DM26" i="92"/>
  <c r="DM132" i="92"/>
  <c r="DN31" i="92"/>
  <c r="DI118" i="92"/>
  <c r="DC118" i="92" s="1"/>
  <c r="DD118" i="92" s="1"/>
  <c r="DI110" i="92"/>
  <c r="DC110" i="92" s="1"/>
  <c r="DD110" i="92" s="1"/>
  <c r="DM125" i="92"/>
  <c r="DM18" i="92"/>
  <c r="DI67" i="92"/>
  <c r="DC67" i="92" s="1"/>
  <c r="DD67" i="92" s="1"/>
  <c r="DM33" i="92"/>
  <c r="DM105" i="92"/>
  <c r="DI121" i="92"/>
  <c r="DC121" i="92" s="1"/>
  <c r="DD121" i="92" s="1"/>
  <c r="DI30" i="92"/>
  <c r="DC30" i="92" s="1"/>
  <c r="DD30" i="92" s="1"/>
  <c r="DI63" i="92"/>
  <c r="DC63" i="92" s="1"/>
  <c r="DD63" i="92" s="1"/>
  <c r="DM89" i="92"/>
  <c r="DM14" i="92"/>
  <c r="DN45" i="92"/>
  <c r="DI16" i="92"/>
  <c r="DC16" i="92" s="1"/>
  <c r="DD16" i="92" s="1"/>
  <c r="DI60" i="92"/>
  <c r="DC60" i="92" s="1"/>
  <c r="DD60" i="92" s="1"/>
  <c r="DI29" i="92"/>
  <c r="DC29" i="92" s="1"/>
  <c r="DD29" i="92" s="1"/>
  <c r="DM114" i="92"/>
  <c r="DM28" i="92"/>
  <c r="DM111" i="92"/>
  <c r="DI104" i="92"/>
  <c r="DC104" i="92" s="1"/>
  <c r="DD104" i="92" s="1"/>
  <c r="DI5" i="92"/>
  <c r="DC5" i="92" s="1"/>
  <c r="DD5" i="92" s="1"/>
  <c r="DM129" i="92"/>
  <c r="DI32" i="92"/>
  <c r="DC32" i="92" s="1"/>
  <c r="DD32" i="92" s="1"/>
  <c r="DM37" i="92"/>
  <c r="DI79" i="92"/>
  <c r="DC79" i="92" s="1"/>
  <c r="DD79" i="92" s="1"/>
  <c r="DM81" i="92"/>
  <c r="DI38" i="92"/>
  <c r="DC38" i="92" s="1"/>
  <c r="DD38" i="92" s="1"/>
  <c r="DM60" i="92"/>
  <c r="DI99" i="92"/>
  <c r="DC99" i="92" s="1"/>
  <c r="DD99" i="92" s="1"/>
  <c r="DM131" i="92"/>
  <c r="DI93" i="92"/>
  <c r="DC93" i="92" s="1"/>
  <c r="DD93" i="92" s="1"/>
  <c r="DM88" i="92"/>
  <c r="DM49" i="92"/>
  <c r="DM25" i="92"/>
  <c r="DN21" i="92"/>
  <c r="DM68" i="92"/>
  <c r="DM119" i="92"/>
  <c r="DM98" i="92"/>
  <c r="DI64" i="92"/>
  <c r="DC64" i="92" s="1"/>
  <c r="DD64" i="92" s="1"/>
  <c r="DM51" i="92"/>
  <c r="DI13" i="92"/>
  <c r="DC13" i="92" s="1"/>
  <c r="DD13" i="92" s="1"/>
  <c r="DI18" i="92"/>
  <c r="DC18" i="92" s="1"/>
  <c r="DD18" i="92" s="1"/>
  <c r="DI105" i="92"/>
  <c r="DC105" i="92" s="1"/>
  <c r="DD105" i="92" s="1"/>
  <c r="DM100" i="92"/>
  <c r="DN123" i="92"/>
  <c r="DI84" i="92"/>
  <c r="DC84" i="92" s="1"/>
  <c r="DD84" i="92" s="1"/>
  <c r="DM17" i="92"/>
  <c r="DM97" i="92"/>
  <c r="DM3" i="92"/>
  <c r="DN13" i="92"/>
  <c r="DN58" i="92"/>
  <c r="DN25" i="92"/>
  <c r="DN103" i="92"/>
  <c r="DN105" i="92"/>
  <c r="DN36" i="92"/>
  <c r="DN5" i="92"/>
  <c r="DN91" i="92"/>
  <c r="DN126" i="92"/>
  <c r="DN98" i="92"/>
  <c r="DN46" i="92"/>
  <c r="DN129" i="92"/>
  <c r="DN107" i="92"/>
  <c r="DN116" i="92"/>
  <c r="DN55" i="92"/>
  <c r="DN29" i="92"/>
  <c r="DN42" i="92"/>
  <c r="DN67" i="92"/>
  <c r="DN38" i="92"/>
  <c r="DN15" i="92"/>
  <c r="DN115" i="92"/>
  <c r="DN84" i="92"/>
  <c r="DN20" i="92"/>
  <c r="DN124" i="92"/>
  <c r="DN75" i="92"/>
  <c r="DN109" i="92"/>
  <c r="DN128" i="92"/>
  <c r="DN28" i="92"/>
  <c r="DN74" i="92"/>
  <c r="DN97" i="92"/>
  <c r="DN32" i="92"/>
  <c r="DN44" i="92"/>
  <c r="DN64" i="92"/>
  <c r="DN122" i="92"/>
  <c r="DN9" i="92"/>
  <c r="DN26" i="92"/>
  <c r="DN10" i="92"/>
  <c r="DN87" i="92"/>
  <c r="DN111" i="92"/>
  <c r="DN96" i="92"/>
  <c r="DN72" i="92"/>
  <c r="DN56" i="92"/>
  <c r="DN12" i="92"/>
  <c r="DN50" i="92"/>
  <c r="DN82" i="92"/>
  <c r="DN62" i="92"/>
  <c r="DN52" i="92"/>
  <c r="DN14" i="92"/>
  <c r="DN43" i="92"/>
  <c r="DN83" i="92"/>
  <c r="DN61" i="92"/>
  <c r="DN17" i="92"/>
  <c r="DN27" i="92"/>
  <c r="DN47" i="92"/>
  <c r="DO47" i="92" s="1"/>
  <c r="DN132" i="92"/>
  <c r="DN23" i="92"/>
  <c r="DN130" i="92"/>
  <c r="DN92" i="92"/>
  <c r="DN51" i="92"/>
  <c r="DN68" i="92"/>
  <c r="DN66" i="92"/>
  <c r="DN53" i="92"/>
  <c r="DN63" i="92"/>
  <c r="DN99" i="92"/>
  <c r="DN11" i="92"/>
  <c r="DN73" i="92"/>
  <c r="DN125" i="92"/>
  <c r="DN57" i="92"/>
  <c r="DN59" i="92"/>
  <c r="DN108" i="92"/>
  <c r="DN18" i="92"/>
  <c r="DN39" i="92"/>
  <c r="DN88" i="92"/>
  <c r="DN35" i="92"/>
  <c r="DN85" i="92"/>
  <c r="DN70" i="92"/>
  <c r="DN54" i="92"/>
  <c r="DN8" i="92"/>
  <c r="DN6" i="92"/>
  <c r="DN100" i="92"/>
  <c r="DN49" i="92"/>
  <c r="DN93" i="92"/>
  <c r="DN131" i="92"/>
  <c r="DN79" i="92"/>
  <c r="DN41" i="92"/>
  <c r="DN77" i="92"/>
  <c r="DN33" i="92"/>
  <c r="DN16" i="92"/>
  <c r="DN71" i="92"/>
  <c r="DN117" i="92"/>
  <c r="DN80" i="92"/>
  <c r="DN90" i="92"/>
  <c r="DN110" i="92"/>
  <c r="DN60" i="92"/>
  <c r="DN114" i="92"/>
  <c r="DN106" i="92"/>
  <c r="DN7" i="92"/>
  <c r="DN48" i="92"/>
  <c r="DN102" i="92"/>
  <c r="DN127" i="92"/>
  <c r="DN40" i="92"/>
  <c r="DN19" i="92"/>
  <c r="DN34" i="92"/>
  <c r="DN95" i="92"/>
  <c r="DN65" i="92"/>
  <c r="DN69" i="92"/>
  <c r="DN24" i="92"/>
  <c r="DN81" i="92"/>
  <c r="DH130" i="92"/>
  <c r="DH93" i="92"/>
  <c r="DH38" i="92"/>
  <c r="DH65" i="92"/>
  <c r="DH9" i="92"/>
  <c r="DH113" i="92"/>
  <c r="DP3" i="92"/>
  <c r="DN3" i="92"/>
  <c r="DO3" i="92"/>
  <c r="DC145" i="92" l="1"/>
  <c r="DD145" i="92" s="1"/>
  <c r="DO144" i="92"/>
  <c r="DC142" i="92"/>
  <c r="DD142" i="92" s="1"/>
  <c r="DC170" i="92"/>
  <c r="DD170" i="92" s="1"/>
  <c r="DC136" i="92"/>
  <c r="DD136" i="92" s="1"/>
  <c r="DC173" i="92"/>
  <c r="DD173" i="92" s="1"/>
  <c r="DC147" i="92"/>
  <c r="DD147" i="92" s="1"/>
  <c r="DC185" i="92"/>
  <c r="DD185" i="92" s="1"/>
  <c r="DC186" i="92"/>
  <c r="DD186" i="92" s="1"/>
  <c r="DO139" i="92"/>
  <c r="DP178" i="92"/>
  <c r="DJ178" i="92" s="1"/>
  <c r="DK178" i="92" s="1"/>
  <c r="DP164" i="92"/>
  <c r="DJ164" i="92" s="1"/>
  <c r="DK164" i="92" s="1"/>
  <c r="DP153" i="92"/>
  <c r="DP141" i="92"/>
  <c r="DS183" i="92"/>
  <c r="DS169" i="92"/>
  <c r="DS154" i="92"/>
  <c r="DS143" i="92"/>
  <c r="DT185" i="92"/>
  <c r="DT176" i="92"/>
  <c r="DT160" i="92"/>
  <c r="DT147" i="92"/>
  <c r="DT138" i="92"/>
  <c r="DU183" i="92"/>
  <c r="DU169" i="92"/>
  <c r="DU154" i="92"/>
  <c r="DU143" i="92"/>
  <c r="DP174" i="92"/>
  <c r="DP162" i="92"/>
  <c r="DJ162" i="92" s="1"/>
  <c r="DK162" i="92" s="1"/>
  <c r="DP150" i="92"/>
  <c r="DJ150" i="92" s="1"/>
  <c r="DK150" i="92" s="1"/>
  <c r="DP140" i="92"/>
  <c r="DS177" i="92"/>
  <c r="DS166" i="92"/>
  <c r="DS155" i="92"/>
  <c r="DS142" i="92"/>
  <c r="DT186" i="92"/>
  <c r="DT168" i="92"/>
  <c r="DT161" i="92"/>
  <c r="DT148" i="92"/>
  <c r="DT136" i="92"/>
  <c r="DU177" i="92"/>
  <c r="DU166" i="92"/>
  <c r="DU155" i="92"/>
  <c r="DU142" i="92"/>
  <c r="DP176" i="92"/>
  <c r="DP157" i="92"/>
  <c r="DP144" i="92"/>
  <c r="DJ144" i="92" s="1"/>
  <c r="DK144" i="92" s="1"/>
  <c r="DS176" i="92"/>
  <c r="DS157" i="92"/>
  <c r="DS144" i="92"/>
  <c r="DT179" i="92"/>
  <c r="DT171" i="92"/>
  <c r="DT154" i="92"/>
  <c r="DT141" i="92"/>
  <c r="DU180" i="92"/>
  <c r="DU164" i="92"/>
  <c r="DU151" i="92"/>
  <c r="DU138" i="92"/>
  <c r="DU188" i="92"/>
  <c r="DU181" i="92"/>
  <c r="DP184" i="92"/>
  <c r="DP168" i="92"/>
  <c r="DP156" i="92"/>
  <c r="DP145" i="92"/>
  <c r="DS184" i="92"/>
  <c r="DS168" i="92"/>
  <c r="DS156" i="92"/>
  <c r="DS145" i="92"/>
  <c r="DT182" i="92"/>
  <c r="DT167" i="92"/>
  <c r="DT155" i="92"/>
  <c r="DT140" i="92"/>
  <c r="DU162" i="92"/>
  <c r="DU152" i="92"/>
  <c r="DU136" i="92"/>
  <c r="DP182" i="92"/>
  <c r="DP167" i="92"/>
  <c r="DJ167" i="92" s="1"/>
  <c r="DK167" i="92" s="1"/>
  <c r="DP155" i="92"/>
  <c r="DJ155" i="92" s="1"/>
  <c r="DK155" i="92" s="1"/>
  <c r="DP135" i="92"/>
  <c r="DS182" i="92"/>
  <c r="DS167" i="92"/>
  <c r="DS150" i="92"/>
  <c r="DS135" i="92"/>
  <c r="DT177" i="92"/>
  <c r="DT162" i="92"/>
  <c r="DT152" i="92"/>
  <c r="DT139" i="92"/>
  <c r="DU175" i="92"/>
  <c r="DU161" i="92"/>
  <c r="DU146" i="92"/>
  <c r="DP173" i="92"/>
  <c r="DJ173" i="92" s="1"/>
  <c r="DK173" i="92" s="1"/>
  <c r="DP159" i="92"/>
  <c r="DP136" i="92"/>
  <c r="DJ136" i="92" s="1"/>
  <c r="DK136" i="92" s="1"/>
  <c r="DS186" i="92"/>
  <c r="DS162" i="92"/>
  <c r="DS149" i="92"/>
  <c r="DT181" i="92"/>
  <c r="DT165" i="92"/>
  <c r="DT143" i="92"/>
  <c r="DU174" i="92"/>
  <c r="DU156" i="92"/>
  <c r="DU137" i="92"/>
  <c r="DP175" i="92"/>
  <c r="DJ175" i="92" s="1"/>
  <c r="DK175" i="92" s="1"/>
  <c r="DP154" i="92"/>
  <c r="DP134" i="92"/>
  <c r="DS179" i="92"/>
  <c r="DS163" i="92"/>
  <c r="DS146" i="92"/>
  <c r="DT183" i="92"/>
  <c r="DT157" i="92"/>
  <c r="DT142" i="92"/>
  <c r="DU173" i="92"/>
  <c r="DU158" i="92"/>
  <c r="DU135" i="92"/>
  <c r="DV135" i="92" s="1"/>
  <c r="DP151" i="92"/>
  <c r="DS180" i="92"/>
  <c r="DS141" i="92"/>
  <c r="DT156" i="92"/>
  <c r="DU176" i="92"/>
  <c r="DU134" i="92"/>
  <c r="DP170" i="92"/>
  <c r="DP139" i="92"/>
  <c r="DS165" i="92"/>
  <c r="DT178" i="92"/>
  <c r="DT137" i="92"/>
  <c r="DU159" i="92"/>
  <c r="DP163" i="92"/>
  <c r="DV163" i="92" s="1"/>
  <c r="DP137" i="92"/>
  <c r="DJ137" i="92" s="1"/>
  <c r="DK137" i="92" s="1"/>
  <c r="DS175" i="92"/>
  <c r="DS147" i="92"/>
  <c r="DT173" i="92"/>
  <c r="DT151" i="92"/>
  <c r="DU182" i="92"/>
  <c r="DU150" i="92"/>
  <c r="DP186" i="92"/>
  <c r="DP133" i="92"/>
  <c r="DS172" i="92"/>
  <c r="DT170" i="92"/>
  <c r="DU168" i="92"/>
  <c r="DP185" i="92"/>
  <c r="DJ185" i="92" s="1"/>
  <c r="DK185" i="92" s="1"/>
  <c r="DP165" i="92"/>
  <c r="DJ165" i="92" s="1"/>
  <c r="DK165" i="92" s="1"/>
  <c r="DP138" i="92"/>
  <c r="DS170" i="92"/>
  <c r="DS148" i="92"/>
  <c r="DT175" i="92"/>
  <c r="DT149" i="92"/>
  <c r="DU178" i="92"/>
  <c r="DU147" i="92"/>
  <c r="DP160" i="92"/>
  <c r="DJ160" i="92" s="1"/>
  <c r="DK160" i="92" s="1"/>
  <c r="DS140" i="92"/>
  <c r="DT146" i="92"/>
  <c r="DU148" i="92"/>
  <c r="DP181" i="92"/>
  <c r="DJ181" i="92" s="1"/>
  <c r="DK181" i="92" s="1"/>
  <c r="DP152" i="92"/>
  <c r="DS160" i="92"/>
  <c r="DS136" i="92"/>
  <c r="DT166" i="92"/>
  <c r="DT135" i="92"/>
  <c r="DU171" i="92"/>
  <c r="DU145" i="92"/>
  <c r="DP183" i="92"/>
  <c r="DJ183" i="92" s="1"/>
  <c r="DK183" i="92" s="1"/>
  <c r="DP147" i="92"/>
  <c r="DS161" i="92"/>
  <c r="DS134" i="92"/>
  <c r="DT164" i="92"/>
  <c r="DT134" i="92"/>
  <c r="DU167" i="92"/>
  <c r="DU141" i="92"/>
  <c r="DP177" i="92"/>
  <c r="DP148" i="92"/>
  <c r="DJ148" i="92" s="1"/>
  <c r="DK148" i="92" s="1"/>
  <c r="DS185" i="92"/>
  <c r="DS158" i="92"/>
  <c r="DS139" i="92"/>
  <c r="DT163" i="92"/>
  <c r="DT133" i="92"/>
  <c r="DU163" i="92"/>
  <c r="DU140" i="92"/>
  <c r="DP146" i="92"/>
  <c r="DJ146" i="92" s="1"/>
  <c r="DK146" i="92" s="1"/>
  <c r="DS178" i="92"/>
  <c r="DT184" i="92"/>
  <c r="DU185" i="92"/>
  <c r="DU133" i="92"/>
  <c r="DP143" i="92"/>
  <c r="DS174" i="92"/>
  <c r="DT180" i="92"/>
  <c r="DU186" i="92"/>
  <c r="DP142" i="92"/>
  <c r="DJ142" i="92" s="1"/>
  <c r="DK142" i="92" s="1"/>
  <c r="DS173" i="92"/>
  <c r="DT174" i="92"/>
  <c r="DU179" i="92"/>
  <c r="DP172" i="92"/>
  <c r="DJ172" i="92" s="1"/>
  <c r="DK172" i="92" s="1"/>
  <c r="DS159" i="92"/>
  <c r="DT158" i="92"/>
  <c r="DU165" i="92"/>
  <c r="DS187" i="92"/>
  <c r="DU149" i="92"/>
  <c r="DP171" i="92"/>
  <c r="DJ171" i="92" s="1"/>
  <c r="DK171" i="92" s="1"/>
  <c r="DS153" i="92"/>
  <c r="DT159" i="92"/>
  <c r="DU160" i="92"/>
  <c r="DS188" i="92"/>
  <c r="DU153" i="92"/>
  <c r="DT188" i="92"/>
  <c r="DS137" i="92"/>
  <c r="DP169" i="92"/>
  <c r="DV169" i="92" s="1"/>
  <c r="DS151" i="92"/>
  <c r="DT153" i="92"/>
  <c r="DU157" i="92"/>
  <c r="DT187" i="92"/>
  <c r="DP166" i="92"/>
  <c r="DJ166" i="92" s="1"/>
  <c r="DK166" i="92" s="1"/>
  <c r="DS152" i="92"/>
  <c r="DT150" i="92"/>
  <c r="DP161" i="92"/>
  <c r="DT144" i="92"/>
  <c r="DU187" i="92"/>
  <c r="DP179" i="92"/>
  <c r="DJ179" i="92" s="1"/>
  <c r="DK179" i="92" s="1"/>
  <c r="DT172" i="92"/>
  <c r="DP149" i="92"/>
  <c r="DJ149" i="92" s="1"/>
  <c r="DK149" i="92" s="1"/>
  <c r="DU184" i="92"/>
  <c r="DP180" i="92"/>
  <c r="DJ180" i="92" s="1"/>
  <c r="DK180" i="92" s="1"/>
  <c r="DT169" i="92"/>
  <c r="DP158" i="92"/>
  <c r="DJ158" i="92" s="1"/>
  <c r="DK158" i="92" s="1"/>
  <c r="DT145" i="92"/>
  <c r="DU170" i="92"/>
  <c r="DU172" i="92"/>
  <c r="DP187" i="92"/>
  <c r="DU144" i="92"/>
  <c r="DP188" i="92"/>
  <c r="DJ188" i="92" s="1"/>
  <c r="DK188" i="92" s="1"/>
  <c r="DS138" i="92"/>
  <c r="DS133" i="92"/>
  <c r="DS181" i="92"/>
  <c r="DU139" i="92"/>
  <c r="DS171" i="92"/>
  <c r="DS164" i="92"/>
  <c r="DP1" i="92"/>
  <c r="DO2" i="92"/>
  <c r="DN2" i="92"/>
  <c r="DM2" i="92"/>
  <c r="DI2" i="92"/>
  <c r="DL2" i="92"/>
  <c r="DJ2" i="92"/>
  <c r="DK2" i="92"/>
  <c r="DO138" i="92"/>
  <c r="DO153" i="92"/>
  <c r="DJ153" i="92"/>
  <c r="DK153" i="92" s="1"/>
  <c r="DO134" i="92"/>
  <c r="DO166" i="92"/>
  <c r="DO172" i="92"/>
  <c r="DO178" i="92"/>
  <c r="DJ177" i="92"/>
  <c r="DK177" i="92" s="1"/>
  <c r="DO177" i="92"/>
  <c r="DJ184" i="92"/>
  <c r="DK184" i="92" s="1"/>
  <c r="DO184" i="92"/>
  <c r="DO148" i="92"/>
  <c r="DO187" i="92"/>
  <c r="DO147" i="92"/>
  <c r="DO150" i="92"/>
  <c r="DO157" i="92"/>
  <c r="DO161" i="92"/>
  <c r="DC162" i="92"/>
  <c r="DD162" i="92" s="1"/>
  <c r="DO162" i="92"/>
  <c r="DJ135" i="92"/>
  <c r="DK135" i="92" s="1"/>
  <c r="DO135" i="92"/>
  <c r="DO146" i="92"/>
  <c r="DO173" i="92"/>
  <c r="DJ170" i="92"/>
  <c r="DK170" i="92" s="1"/>
  <c r="DO170" i="92"/>
  <c r="DO188" i="92"/>
  <c r="DO149" i="92"/>
  <c r="DC174" i="92"/>
  <c r="DD174" i="92" s="1"/>
  <c r="DO174" i="92"/>
  <c r="DJ174" i="92"/>
  <c r="DK174" i="92" s="1"/>
  <c r="DO133" i="92"/>
  <c r="DJ133" i="92"/>
  <c r="DK133" i="92" s="1"/>
  <c r="DO151" i="92"/>
  <c r="DJ151" i="92"/>
  <c r="DK151" i="92" s="1"/>
  <c r="DO175" i="92"/>
  <c r="DO160" i="92"/>
  <c r="DO183" i="92"/>
  <c r="DC137" i="92"/>
  <c r="DD137" i="92" s="1"/>
  <c r="DO137" i="92"/>
  <c r="DO165" i="92"/>
  <c r="DO186" i="92"/>
  <c r="DO163" i="92"/>
  <c r="DO185" i="92"/>
  <c r="DO136" i="92"/>
  <c r="DO152" i="92"/>
  <c r="DO164" i="92"/>
  <c r="DO179" i="92"/>
  <c r="DO140" i="92"/>
  <c r="DJ140" i="92"/>
  <c r="DK140" i="92" s="1"/>
  <c r="DO158" i="92"/>
  <c r="DO168" i="92"/>
  <c r="DJ168" i="92"/>
  <c r="DK168" i="92" s="1"/>
  <c r="DO141" i="92"/>
  <c r="DJ141" i="92"/>
  <c r="DK141" i="92" s="1"/>
  <c r="DO156" i="92"/>
  <c r="DJ156" i="92"/>
  <c r="DK156" i="92" s="1"/>
  <c r="DO176" i="92"/>
  <c r="DO142" i="92"/>
  <c r="DO155" i="92"/>
  <c r="DO169" i="92"/>
  <c r="DO180" i="92"/>
  <c r="DO143" i="92"/>
  <c r="DO154" i="92"/>
  <c r="DJ154" i="92"/>
  <c r="DK154" i="92" s="1"/>
  <c r="DO171" i="92"/>
  <c r="DO182" i="92"/>
  <c r="DJ182" i="92"/>
  <c r="DK182" i="92" s="1"/>
  <c r="DJ159" i="92"/>
  <c r="DK159" i="92" s="1"/>
  <c r="DO159" i="92"/>
  <c r="DO167" i="92"/>
  <c r="DO181" i="92"/>
  <c r="DO77" i="92"/>
  <c r="DC66" i="92"/>
  <c r="DD66" i="92" s="1"/>
  <c r="DO96" i="92"/>
  <c r="DC82" i="92"/>
  <c r="DD82" i="92" s="1"/>
  <c r="DO68" i="92"/>
  <c r="DO24" i="92"/>
  <c r="DO41" i="92"/>
  <c r="DC92" i="92"/>
  <c r="DD92" i="92" s="1"/>
  <c r="DC120" i="92"/>
  <c r="DD120" i="92" s="1"/>
  <c r="DO107" i="92"/>
  <c r="DO73" i="92"/>
  <c r="DO131" i="92"/>
  <c r="DO126" i="92"/>
  <c r="DO54" i="92"/>
  <c r="DO72" i="92"/>
  <c r="DO85" i="92"/>
  <c r="DO128" i="92"/>
  <c r="DC35" i="92"/>
  <c r="DD35" i="92" s="1"/>
  <c r="DO20" i="92"/>
  <c r="DO50" i="92"/>
  <c r="H17" i="95"/>
  <c r="DO102" i="92"/>
  <c r="DO124" i="92"/>
  <c r="DO69" i="92"/>
  <c r="DO97" i="92"/>
  <c r="DO117" i="92"/>
  <c r="DO13" i="92"/>
  <c r="DO121" i="92"/>
  <c r="DO78" i="92"/>
  <c r="DO112" i="92"/>
  <c r="DO86" i="92"/>
  <c r="DO89" i="92"/>
  <c r="DO45" i="92"/>
  <c r="DO22" i="92"/>
  <c r="DO119" i="92"/>
  <c r="DO120" i="92"/>
  <c r="DO76" i="92"/>
  <c r="DO31" i="92"/>
  <c r="DO58" i="92"/>
  <c r="DO118" i="92"/>
  <c r="DO94" i="92"/>
  <c r="DO123" i="92"/>
  <c r="DO21" i="92"/>
  <c r="DO101" i="92"/>
  <c r="DS127" i="92"/>
  <c r="DS27" i="92"/>
  <c r="DS56" i="92"/>
  <c r="DS96" i="92"/>
  <c r="DS114" i="92"/>
  <c r="DS131" i="92"/>
  <c r="DS22" i="92"/>
  <c r="DS7" i="92"/>
  <c r="DS103" i="92"/>
  <c r="DS119" i="92"/>
  <c r="DS36" i="92"/>
  <c r="DS101" i="92"/>
  <c r="DS117" i="92"/>
  <c r="DS113" i="92"/>
  <c r="DS47" i="92"/>
  <c r="DS29" i="92"/>
  <c r="DS10" i="92"/>
  <c r="DS128" i="92"/>
  <c r="DS95" i="92"/>
  <c r="DS86" i="92"/>
  <c r="DS125" i="92"/>
  <c r="DS126" i="92"/>
  <c r="DS18" i="92"/>
  <c r="DS23" i="92"/>
  <c r="DS58" i="92"/>
  <c r="DS8" i="92"/>
  <c r="DS5" i="92"/>
  <c r="DS81" i="92"/>
  <c r="DS74" i="92"/>
  <c r="DS15" i="92"/>
  <c r="DS14" i="92"/>
  <c r="DS72" i="92"/>
  <c r="DS108" i="92"/>
  <c r="DS115" i="92"/>
  <c r="DS122" i="92"/>
  <c r="DS116" i="92"/>
  <c r="DS73" i="92"/>
  <c r="DS35" i="92"/>
  <c r="DS124" i="92"/>
  <c r="DS26" i="92"/>
  <c r="DS91" i="92"/>
  <c r="DS109" i="92"/>
  <c r="DS57" i="92"/>
  <c r="DS60" i="92"/>
  <c r="DS82" i="92"/>
  <c r="DS71" i="92"/>
  <c r="DS46" i="92"/>
  <c r="DS130" i="92"/>
  <c r="DQ3" i="92"/>
  <c r="DS6" i="92"/>
  <c r="DS87" i="92"/>
  <c r="DS52" i="92"/>
  <c r="DS54" i="92"/>
  <c r="DS55" i="92"/>
  <c r="DS67" i="92"/>
  <c r="DS39" i="92"/>
  <c r="DS97" i="92"/>
  <c r="DS16" i="92"/>
  <c r="DS80" i="92"/>
  <c r="DS17" i="92"/>
  <c r="DS65" i="92"/>
  <c r="DS53" i="92"/>
  <c r="DS43" i="92"/>
  <c r="DS105" i="92"/>
  <c r="DS45" i="92"/>
  <c r="DS83" i="92"/>
  <c r="DS59" i="92"/>
  <c r="DS70" i="92"/>
  <c r="DS20" i="92"/>
  <c r="DS75" i="92"/>
  <c r="DS132" i="92"/>
  <c r="DS13" i="92"/>
  <c r="DS30" i="92"/>
  <c r="DS50" i="92"/>
  <c r="DS61" i="92"/>
  <c r="DS69" i="92"/>
  <c r="DS123" i="92"/>
  <c r="DS21" i="92"/>
  <c r="DS68" i="92"/>
  <c r="DS78" i="92"/>
  <c r="DS48" i="92"/>
  <c r="DS41" i="92"/>
  <c r="DS77" i="92"/>
  <c r="DS76" i="92"/>
  <c r="DS85" i="92"/>
  <c r="DS38" i="92"/>
  <c r="DS11" i="92"/>
  <c r="DS93" i="92"/>
  <c r="DS12" i="92"/>
  <c r="DS102" i="92"/>
  <c r="DS25" i="92"/>
  <c r="DS94" i="92"/>
  <c r="DS9" i="92"/>
  <c r="DS44" i="92"/>
  <c r="DS120" i="92"/>
  <c r="DS31" i="92"/>
  <c r="DS104" i="92"/>
  <c r="DS129" i="92"/>
  <c r="DS64" i="92"/>
  <c r="DS32" i="92"/>
  <c r="DS49" i="92"/>
  <c r="DS37" i="92"/>
  <c r="DS33" i="92"/>
  <c r="DS40" i="92"/>
  <c r="DS112" i="92"/>
  <c r="DS63" i="92"/>
  <c r="DS28" i="92"/>
  <c r="DS84" i="92"/>
  <c r="DS121" i="92"/>
  <c r="DS106" i="92"/>
  <c r="DS118" i="92"/>
  <c r="DS110" i="92"/>
  <c r="DS98" i="92"/>
  <c r="DR3" i="92"/>
  <c r="DS92" i="92"/>
  <c r="DS90" i="92"/>
  <c r="DS34" i="92"/>
  <c r="DS111" i="92"/>
  <c r="DS88" i="92"/>
  <c r="DS79" i="92"/>
  <c r="DS24" i="92"/>
  <c r="DS19" i="92"/>
  <c r="DS66" i="92"/>
  <c r="DS51" i="92"/>
  <c r="DS107" i="92"/>
  <c r="DS3" i="92"/>
  <c r="DS100" i="92"/>
  <c r="DS42" i="92"/>
  <c r="DS99" i="92"/>
  <c r="DS62" i="92"/>
  <c r="DS89" i="92"/>
  <c r="DO104" i="92"/>
  <c r="DO30" i="92"/>
  <c r="DO37" i="92"/>
  <c r="DO113" i="92"/>
  <c r="DO10" i="92"/>
  <c r="DO65" i="92"/>
  <c r="DO62" i="92"/>
  <c r="DO130" i="92"/>
  <c r="DO127" i="92"/>
  <c r="DO106" i="92"/>
  <c r="DO9" i="92"/>
  <c r="DO38" i="92"/>
  <c r="DO105" i="92"/>
  <c r="I15" i="95"/>
  <c r="DO11" i="92"/>
  <c r="DO103" i="92"/>
  <c r="DO82" i="92"/>
  <c r="DO35" i="92"/>
  <c r="DO95" i="92"/>
  <c r="DO66" i="92"/>
  <c r="DO111" i="92"/>
  <c r="DO49" i="92"/>
  <c r="DO43" i="92"/>
  <c r="DO90" i="92"/>
  <c r="DO19" i="92"/>
  <c r="K16" i="95"/>
  <c r="DO114" i="92"/>
  <c r="AB17" i="95"/>
  <c r="G15" i="95"/>
  <c r="DO59" i="92"/>
  <c r="DO108" i="92"/>
  <c r="DO17" i="92"/>
  <c r="DO12" i="92"/>
  <c r="DO99" i="92"/>
  <c r="DO79" i="92"/>
  <c r="DO63" i="92"/>
  <c r="DO28" i="92"/>
  <c r="DO26" i="92"/>
  <c r="DO116" i="92"/>
  <c r="DO53" i="92"/>
  <c r="DO23" i="92"/>
  <c r="DO81" i="92"/>
  <c r="DO39" i="92"/>
  <c r="DO67" i="92"/>
  <c r="DO25" i="92"/>
  <c r="DO7" i="92"/>
  <c r="DO42" i="92"/>
  <c r="DO61" i="92"/>
  <c r="DO34" i="92"/>
  <c r="DO14" i="92"/>
  <c r="DO55" i="92"/>
  <c r="DO83" i="92"/>
  <c r="DO70" i="92"/>
  <c r="DO132" i="92"/>
  <c r="DO115" i="92"/>
  <c r="DO56" i="92"/>
  <c r="DO122" i="92"/>
  <c r="DO33" i="92"/>
  <c r="DO27" i="92"/>
  <c r="DO32" i="92"/>
  <c r="DO98" i="92"/>
  <c r="DO74" i="92"/>
  <c r="DO91" i="92"/>
  <c r="DO129" i="92"/>
  <c r="J15" i="95"/>
  <c r="AD17" i="95"/>
  <c r="AC17" i="95"/>
  <c r="DO15" i="92"/>
  <c r="DO109" i="92"/>
  <c r="DO80" i="92"/>
  <c r="DO6" i="92"/>
  <c r="DO57" i="92"/>
  <c r="DO52" i="92"/>
  <c r="DO18" i="92"/>
  <c r="DO29" i="92"/>
  <c r="DO100" i="92"/>
  <c r="DO75" i="92"/>
  <c r="DO40" i="92"/>
  <c r="DO8" i="92"/>
  <c r="DO125" i="92"/>
  <c r="DO44" i="92"/>
  <c r="DO46" i="92"/>
  <c r="DO93" i="92"/>
  <c r="DO5" i="92"/>
  <c r="DO87" i="92"/>
  <c r="DO36" i="92"/>
  <c r="DO88" i="92"/>
  <c r="DO92" i="92"/>
  <c r="DO110" i="92"/>
  <c r="DP104" i="92"/>
  <c r="DJ104" i="92" s="1"/>
  <c r="DK104" i="92" s="1"/>
  <c r="DP79" i="92"/>
  <c r="DJ79" i="92" s="1"/>
  <c r="DK79" i="92" s="1"/>
  <c r="DP44" i="92"/>
  <c r="DJ44" i="92" s="1"/>
  <c r="DK44" i="92" s="1"/>
  <c r="DP80" i="92"/>
  <c r="DJ80" i="92" s="1"/>
  <c r="DK80" i="92" s="1"/>
  <c r="DP67" i="92"/>
  <c r="DJ67" i="92" s="1"/>
  <c r="DK67" i="92" s="1"/>
  <c r="DP7" i="92"/>
  <c r="DJ7" i="92" s="1"/>
  <c r="DK7" i="92" s="1"/>
  <c r="DP24" i="92"/>
  <c r="DP91" i="92"/>
  <c r="DJ91" i="92" s="1"/>
  <c r="DK91" i="92" s="1"/>
  <c r="DP34" i="92"/>
  <c r="DP56" i="92"/>
  <c r="DP114" i="92"/>
  <c r="DJ114" i="92" s="1"/>
  <c r="DK114" i="92" s="1"/>
  <c r="DP101" i="92"/>
  <c r="DJ101" i="92" s="1"/>
  <c r="DK101" i="92" s="1"/>
  <c r="DP21" i="92"/>
  <c r="DJ21" i="92" s="1"/>
  <c r="DK21" i="92" s="1"/>
  <c r="DP113" i="92"/>
  <c r="DJ113" i="92" s="1"/>
  <c r="DK113" i="92" s="1"/>
  <c r="DP129" i="92"/>
  <c r="DJ129" i="92" s="1"/>
  <c r="DK129" i="92" s="1"/>
  <c r="DP42" i="92"/>
  <c r="DP108" i="92"/>
  <c r="DP105" i="92"/>
  <c r="DJ105" i="92" s="1"/>
  <c r="DK105" i="92" s="1"/>
  <c r="DP14" i="92"/>
  <c r="DP25" i="92"/>
  <c r="DJ25" i="92" s="1"/>
  <c r="DK25" i="92" s="1"/>
  <c r="DP29" i="92"/>
  <c r="DT104" i="92"/>
  <c r="DP45" i="92"/>
  <c r="DJ45" i="92" s="1"/>
  <c r="DK45" i="92" s="1"/>
  <c r="DP17" i="92"/>
  <c r="DJ17" i="92" s="1"/>
  <c r="DK17" i="92" s="1"/>
  <c r="DP19" i="92"/>
  <c r="DP59" i="92"/>
  <c r="DJ59" i="92" s="1"/>
  <c r="DK59" i="92" s="1"/>
  <c r="DP37" i="92"/>
  <c r="DJ37" i="92" s="1"/>
  <c r="DK37" i="92" s="1"/>
  <c r="DP119" i="92"/>
  <c r="DJ119" i="92" s="1"/>
  <c r="DK119" i="92" s="1"/>
  <c r="DP48" i="92"/>
  <c r="DP124" i="92"/>
  <c r="DP72" i="92"/>
  <c r="DT45" i="92"/>
  <c r="DT49" i="92"/>
  <c r="DT127" i="92"/>
  <c r="DT73" i="92"/>
  <c r="DT129" i="92"/>
  <c r="DT81" i="92"/>
  <c r="DT106" i="92"/>
  <c r="DT58" i="92"/>
  <c r="DT76" i="92"/>
  <c r="DT53" i="92"/>
  <c r="DT66" i="92"/>
  <c r="DU22" i="92"/>
  <c r="DU89" i="92"/>
  <c r="DP96" i="92"/>
  <c r="DP97" i="92"/>
  <c r="DJ97" i="92" s="1"/>
  <c r="DK97" i="92" s="1"/>
  <c r="DP116" i="92"/>
  <c r="DJ116" i="92" s="1"/>
  <c r="DK116" i="92" s="1"/>
  <c r="DP78" i="92"/>
  <c r="DJ78" i="92" s="1"/>
  <c r="DK78" i="92" s="1"/>
  <c r="DP93" i="92"/>
  <c r="DP95" i="92"/>
  <c r="DP131" i="92"/>
  <c r="DJ131" i="92" s="1"/>
  <c r="DK131" i="92" s="1"/>
  <c r="DP92" i="92"/>
  <c r="DP6" i="92"/>
  <c r="DJ6" i="92" s="1"/>
  <c r="DK6" i="92" s="1"/>
  <c r="DP126" i="92"/>
  <c r="DT96" i="92"/>
  <c r="DT17" i="92"/>
  <c r="DT41" i="92"/>
  <c r="DT77" i="92"/>
  <c r="DT89" i="92"/>
  <c r="DT42" i="92"/>
  <c r="DT62" i="92"/>
  <c r="DT132" i="92"/>
  <c r="DT71" i="92"/>
  <c r="DT23" i="92"/>
  <c r="DT47" i="92"/>
  <c r="DU45" i="92"/>
  <c r="DU37" i="92"/>
  <c r="DP16" i="92"/>
  <c r="DP68" i="92"/>
  <c r="DP54" i="92"/>
  <c r="DJ54" i="92" s="1"/>
  <c r="DK54" i="92" s="1"/>
  <c r="DP118" i="92"/>
  <c r="DP74" i="92"/>
  <c r="DP123" i="92"/>
  <c r="DJ123" i="92" s="1"/>
  <c r="DK123" i="92" s="1"/>
  <c r="DP64" i="92"/>
  <c r="DJ64" i="92" s="1"/>
  <c r="DK64" i="92" s="1"/>
  <c r="DP109" i="92"/>
  <c r="DP66" i="92"/>
  <c r="DT16" i="92"/>
  <c r="DT97" i="92"/>
  <c r="DT19" i="92"/>
  <c r="DT99" i="92"/>
  <c r="DT28" i="92"/>
  <c r="DT30" i="92"/>
  <c r="DT108" i="92"/>
  <c r="DT18" i="92"/>
  <c r="DT65" i="92"/>
  <c r="DT61" i="92"/>
  <c r="DT5" i="92"/>
  <c r="DU112" i="92"/>
  <c r="DU30" i="92"/>
  <c r="DP22" i="92"/>
  <c r="DP84" i="92"/>
  <c r="DP99" i="92"/>
  <c r="DP39" i="92"/>
  <c r="DJ39" i="92" s="1"/>
  <c r="DK39" i="92" s="1"/>
  <c r="DP75" i="92"/>
  <c r="DP65" i="92"/>
  <c r="DJ65" i="92" s="1"/>
  <c r="DK65" i="92" s="1"/>
  <c r="DP51" i="92"/>
  <c r="DJ51" i="92" s="1"/>
  <c r="DK51" i="92" s="1"/>
  <c r="DT86" i="92"/>
  <c r="DT54" i="92"/>
  <c r="DT83" i="92"/>
  <c r="DT87" i="92"/>
  <c r="DT36" i="92"/>
  <c r="DT124" i="92"/>
  <c r="DT6" i="92"/>
  <c r="DT31" i="92"/>
  <c r="DU21" i="92"/>
  <c r="DU100" i="92"/>
  <c r="DP32" i="92"/>
  <c r="DJ32" i="92" s="1"/>
  <c r="DK32" i="92" s="1"/>
  <c r="DP46" i="92"/>
  <c r="DP103" i="92"/>
  <c r="DJ103" i="92" s="1"/>
  <c r="DK103" i="92" s="1"/>
  <c r="DP81" i="92"/>
  <c r="DJ81" i="92" s="1"/>
  <c r="DK81" i="92" s="1"/>
  <c r="DP13" i="92"/>
  <c r="DP50" i="92"/>
  <c r="DJ50" i="92" s="1"/>
  <c r="DK50" i="92" s="1"/>
  <c r="DP47" i="92"/>
  <c r="DJ47" i="92" s="1"/>
  <c r="DK47" i="92" s="1"/>
  <c r="DT114" i="92"/>
  <c r="DT12" i="92"/>
  <c r="DT26" i="92"/>
  <c r="DT67" i="92"/>
  <c r="DT39" i="92"/>
  <c r="DT75" i="92"/>
  <c r="DT91" i="92"/>
  <c r="DT63" i="92"/>
  <c r="DU94" i="92"/>
  <c r="DP8" i="92"/>
  <c r="DP127" i="92"/>
  <c r="DP90" i="92"/>
  <c r="DP55" i="92"/>
  <c r="DP58" i="92"/>
  <c r="DJ58" i="92" s="1"/>
  <c r="DK58" i="92" s="1"/>
  <c r="DP35" i="92"/>
  <c r="DP70" i="92"/>
  <c r="DT121" i="92"/>
  <c r="DT43" i="92"/>
  <c r="DT69" i="92"/>
  <c r="DT60" i="92"/>
  <c r="DT131" i="92"/>
  <c r="DT109" i="92"/>
  <c r="DT27" i="92"/>
  <c r="DU78" i="92"/>
  <c r="DP12" i="92"/>
  <c r="DJ12" i="92" s="1"/>
  <c r="DK12" i="92" s="1"/>
  <c r="DP73" i="92"/>
  <c r="DJ73" i="92" s="1"/>
  <c r="DK73" i="92" s="1"/>
  <c r="DP60" i="92"/>
  <c r="DJ60" i="92" s="1"/>
  <c r="DK60" i="92" s="1"/>
  <c r="DP10" i="92"/>
  <c r="DJ10" i="92" s="1"/>
  <c r="DK10" i="92" s="1"/>
  <c r="DP98" i="92"/>
  <c r="DT79" i="92"/>
  <c r="DT80" i="92"/>
  <c r="DT93" i="92"/>
  <c r="DT9" i="92"/>
  <c r="DT88" i="92"/>
  <c r="DT56" i="92"/>
  <c r="DU121" i="92"/>
  <c r="DU58" i="92"/>
  <c r="DP49" i="92"/>
  <c r="DJ49" i="92" s="1"/>
  <c r="DK49" i="92" s="1"/>
  <c r="DP77" i="92"/>
  <c r="DJ77" i="92" s="1"/>
  <c r="DK77" i="92" s="1"/>
  <c r="DP102" i="92"/>
  <c r="DJ102" i="92" s="1"/>
  <c r="DK102" i="92" s="1"/>
  <c r="DP40" i="92"/>
  <c r="DP100" i="92"/>
  <c r="DJ100" i="92" s="1"/>
  <c r="DK100" i="92" s="1"/>
  <c r="DT101" i="92"/>
  <c r="DT94" i="92"/>
  <c r="DT74" i="92"/>
  <c r="DT120" i="92"/>
  <c r="DT50" i="92"/>
  <c r="DT51" i="92"/>
  <c r="DU101" i="92"/>
  <c r="DP83" i="92"/>
  <c r="DP52" i="92"/>
  <c r="DP88" i="92"/>
  <c r="DJ88" i="92" s="1"/>
  <c r="DK88" i="92" s="1"/>
  <c r="DP5" i="92"/>
  <c r="DT68" i="92"/>
  <c r="DT57" i="92"/>
  <c r="DT15" i="92"/>
  <c r="DT48" i="92"/>
  <c r="DT14" i="92"/>
  <c r="DU86" i="92"/>
  <c r="DP122" i="92"/>
  <c r="DJ122" i="92" s="1"/>
  <c r="DK122" i="92" s="1"/>
  <c r="DP69" i="92"/>
  <c r="DJ69" i="92" s="1"/>
  <c r="DK69" i="92" s="1"/>
  <c r="DP9" i="92"/>
  <c r="DP76" i="92"/>
  <c r="DJ76" i="92" s="1"/>
  <c r="DK76" i="92" s="1"/>
  <c r="DP31" i="92"/>
  <c r="DT122" i="92"/>
  <c r="DT113" i="92"/>
  <c r="DT7" i="92"/>
  <c r="DT111" i="92"/>
  <c r="DT126" i="92"/>
  <c r="DP130" i="92"/>
  <c r="DJ130" i="92" s="1"/>
  <c r="DK130" i="92" s="1"/>
  <c r="DP89" i="92"/>
  <c r="DP62" i="92"/>
  <c r="DP111" i="92"/>
  <c r="DJ111" i="92" s="1"/>
  <c r="DK111" i="92" s="1"/>
  <c r="DT85" i="92"/>
  <c r="DT84" i="92"/>
  <c r="DT78" i="92"/>
  <c r="DT55" i="92"/>
  <c r="DT13" i="92"/>
  <c r="DT110" i="92"/>
  <c r="DT29" i="92"/>
  <c r="DU113" i="92"/>
  <c r="DP85" i="92"/>
  <c r="DJ85" i="92" s="1"/>
  <c r="DK85" i="92" s="1"/>
  <c r="DP41" i="92"/>
  <c r="DP28" i="92"/>
  <c r="DP120" i="92"/>
  <c r="DP110" i="92"/>
  <c r="DJ110" i="92" s="1"/>
  <c r="DK110" i="92" s="1"/>
  <c r="DT22" i="92"/>
  <c r="DT44" i="92"/>
  <c r="DT118" i="92"/>
  <c r="DT119" i="92"/>
  <c r="DT115" i="92"/>
  <c r="DT34" i="92"/>
  <c r="DU118" i="92"/>
  <c r="DP26" i="92"/>
  <c r="DJ26" i="92" s="1"/>
  <c r="DK26" i="92" s="1"/>
  <c r="DP36" i="92"/>
  <c r="DJ36" i="92" s="1"/>
  <c r="DK36" i="92" s="1"/>
  <c r="DT32" i="92"/>
  <c r="DT103" i="92"/>
  <c r="DT105" i="92"/>
  <c r="DP94" i="92"/>
  <c r="DP18" i="92"/>
  <c r="DJ18" i="92" s="1"/>
  <c r="DK18" i="92" s="1"/>
  <c r="DT20" i="92"/>
  <c r="DT117" i="92"/>
  <c r="DT40" i="92"/>
  <c r="DP57" i="92"/>
  <c r="DJ57" i="92" s="1"/>
  <c r="DK57" i="92" s="1"/>
  <c r="DP82" i="92"/>
  <c r="DT112" i="92"/>
  <c r="DT37" i="92"/>
  <c r="DT92" i="92"/>
  <c r="DU104" i="92"/>
  <c r="DP33" i="92"/>
  <c r="DP71" i="92"/>
  <c r="DJ71" i="92" s="1"/>
  <c r="DK71" i="92" s="1"/>
  <c r="DT38" i="92"/>
  <c r="DT11" i="92"/>
  <c r="DT35" i="92"/>
  <c r="DU122" i="92"/>
  <c r="DP15" i="92"/>
  <c r="DJ15" i="92" s="1"/>
  <c r="DK15" i="92" s="1"/>
  <c r="DP63" i="92"/>
  <c r="DJ63" i="92" s="1"/>
  <c r="DK63" i="92" s="1"/>
  <c r="DT21" i="92"/>
  <c r="DT64" i="92"/>
  <c r="DP11" i="92"/>
  <c r="DJ11" i="92" s="1"/>
  <c r="DK11" i="92" s="1"/>
  <c r="DT130" i="92"/>
  <c r="DT82" i="92"/>
  <c r="DP87" i="92"/>
  <c r="DT116" i="92"/>
  <c r="DT10" i="92"/>
  <c r="DP121" i="92"/>
  <c r="DP30" i="92"/>
  <c r="DT125" i="92"/>
  <c r="DT72" i="92"/>
  <c r="DP20" i="92"/>
  <c r="DP115" i="92"/>
  <c r="DJ115" i="92" s="1"/>
  <c r="DK115" i="92" s="1"/>
  <c r="DT90" i="92"/>
  <c r="DT25" i="92"/>
  <c r="DP112" i="92"/>
  <c r="DJ112" i="92" s="1"/>
  <c r="DK112" i="92" s="1"/>
  <c r="DP132" i="92"/>
  <c r="DT33" i="92"/>
  <c r="DT98" i="92"/>
  <c r="DP107" i="92"/>
  <c r="DJ107" i="92" s="1"/>
  <c r="DK107" i="92" s="1"/>
  <c r="DT128" i="92"/>
  <c r="DP86" i="92"/>
  <c r="DT100" i="92"/>
  <c r="DP38" i="92"/>
  <c r="DJ38" i="92" s="1"/>
  <c r="DK38" i="92" s="1"/>
  <c r="DT70" i="92"/>
  <c r="DP125" i="92"/>
  <c r="DT107" i="92"/>
  <c r="DP117" i="92"/>
  <c r="DJ117" i="92" s="1"/>
  <c r="DK117" i="92" s="1"/>
  <c r="DT46" i="92"/>
  <c r="DP106" i="92"/>
  <c r="DJ106" i="92" s="1"/>
  <c r="DK106" i="92" s="1"/>
  <c r="DT59" i="92"/>
  <c r="DP53" i="92"/>
  <c r="DT95" i="92"/>
  <c r="DU119" i="92"/>
  <c r="DU123" i="92"/>
  <c r="DP43" i="92"/>
  <c r="DJ43" i="92" s="1"/>
  <c r="DK43" i="92" s="1"/>
  <c r="DU120" i="92"/>
  <c r="DP23" i="92"/>
  <c r="DJ23" i="92" s="1"/>
  <c r="DK23" i="92" s="1"/>
  <c r="DP61" i="92"/>
  <c r="DU13" i="92"/>
  <c r="DP27" i="92"/>
  <c r="DJ27" i="92" s="1"/>
  <c r="DK27" i="92" s="1"/>
  <c r="DT8" i="92"/>
  <c r="DT123" i="92"/>
  <c r="DT102" i="92"/>
  <c r="DT52" i="92"/>
  <c r="DT3" i="92"/>
  <c r="DP128" i="92"/>
  <c r="DT24" i="92"/>
  <c r="DU19" i="92"/>
  <c r="DU14" i="92"/>
  <c r="DU42" i="92"/>
  <c r="DU76" i="92"/>
  <c r="DU50" i="92"/>
  <c r="DU68" i="92"/>
  <c r="DU5" i="92"/>
  <c r="DU106" i="92"/>
  <c r="DU62" i="92"/>
  <c r="DU126" i="92"/>
  <c r="DU43" i="92"/>
  <c r="DU63" i="92"/>
  <c r="DU56" i="92"/>
  <c r="DU109" i="92"/>
  <c r="DU108" i="92"/>
  <c r="DU52" i="92"/>
  <c r="DU70" i="92"/>
  <c r="DU41" i="92"/>
  <c r="DU93" i="92"/>
  <c r="DU125" i="92"/>
  <c r="DU99" i="92"/>
  <c r="DU16" i="92"/>
  <c r="DU34" i="92"/>
  <c r="DU60" i="92"/>
  <c r="DU96" i="92"/>
  <c r="DU47" i="92"/>
  <c r="DU29" i="92"/>
  <c r="DU11" i="92"/>
  <c r="DU102" i="92"/>
  <c r="DU81" i="92"/>
  <c r="DU25" i="92"/>
  <c r="DU53" i="92"/>
  <c r="DU33" i="92"/>
  <c r="DU51" i="92"/>
  <c r="DU54" i="92"/>
  <c r="DU32" i="92"/>
  <c r="DU132" i="92"/>
  <c r="DU59" i="92"/>
  <c r="DU131" i="92"/>
  <c r="DU7" i="92"/>
  <c r="DU107" i="92"/>
  <c r="DU15" i="92"/>
  <c r="DU38" i="92"/>
  <c r="DU103" i="92"/>
  <c r="DU98" i="92"/>
  <c r="DU116" i="92"/>
  <c r="DU85" i="92"/>
  <c r="DU82" i="92"/>
  <c r="DU110" i="92"/>
  <c r="DU49" i="92"/>
  <c r="DU46" i="92"/>
  <c r="DU39" i="92"/>
  <c r="DU12" i="92"/>
  <c r="DU95" i="92"/>
  <c r="DU67" i="92"/>
  <c r="DU72" i="92"/>
  <c r="DU83" i="92"/>
  <c r="DU26" i="92"/>
  <c r="DU88" i="92"/>
  <c r="DU115" i="92"/>
  <c r="DU84" i="92"/>
  <c r="DU24" i="92"/>
  <c r="DU9" i="92"/>
  <c r="DU75" i="92"/>
  <c r="DU71" i="92"/>
  <c r="DU57" i="92"/>
  <c r="DU69" i="92"/>
  <c r="DU66" i="92"/>
  <c r="DU128" i="92"/>
  <c r="DU74" i="92"/>
  <c r="DU44" i="92"/>
  <c r="DU55" i="92"/>
  <c r="DU117" i="92"/>
  <c r="DU35" i="92"/>
  <c r="DU105" i="92"/>
  <c r="DU40" i="92"/>
  <c r="DU31" i="92"/>
  <c r="DU111" i="92"/>
  <c r="DU97" i="92"/>
  <c r="DU73" i="92"/>
  <c r="DU18" i="92"/>
  <c r="DU61" i="92"/>
  <c r="DU23" i="92"/>
  <c r="DU6" i="92"/>
  <c r="DU87" i="92"/>
  <c r="DU92" i="92"/>
  <c r="DU64" i="92"/>
  <c r="DU79" i="92"/>
  <c r="DU114" i="92"/>
  <c r="DU91" i="92"/>
  <c r="DU129" i="92"/>
  <c r="DU17" i="92"/>
  <c r="DU27" i="92"/>
  <c r="DU90" i="92"/>
  <c r="DU10" i="92"/>
  <c r="DU80" i="92"/>
  <c r="DU77" i="92"/>
  <c r="DU48" i="92"/>
  <c r="DU20" i="92"/>
  <c r="DU124" i="92"/>
  <c r="DU65" i="92"/>
  <c r="DU28" i="92"/>
  <c r="DU8" i="92"/>
  <c r="DU130" i="92"/>
  <c r="DU127" i="92"/>
  <c r="DU36" i="92"/>
  <c r="DO60" i="92"/>
  <c r="DO51" i="92"/>
  <c r="DO71" i="92"/>
  <c r="DO48" i="92"/>
  <c r="DO16" i="92"/>
  <c r="DO64" i="92"/>
  <c r="DO84" i="92"/>
  <c r="DW3" i="92"/>
  <c r="DV3" i="92"/>
  <c r="DU3" i="92"/>
  <c r="DV160" i="92" l="1"/>
  <c r="DJ163" i="92"/>
  <c r="DK163" i="92" s="1"/>
  <c r="DJ169" i="92"/>
  <c r="DK169" i="92" s="1"/>
  <c r="DV109" i="92"/>
  <c r="DJ187" i="92"/>
  <c r="DK187" i="92" s="1"/>
  <c r="DJ134" i="92"/>
  <c r="DK134" i="92" s="1"/>
  <c r="DJ161" i="92"/>
  <c r="DK161" i="92" s="1"/>
  <c r="DJ186" i="92"/>
  <c r="DK186" i="92" s="1"/>
  <c r="DJ176" i="92"/>
  <c r="DK176" i="92" s="1"/>
  <c r="DJ138" i="92"/>
  <c r="DK138" i="92" s="1"/>
  <c r="DV147" i="92"/>
  <c r="DJ157" i="92"/>
  <c r="DK157" i="92" s="1"/>
  <c r="DV143" i="92"/>
  <c r="DJ143" i="92"/>
  <c r="DK143" i="92" s="1"/>
  <c r="DV152" i="92"/>
  <c r="DV154" i="92"/>
  <c r="DJ152" i="92"/>
  <c r="DK152" i="92" s="1"/>
  <c r="DJ147" i="92"/>
  <c r="DK147" i="92" s="1"/>
  <c r="DW174" i="92"/>
  <c r="DW162" i="92"/>
  <c r="DW150" i="92"/>
  <c r="DW140" i="92"/>
  <c r="DZ173" i="92"/>
  <c r="DZ163" i="92"/>
  <c r="DZ151" i="92"/>
  <c r="DZ137" i="92"/>
  <c r="EA180" i="92"/>
  <c r="EA171" i="92"/>
  <c r="EA158" i="92"/>
  <c r="EA144" i="92"/>
  <c r="EA133" i="92"/>
  <c r="EB173" i="92"/>
  <c r="EB163" i="92"/>
  <c r="EB151" i="92"/>
  <c r="EB137" i="92"/>
  <c r="DW187" i="92"/>
  <c r="DQ187" i="92" s="1"/>
  <c r="DR187" i="92" s="1"/>
  <c r="EB135" i="92"/>
  <c r="DW173" i="92"/>
  <c r="DW163" i="92"/>
  <c r="DW151" i="92"/>
  <c r="DQ151" i="92" s="1"/>
  <c r="DR151" i="92" s="1"/>
  <c r="DW137" i="92"/>
  <c r="DQ137" i="92" s="1"/>
  <c r="DR137" i="92" s="1"/>
  <c r="DZ184" i="92"/>
  <c r="DZ175" i="92"/>
  <c r="DZ165" i="92"/>
  <c r="DZ152" i="92"/>
  <c r="DZ135" i="92"/>
  <c r="EA181" i="92"/>
  <c r="EA167" i="92"/>
  <c r="EA159" i="92"/>
  <c r="EA145" i="92"/>
  <c r="EB184" i="92"/>
  <c r="EB175" i="92"/>
  <c r="EB165" i="92"/>
  <c r="EB152" i="92"/>
  <c r="DW175" i="92"/>
  <c r="DW161" i="92"/>
  <c r="DW146" i="92"/>
  <c r="DZ176" i="92"/>
  <c r="DZ157" i="92"/>
  <c r="DZ144" i="92"/>
  <c r="EA185" i="92"/>
  <c r="EA170" i="92"/>
  <c r="EA154" i="92"/>
  <c r="EA141" i="92"/>
  <c r="EB180" i="92"/>
  <c r="EB169" i="92"/>
  <c r="EB153" i="92"/>
  <c r="EB138" i="92"/>
  <c r="DW157" i="92"/>
  <c r="DZ168" i="92"/>
  <c r="DZ156" i="92"/>
  <c r="DZ145" i="92"/>
  <c r="EA172" i="92"/>
  <c r="EA155" i="92"/>
  <c r="EA140" i="92"/>
  <c r="EB166" i="92"/>
  <c r="EB150" i="92"/>
  <c r="EB136" i="92"/>
  <c r="DW176" i="92"/>
  <c r="DW144" i="92"/>
  <c r="DQ144" i="92" s="1"/>
  <c r="DR144" i="92" s="1"/>
  <c r="EA186" i="92"/>
  <c r="EB181" i="92"/>
  <c r="DW179" i="92"/>
  <c r="DQ179" i="92" s="1"/>
  <c r="DR179" i="92" s="1"/>
  <c r="DW171" i="92"/>
  <c r="DQ171" i="92" s="1"/>
  <c r="DR171" i="92" s="1"/>
  <c r="DW154" i="92"/>
  <c r="DW141" i="92"/>
  <c r="DZ182" i="92"/>
  <c r="DZ167" i="92"/>
  <c r="DZ155" i="92"/>
  <c r="DZ140" i="92"/>
  <c r="EA177" i="92"/>
  <c r="EA162" i="92"/>
  <c r="EA152" i="92"/>
  <c r="EA136" i="92"/>
  <c r="EB174" i="92"/>
  <c r="EB161" i="92"/>
  <c r="EC161" i="92" s="1"/>
  <c r="EB146" i="92"/>
  <c r="DW180" i="92"/>
  <c r="DW165" i="92"/>
  <c r="DQ165" i="92" s="1"/>
  <c r="DR165" i="92" s="1"/>
  <c r="DW143" i="92"/>
  <c r="DZ178" i="92"/>
  <c r="DZ159" i="92"/>
  <c r="DZ136" i="92"/>
  <c r="EA176" i="92"/>
  <c r="EA150" i="92"/>
  <c r="EA139" i="92"/>
  <c r="EB171" i="92"/>
  <c r="EB148" i="92"/>
  <c r="DW181" i="92"/>
  <c r="DW160" i="92"/>
  <c r="DW142" i="92"/>
  <c r="DQ142" i="92" s="1"/>
  <c r="DR142" i="92" s="1"/>
  <c r="DZ174" i="92"/>
  <c r="DZ154" i="92"/>
  <c r="DZ134" i="92"/>
  <c r="EA168" i="92"/>
  <c r="EA151" i="92"/>
  <c r="EB185" i="92"/>
  <c r="EB167" i="92"/>
  <c r="EB149" i="92"/>
  <c r="DZ188" i="92"/>
  <c r="DW156" i="92"/>
  <c r="DZ153" i="92"/>
  <c r="EA169" i="92"/>
  <c r="EB186" i="92"/>
  <c r="EB144" i="92"/>
  <c r="DW183" i="92"/>
  <c r="DW135" i="92"/>
  <c r="DZ170" i="92"/>
  <c r="DZ139" i="92"/>
  <c r="EA147" i="92"/>
  <c r="EB164" i="92"/>
  <c r="EA187" i="92"/>
  <c r="DW186" i="92"/>
  <c r="DQ186" i="92" s="1"/>
  <c r="DR186" i="92" s="1"/>
  <c r="DW159" i="92"/>
  <c r="DQ159" i="92" s="1"/>
  <c r="DR159" i="92" s="1"/>
  <c r="DW133" i="92"/>
  <c r="DQ133" i="92" s="1"/>
  <c r="DR133" i="92" s="1"/>
  <c r="DZ183" i="92"/>
  <c r="DZ147" i="92"/>
  <c r="EA183" i="92"/>
  <c r="EA156" i="92"/>
  <c r="EB182" i="92"/>
  <c r="EB158" i="92"/>
  <c r="EB133" i="92"/>
  <c r="EA188" i="92"/>
  <c r="DW153" i="92"/>
  <c r="DZ172" i="92"/>
  <c r="EA174" i="92"/>
  <c r="EB177" i="92"/>
  <c r="DW182" i="92"/>
  <c r="DQ182" i="92" s="1"/>
  <c r="DR182" i="92" s="1"/>
  <c r="DW155" i="92"/>
  <c r="DQ155" i="92" s="1"/>
  <c r="DR155" i="92" s="1"/>
  <c r="DZ177" i="92"/>
  <c r="DZ148" i="92"/>
  <c r="EA178" i="92"/>
  <c r="EA153" i="92"/>
  <c r="EB183" i="92"/>
  <c r="EB159" i="92"/>
  <c r="EB187" i="92"/>
  <c r="DW177" i="92"/>
  <c r="DZ149" i="92"/>
  <c r="EA148" i="92"/>
  <c r="EB154" i="92"/>
  <c r="EB188" i="92"/>
  <c r="DW170" i="92"/>
  <c r="DW148" i="92"/>
  <c r="DZ166" i="92"/>
  <c r="DZ142" i="92"/>
  <c r="EA166" i="92"/>
  <c r="EA143" i="92"/>
  <c r="EB168" i="92"/>
  <c r="EB145" i="92"/>
  <c r="DW172" i="92"/>
  <c r="DW149" i="92"/>
  <c r="DQ149" i="92" s="1"/>
  <c r="DR149" i="92" s="1"/>
  <c r="DZ164" i="92"/>
  <c r="DZ141" i="92"/>
  <c r="EA164" i="92"/>
  <c r="EA142" i="92"/>
  <c r="EB170" i="92"/>
  <c r="EB143" i="92"/>
  <c r="DW167" i="92"/>
  <c r="DW145" i="92"/>
  <c r="DQ145" i="92" s="1"/>
  <c r="DR145" i="92" s="1"/>
  <c r="DZ185" i="92"/>
  <c r="DZ162" i="92"/>
  <c r="DZ138" i="92"/>
  <c r="EA163" i="92"/>
  <c r="EA137" i="92"/>
  <c r="EB172" i="92"/>
  <c r="EB142" i="92"/>
  <c r="DW166" i="92"/>
  <c r="DZ179" i="92"/>
  <c r="EA184" i="92"/>
  <c r="EA138" i="92"/>
  <c r="EB140" i="92"/>
  <c r="DW164" i="92"/>
  <c r="DZ180" i="92"/>
  <c r="EA179" i="92"/>
  <c r="EA134" i="92"/>
  <c r="EB134" i="92"/>
  <c r="DW158" i="92"/>
  <c r="DQ158" i="92" s="1"/>
  <c r="DR158" i="92" s="1"/>
  <c r="DZ181" i="92"/>
  <c r="EA182" i="92"/>
  <c r="EB179" i="92"/>
  <c r="EB139" i="92"/>
  <c r="DW138" i="92"/>
  <c r="DQ138" i="92" s="1"/>
  <c r="DR138" i="92" s="1"/>
  <c r="DZ160" i="92"/>
  <c r="EA165" i="92"/>
  <c r="EB162" i="92"/>
  <c r="DZ146" i="92"/>
  <c r="DW136" i="92"/>
  <c r="DQ136" i="92" s="1"/>
  <c r="DR136" i="92" s="1"/>
  <c r="DZ161" i="92"/>
  <c r="EA160" i="92"/>
  <c r="EB160" i="92"/>
  <c r="EC160" i="92" s="1"/>
  <c r="DW139" i="92"/>
  <c r="DQ139" i="92" s="1"/>
  <c r="DR139" i="92" s="1"/>
  <c r="EA157" i="92"/>
  <c r="DW178" i="92"/>
  <c r="EB155" i="92"/>
  <c r="DW184" i="92"/>
  <c r="DQ184" i="92" s="1"/>
  <c r="DR184" i="92" s="1"/>
  <c r="DW134" i="92"/>
  <c r="DQ134" i="92" s="1"/>
  <c r="DR134" i="92" s="1"/>
  <c r="DZ158" i="92"/>
  <c r="EA161" i="92"/>
  <c r="EB157" i="92"/>
  <c r="DW185" i="92"/>
  <c r="DZ150" i="92"/>
  <c r="EB156" i="92"/>
  <c r="EA149" i="92"/>
  <c r="DW152" i="92"/>
  <c r="EB178" i="92"/>
  <c r="DZ186" i="92"/>
  <c r="EB141" i="92"/>
  <c r="DW147" i="92"/>
  <c r="EB176" i="92"/>
  <c r="EB147" i="92"/>
  <c r="DZ171" i="92"/>
  <c r="DZ169" i="92"/>
  <c r="DZ143" i="92"/>
  <c r="EA146" i="92"/>
  <c r="DW169" i="92"/>
  <c r="EA135" i="92"/>
  <c r="DZ133" i="92"/>
  <c r="DW188" i="92"/>
  <c r="EA173" i="92"/>
  <c r="DZ187" i="92"/>
  <c r="EA175" i="92"/>
  <c r="DW168" i="92"/>
  <c r="DQ168" i="92" s="1"/>
  <c r="DR168" i="92" s="1"/>
  <c r="DW1" i="92"/>
  <c r="DV2" i="92"/>
  <c r="DS2" i="92"/>
  <c r="DP2" i="92"/>
  <c r="DQ2" i="92"/>
  <c r="DR2" i="92"/>
  <c r="DU2" i="92"/>
  <c r="DT2" i="92"/>
  <c r="DV188" i="92"/>
  <c r="DQ188" i="92"/>
  <c r="DR188" i="92" s="1"/>
  <c r="DV187" i="92"/>
  <c r="DV158" i="92"/>
  <c r="DV180" i="92"/>
  <c r="DQ180" i="92"/>
  <c r="DR180" i="92" s="1"/>
  <c r="DV149" i="92"/>
  <c r="DV179" i="92"/>
  <c r="DV161" i="92"/>
  <c r="DQ161" i="92"/>
  <c r="DR161" i="92" s="1"/>
  <c r="DV166" i="92"/>
  <c r="DQ166" i="92"/>
  <c r="DR166" i="92" s="1"/>
  <c r="DV171" i="92"/>
  <c r="DV172" i="92"/>
  <c r="DQ172" i="92"/>
  <c r="DR172" i="92" s="1"/>
  <c r="DV142" i="92"/>
  <c r="DQ146" i="92"/>
  <c r="DR146" i="92" s="1"/>
  <c r="DV146" i="92"/>
  <c r="DQ148" i="92"/>
  <c r="DR148" i="92" s="1"/>
  <c r="DV148" i="92"/>
  <c r="DQ177" i="92"/>
  <c r="DR177" i="92" s="1"/>
  <c r="DV177" i="92"/>
  <c r="DV183" i="92"/>
  <c r="DV181" i="92"/>
  <c r="DV138" i="92"/>
  <c r="DV165" i="92"/>
  <c r="DV185" i="92"/>
  <c r="DV133" i="92"/>
  <c r="DV186" i="92"/>
  <c r="DV137" i="92"/>
  <c r="DJ139" i="92"/>
  <c r="DK139" i="92" s="1"/>
  <c r="DV139" i="92"/>
  <c r="DV170" i="92"/>
  <c r="DV151" i="92"/>
  <c r="DV134" i="92"/>
  <c r="DQ175" i="92"/>
  <c r="DR175" i="92" s="1"/>
  <c r="DV175" i="92"/>
  <c r="DV136" i="92"/>
  <c r="DV159" i="92"/>
  <c r="DQ173" i="92"/>
  <c r="DR173" i="92" s="1"/>
  <c r="DV173" i="92"/>
  <c r="DV155" i="92"/>
  <c r="DQ167" i="92"/>
  <c r="DR167" i="92" s="1"/>
  <c r="DV167" i="92"/>
  <c r="DV182" i="92"/>
  <c r="DJ145" i="92"/>
  <c r="DK145" i="92" s="1"/>
  <c r="DV145" i="92"/>
  <c r="DV156" i="92"/>
  <c r="DV168" i="92"/>
  <c r="DV184" i="92"/>
  <c r="DV144" i="92"/>
  <c r="DQ157" i="92"/>
  <c r="DR157" i="92" s="1"/>
  <c r="DV157" i="92"/>
  <c r="DQ176" i="92"/>
  <c r="DR176" i="92" s="1"/>
  <c r="DV176" i="92"/>
  <c r="DQ140" i="92"/>
  <c r="DR140" i="92" s="1"/>
  <c r="DV140" i="92"/>
  <c r="DQ150" i="92"/>
  <c r="DR150" i="92" s="1"/>
  <c r="DV150" i="92"/>
  <c r="DV162" i="92"/>
  <c r="DQ162" i="92"/>
  <c r="DR162" i="92" s="1"/>
  <c r="DQ174" i="92"/>
  <c r="DR174" i="92" s="1"/>
  <c r="DV174" i="92"/>
  <c r="DV141" i="92"/>
  <c r="DQ141" i="92"/>
  <c r="DR141" i="92" s="1"/>
  <c r="DV153" i="92"/>
  <c r="DV164" i="92"/>
  <c r="DV178" i="92"/>
  <c r="DV124" i="92"/>
  <c r="DV91" i="92"/>
  <c r="DV108" i="92"/>
  <c r="DV99" i="92"/>
  <c r="DJ82" i="92"/>
  <c r="DK82" i="92" s="1"/>
  <c r="DV56" i="92"/>
  <c r="DV44" i="92"/>
  <c r="DV79" i="92"/>
  <c r="DV59" i="92"/>
  <c r="DJ92" i="92"/>
  <c r="DK92" i="92" s="1"/>
  <c r="DV14" i="92"/>
  <c r="DV80" i="92"/>
  <c r="DV73" i="92"/>
  <c r="DV72" i="92"/>
  <c r="DV35" i="92"/>
  <c r="DV55" i="92"/>
  <c r="DJ35" i="92"/>
  <c r="DK35" i="92" s="1"/>
  <c r="H16" i="95"/>
  <c r="DV132" i="92"/>
  <c r="DV6" i="92"/>
  <c r="DV66" i="92"/>
  <c r="DV30" i="92"/>
  <c r="DV121" i="92"/>
  <c r="DJ55" i="92"/>
  <c r="DK55" i="92" s="1"/>
  <c r="DV22" i="92"/>
  <c r="DJ16" i="92"/>
  <c r="DK16" i="92" s="1"/>
  <c r="DJ56" i="92"/>
  <c r="DK56" i="92" s="1"/>
  <c r="DZ112" i="92"/>
  <c r="DZ79" i="92"/>
  <c r="DZ118" i="92"/>
  <c r="DZ52" i="92"/>
  <c r="DZ98" i="92"/>
  <c r="DZ13" i="92"/>
  <c r="DZ12" i="92"/>
  <c r="DZ59" i="92"/>
  <c r="DZ11" i="92"/>
  <c r="DZ15" i="92"/>
  <c r="DZ101" i="92"/>
  <c r="DZ117" i="92"/>
  <c r="DZ23" i="92"/>
  <c r="DZ104" i="92"/>
  <c r="DZ25" i="92"/>
  <c r="DZ107" i="92"/>
  <c r="DZ55" i="92"/>
  <c r="DZ49" i="92"/>
  <c r="DZ103" i="92"/>
  <c r="DZ130" i="92"/>
  <c r="DY3" i="92"/>
  <c r="DZ6" i="92"/>
  <c r="DZ91" i="92"/>
  <c r="DZ109" i="92"/>
  <c r="DZ32" i="92"/>
  <c r="DZ131" i="92"/>
  <c r="DZ122" i="92"/>
  <c r="DZ5" i="92"/>
  <c r="DZ106" i="92"/>
  <c r="DZ125" i="92"/>
  <c r="DZ90" i="92"/>
  <c r="DZ97" i="92"/>
  <c r="DZ56" i="92"/>
  <c r="DZ92" i="92"/>
  <c r="DZ85" i="92"/>
  <c r="DZ8" i="92"/>
  <c r="DZ116" i="92"/>
  <c r="DZ73" i="92"/>
  <c r="DZ9" i="92"/>
  <c r="DZ3" i="92"/>
  <c r="DZ84" i="92"/>
  <c r="DZ87" i="92"/>
  <c r="DZ47" i="92"/>
  <c r="DZ45" i="92"/>
  <c r="DZ22" i="92"/>
  <c r="DZ95" i="92"/>
  <c r="DZ67" i="92"/>
  <c r="DZ120" i="92"/>
  <c r="DX3" i="92"/>
  <c r="DZ18" i="92"/>
  <c r="DZ72" i="92"/>
  <c r="DZ80" i="92"/>
  <c r="DZ44" i="92"/>
  <c r="DZ111" i="92"/>
  <c r="DZ71" i="92"/>
  <c r="DZ21" i="92"/>
  <c r="DZ126" i="92"/>
  <c r="DZ14" i="92"/>
  <c r="DZ96" i="92"/>
  <c r="DZ115" i="92"/>
  <c r="DZ82" i="92"/>
  <c r="DZ28" i="92"/>
  <c r="DZ119" i="92"/>
  <c r="DZ61" i="92"/>
  <c r="DZ75" i="92"/>
  <c r="DZ132" i="92"/>
  <c r="DZ88" i="92"/>
  <c r="DZ86" i="92"/>
  <c r="DZ39" i="92"/>
  <c r="DZ78" i="92"/>
  <c r="DZ114" i="92"/>
  <c r="DZ89" i="92"/>
  <c r="DZ7" i="92"/>
  <c r="DZ53" i="92"/>
  <c r="DZ76" i="92"/>
  <c r="DZ57" i="92"/>
  <c r="DZ100" i="92"/>
  <c r="DZ40" i="92"/>
  <c r="DZ51" i="92"/>
  <c r="DZ31" i="92"/>
  <c r="DZ16" i="92"/>
  <c r="DZ33" i="92"/>
  <c r="DZ42" i="92"/>
  <c r="DZ81" i="92"/>
  <c r="DZ70" i="92"/>
  <c r="DZ102" i="92"/>
  <c r="DZ123" i="92"/>
  <c r="DZ38" i="92"/>
  <c r="DZ50" i="92"/>
  <c r="DZ113" i="92"/>
  <c r="DZ60" i="92"/>
  <c r="DZ94" i="92"/>
  <c r="DZ124" i="92"/>
  <c r="DZ24" i="92"/>
  <c r="DZ65" i="92"/>
  <c r="DZ93" i="92"/>
  <c r="DZ10" i="92"/>
  <c r="DZ129" i="92"/>
  <c r="DZ68" i="92"/>
  <c r="DZ64" i="92"/>
  <c r="DZ54" i="92"/>
  <c r="DZ36" i="92"/>
  <c r="DZ105" i="92"/>
  <c r="DZ69" i="92"/>
  <c r="DZ66" i="92"/>
  <c r="DZ58" i="92"/>
  <c r="DZ41" i="92"/>
  <c r="DZ37" i="92"/>
  <c r="DZ108" i="92"/>
  <c r="DZ46" i="92"/>
  <c r="DZ127" i="92"/>
  <c r="DZ83" i="92"/>
  <c r="DZ34" i="92"/>
  <c r="DZ110" i="92"/>
  <c r="DZ43" i="92"/>
  <c r="DZ30" i="92"/>
  <c r="DZ74" i="92"/>
  <c r="DZ48" i="92"/>
  <c r="DZ17" i="92"/>
  <c r="DZ26" i="92"/>
  <c r="DZ128" i="92"/>
  <c r="DZ27" i="92"/>
  <c r="DZ62" i="92"/>
  <c r="DZ20" i="92"/>
  <c r="DZ19" i="92"/>
  <c r="DZ63" i="92"/>
  <c r="DZ29" i="92"/>
  <c r="DZ35" i="92"/>
  <c r="DZ121" i="92"/>
  <c r="DZ99" i="92"/>
  <c r="DZ77" i="92"/>
  <c r="DJ14" i="92"/>
  <c r="DK14" i="92" s="1"/>
  <c r="DV94" i="92"/>
  <c r="DJ30" i="92"/>
  <c r="DK30" i="92" s="1"/>
  <c r="DJ34" i="92"/>
  <c r="DK34" i="92" s="1"/>
  <c r="DV112" i="92"/>
  <c r="DV13" i="92"/>
  <c r="DJ96" i="92"/>
  <c r="DK96" i="92" s="1"/>
  <c r="DJ22" i="92"/>
  <c r="DK22" i="92" s="1"/>
  <c r="DJ99" i="92"/>
  <c r="DK99" i="92" s="1"/>
  <c r="DJ108" i="92"/>
  <c r="DK108" i="92" s="1"/>
  <c r="DV120" i="92"/>
  <c r="DV100" i="92"/>
  <c r="DV119" i="92"/>
  <c r="DJ124" i="92"/>
  <c r="DK124" i="92" s="1"/>
  <c r="DJ8" i="92"/>
  <c r="DK8" i="92" s="1"/>
  <c r="DJ120" i="92"/>
  <c r="DK120" i="92" s="1"/>
  <c r="DJ53" i="92"/>
  <c r="DK53" i="92" s="1"/>
  <c r="DJ84" i="92"/>
  <c r="DK84" i="92" s="1"/>
  <c r="DJ29" i="92"/>
  <c r="DK29" i="92" s="1"/>
  <c r="DV37" i="92"/>
  <c r="DJ52" i="92"/>
  <c r="DK52" i="92" s="1"/>
  <c r="DJ98" i="92"/>
  <c r="DK98" i="92" s="1"/>
  <c r="DJ31" i="92"/>
  <c r="DK31" i="92" s="1"/>
  <c r="DJ126" i="92"/>
  <c r="DK126" i="92" s="1"/>
  <c r="DJ121" i="92"/>
  <c r="DK121" i="92" s="1"/>
  <c r="DV89" i="92"/>
  <c r="DV123" i="92"/>
  <c r="DV113" i="92"/>
  <c r="DJ46" i="92"/>
  <c r="DK46" i="92" s="1"/>
  <c r="DJ109" i="92"/>
  <c r="DK109" i="92" s="1"/>
  <c r="DJ94" i="92"/>
  <c r="DK94" i="92" s="1"/>
  <c r="DJ40" i="92"/>
  <c r="DK40" i="92" s="1"/>
  <c r="DJ66" i="92"/>
  <c r="DK66" i="92" s="1"/>
  <c r="DV122" i="92"/>
  <c r="DV78" i="92"/>
  <c r="DV21" i="92"/>
  <c r="DJ128" i="92"/>
  <c r="DK128" i="92" s="1"/>
  <c r="DJ68" i="92"/>
  <c r="DK68" i="92" s="1"/>
  <c r="DJ41" i="92"/>
  <c r="DK41" i="92" s="1"/>
  <c r="DJ70" i="92"/>
  <c r="DK70" i="92" s="1"/>
  <c r="DJ89" i="92"/>
  <c r="DK89" i="92" s="1"/>
  <c r="DJ42" i="92"/>
  <c r="DK42" i="92" s="1"/>
  <c r="DJ127" i="92"/>
  <c r="DK127" i="92" s="1"/>
  <c r="DJ93" i="92"/>
  <c r="DK93" i="92" s="1"/>
  <c r="DV118" i="92"/>
  <c r="DV101" i="92"/>
  <c r="DV104" i="92"/>
  <c r="DJ132" i="92"/>
  <c r="DK132" i="92" s="1"/>
  <c r="DJ5" i="92"/>
  <c r="DK5" i="92" s="1"/>
  <c r="DJ95" i="92"/>
  <c r="DK95" i="92" s="1"/>
  <c r="DJ61" i="92"/>
  <c r="DK61" i="92" s="1"/>
  <c r="DJ19" i="92"/>
  <c r="DK19" i="92" s="1"/>
  <c r="DJ28" i="92"/>
  <c r="DK28" i="92" s="1"/>
  <c r="DJ24" i="92"/>
  <c r="DK24" i="92" s="1"/>
  <c r="DJ72" i="92"/>
  <c r="DK72" i="92" s="1"/>
  <c r="DJ62" i="92"/>
  <c r="DK62" i="92" s="1"/>
  <c r="DJ13" i="92"/>
  <c r="DK13" i="92" s="1"/>
  <c r="DV86" i="92"/>
  <c r="DV58" i="92"/>
  <c r="DV45" i="92"/>
  <c r="DJ87" i="92"/>
  <c r="DK87" i="92" s="1"/>
  <c r="DJ33" i="92"/>
  <c r="DK33" i="92" s="1"/>
  <c r="DJ9" i="92"/>
  <c r="DK9" i="92" s="1"/>
  <c r="DJ118" i="92"/>
  <c r="DK118" i="92" s="1"/>
  <c r="DJ74" i="92"/>
  <c r="DK74" i="92" s="1"/>
  <c r="DJ75" i="92"/>
  <c r="DK75" i="92" s="1"/>
  <c r="DJ20" i="92"/>
  <c r="DK20" i="92" s="1"/>
  <c r="DJ125" i="92"/>
  <c r="DK125" i="92" s="1"/>
  <c r="DJ90" i="92"/>
  <c r="DK90" i="92" s="1"/>
  <c r="DJ86" i="92"/>
  <c r="DK86" i="92" s="1"/>
  <c r="DJ48" i="92"/>
  <c r="DK48" i="92" s="1"/>
  <c r="DJ83" i="92"/>
  <c r="DK83" i="92" s="1"/>
  <c r="DV95" i="92"/>
  <c r="DV46" i="92"/>
  <c r="DV131" i="92"/>
  <c r="DV16" i="92"/>
  <c r="K15" i="95"/>
  <c r="DV25" i="92"/>
  <c r="AB16" i="95"/>
  <c r="DV61" i="92"/>
  <c r="DV84" i="92"/>
  <c r="DV85" i="92"/>
  <c r="DV47" i="92"/>
  <c r="DV70" i="92"/>
  <c r="DV49" i="92"/>
  <c r="DV27" i="92"/>
  <c r="DV17" i="92"/>
  <c r="G14" i="95"/>
  <c r="I14" i="95"/>
  <c r="DV97" i="92"/>
  <c r="DV24" i="92"/>
  <c r="DV65" i="92"/>
  <c r="DV5" i="92"/>
  <c r="DV48" i="92"/>
  <c r="DV98" i="92"/>
  <c r="DV110" i="92"/>
  <c r="DV92" i="92"/>
  <c r="DV31" i="92"/>
  <c r="DV81" i="92"/>
  <c r="DV96" i="92"/>
  <c r="DV111" i="92"/>
  <c r="DV54" i="92"/>
  <c r="DV7" i="92"/>
  <c r="DV88" i="92"/>
  <c r="DV10" i="92"/>
  <c r="DV75" i="92"/>
  <c r="DV74" i="92"/>
  <c r="DV71" i="92"/>
  <c r="DV116" i="92"/>
  <c r="DV50" i="92"/>
  <c r="DV51" i="92"/>
  <c r="DV42" i="92"/>
  <c r="DV34" i="92"/>
  <c r="DV19" i="92"/>
  <c r="DV93" i="92"/>
  <c r="DV69" i="92"/>
  <c r="DV77" i="92"/>
  <c r="DV64" i="92"/>
  <c r="DV9" i="92"/>
  <c r="DV28" i="92"/>
  <c r="DV11" i="92"/>
  <c r="DV82" i="92"/>
  <c r="DV41" i="92"/>
  <c r="DV57" i="92"/>
  <c r="DV29" i="92"/>
  <c r="DV26" i="92"/>
  <c r="DV83" i="92"/>
  <c r="DV32" i="92"/>
  <c r="DV127" i="92"/>
  <c r="DV130" i="92"/>
  <c r="DV12" i="92"/>
  <c r="DV87" i="92"/>
  <c r="DV8" i="92"/>
  <c r="DV15" i="92"/>
  <c r="DV126" i="92"/>
  <c r="DV40" i="92"/>
  <c r="DV76" i="92"/>
  <c r="DV18" i="92"/>
  <c r="DV105" i="92"/>
  <c r="DV129" i="92"/>
  <c r="J14" i="95"/>
  <c r="DV115" i="92"/>
  <c r="AC16" i="95"/>
  <c r="AD16" i="95"/>
  <c r="DV106" i="92"/>
  <c r="DV102" i="92"/>
  <c r="DV125" i="92"/>
  <c r="DV53" i="92"/>
  <c r="DV38" i="92"/>
  <c r="DV107" i="92"/>
  <c r="DV52" i="92"/>
  <c r="DV68" i="92"/>
  <c r="DV128" i="92"/>
  <c r="DV62" i="92"/>
  <c r="DV36" i="92"/>
  <c r="DV114" i="92"/>
  <c r="DV20" i="92"/>
  <c r="DV60" i="92"/>
  <c r="DV67" i="92"/>
  <c r="DW8" i="92"/>
  <c r="DW122" i="92"/>
  <c r="DW26" i="92"/>
  <c r="DW118" i="92"/>
  <c r="DW93" i="92"/>
  <c r="DQ93" i="92" s="1"/>
  <c r="DR93" i="92" s="1"/>
  <c r="DW119" i="92"/>
  <c r="DW75" i="92"/>
  <c r="DQ75" i="92" s="1"/>
  <c r="DR75" i="92" s="1"/>
  <c r="DW10" i="92"/>
  <c r="DW111" i="92"/>
  <c r="DW25" i="92"/>
  <c r="DQ25" i="92" s="1"/>
  <c r="DR25" i="92" s="1"/>
  <c r="DW63" i="92"/>
  <c r="EA16" i="92"/>
  <c r="EA97" i="92"/>
  <c r="EA19" i="92"/>
  <c r="EA99" i="92"/>
  <c r="DW112" i="92"/>
  <c r="DQ112" i="92" s="1"/>
  <c r="DR112" i="92" s="1"/>
  <c r="DW44" i="92"/>
  <c r="DW94" i="92"/>
  <c r="DQ94" i="92" s="1"/>
  <c r="DR94" i="92" s="1"/>
  <c r="DW69" i="92"/>
  <c r="DW39" i="92"/>
  <c r="DQ39" i="92" s="1"/>
  <c r="DR39" i="92" s="1"/>
  <c r="DW106" i="92"/>
  <c r="DQ106" i="92" s="1"/>
  <c r="DR106" i="92" s="1"/>
  <c r="DW132" i="92"/>
  <c r="DW65" i="92"/>
  <c r="DQ65" i="92" s="1"/>
  <c r="DR65" i="92" s="1"/>
  <c r="DW128" i="92"/>
  <c r="DW31" i="92"/>
  <c r="EA112" i="92"/>
  <c r="EA44" i="92"/>
  <c r="EA94" i="92"/>
  <c r="EA69" i="92"/>
  <c r="EA87" i="92"/>
  <c r="EA52" i="92"/>
  <c r="EA13" i="92"/>
  <c r="EA109" i="92"/>
  <c r="EA6" i="92"/>
  <c r="EB104" i="92"/>
  <c r="EB113" i="92"/>
  <c r="EB58" i="92"/>
  <c r="DW114" i="92"/>
  <c r="DQ114" i="92" s="1"/>
  <c r="DR114" i="92" s="1"/>
  <c r="DW79" i="92"/>
  <c r="DQ79" i="92" s="1"/>
  <c r="DR79" i="92" s="1"/>
  <c r="DW46" i="92"/>
  <c r="DQ46" i="92" s="1"/>
  <c r="DR46" i="92" s="1"/>
  <c r="DW57" i="92"/>
  <c r="DQ57" i="92" s="1"/>
  <c r="DR57" i="92" s="1"/>
  <c r="DW33" i="92"/>
  <c r="DQ33" i="92" s="1"/>
  <c r="DR33" i="92" s="1"/>
  <c r="DW81" i="92"/>
  <c r="DQ81" i="92" s="1"/>
  <c r="DR81" i="92" s="1"/>
  <c r="DW62" i="92"/>
  <c r="DW18" i="92"/>
  <c r="DQ18" i="92" s="1"/>
  <c r="DR18" i="92" s="1"/>
  <c r="DW50" i="92"/>
  <c r="DQ50" i="92" s="1"/>
  <c r="DR50" i="92" s="1"/>
  <c r="DW27" i="92"/>
  <c r="DW29" i="92"/>
  <c r="DW85" i="92"/>
  <c r="DQ85" i="92" s="1"/>
  <c r="DR85" i="92" s="1"/>
  <c r="DW86" i="92"/>
  <c r="DW121" i="92"/>
  <c r="DW12" i="92"/>
  <c r="DQ12" i="92" s="1"/>
  <c r="DR12" i="92" s="1"/>
  <c r="DW127" i="92"/>
  <c r="DQ127" i="92" s="1"/>
  <c r="DR127" i="92" s="1"/>
  <c r="DW77" i="92"/>
  <c r="DQ77" i="92" s="1"/>
  <c r="DR77" i="92" s="1"/>
  <c r="DW28" i="92"/>
  <c r="DW55" i="92"/>
  <c r="DW36" i="92"/>
  <c r="DQ36" i="92" s="1"/>
  <c r="DR36" i="92" s="1"/>
  <c r="DW40" i="92"/>
  <c r="DW110" i="92"/>
  <c r="DQ110" i="92" s="1"/>
  <c r="DR110" i="92" s="1"/>
  <c r="DW56" i="92"/>
  <c r="DW20" i="92"/>
  <c r="DW19" i="92"/>
  <c r="DW83" i="92"/>
  <c r="DW42" i="92"/>
  <c r="DQ42" i="92" s="1"/>
  <c r="DR42" i="92" s="1"/>
  <c r="DW131" i="92"/>
  <c r="DQ131" i="92" s="1"/>
  <c r="DR131" i="92" s="1"/>
  <c r="DW88" i="92"/>
  <c r="DQ88" i="92" s="1"/>
  <c r="DR88" i="92" s="1"/>
  <c r="DW98" i="92"/>
  <c r="DQ98" i="92" s="1"/>
  <c r="DR98" i="92" s="1"/>
  <c r="EA121" i="92"/>
  <c r="EA49" i="92"/>
  <c r="EA116" i="92"/>
  <c r="EA118" i="92"/>
  <c r="EA74" i="92"/>
  <c r="EA123" i="92"/>
  <c r="EA92" i="92"/>
  <c r="EA66" i="92"/>
  <c r="EB123" i="92"/>
  <c r="DW49" i="92"/>
  <c r="DW54" i="92"/>
  <c r="DQ54" i="92" s="1"/>
  <c r="DR54" i="92" s="1"/>
  <c r="DW90" i="92"/>
  <c r="DQ90" i="92" s="1"/>
  <c r="DR90" i="92" s="1"/>
  <c r="DW60" i="92"/>
  <c r="DW64" i="92"/>
  <c r="DW71" i="92"/>
  <c r="DW51" i="92"/>
  <c r="EA45" i="92"/>
  <c r="EA68" i="92"/>
  <c r="EA26" i="92"/>
  <c r="EA83" i="92"/>
  <c r="DW97" i="92"/>
  <c r="DQ97" i="92" s="1"/>
  <c r="DR97" i="92" s="1"/>
  <c r="DW43" i="92"/>
  <c r="DQ43" i="92" s="1"/>
  <c r="DR43" i="92" s="1"/>
  <c r="DW89" i="92"/>
  <c r="DQ89" i="92" s="1"/>
  <c r="DR89" i="92" s="1"/>
  <c r="DW123" i="92"/>
  <c r="DQ123" i="92" s="1"/>
  <c r="DR123" i="92" s="1"/>
  <c r="DW115" i="92"/>
  <c r="DW35" i="92"/>
  <c r="DW126" i="92"/>
  <c r="DQ126" i="92" s="1"/>
  <c r="DR126" i="92" s="1"/>
  <c r="EA32" i="92"/>
  <c r="EA122" i="92"/>
  <c r="EA43" i="92"/>
  <c r="EA90" i="92"/>
  <c r="EA39" i="92"/>
  <c r="EA106" i="92"/>
  <c r="EA132" i="92"/>
  <c r="EA65" i="92"/>
  <c r="EA128" i="92"/>
  <c r="EA31" i="92"/>
  <c r="EB94" i="92"/>
  <c r="DW104" i="92"/>
  <c r="DW68" i="92"/>
  <c r="DW80" i="92"/>
  <c r="DQ80" i="92" s="1"/>
  <c r="DR80" i="92" s="1"/>
  <c r="DW117" i="92"/>
  <c r="DQ117" i="92" s="1"/>
  <c r="DR117" i="92" s="1"/>
  <c r="DW24" i="92"/>
  <c r="DQ24" i="92" s="1"/>
  <c r="DR24" i="92" s="1"/>
  <c r="DW58" i="92"/>
  <c r="DQ58" i="92" s="1"/>
  <c r="DR58" i="92" s="1"/>
  <c r="DW34" i="92"/>
  <c r="DW66" i="92"/>
  <c r="EA107" i="92"/>
  <c r="EA38" i="92"/>
  <c r="EA80" i="92"/>
  <c r="EA33" i="92"/>
  <c r="EA81" i="92"/>
  <c r="EA62" i="92"/>
  <c r="EA18" i="92"/>
  <c r="EA50" i="92"/>
  <c r="EA27" i="92"/>
  <c r="EA63" i="92"/>
  <c r="EB78" i="92"/>
  <c r="EB100" i="92"/>
  <c r="DW22" i="92"/>
  <c r="DQ22" i="92" s="1"/>
  <c r="DR22" i="92" s="1"/>
  <c r="DW113" i="92"/>
  <c r="DQ113" i="92" s="1"/>
  <c r="DR113" i="92" s="1"/>
  <c r="DW37" i="92"/>
  <c r="DQ37" i="92" s="1"/>
  <c r="DR37" i="92" s="1"/>
  <c r="DW102" i="92"/>
  <c r="DW105" i="92"/>
  <c r="DW72" i="92"/>
  <c r="DQ72" i="92" s="1"/>
  <c r="DR72" i="92" s="1"/>
  <c r="DW47" i="92"/>
  <c r="DQ47" i="92" s="1"/>
  <c r="DR47" i="92" s="1"/>
  <c r="EA8" i="92"/>
  <c r="EA84" i="92"/>
  <c r="EA57" i="92"/>
  <c r="EA129" i="92"/>
  <c r="EA42" i="92"/>
  <c r="EA108" i="92"/>
  <c r="EA105" i="92"/>
  <c r="EA14" i="92"/>
  <c r="EA25" i="92"/>
  <c r="EA29" i="92"/>
  <c r="EB121" i="92"/>
  <c r="EB118" i="92"/>
  <c r="DW96" i="92"/>
  <c r="DQ96" i="92" s="1"/>
  <c r="DR96" i="92" s="1"/>
  <c r="DW125" i="92"/>
  <c r="DQ125" i="92" s="1"/>
  <c r="DR125" i="92" s="1"/>
  <c r="DW87" i="92"/>
  <c r="DQ87" i="92" s="1"/>
  <c r="DR87" i="92" s="1"/>
  <c r="DW91" i="92"/>
  <c r="DQ91" i="92" s="1"/>
  <c r="DR91" i="92" s="1"/>
  <c r="DW5" i="92"/>
  <c r="EA104" i="92"/>
  <c r="EA21" i="92"/>
  <c r="EA67" i="92"/>
  <c r="EA119" i="92"/>
  <c r="EA58" i="92"/>
  <c r="EA34" i="92"/>
  <c r="EA70" i="92"/>
  <c r="EB101" i="92"/>
  <c r="EB13" i="92"/>
  <c r="DW16" i="92"/>
  <c r="DW73" i="92"/>
  <c r="DW30" i="92"/>
  <c r="DW92" i="92"/>
  <c r="DW70" i="92"/>
  <c r="EA85" i="92"/>
  <c r="EA130" i="92"/>
  <c r="EA89" i="92"/>
  <c r="EA95" i="92"/>
  <c r="EA82" i="92"/>
  <c r="EA72" i="92"/>
  <c r="EB86" i="92"/>
  <c r="EB5" i="92"/>
  <c r="DW107" i="92"/>
  <c r="DQ107" i="92" s="1"/>
  <c r="DR107" i="92" s="1"/>
  <c r="DW59" i="92"/>
  <c r="DQ59" i="92" s="1"/>
  <c r="DR59" i="92" s="1"/>
  <c r="DW52" i="92"/>
  <c r="DW76" i="92"/>
  <c r="EA96" i="92"/>
  <c r="EA41" i="92"/>
  <c r="EA117" i="92"/>
  <c r="EA102" i="92"/>
  <c r="EA40" i="92"/>
  <c r="EA23" i="92"/>
  <c r="EB21" i="92"/>
  <c r="DW78" i="92"/>
  <c r="DW48" i="92"/>
  <c r="DQ48" i="92" s="1"/>
  <c r="DR48" i="92" s="1"/>
  <c r="DW100" i="92"/>
  <c r="DQ100" i="92" s="1"/>
  <c r="DR100" i="92" s="1"/>
  <c r="EA86" i="92"/>
  <c r="EA78" i="92"/>
  <c r="EA9" i="92"/>
  <c r="EA76" i="92"/>
  <c r="EA47" i="92"/>
  <c r="EB120" i="92"/>
  <c r="DW45" i="92"/>
  <c r="DW103" i="92"/>
  <c r="DQ103" i="92" s="1"/>
  <c r="DR103" i="92" s="1"/>
  <c r="EA12" i="92"/>
  <c r="EA103" i="92"/>
  <c r="EA120" i="92"/>
  <c r="EA71" i="92"/>
  <c r="EA5" i="92"/>
  <c r="DW32" i="92"/>
  <c r="DQ32" i="92" s="1"/>
  <c r="DR32" i="92" s="1"/>
  <c r="DW67" i="92"/>
  <c r="DQ67" i="92" s="1"/>
  <c r="DR67" i="92" s="1"/>
  <c r="DW13" i="92"/>
  <c r="DQ13" i="92" s="1"/>
  <c r="DR13" i="92" s="1"/>
  <c r="EA17" i="92"/>
  <c r="EA28" i="92"/>
  <c r="EA36" i="92"/>
  <c r="EA111" i="92"/>
  <c r="EB22" i="92"/>
  <c r="DW101" i="92"/>
  <c r="DW129" i="92"/>
  <c r="DW82" i="92"/>
  <c r="EA37" i="92"/>
  <c r="EA75" i="92"/>
  <c r="EA35" i="92"/>
  <c r="EB45" i="92"/>
  <c r="DW38" i="92"/>
  <c r="DQ38" i="92" s="1"/>
  <c r="DR38" i="92" s="1"/>
  <c r="DW15" i="92"/>
  <c r="DW109" i="92"/>
  <c r="DQ109" i="92" s="1"/>
  <c r="DR109" i="92" s="1"/>
  <c r="EA127" i="92"/>
  <c r="EA15" i="92"/>
  <c r="EA131" i="92"/>
  <c r="EA53" i="92"/>
  <c r="EB122" i="92"/>
  <c r="DW84" i="92"/>
  <c r="DW7" i="92"/>
  <c r="DQ7" i="92" s="1"/>
  <c r="DR7" i="92" s="1"/>
  <c r="DW14" i="92"/>
  <c r="EA54" i="92"/>
  <c r="EA7" i="92"/>
  <c r="EA64" i="92"/>
  <c r="EA61" i="92"/>
  <c r="EB127" i="92"/>
  <c r="DW21" i="92"/>
  <c r="DW6" i="92"/>
  <c r="EA114" i="92"/>
  <c r="EA11" i="92"/>
  <c r="EA98" i="92"/>
  <c r="DW116" i="92"/>
  <c r="DQ116" i="92" s="1"/>
  <c r="DR116" i="92" s="1"/>
  <c r="DW23" i="92"/>
  <c r="DQ23" i="92" s="1"/>
  <c r="DR23" i="92" s="1"/>
  <c r="EA79" i="92"/>
  <c r="EA60" i="92"/>
  <c r="EA51" i="92"/>
  <c r="DW99" i="92"/>
  <c r="DW61" i="92"/>
  <c r="EA101" i="92"/>
  <c r="EA24" i="92"/>
  <c r="EA126" i="92"/>
  <c r="DW74" i="92"/>
  <c r="EA46" i="92"/>
  <c r="EA48" i="92"/>
  <c r="EB112" i="92"/>
  <c r="DW17" i="92"/>
  <c r="DQ17" i="92" s="1"/>
  <c r="DR17" i="92" s="1"/>
  <c r="EA93" i="92"/>
  <c r="DW130" i="92"/>
  <c r="EA30" i="92"/>
  <c r="DW41" i="92"/>
  <c r="DQ41" i="92" s="1"/>
  <c r="DR41" i="92" s="1"/>
  <c r="EA55" i="92"/>
  <c r="DW11" i="92"/>
  <c r="EA115" i="92"/>
  <c r="DW9" i="92"/>
  <c r="EA22" i="92"/>
  <c r="EA124" i="92"/>
  <c r="DW108" i="92"/>
  <c r="DQ108" i="92" s="1"/>
  <c r="DR108" i="92" s="1"/>
  <c r="EA20" i="92"/>
  <c r="EA91" i="92"/>
  <c r="DW95" i="92"/>
  <c r="DQ95" i="92" s="1"/>
  <c r="DR95" i="92" s="1"/>
  <c r="EA10" i="92"/>
  <c r="DW120" i="92"/>
  <c r="EA88" i="92"/>
  <c r="DW124" i="92"/>
  <c r="EA110" i="92"/>
  <c r="EA100" i="92"/>
  <c r="EA125" i="92"/>
  <c r="EB89" i="92"/>
  <c r="EB119" i="92"/>
  <c r="DW53" i="92"/>
  <c r="DQ53" i="92" s="1"/>
  <c r="DR53" i="92" s="1"/>
  <c r="EA73" i="92"/>
  <c r="EA77" i="92"/>
  <c r="EA59" i="92"/>
  <c r="EB11" i="92"/>
  <c r="EA113" i="92"/>
  <c r="EA3" i="92"/>
  <c r="EA56" i="92"/>
  <c r="EB37" i="92"/>
  <c r="EB30" i="92"/>
  <c r="EB91" i="92"/>
  <c r="EB93" i="92"/>
  <c r="EB99" i="92"/>
  <c r="EB15" i="92"/>
  <c r="EB38" i="92"/>
  <c r="EB24" i="92"/>
  <c r="EB18" i="92"/>
  <c r="EB41" i="92"/>
  <c r="EB90" i="92"/>
  <c r="EB125" i="92"/>
  <c r="EB39" i="92"/>
  <c r="EB32" i="92"/>
  <c r="EB16" i="92"/>
  <c r="EB74" i="92"/>
  <c r="EB20" i="92"/>
  <c r="EB80" i="92"/>
  <c r="EB7" i="92"/>
  <c r="EB128" i="92"/>
  <c r="EC128" i="92" s="1"/>
  <c r="EB96" i="92"/>
  <c r="EB131" i="92"/>
  <c r="EB12" i="92"/>
  <c r="EB84" i="92"/>
  <c r="EB57" i="92"/>
  <c r="EB103" i="92"/>
  <c r="EB87" i="92"/>
  <c r="EB124" i="92"/>
  <c r="EB52" i="92"/>
  <c r="EB48" i="92"/>
  <c r="EB51" i="92"/>
  <c r="EB79" i="92"/>
  <c r="EB60" i="92"/>
  <c r="EB40" i="92"/>
  <c r="EB23" i="92"/>
  <c r="EB75" i="92"/>
  <c r="EB26" i="92"/>
  <c r="EB107" i="92"/>
  <c r="EB46" i="92"/>
  <c r="EB19" i="92"/>
  <c r="EB72" i="92"/>
  <c r="EB83" i="92"/>
  <c r="EB27" i="92"/>
  <c r="EB33" i="92"/>
  <c r="EB109" i="92"/>
  <c r="EB44" i="92"/>
  <c r="EB98" i="92"/>
  <c r="EB70" i="92"/>
  <c r="EB71" i="92"/>
  <c r="EB50" i="92"/>
  <c r="EB105" i="92"/>
  <c r="EB35" i="92"/>
  <c r="EB63" i="92"/>
  <c r="EB126" i="92"/>
  <c r="EB64" i="92"/>
  <c r="EB97" i="92"/>
  <c r="EB130" i="92"/>
  <c r="EB61" i="92"/>
  <c r="EB67" i="92"/>
  <c r="EB85" i="92"/>
  <c r="EB92" i="92"/>
  <c r="EB47" i="92"/>
  <c r="EB6" i="92"/>
  <c r="EB53" i="92"/>
  <c r="EB55" i="92"/>
  <c r="EB8" i="92"/>
  <c r="EB14" i="92"/>
  <c r="EB59" i="92"/>
  <c r="EB49" i="92"/>
  <c r="EB34" i="92"/>
  <c r="EB9" i="92"/>
  <c r="EB117" i="92"/>
  <c r="EB106" i="92"/>
  <c r="EB43" i="92"/>
  <c r="EB42" i="92"/>
  <c r="EB73" i="92"/>
  <c r="EB17" i="92"/>
  <c r="EB110" i="92"/>
  <c r="EB82" i="92"/>
  <c r="EB81" i="92"/>
  <c r="EB115" i="92"/>
  <c r="EB88" i="92"/>
  <c r="EB54" i="92"/>
  <c r="EB68" i="92"/>
  <c r="EB29" i="92"/>
  <c r="EB108" i="92"/>
  <c r="EB69" i="92"/>
  <c r="EB10" i="92"/>
  <c r="EB116" i="92"/>
  <c r="EB66" i="92"/>
  <c r="EB31" i="92"/>
  <c r="EB95" i="92"/>
  <c r="EB76" i="92"/>
  <c r="EB28" i="92"/>
  <c r="EB36" i="92"/>
  <c r="EB129" i="92"/>
  <c r="EB132" i="92"/>
  <c r="EB114" i="92"/>
  <c r="EB65" i="92"/>
  <c r="EB25" i="92"/>
  <c r="EB56" i="92"/>
  <c r="EB111" i="92"/>
  <c r="EB102" i="92"/>
  <c r="EB77" i="92"/>
  <c r="EB62" i="92"/>
  <c r="DV90" i="92"/>
  <c r="DV23" i="92"/>
  <c r="DV33" i="92"/>
  <c r="DV63" i="92"/>
  <c r="DV117" i="92"/>
  <c r="DV39" i="92"/>
  <c r="DV103" i="92"/>
  <c r="DV43" i="92"/>
  <c r="ED3" i="92"/>
  <c r="EB3" i="92"/>
  <c r="EC3" i="92"/>
  <c r="EC55" i="92" l="1"/>
  <c r="DQ178" i="92"/>
  <c r="DR178" i="92" s="1"/>
  <c r="DQ185" i="92"/>
  <c r="DR185" i="92" s="1"/>
  <c r="DQ135" i="92"/>
  <c r="DR135" i="92" s="1"/>
  <c r="DQ164" i="92"/>
  <c r="DR164" i="92" s="1"/>
  <c r="DQ156" i="92"/>
  <c r="DR156" i="92" s="1"/>
  <c r="DQ170" i="92"/>
  <c r="DR170" i="92" s="1"/>
  <c r="EC155" i="92"/>
  <c r="DQ160" i="92"/>
  <c r="DR160" i="92" s="1"/>
  <c r="EC138" i="92"/>
  <c r="DQ153" i="92"/>
  <c r="DR153" i="92" s="1"/>
  <c r="DQ181" i="92"/>
  <c r="DR181" i="92" s="1"/>
  <c r="DQ147" i="92"/>
  <c r="DR147" i="92" s="1"/>
  <c r="EC145" i="92"/>
  <c r="DQ183" i="92"/>
  <c r="DR183" i="92" s="1"/>
  <c r="EC142" i="92"/>
  <c r="DQ152" i="92"/>
  <c r="DR152" i="92" s="1"/>
  <c r="DQ154" i="92"/>
  <c r="DR154" i="92" s="1"/>
  <c r="ED186" i="92"/>
  <c r="ED168" i="92"/>
  <c r="ED161" i="92"/>
  <c r="ED148" i="92"/>
  <c r="ED136" i="92"/>
  <c r="DX136" i="92" s="1"/>
  <c r="DY136" i="92" s="1"/>
  <c r="EG182" i="92"/>
  <c r="EG172" i="92"/>
  <c r="EG156" i="92"/>
  <c r="EG146" i="92"/>
  <c r="EG139" i="92"/>
  <c r="EH174" i="92"/>
  <c r="EH162" i="92"/>
  <c r="EH150" i="92"/>
  <c r="EH140" i="92"/>
  <c r="EI182" i="92"/>
  <c r="EI172" i="92"/>
  <c r="EI156" i="92"/>
  <c r="EI146" i="92"/>
  <c r="EI139" i="92"/>
  <c r="EH187" i="92"/>
  <c r="ED170" i="92"/>
  <c r="ED149" i="92"/>
  <c r="EG171" i="92"/>
  <c r="EG158" i="92"/>
  <c r="EG144" i="92"/>
  <c r="EG133" i="92"/>
  <c r="EH163" i="92"/>
  <c r="EH151" i="92"/>
  <c r="EH137" i="92"/>
  <c r="EI171" i="92"/>
  <c r="EI158" i="92"/>
  <c r="EI144" i="92"/>
  <c r="ED179" i="92"/>
  <c r="ED157" i="92"/>
  <c r="DX157" i="92" s="1"/>
  <c r="DY157" i="92" s="1"/>
  <c r="ED134" i="92"/>
  <c r="DX134" i="92" s="1"/>
  <c r="DY134" i="92" s="1"/>
  <c r="EG180" i="92"/>
  <c r="EH173" i="92"/>
  <c r="EI180" i="92"/>
  <c r="EI133" i="92"/>
  <c r="ED174" i="92"/>
  <c r="DX174" i="92" s="1"/>
  <c r="DY174" i="92" s="1"/>
  <c r="ED165" i="92"/>
  <c r="DX165" i="92" s="1"/>
  <c r="DY165" i="92" s="1"/>
  <c r="ED146" i="92"/>
  <c r="DX146" i="92" s="1"/>
  <c r="DY146" i="92" s="1"/>
  <c r="EG175" i="92"/>
  <c r="EG161" i="92"/>
  <c r="EG145" i="92"/>
  <c r="EH186" i="92"/>
  <c r="EH172" i="92"/>
  <c r="EH159" i="92"/>
  <c r="EH142" i="92"/>
  <c r="EI181" i="92"/>
  <c r="EI166" i="92"/>
  <c r="EI150" i="92"/>
  <c r="EI135" i="92"/>
  <c r="EH188" i="92"/>
  <c r="ED173" i="92"/>
  <c r="ED160" i="92"/>
  <c r="ED144" i="92"/>
  <c r="EG176" i="92"/>
  <c r="EG157" i="92"/>
  <c r="EG143" i="92"/>
  <c r="EH179" i="92"/>
  <c r="EH171" i="92"/>
  <c r="EH141" i="92"/>
  <c r="EI183" i="92"/>
  <c r="EI164" i="92"/>
  <c r="EI138" i="92"/>
  <c r="EH154" i="92"/>
  <c r="EI151" i="92"/>
  <c r="ED185" i="92"/>
  <c r="ED171" i="92"/>
  <c r="DX171" i="92" s="1"/>
  <c r="DY171" i="92" s="1"/>
  <c r="ED154" i="92"/>
  <c r="DX154" i="92" s="1"/>
  <c r="DY154" i="92" s="1"/>
  <c r="ED141" i="92"/>
  <c r="EG179" i="92"/>
  <c r="EG169" i="92"/>
  <c r="EG153" i="92"/>
  <c r="EG137" i="92"/>
  <c r="EH183" i="92"/>
  <c r="EH164" i="92"/>
  <c r="EH147" i="92"/>
  <c r="EH134" i="92"/>
  <c r="EI173" i="92"/>
  <c r="EI160" i="92"/>
  <c r="EI149" i="92"/>
  <c r="ED176" i="92"/>
  <c r="ED153" i="92"/>
  <c r="ED139" i="92"/>
  <c r="EG185" i="92"/>
  <c r="EG164" i="92"/>
  <c r="EG148" i="92"/>
  <c r="EH180" i="92"/>
  <c r="EH160" i="92"/>
  <c r="EH145" i="92"/>
  <c r="EI178" i="92"/>
  <c r="EI157" i="92"/>
  <c r="EI140" i="92"/>
  <c r="ED172" i="92"/>
  <c r="ED150" i="92"/>
  <c r="DX150" i="92" s="1"/>
  <c r="DY150" i="92" s="1"/>
  <c r="ED133" i="92"/>
  <c r="EG186" i="92"/>
  <c r="EG162" i="92"/>
  <c r="EG149" i="92"/>
  <c r="EH181" i="92"/>
  <c r="EH161" i="92"/>
  <c r="EH143" i="92"/>
  <c r="EI174" i="92"/>
  <c r="EI159" i="92"/>
  <c r="EI137" i="92"/>
  <c r="ED167" i="92"/>
  <c r="DX167" i="92" s="1"/>
  <c r="DY167" i="92" s="1"/>
  <c r="ED151" i="92"/>
  <c r="DX151" i="92" s="1"/>
  <c r="DY151" i="92" s="1"/>
  <c r="EG181" i="92"/>
  <c r="EG142" i="92"/>
  <c r="EH157" i="92"/>
  <c r="EI175" i="92"/>
  <c r="EI154" i="92"/>
  <c r="EG163" i="92"/>
  <c r="EH177" i="92"/>
  <c r="EH135" i="92"/>
  <c r="EI136" i="92"/>
  <c r="ED184" i="92"/>
  <c r="DX184" i="92" s="1"/>
  <c r="DY184" i="92" s="1"/>
  <c r="ED163" i="92"/>
  <c r="ED135" i="92"/>
  <c r="EG177" i="92"/>
  <c r="EG155" i="92"/>
  <c r="EH185" i="92"/>
  <c r="EH158" i="92"/>
  <c r="EI184" i="92"/>
  <c r="EI165" i="92"/>
  <c r="EG151" i="92"/>
  <c r="EH153" i="92"/>
  <c r="EI155" i="92"/>
  <c r="ED182" i="92"/>
  <c r="DX182" i="92" s="1"/>
  <c r="DY182" i="92" s="1"/>
  <c r="ED156" i="92"/>
  <c r="DX156" i="92" s="1"/>
  <c r="DY156" i="92" s="1"/>
  <c r="ED138" i="92"/>
  <c r="DX138" i="92" s="1"/>
  <c r="DY138" i="92" s="1"/>
  <c r="EG178" i="92"/>
  <c r="EG150" i="92"/>
  <c r="EH182" i="92"/>
  <c r="EH155" i="92"/>
  <c r="EI185" i="92"/>
  <c r="EI161" i="92"/>
  <c r="ED180" i="92"/>
  <c r="DX180" i="92" s="1"/>
  <c r="DY180" i="92" s="1"/>
  <c r="ED158" i="92"/>
  <c r="DX158" i="92" s="1"/>
  <c r="DY158" i="92" s="1"/>
  <c r="EG174" i="92"/>
  <c r="EH178" i="92"/>
  <c r="EI186" i="92"/>
  <c r="ED177" i="92"/>
  <c r="DX177" i="92" s="1"/>
  <c r="DY177" i="92" s="1"/>
  <c r="ED152" i="92"/>
  <c r="EG170" i="92"/>
  <c r="EG141" i="92"/>
  <c r="EH168" i="92"/>
  <c r="EH149" i="92"/>
  <c r="EI176" i="92"/>
  <c r="EI147" i="92"/>
  <c r="ED178" i="92"/>
  <c r="ED147" i="92"/>
  <c r="DX147" i="92" s="1"/>
  <c r="DY147" i="92" s="1"/>
  <c r="EG167" i="92"/>
  <c r="EG140" i="92"/>
  <c r="EH170" i="92"/>
  <c r="EH146" i="92"/>
  <c r="EI168" i="92"/>
  <c r="ED175" i="92"/>
  <c r="DX175" i="92" s="1"/>
  <c r="DY175" i="92" s="1"/>
  <c r="ED145" i="92"/>
  <c r="DX145" i="92" s="1"/>
  <c r="DY145" i="92" s="1"/>
  <c r="EG166" i="92"/>
  <c r="EG135" i="92"/>
  <c r="EH167" i="92"/>
  <c r="EH144" i="92"/>
  <c r="EI170" i="92"/>
  <c r="EI145" i="92"/>
  <c r="ED166" i="92"/>
  <c r="DX166" i="92" s="1"/>
  <c r="DY166" i="92" s="1"/>
  <c r="EG136" i="92"/>
  <c r="EH136" i="92"/>
  <c r="EI143" i="92"/>
  <c r="ED187" i="92"/>
  <c r="DX187" i="92" s="1"/>
  <c r="DY187" i="92" s="1"/>
  <c r="ED188" i="92"/>
  <c r="EJ188" i="92" s="1"/>
  <c r="ED164" i="92"/>
  <c r="DX164" i="92" s="1"/>
  <c r="DY164" i="92" s="1"/>
  <c r="EG184" i="92"/>
  <c r="EG134" i="92"/>
  <c r="EH139" i="92"/>
  <c r="EI142" i="92"/>
  <c r="EG187" i="92"/>
  <c r="ED162" i="92"/>
  <c r="DX162" i="92" s="1"/>
  <c r="DY162" i="92" s="1"/>
  <c r="EG183" i="92"/>
  <c r="EH184" i="92"/>
  <c r="EH133" i="92"/>
  <c r="EI141" i="92"/>
  <c r="ED143" i="92"/>
  <c r="EG165" i="92"/>
  <c r="EH169" i="92"/>
  <c r="EI167" i="92"/>
  <c r="EI188" i="92"/>
  <c r="EG154" i="92"/>
  <c r="ED181" i="92"/>
  <c r="EH152" i="92"/>
  <c r="ED142" i="92"/>
  <c r="EG160" i="92"/>
  <c r="EH166" i="92"/>
  <c r="EI169" i="92"/>
  <c r="EI163" i="92"/>
  <c r="EG152" i="92"/>
  <c r="ED140" i="92"/>
  <c r="DX140" i="92" s="1"/>
  <c r="DY140" i="92" s="1"/>
  <c r="EG159" i="92"/>
  <c r="EH165" i="92"/>
  <c r="EI162" i="92"/>
  <c r="ED137" i="92"/>
  <c r="EJ137" i="92" s="1"/>
  <c r="EH156" i="92"/>
  <c r="EI153" i="92"/>
  <c r="EG173" i="92"/>
  <c r="EI134" i="92"/>
  <c r="EG138" i="92"/>
  <c r="EG168" i="92"/>
  <c r="EG147" i="92"/>
  <c r="EH175" i="92"/>
  <c r="EH176" i="92"/>
  <c r="ED183" i="92"/>
  <c r="DX183" i="92" s="1"/>
  <c r="DY183" i="92" s="1"/>
  <c r="EH148" i="92"/>
  <c r="EI179" i="92"/>
  <c r="ED155" i="92"/>
  <c r="EI152" i="92"/>
  <c r="EJ152" i="92" s="1"/>
  <c r="EI148" i="92"/>
  <c r="ED169" i="92"/>
  <c r="DX169" i="92" s="1"/>
  <c r="DY169" i="92" s="1"/>
  <c r="EH138" i="92"/>
  <c r="ED159" i="92"/>
  <c r="DX159" i="92" s="1"/>
  <c r="DY159" i="92" s="1"/>
  <c r="EI177" i="92"/>
  <c r="EG188" i="92"/>
  <c r="EI187" i="92"/>
  <c r="ED1" i="92"/>
  <c r="EB2" i="92"/>
  <c r="DY2" i="92"/>
  <c r="EA2" i="92"/>
  <c r="DW2" i="92"/>
  <c r="EC2" i="92"/>
  <c r="DX2" i="92"/>
  <c r="DZ2" i="92"/>
  <c r="EC168" i="92"/>
  <c r="DX168" i="92"/>
  <c r="DY168" i="92" s="1"/>
  <c r="EC188" i="92"/>
  <c r="DQ169" i="92"/>
  <c r="DR169" i="92" s="1"/>
  <c r="EC169" i="92"/>
  <c r="EC147" i="92"/>
  <c r="DX152" i="92"/>
  <c r="DY152" i="92" s="1"/>
  <c r="EC152" i="92"/>
  <c r="DX185" i="92"/>
  <c r="DY185" i="92" s="1"/>
  <c r="EC185" i="92"/>
  <c r="EC134" i="92"/>
  <c r="EC184" i="92"/>
  <c r="EC178" i="92"/>
  <c r="DX178" i="92"/>
  <c r="DY178" i="92" s="1"/>
  <c r="EC139" i="92"/>
  <c r="DX139" i="92"/>
  <c r="DY139" i="92" s="1"/>
  <c r="EC136" i="92"/>
  <c r="EC158" i="92"/>
  <c r="EC164" i="92"/>
  <c r="EC166" i="92"/>
  <c r="EC167" i="92"/>
  <c r="EC149" i="92"/>
  <c r="DX149" i="92"/>
  <c r="DY149" i="92" s="1"/>
  <c r="EC172" i="92"/>
  <c r="DX172" i="92"/>
  <c r="DY172" i="92" s="1"/>
  <c r="EC148" i="92"/>
  <c r="DX148" i="92"/>
  <c r="DY148" i="92" s="1"/>
  <c r="EC170" i="92"/>
  <c r="DX170" i="92"/>
  <c r="DY170" i="92" s="1"/>
  <c r="EC177" i="92"/>
  <c r="EC182" i="92"/>
  <c r="EC153" i="92"/>
  <c r="EC133" i="92"/>
  <c r="DX133" i="92"/>
  <c r="DY133" i="92" s="1"/>
  <c r="EC159" i="92"/>
  <c r="EC186" i="92"/>
  <c r="DX186" i="92"/>
  <c r="DY186" i="92" s="1"/>
  <c r="DX135" i="92"/>
  <c r="DY135" i="92" s="1"/>
  <c r="EC135" i="92"/>
  <c r="EC183" i="92"/>
  <c r="EC156" i="92"/>
  <c r="EC181" i="92"/>
  <c r="DQ143" i="92"/>
  <c r="DR143" i="92" s="1"/>
  <c r="EC143" i="92"/>
  <c r="EC165" i="92"/>
  <c r="EC180" i="92"/>
  <c r="EC141" i="92"/>
  <c r="DX141" i="92"/>
  <c r="DY141" i="92" s="1"/>
  <c r="EC154" i="92"/>
  <c r="EC171" i="92"/>
  <c r="EC179" i="92"/>
  <c r="DX179" i="92"/>
  <c r="DY179" i="92" s="1"/>
  <c r="DX144" i="92"/>
  <c r="DY144" i="92" s="1"/>
  <c r="EC144" i="92"/>
  <c r="EC176" i="92"/>
  <c r="DX176" i="92"/>
  <c r="DY176" i="92" s="1"/>
  <c r="EC157" i="92"/>
  <c r="EC146" i="92"/>
  <c r="EC175" i="92"/>
  <c r="EC137" i="92"/>
  <c r="EC151" i="92"/>
  <c r="DQ163" i="92"/>
  <c r="DR163" i="92" s="1"/>
  <c r="DX163" i="92"/>
  <c r="DY163" i="92" s="1"/>
  <c r="EC163" i="92"/>
  <c r="EC173" i="92"/>
  <c r="EC187" i="92"/>
  <c r="EC140" i="92"/>
  <c r="EC150" i="92"/>
  <c r="EC162" i="92"/>
  <c r="EC174" i="92"/>
  <c r="EC47" i="92"/>
  <c r="EC68" i="92"/>
  <c r="EC27" i="92"/>
  <c r="DQ66" i="92"/>
  <c r="DR66" i="92" s="1"/>
  <c r="EC66" i="92"/>
  <c r="EC110" i="92"/>
  <c r="EC65" i="92"/>
  <c r="H15" i="95"/>
  <c r="EC40" i="92"/>
  <c r="EC8" i="92"/>
  <c r="EC35" i="92"/>
  <c r="EC29" i="92"/>
  <c r="EC36" i="92"/>
  <c r="EC54" i="92"/>
  <c r="EC132" i="92"/>
  <c r="EG27" i="92"/>
  <c r="EG56" i="92"/>
  <c r="EG96" i="92"/>
  <c r="EG114" i="92"/>
  <c r="EG131" i="92"/>
  <c r="EG22" i="92"/>
  <c r="EG7" i="92"/>
  <c r="EG103" i="92"/>
  <c r="EG119" i="92"/>
  <c r="EG36" i="92"/>
  <c r="EG6" i="92"/>
  <c r="EG91" i="92"/>
  <c r="EG118" i="92"/>
  <c r="EG80" i="92"/>
  <c r="EG132" i="92"/>
  <c r="EG122" i="92"/>
  <c r="EG5" i="92"/>
  <c r="EG106" i="92"/>
  <c r="EG125" i="92"/>
  <c r="EG90" i="92"/>
  <c r="EG43" i="92"/>
  <c r="EG87" i="92"/>
  <c r="EG69" i="92"/>
  <c r="EG63" i="92"/>
  <c r="EG10" i="92"/>
  <c r="EG111" i="92"/>
  <c r="EG38" i="92"/>
  <c r="EG67" i="92"/>
  <c r="EG35" i="92"/>
  <c r="EG15" i="92"/>
  <c r="EG64" i="92"/>
  <c r="EG61" i="92"/>
  <c r="EG24" i="92"/>
  <c r="EG57" i="92"/>
  <c r="EG54" i="92"/>
  <c r="EG83" i="92"/>
  <c r="EG49" i="92"/>
  <c r="EG19" i="92"/>
  <c r="EG70" i="92"/>
  <c r="EG101" i="92"/>
  <c r="EG34" i="92"/>
  <c r="EG109" i="92"/>
  <c r="EG33" i="92"/>
  <c r="EG17" i="92"/>
  <c r="EG13" i="92"/>
  <c r="EG40" i="92"/>
  <c r="EG110" i="92"/>
  <c r="EG50" i="92"/>
  <c r="EG97" i="92"/>
  <c r="EG76" i="92"/>
  <c r="EG47" i="92"/>
  <c r="EG25" i="92"/>
  <c r="EG89" i="92"/>
  <c r="EG116" i="92"/>
  <c r="EG73" i="92"/>
  <c r="EG9" i="92"/>
  <c r="EF3" i="92"/>
  <c r="EG37" i="92"/>
  <c r="EG16" i="92"/>
  <c r="EG108" i="92"/>
  <c r="EG121" i="92"/>
  <c r="EG95" i="92"/>
  <c r="EG30" i="92"/>
  <c r="EG124" i="92"/>
  <c r="EG26" i="92"/>
  <c r="EG102" i="92"/>
  <c r="EG52" i="92"/>
  <c r="EG107" i="92"/>
  <c r="EG41" i="92"/>
  <c r="EG21" i="92"/>
  <c r="EG68" i="92"/>
  <c r="EG127" i="92"/>
  <c r="EG72" i="92"/>
  <c r="EG45" i="92"/>
  <c r="EG88" i="92"/>
  <c r="EG59" i="92"/>
  <c r="EG3" i="92"/>
  <c r="EG112" i="92"/>
  <c r="EG93" i="92"/>
  <c r="EG55" i="92"/>
  <c r="EG46" i="92"/>
  <c r="EE3" i="92"/>
  <c r="EG84" i="92"/>
  <c r="EG105" i="92"/>
  <c r="EG115" i="92"/>
  <c r="EG62" i="92"/>
  <c r="EG78" i="92"/>
  <c r="EG123" i="92"/>
  <c r="EG12" i="92"/>
  <c r="EG53" i="92"/>
  <c r="EG113" i="92"/>
  <c r="EG44" i="92"/>
  <c r="EG129" i="92"/>
  <c r="EG126" i="92"/>
  <c r="EG86" i="92"/>
  <c r="EG23" i="92"/>
  <c r="EG60" i="92"/>
  <c r="EG28" i="92"/>
  <c r="EG51" i="92"/>
  <c r="EG75" i="92"/>
  <c r="EG98" i="92"/>
  <c r="EG14" i="92"/>
  <c r="EG8" i="92"/>
  <c r="EG11" i="92"/>
  <c r="EG117" i="92"/>
  <c r="EG100" i="92"/>
  <c r="EG120" i="92"/>
  <c r="EG99" i="92"/>
  <c r="EG42" i="92"/>
  <c r="EG130" i="92"/>
  <c r="EG79" i="92"/>
  <c r="EG128" i="92"/>
  <c r="EG39" i="92"/>
  <c r="EG92" i="92"/>
  <c r="EG82" i="92"/>
  <c r="EG32" i="92"/>
  <c r="EG29" i="92"/>
  <c r="EG71" i="92"/>
  <c r="EG18" i="92"/>
  <c r="EG65" i="92"/>
  <c r="EG66" i="92"/>
  <c r="EG74" i="92"/>
  <c r="EG58" i="92"/>
  <c r="EG48" i="92"/>
  <c r="EG85" i="92"/>
  <c r="EG31" i="92"/>
  <c r="EG20" i="92"/>
  <c r="EG81" i="92"/>
  <c r="EG77" i="92"/>
  <c r="EG104" i="92"/>
  <c r="EG94" i="92"/>
  <c r="EC121" i="92"/>
  <c r="EC112" i="92"/>
  <c r="EC118" i="92"/>
  <c r="EC104" i="92"/>
  <c r="EC86" i="92"/>
  <c r="DQ74" i="92"/>
  <c r="DR74" i="92" s="1"/>
  <c r="DQ26" i="92"/>
  <c r="DR26" i="92" s="1"/>
  <c r="DQ121" i="92"/>
  <c r="DR121" i="92" s="1"/>
  <c r="EC11" i="92"/>
  <c r="G13" i="95"/>
  <c r="EC37" i="92"/>
  <c r="EC122" i="92"/>
  <c r="DQ20" i="92"/>
  <c r="DR20" i="92" s="1"/>
  <c r="EC21" i="92"/>
  <c r="EC101" i="92"/>
  <c r="EC113" i="92"/>
  <c r="DQ118" i="92"/>
  <c r="DR118" i="92" s="1"/>
  <c r="DQ64" i="92"/>
  <c r="DR64" i="92" s="1"/>
  <c r="DQ8" i="92"/>
  <c r="DR8" i="92" s="1"/>
  <c r="EC120" i="92"/>
  <c r="EC100" i="92"/>
  <c r="EC30" i="92"/>
  <c r="EC5" i="92"/>
  <c r="DQ70" i="92"/>
  <c r="DR70" i="92" s="1"/>
  <c r="DQ115" i="92"/>
  <c r="DR115" i="92" s="1"/>
  <c r="DQ71" i="92"/>
  <c r="DR71" i="92" s="1"/>
  <c r="EC22" i="92"/>
  <c r="EC123" i="92"/>
  <c r="DQ60" i="92"/>
  <c r="DR60" i="92" s="1"/>
  <c r="DQ128" i="92"/>
  <c r="DR128" i="92" s="1"/>
  <c r="DQ92" i="92"/>
  <c r="DR92" i="92" s="1"/>
  <c r="DQ61" i="92"/>
  <c r="DR61" i="92" s="1"/>
  <c r="DQ56" i="92"/>
  <c r="DR56" i="92" s="1"/>
  <c r="EC78" i="92"/>
  <c r="EC89" i="92"/>
  <c r="DQ35" i="92"/>
  <c r="DR35" i="92" s="1"/>
  <c r="DQ51" i="92"/>
  <c r="DR51" i="92" s="1"/>
  <c r="DQ40" i="92"/>
  <c r="DR40" i="92" s="1"/>
  <c r="DQ76" i="92"/>
  <c r="DR76" i="92" s="1"/>
  <c r="DQ132" i="92"/>
  <c r="DR132" i="92" s="1"/>
  <c r="DQ27" i="92"/>
  <c r="DR27" i="92" s="1"/>
  <c r="DQ73" i="92"/>
  <c r="DR73" i="92" s="1"/>
  <c r="DQ52" i="92"/>
  <c r="DR52" i="92" s="1"/>
  <c r="DQ111" i="92"/>
  <c r="DR111" i="92" s="1"/>
  <c r="DQ68" i="92"/>
  <c r="DR68" i="92" s="1"/>
  <c r="EC58" i="92"/>
  <c r="DQ15" i="92"/>
  <c r="DR15" i="92" s="1"/>
  <c r="DQ49" i="92"/>
  <c r="DR49" i="92" s="1"/>
  <c r="DQ21" i="92"/>
  <c r="DR21" i="92" s="1"/>
  <c r="DQ10" i="92"/>
  <c r="DR10" i="92" s="1"/>
  <c r="DQ9" i="92"/>
  <c r="DR9" i="92" s="1"/>
  <c r="DQ120" i="92"/>
  <c r="DR120" i="92" s="1"/>
  <c r="DQ34" i="92"/>
  <c r="DR34" i="92" s="1"/>
  <c r="DQ99" i="92"/>
  <c r="DR99" i="92" s="1"/>
  <c r="EC13" i="92"/>
  <c r="EC45" i="92"/>
  <c r="DQ86" i="92"/>
  <c r="DR86" i="92" s="1"/>
  <c r="DQ104" i="92"/>
  <c r="DR104" i="92" s="1"/>
  <c r="DQ82" i="92"/>
  <c r="DR82" i="92" s="1"/>
  <c r="DQ122" i="92"/>
  <c r="DR122" i="92" s="1"/>
  <c r="DQ102" i="92"/>
  <c r="DR102" i="92" s="1"/>
  <c r="DQ62" i="92"/>
  <c r="DR62" i="92" s="1"/>
  <c r="DQ105" i="92"/>
  <c r="DR105" i="92" s="1"/>
  <c r="DQ29" i="92"/>
  <c r="DR29" i="92" s="1"/>
  <c r="DQ55" i="92"/>
  <c r="DR55" i="92" s="1"/>
  <c r="EC127" i="92"/>
  <c r="EC94" i="92"/>
  <c r="EC119" i="92"/>
  <c r="DQ63" i="92"/>
  <c r="DR63" i="92" s="1"/>
  <c r="DQ19" i="92"/>
  <c r="DR19" i="92" s="1"/>
  <c r="DQ83" i="92"/>
  <c r="DR83" i="92" s="1"/>
  <c r="DQ28" i="92"/>
  <c r="DR28" i="92" s="1"/>
  <c r="DQ119" i="92"/>
  <c r="DR119" i="92" s="1"/>
  <c r="DQ5" i="92"/>
  <c r="DR5" i="92" s="1"/>
  <c r="DQ124" i="92"/>
  <c r="DR124" i="92" s="1"/>
  <c r="DQ16" i="92"/>
  <c r="DR16" i="92" s="1"/>
  <c r="DQ30" i="92"/>
  <c r="DR30" i="92" s="1"/>
  <c r="DQ45" i="92"/>
  <c r="DR45" i="92" s="1"/>
  <c r="DQ101" i="92"/>
  <c r="DR101" i="92" s="1"/>
  <c r="DQ78" i="92"/>
  <c r="DR78" i="92" s="1"/>
  <c r="DQ130" i="92"/>
  <c r="DR130" i="92" s="1"/>
  <c r="DQ44" i="92"/>
  <c r="DR44" i="92" s="1"/>
  <c r="DQ69" i="92"/>
  <c r="DR69" i="92" s="1"/>
  <c r="DQ129" i="92"/>
  <c r="DR129" i="92" s="1"/>
  <c r="DQ11" i="92"/>
  <c r="DR11" i="92" s="1"/>
  <c r="DQ31" i="92"/>
  <c r="DR31" i="92" s="1"/>
  <c r="DQ6" i="92"/>
  <c r="DR6" i="92" s="1"/>
  <c r="DQ14" i="92"/>
  <c r="DR14" i="92" s="1"/>
  <c r="DQ84" i="92"/>
  <c r="DR84" i="92" s="1"/>
  <c r="EC42" i="92"/>
  <c r="EC44" i="92"/>
  <c r="EC88" i="92"/>
  <c r="EC131" i="92"/>
  <c r="EC125" i="92"/>
  <c r="EC34" i="92"/>
  <c r="EC49" i="92"/>
  <c r="EC79" i="92"/>
  <c r="EC48" i="92"/>
  <c r="I13" i="95"/>
  <c r="EC25" i="92"/>
  <c r="EC73" i="92"/>
  <c r="EC92" i="92"/>
  <c r="K14" i="95"/>
  <c r="EC111" i="92"/>
  <c r="AB15" i="95"/>
  <c r="EC26" i="92"/>
  <c r="EC93" i="92"/>
  <c r="EC97" i="92"/>
  <c r="EC90" i="92"/>
  <c r="EC31" i="92"/>
  <c r="EC114" i="92"/>
  <c r="EC70" i="92"/>
  <c r="EC67" i="92"/>
  <c r="EC98" i="92"/>
  <c r="EC106" i="92"/>
  <c r="EC103" i="92"/>
  <c r="EC28" i="92"/>
  <c r="EC83" i="92"/>
  <c r="EC50" i="92"/>
  <c r="EC17" i="92"/>
  <c r="EC72" i="92"/>
  <c r="EC82" i="92"/>
  <c r="EC38" i="92"/>
  <c r="EC10" i="92"/>
  <c r="EC71" i="92"/>
  <c r="EC59" i="92"/>
  <c r="EC57" i="92"/>
  <c r="EC20" i="92"/>
  <c r="EC24" i="92"/>
  <c r="EC16" i="92"/>
  <c r="EC46" i="92"/>
  <c r="EC107" i="92"/>
  <c r="EC105" i="92"/>
  <c r="EC85" i="92"/>
  <c r="EC75" i="92"/>
  <c r="EC64" i="92"/>
  <c r="EC96" i="92"/>
  <c r="EC116" i="92"/>
  <c r="EC56" i="92"/>
  <c r="EC43" i="92"/>
  <c r="EC53" i="92"/>
  <c r="EC130" i="92"/>
  <c r="EC32" i="92"/>
  <c r="EC102" i="92"/>
  <c r="EC95" i="92"/>
  <c r="EC60" i="92"/>
  <c r="EC23" i="92"/>
  <c r="EC76" i="92"/>
  <c r="EC81" i="92"/>
  <c r="EC12" i="92"/>
  <c r="EC129" i="92"/>
  <c r="J13" i="95"/>
  <c r="EC61" i="92"/>
  <c r="EC108" i="92"/>
  <c r="AC15" i="95"/>
  <c r="AD15" i="95"/>
  <c r="EC51" i="92"/>
  <c r="EC52" i="92"/>
  <c r="EC87" i="92"/>
  <c r="EC115" i="92"/>
  <c r="EC33" i="92"/>
  <c r="EC74" i="92"/>
  <c r="EC15" i="92"/>
  <c r="EC124" i="92"/>
  <c r="EC77" i="92"/>
  <c r="EC39" i="92"/>
  <c r="EC109" i="92"/>
  <c r="EC6" i="92"/>
  <c r="EC62" i="92"/>
  <c r="EC99" i="92"/>
  <c r="ED114" i="92"/>
  <c r="DX114" i="92" s="1"/>
  <c r="DY114" i="92" s="1"/>
  <c r="ED112" i="92"/>
  <c r="ED84" i="92"/>
  <c r="DX84" i="92" s="1"/>
  <c r="DY84" i="92" s="1"/>
  <c r="ED43" i="92"/>
  <c r="DX43" i="92" s="1"/>
  <c r="DY43" i="92" s="1"/>
  <c r="ED83" i="92"/>
  <c r="DX83" i="92" s="1"/>
  <c r="DY83" i="92" s="1"/>
  <c r="ED15" i="92"/>
  <c r="DX15" i="92" s="1"/>
  <c r="DY15" i="92" s="1"/>
  <c r="ED123" i="92"/>
  <c r="DX123" i="92" s="1"/>
  <c r="DY123" i="92" s="1"/>
  <c r="ED131" i="92"/>
  <c r="DX131" i="92" s="1"/>
  <c r="DY131" i="92" s="1"/>
  <c r="ED124" i="92"/>
  <c r="ED110" i="92"/>
  <c r="ED100" i="92"/>
  <c r="DX100" i="92" s="1"/>
  <c r="DY100" i="92" s="1"/>
  <c r="EH107" i="92"/>
  <c r="EH54" i="92"/>
  <c r="EH78" i="92"/>
  <c r="EH37" i="92"/>
  <c r="EH60" i="92"/>
  <c r="EH36" i="92"/>
  <c r="EH82" i="92"/>
  <c r="EH14" i="92"/>
  <c r="EH27" i="92"/>
  <c r="EH31" i="92"/>
  <c r="EI30" i="92"/>
  <c r="EI5" i="92"/>
  <c r="ED32" i="92"/>
  <c r="ED26" i="92"/>
  <c r="DX26" i="92" s="1"/>
  <c r="DY26" i="92" s="1"/>
  <c r="ED103" i="92"/>
  <c r="DX103" i="92" s="1"/>
  <c r="DY103" i="92" s="1"/>
  <c r="ED7" i="92"/>
  <c r="DX7" i="92" s="1"/>
  <c r="DY7" i="92" s="1"/>
  <c r="ED102" i="92"/>
  <c r="DX102" i="92" s="1"/>
  <c r="DY102" i="92" s="1"/>
  <c r="ED13" i="92"/>
  <c r="DX13" i="92" s="1"/>
  <c r="DY13" i="92" s="1"/>
  <c r="ED88" i="92"/>
  <c r="ED53" i="92"/>
  <c r="DX53" i="92" s="1"/>
  <c r="DY53" i="92" s="1"/>
  <c r="ED47" i="92"/>
  <c r="DX47" i="92" s="1"/>
  <c r="DY47" i="92" s="1"/>
  <c r="EH32" i="92"/>
  <c r="EH122" i="92"/>
  <c r="EH125" i="92"/>
  <c r="EH83" i="92"/>
  <c r="EH7" i="92"/>
  <c r="EH102" i="92"/>
  <c r="EH13" i="92"/>
  <c r="EH88" i="92"/>
  <c r="EH53" i="92"/>
  <c r="EH47" i="92"/>
  <c r="EI127" i="92"/>
  <c r="EI36" i="92"/>
  <c r="ED20" i="92"/>
  <c r="ED44" i="92"/>
  <c r="DX44" i="92" s="1"/>
  <c r="DY44" i="92" s="1"/>
  <c r="ED94" i="92"/>
  <c r="ED69" i="92"/>
  <c r="DX69" i="92" s="1"/>
  <c r="DY69" i="92" s="1"/>
  <c r="ED39" i="92"/>
  <c r="DX39" i="92" s="1"/>
  <c r="DY39" i="92" s="1"/>
  <c r="ED106" i="92"/>
  <c r="DX106" i="92" s="1"/>
  <c r="DY106" i="92" s="1"/>
  <c r="ED132" i="92"/>
  <c r="ED65" i="92"/>
  <c r="ED128" i="92"/>
  <c r="DX128" i="92" s="1"/>
  <c r="DY128" i="92" s="1"/>
  <c r="ED31" i="92"/>
  <c r="DX31" i="92" s="1"/>
  <c r="DY31" i="92" s="1"/>
  <c r="EH112" i="92"/>
  <c r="EH44" i="92"/>
  <c r="EH94" i="92"/>
  <c r="EH69" i="92"/>
  <c r="EH39" i="92"/>
  <c r="EH106" i="92"/>
  <c r="ED79" i="92"/>
  <c r="ED46" i="92"/>
  <c r="ED57" i="92"/>
  <c r="DX57" i="92" s="1"/>
  <c r="DY57" i="92" s="1"/>
  <c r="ED33" i="92"/>
  <c r="DX33" i="92" s="1"/>
  <c r="DY33" i="92" s="1"/>
  <c r="ED81" i="92"/>
  <c r="DX81" i="92" s="1"/>
  <c r="DY81" i="92" s="1"/>
  <c r="ED62" i="92"/>
  <c r="ED18" i="92"/>
  <c r="DX18" i="92" s="1"/>
  <c r="DY18" i="92" s="1"/>
  <c r="ED50" i="92"/>
  <c r="DX50" i="92" s="1"/>
  <c r="DY50" i="92" s="1"/>
  <c r="ED27" i="92"/>
  <c r="ED63" i="92"/>
  <c r="EH114" i="92"/>
  <c r="EH79" i="92"/>
  <c r="EH46" i="92"/>
  <c r="EH57" i="92"/>
  <c r="EH33" i="92"/>
  <c r="EH81" i="92"/>
  <c r="ED8" i="92"/>
  <c r="ED127" i="92"/>
  <c r="ED78" i="92"/>
  <c r="ED87" i="92"/>
  <c r="DX87" i="92" s="1"/>
  <c r="DY87" i="92" s="1"/>
  <c r="ED36" i="92"/>
  <c r="DX36" i="92" s="1"/>
  <c r="DY36" i="92" s="1"/>
  <c r="ED92" i="92"/>
  <c r="ED61" i="92"/>
  <c r="EH121" i="92"/>
  <c r="EH97" i="92"/>
  <c r="EH80" i="92"/>
  <c r="EH28" i="92"/>
  <c r="EH123" i="92"/>
  <c r="EH115" i="92"/>
  <c r="EH71" i="92"/>
  <c r="EH128" i="92"/>
  <c r="EH29" i="92"/>
  <c r="EI101" i="92"/>
  <c r="EI119" i="92"/>
  <c r="ED101" i="92"/>
  <c r="ED41" i="92"/>
  <c r="DX41" i="92" s="1"/>
  <c r="DY41" i="92" s="1"/>
  <c r="ED118" i="92"/>
  <c r="DX118" i="92" s="1"/>
  <c r="DY118" i="92" s="1"/>
  <c r="ED42" i="92"/>
  <c r="DX42" i="92" s="1"/>
  <c r="DY42" i="92" s="1"/>
  <c r="ED75" i="92"/>
  <c r="DX75" i="92" s="1"/>
  <c r="DY75" i="92" s="1"/>
  <c r="ED109" i="92"/>
  <c r="ED25" i="92"/>
  <c r="EH22" i="92"/>
  <c r="EH68" i="92"/>
  <c r="EH113" i="92"/>
  <c r="EH117" i="92"/>
  <c r="EH24" i="92"/>
  <c r="EH58" i="92"/>
  <c r="EH65" i="92"/>
  <c r="EH25" i="92"/>
  <c r="EI86" i="92"/>
  <c r="EI123" i="92"/>
  <c r="ED12" i="92"/>
  <c r="DX12" i="92" s="1"/>
  <c r="DY12" i="92" s="1"/>
  <c r="ED116" i="92"/>
  <c r="DX116" i="92" s="1"/>
  <c r="DY116" i="92" s="1"/>
  <c r="ED90" i="92"/>
  <c r="DX90" i="92" s="1"/>
  <c r="DY90" i="92" s="1"/>
  <c r="ED55" i="92"/>
  <c r="ED71" i="92"/>
  <c r="ED56" i="92"/>
  <c r="EH96" i="92"/>
  <c r="EH84" i="92"/>
  <c r="EH77" i="92"/>
  <c r="EH74" i="92"/>
  <c r="EH9" i="92"/>
  <c r="EH18" i="92"/>
  <c r="EH111" i="92"/>
  <c r="EH100" i="92"/>
  <c r="EI21" i="92"/>
  <c r="ED104" i="92"/>
  <c r="ED49" i="92"/>
  <c r="ED54" i="92"/>
  <c r="DX54" i="92" s="1"/>
  <c r="DY54" i="92" s="1"/>
  <c r="ED129" i="92"/>
  <c r="DX129" i="92" s="1"/>
  <c r="DY129" i="92" s="1"/>
  <c r="ED60" i="92"/>
  <c r="DX60" i="92" s="1"/>
  <c r="DY60" i="92" s="1"/>
  <c r="ED64" i="92"/>
  <c r="DX64" i="92" s="1"/>
  <c r="DY64" i="92" s="1"/>
  <c r="ED14" i="92"/>
  <c r="DX14" i="92" s="1"/>
  <c r="DY14" i="92" s="1"/>
  <c r="ED51" i="92"/>
  <c r="DX51" i="92" s="1"/>
  <c r="DY51" i="92" s="1"/>
  <c r="EH16" i="92"/>
  <c r="EH21" i="92"/>
  <c r="EH99" i="92"/>
  <c r="EH15" i="92"/>
  <c r="EH62" i="92"/>
  <c r="EH105" i="92"/>
  <c r="EH35" i="92"/>
  <c r="EH56" i="92"/>
  <c r="EI94" i="92"/>
  <c r="EI13" i="92"/>
  <c r="ED107" i="92"/>
  <c r="DX107" i="92" s="1"/>
  <c r="DY107" i="92" s="1"/>
  <c r="ED113" i="92"/>
  <c r="DX113" i="92" s="1"/>
  <c r="DY113" i="92" s="1"/>
  <c r="ED11" i="92"/>
  <c r="DX11" i="92" s="1"/>
  <c r="DY11" i="92" s="1"/>
  <c r="ED105" i="92"/>
  <c r="DX105" i="92" s="1"/>
  <c r="DY105" i="92" s="1"/>
  <c r="ED23" i="92"/>
  <c r="DX23" i="92" s="1"/>
  <c r="DY23" i="92" s="1"/>
  <c r="EH101" i="92"/>
  <c r="EH43" i="92"/>
  <c r="EH42" i="92"/>
  <c r="EH64" i="92"/>
  <c r="EH72" i="92"/>
  <c r="EH63" i="92"/>
  <c r="EI118" i="92"/>
  <c r="EI29" i="92"/>
  <c r="ED17" i="92"/>
  <c r="ED77" i="92"/>
  <c r="DX77" i="92" s="1"/>
  <c r="DY77" i="92" s="1"/>
  <c r="ED119" i="92"/>
  <c r="DX119" i="92" s="1"/>
  <c r="DY119" i="92" s="1"/>
  <c r="ED10" i="92"/>
  <c r="EH12" i="92"/>
  <c r="EH59" i="92"/>
  <c r="EH55" i="92"/>
  <c r="EH10" i="92"/>
  <c r="EI89" i="92"/>
  <c r="ED68" i="92"/>
  <c r="DX68" i="92" s="1"/>
  <c r="DY68" i="92" s="1"/>
  <c r="ED59" i="92"/>
  <c r="DX59" i="92" s="1"/>
  <c r="DY59" i="92" s="1"/>
  <c r="ED24" i="92"/>
  <c r="ED91" i="92"/>
  <c r="ED66" i="92"/>
  <c r="EH17" i="92"/>
  <c r="EH103" i="92"/>
  <c r="EH95" i="92"/>
  <c r="EH124" i="92"/>
  <c r="EH61" i="92"/>
  <c r="EI11" i="92"/>
  <c r="ED122" i="92"/>
  <c r="DX122" i="92" s="1"/>
  <c r="DY122" i="92" s="1"/>
  <c r="ED67" i="92"/>
  <c r="DX67" i="92" s="1"/>
  <c r="DY67" i="92" s="1"/>
  <c r="ED52" i="92"/>
  <c r="ED76" i="92"/>
  <c r="ED5" i="92"/>
  <c r="EH38" i="92"/>
  <c r="EH67" i="92"/>
  <c r="EH52" i="92"/>
  <c r="EH91" i="92"/>
  <c r="EH98" i="92"/>
  <c r="EI121" i="92"/>
  <c r="EI120" i="92"/>
  <c r="ED85" i="92"/>
  <c r="DX85" i="92" s="1"/>
  <c r="DY85" i="92" s="1"/>
  <c r="ED38" i="92"/>
  <c r="DX38" i="92" s="1"/>
  <c r="DY38" i="92" s="1"/>
  <c r="ED89" i="92"/>
  <c r="DX89" i="92" s="1"/>
  <c r="DY89" i="92" s="1"/>
  <c r="ED9" i="92"/>
  <c r="ED111" i="92"/>
  <c r="DX111" i="92" s="1"/>
  <c r="DY111" i="92" s="1"/>
  <c r="ED70" i="92"/>
  <c r="EH130" i="92"/>
  <c r="EH90" i="92"/>
  <c r="EH108" i="92"/>
  <c r="EH92" i="92"/>
  <c r="EH51" i="92"/>
  <c r="EI22" i="92"/>
  <c r="EI58" i="92"/>
  <c r="ED21" i="92"/>
  <c r="ED30" i="92"/>
  <c r="ED6" i="92"/>
  <c r="DX6" i="92" s="1"/>
  <c r="DY6" i="92" s="1"/>
  <c r="EH49" i="92"/>
  <c r="EH87" i="92"/>
  <c r="EH50" i="92"/>
  <c r="ED130" i="92"/>
  <c r="ED95" i="92"/>
  <c r="EH127" i="92"/>
  <c r="EH30" i="92"/>
  <c r="EH110" i="92"/>
  <c r="EI31" i="92"/>
  <c r="ED125" i="92"/>
  <c r="ED120" i="92"/>
  <c r="ED126" i="92"/>
  <c r="EH19" i="92"/>
  <c r="EH120" i="92"/>
  <c r="EH6" i="92"/>
  <c r="EI112" i="92"/>
  <c r="ED28" i="92"/>
  <c r="DX28" i="92" s="1"/>
  <c r="DY28" i="92" s="1"/>
  <c r="ED34" i="92"/>
  <c r="DX34" i="92" s="1"/>
  <c r="DY34" i="92" s="1"/>
  <c r="EH118" i="92"/>
  <c r="EH109" i="92"/>
  <c r="EI33" i="92"/>
  <c r="ED121" i="92"/>
  <c r="DX121" i="92" s="1"/>
  <c r="DY121" i="92" s="1"/>
  <c r="ED117" i="92"/>
  <c r="ED72" i="92"/>
  <c r="DX72" i="92" s="1"/>
  <c r="DY72" i="92" s="1"/>
  <c r="EH129" i="92"/>
  <c r="EH76" i="92"/>
  <c r="EI37" i="92"/>
  <c r="ED22" i="92"/>
  <c r="ED37" i="92"/>
  <c r="DX37" i="92" s="1"/>
  <c r="DY37" i="92" s="1"/>
  <c r="ED98" i="92"/>
  <c r="DX98" i="92" s="1"/>
  <c r="DY98" i="92" s="1"/>
  <c r="EH104" i="92"/>
  <c r="EH89" i="92"/>
  <c r="EH34" i="92"/>
  <c r="ED45" i="92"/>
  <c r="ED93" i="92"/>
  <c r="ED29" i="92"/>
  <c r="DX29" i="92" s="1"/>
  <c r="DY29" i="92" s="1"/>
  <c r="EH85" i="92"/>
  <c r="EH93" i="92"/>
  <c r="EH23" i="92"/>
  <c r="EI25" i="92"/>
  <c r="ED16" i="92"/>
  <c r="DX16" i="92" s="1"/>
  <c r="DY16" i="92" s="1"/>
  <c r="ED108" i="92"/>
  <c r="DX108" i="92" s="1"/>
  <c r="DY108" i="92" s="1"/>
  <c r="EH8" i="92"/>
  <c r="EH119" i="92"/>
  <c r="EH126" i="92"/>
  <c r="ED86" i="92"/>
  <c r="ED48" i="92"/>
  <c r="EH20" i="92"/>
  <c r="EH75" i="92"/>
  <c r="EH66" i="92"/>
  <c r="ED97" i="92"/>
  <c r="EH48" i="92"/>
  <c r="ED73" i="92"/>
  <c r="DX73" i="92" s="1"/>
  <c r="DY73" i="92" s="1"/>
  <c r="EH132" i="92"/>
  <c r="EI113" i="92"/>
  <c r="ED99" i="92"/>
  <c r="EH40" i="92"/>
  <c r="EI78" i="92"/>
  <c r="ED74" i="92"/>
  <c r="EH45" i="92"/>
  <c r="EI100" i="92"/>
  <c r="EH70" i="92"/>
  <c r="EH86" i="92"/>
  <c r="ED19" i="92"/>
  <c r="DX19" i="92" s="1"/>
  <c r="DY19" i="92" s="1"/>
  <c r="EH116" i="92"/>
  <c r="EI45" i="92"/>
  <c r="ED80" i="92"/>
  <c r="DX80" i="92" s="1"/>
  <c r="DY80" i="92" s="1"/>
  <c r="EH26" i="92"/>
  <c r="EI122" i="92"/>
  <c r="EH41" i="92"/>
  <c r="EH73" i="92"/>
  <c r="EH11" i="92"/>
  <c r="EH131" i="92"/>
  <c r="EH5" i="92"/>
  <c r="ED96" i="92"/>
  <c r="DX96" i="92" s="1"/>
  <c r="DY96" i="92" s="1"/>
  <c r="ED115" i="92"/>
  <c r="DX115" i="92" s="1"/>
  <c r="DY115" i="92" s="1"/>
  <c r="ED58" i="92"/>
  <c r="DX58" i="92" s="1"/>
  <c r="DY58" i="92" s="1"/>
  <c r="ED82" i="92"/>
  <c r="ED40" i="92"/>
  <c r="ED35" i="92"/>
  <c r="EH3" i="92"/>
  <c r="EI75" i="92"/>
  <c r="EI54" i="92"/>
  <c r="EI69" i="92"/>
  <c r="EI105" i="92"/>
  <c r="EI9" i="92"/>
  <c r="EI115" i="92"/>
  <c r="EI61" i="92"/>
  <c r="EI126" i="92"/>
  <c r="EI77" i="92"/>
  <c r="EI79" i="92"/>
  <c r="EI84" i="92"/>
  <c r="EI18" i="92"/>
  <c r="EI74" i="92"/>
  <c r="EI131" i="92"/>
  <c r="EI46" i="92"/>
  <c r="EI82" i="92"/>
  <c r="EI65" i="92"/>
  <c r="EI67" i="92"/>
  <c r="EI52" i="92"/>
  <c r="EI39" i="92"/>
  <c r="EI95" i="92"/>
  <c r="EI71" i="92"/>
  <c r="EI60" i="92"/>
  <c r="EI27" i="92"/>
  <c r="EI88" i="92"/>
  <c r="EI6" i="92"/>
  <c r="EI41" i="92"/>
  <c r="EI73" i="92"/>
  <c r="EI57" i="92"/>
  <c r="EI17" i="92"/>
  <c r="EI99" i="92"/>
  <c r="EI81" i="92"/>
  <c r="EI96" i="92"/>
  <c r="EI53" i="92"/>
  <c r="EI63" i="92"/>
  <c r="EI55" i="92"/>
  <c r="EI49" i="92"/>
  <c r="EI8" i="92"/>
  <c r="EI91" i="92"/>
  <c r="EI98" i="92"/>
  <c r="EI51" i="92"/>
  <c r="EI26" i="92"/>
  <c r="EI64" i="92"/>
  <c r="EI129" i="92"/>
  <c r="EI14" i="92"/>
  <c r="EI125" i="92"/>
  <c r="EI124" i="92"/>
  <c r="EI87" i="92"/>
  <c r="EI103" i="92"/>
  <c r="EI66" i="92"/>
  <c r="EI109" i="92"/>
  <c r="EI56" i="92"/>
  <c r="EI107" i="92"/>
  <c r="EI32" i="92"/>
  <c r="EI80" i="92"/>
  <c r="EI28" i="92"/>
  <c r="EI38" i="92"/>
  <c r="EI35" i="92"/>
  <c r="EI128" i="92"/>
  <c r="EI12" i="92"/>
  <c r="EI20" i="92"/>
  <c r="EI44" i="92"/>
  <c r="EI110" i="92"/>
  <c r="EI92" i="92"/>
  <c r="EI42" i="92"/>
  <c r="EI34" i="92"/>
  <c r="EI106" i="92"/>
  <c r="EI85" i="92"/>
  <c r="EI102" i="92"/>
  <c r="EI47" i="92"/>
  <c r="EI93" i="92"/>
  <c r="EI132" i="92"/>
  <c r="EI90" i="92"/>
  <c r="EI108" i="92"/>
  <c r="EI48" i="92"/>
  <c r="EI7" i="92"/>
  <c r="EI24" i="92"/>
  <c r="EI111" i="92"/>
  <c r="EI117" i="92"/>
  <c r="EI97" i="92"/>
  <c r="EI15" i="92"/>
  <c r="EI19" i="92"/>
  <c r="EI16" i="92"/>
  <c r="EI59" i="92"/>
  <c r="EI130" i="92"/>
  <c r="EI10" i="92"/>
  <c r="EI43" i="92"/>
  <c r="EI50" i="92"/>
  <c r="EI62" i="92"/>
  <c r="EI116" i="92"/>
  <c r="EI83" i="92"/>
  <c r="EI40" i="92"/>
  <c r="EI23" i="92"/>
  <c r="EI104" i="92"/>
  <c r="EI70" i="92"/>
  <c r="EI72" i="92"/>
  <c r="EI68" i="92"/>
  <c r="EI76" i="92"/>
  <c r="EI114" i="92"/>
  <c r="EC84" i="92"/>
  <c r="EC117" i="92"/>
  <c r="EC126" i="92"/>
  <c r="EC91" i="92"/>
  <c r="EC9" i="92"/>
  <c r="EC63" i="92"/>
  <c r="EC41" i="92"/>
  <c r="EC18" i="92"/>
  <c r="EC19" i="92"/>
  <c r="EC7" i="92"/>
  <c r="EC69" i="92"/>
  <c r="EC14" i="92"/>
  <c r="EC80" i="92"/>
  <c r="EK3" i="92"/>
  <c r="EJ3" i="92"/>
  <c r="EI3" i="92"/>
  <c r="EJ106" i="92" l="1"/>
  <c r="DX137" i="92"/>
  <c r="DY137" i="92" s="1"/>
  <c r="DX188" i="92"/>
  <c r="DY188" i="92" s="1"/>
  <c r="EJ156" i="92"/>
  <c r="EJ135" i="92"/>
  <c r="EJ172" i="92"/>
  <c r="EJ151" i="92"/>
  <c r="DX160" i="92"/>
  <c r="DY160" i="92" s="1"/>
  <c r="DX181" i="92"/>
  <c r="DY181" i="92" s="1"/>
  <c r="DX155" i="92"/>
  <c r="DY155" i="92" s="1"/>
  <c r="EJ144" i="92"/>
  <c r="DX153" i="92"/>
  <c r="DY153" i="92" s="1"/>
  <c r="DX173" i="92"/>
  <c r="DY173" i="92" s="1"/>
  <c r="EJ158" i="92"/>
  <c r="EK183" i="92"/>
  <c r="EK169" i="92"/>
  <c r="EE169" i="92" s="1"/>
  <c r="EF169" i="92" s="1"/>
  <c r="EK154" i="92"/>
  <c r="EK143" i="92"/>
  <c r="EN181" i="92"/>
  <c r="EN167" i="92"/>
  <c r="EN159" i="92"/>
  <c r="EN145" i="92"/>
  <c r="EO184" i="92"/>
  <c r="EO175" i="92"/>
  <c r="EO165" i="92"/>
  <c r="EO152" i="92"/>
  <c r="EO135" i="92"/>
  <c r="EP181" i="92"/>
  <c r="EP167" i="92"/>
  <c r="EP159" i="92"/>
  <c r="EP145" i="92"/>
  <c r="EK178" i="92"/>
  <c r="EK162" i="92"/>
  <c r="EK151" i="92"/>
  <c r="EK135" i="92"/>
  <c r="EE135" i="92" s="1"/>
  <c r="EF135" i="92" s="1"/>
  <c r="EN185" i="92"/>
  <c r="EN168" i="92"/>
  <c r="EN157" i="92"/>
  <c r="EN146" i="92"/>
  <c r="EN133" i="92"/>
  <c r="EO176" i="92"/>
  <c r="EO161" i="92"/>
  <c r="EO149" i="92"/>
  <c r="EO139" i="92"/>
  <c r="EP173" i="92"/>
  <c r="EP165" i="92"/>
  <c r="EP147" i="92"/>
  <c r="EP136" i="92"/>
  <c r="EK163" i="92"/>
  <c r="EK152" i="92"/>
  <c r="EE152" i="92" s="1"/>
  <c r="EF152" i="92" s="1"/>
  <c r="EK138" i="92"/>
  <c r="EN186" i="92"/>
  <c r="EN170" i="92"/>
  <c r="EN156" i="92"/>
  <c r="EO185" i="92"/>
  <c r="EO168" i="92"/>
  <c r="EO157" i="92"/>
  <c r="EO133" i="92"/>
  <c r="EP175" i="92"/>
  <c r="EP148" i="92"/>
  <c r="EP134" i="92"/>
  <c r="EK174" i="92"/>
  <c r="EE174" i="92" s="1"/>
  <c r="EF174" i="92" s="1"/>
  <c r="EN144" i="92"/>
  <c r="EO146" i="92"/>
  <c r="EP160" i="92"/>
  <c r="EK185" i="92"/>
  <c r="EK168" i="92"/>
  <c r="EK157" i="92"/>
  <c r="EK146" i="92"/>
  <c r="EK133" i="92"/>
  <c r="EK179" i="92"/>
  <c r="EK166" i="92"/>
  <c r="EE166" i="92" s="1"/>
  <c r="EF166" i="92" s="1"/>
  <c r="EK148" i="92"/>
  <c r="EN176" i="92"/>
  <c r="EN154" i="92"/>
  <c r="EN140" i="92"/>
  <c r="EO183" i="92"/>
  <c r="EO162" i="92"/>
  <c r="EO148" i="92"/>
  <c r="EP185" i="92"/>
  <c r="EP172" i="92"/>
  <c r="EP155" i="92"/>
  <c r="EP137" i="92"/>
  <c r="EK182" i="92"/>
  <c r="EE182" i="92" s="1"/>
  <c r="EF182" i="92" s="1"/>
  <c r="EK164" i="92"/>
  <c r="EK149" i="92"/>
  <c r="EE149" i="92" s="1"/>
  <c r="EF149" i="92" s="1"/>
  <c r="EN172" i="92"/>
  <c r="EN155" i="92"/>
  <c r="EN137" i="92"/>
  <c r="EO177" i="92"/>
  <c r="EO163" i="92"/>
  <c r="EO144" i="92"/>
  <c r="EP186" i="92"/>
  <c r="EP171" i="92"/>
  <c r="EP153" i="92"/>
  <c r="EP135" i="92"/>
  <c r="EK188" i="92"/>
  <c r="EK180" i="92"/>
  <c r="EE180" i="92" s="1"/>
  <c r="EF180" i="92" s="1"/>
  <c r="EK165" i="92"/>
  <c r="EK144" i="92"/>
  <c r="EE144" i="92" s="1"/>
  <c r="EF144" i="92" s="1"/>
  <c r="EN184" i="92"/>
  <c r="EN171" i="92"/>
  <c r="EN153" i="92"/>
  <c r="EN135" i="92"/>
  <c r="EO178" i="92"/>
  <c r="EO160" i="92"/>
  <c r="EO145" i="92"/>
  <c r="EP179" i="92"/>
  <c r="EP169" i="92"/>
  <c r="EP150" i="92"/>
  <c r="EP138" i="92"/>
  <c r="EN187" i="92"/>
  <c r="EK171" i="92"/>
  <c r="EK142" i="92"/>
  <c r="EE142" i="92" s="1"/>
  <c r="EF142" i="92" s="1"/>
  <c r="EN173" i="92"/>
  <c r="EN151" i="92"/>
  <c r="EO186" i="92"/>
  <c r="EO166" i="92"/>
  <c r="EO142" i="92"/>
  <c r="EP178" i="92"/>
  <c r="EP158" i="92"/>
  <c r="EP133" i="92"/>
  <c r="EO188" i="92"/>
  <c r="EN152" i="92"/>
  <c r="EO141" i="92"/>
  <c r="EP174" i="92"/>
  <c r="EP187" i="92"/>
  <c r="EN147" i="92"/>
  <c r="EO156" i="92"/>
  <c r="EP176" i="92"/>
  <c r="EP188" i="92"/>
  <c r="EK167" i="92"/>
  <c r="EE167" i="92" s="1"/>
  <c r="EF167" i="92" s="1"/>
  <c r="EK141" i="92"/>
  <c r="EE141" i="92" s="1"/>
  <c r="EF141" i="92" s="1"/>
  <c r="EN175" i="92"/>
  <c r="EO179" i="92"/>
  <c r="EO164" i="92"/>
  <c r="EP154" i="92"/>
  <c r="EQ154" i="92" s="1"/>
  <c r="EK160" i="92"/>
  <c r="EK140" i="92"/>
  <c r="EN169" i="92"/>
  <c r="EO182" i="92"/>
  <c r="EO140" i="92"/>
  <c r="EP151" i="92"/>
  <c r="EK181" i="92"/>
  <c r="EE181" i="92" s="1"/>
  <c r="EF181" i="92" s="1"/>
  <c r="EK158" i="92"/>
  <c r="EK134" i="92"/>
  <c r="EE134" i="92" s="1"/>
  <c r="EF134" i="92" s="1"/>
  <c r="EN179" i="92"/>
  <c r="EN162" i="92"/>
  <c r="EN143" i="92"/>
  <c r="EO174" i="92"/>
  <c r="EO154" i="92"/>
  <c r="EO136" i="92"/>
  <c r="EP166" i="92"/>
  <c r="EP146" i="92"/>
  <c r="EK173" i="92"/>
  <c r="EE173" i="92" s="1"/>
  <c r="EF173" i="92" s="1"/>
  <c r="EK155" i="92"/>
  <c r="EQ155" i="92" s="1"/>
  <c r="EN180" i="92"/>
  <c r="EN165" i="92"/>
  <c r="EN141" i="92"/>
  <c r="EO170" i="92"/>
  <c r="EO153" i="92"/>
  <c r="EP184" i="92"/>
  <c r="EP162" i="92"/>
  <c r="EP143" i="92"/>
  <c r="EK186" i="92"/>
  <c r="EQ186" i="92" s="1"/>
  <c r="EK145" i="92"/>
  <c r="EE145" i="92" s="1"/>
  <c r="EF145" i="92" s="1"/>
  <c r="EN177" i="92"/>
  <c r="EN142" i="92"/>
  <c r="EO158" i="92"/>
  <c r="EP183" i="92"/>
  <c r="EP142" i="92"/>
  <c r="EK177" i="92"/>
  <c r="EE177" i="92" s="1"/>
  <c r="EF177" i="92" s="1"/>
  <c r="EK137" i="92"/>
  <c r="EN178" i="92"/>
  <c r="EN138" i="92"/>
  <c r="EO159" i="92"/>
  <c r="EP177" i="92"/>
  <c r="EP141" i="92"/>
  <c r="EK175" i="92"/>
  <c r="EE175" i="92" s="1"/>
  <c r="EF175" i="92" s="1"/>
  <c r="EK136" i="92"/>
  <c r="EE136" i="92" s="1"/>
  <c r="EF136" i="92" s="1"/>
  <c r="EN174" i="92"/>
  <c r="EN136" i="92"/>
  <c r="EO155" i="92"/>
  <c r="EP168" i="92"/>
  <c r="EP140" i="92"/>
  <c r="EK172" i="92"/>
  <c r="EE172" i="92" s="1"/>
  <c r="EF172" i="92" s="1"/>
  <c r="EN163" i="92"/>
  <c r="EO180" i="92"/>
  <c r="EO147" i="92"/>
  <c r="EP163" i="92"/>
  <c r="EK159" i="92"/>
  <c r="EE159" i="92" s="1"/>
  <c r="EF159" i="92" s="1"/>
  <c r="EO172" i="92"/>
  <c r="EK153" i="92"/>
  <c r="EE153" i="92" s="1"/>
  <c r="EF153" i="92" s="1"/>
  <c r="EO171" i="92"/>
  <c r="EK161" i="92"/>
  <c r="EN160" i="92"/>
  <c r="EO181" i="92"/>
  <c r="EO143" i="92"/>
  <c r="EP161" i="92"/>
  <c r="EK187" i="92"/>
  <c r="EO138" i="92"/>
  <c r="EN150" i="92"/>
  <c r="EP152" i="92"/>
  <c r="EK156" i="92"/>
  <c r="EE156" i="92" s="1"/>
  <c r="EF156" i="92" s="1"/>
  <c r="EN161" i="92"/>
  <c r="EO173" i="92"/>
  <c r="EO137" i="92"/>
  <c r="EP157" i="92"/>
  <c r="EN188" i="92"/>
  <c r="EN158" i="92"/>
  <c r="EP156" i="92"/>
  <c r="EO187" i="92"/>
  <c r="EO134" i="92"/>
  <c r="EN166" i="92"/>
  <c r="EP170" i="92"/>
  <c r="EK184" i="92"/>
  <c r="EE184" i="92" s="1"/>
  <c r="EF184" i="92" s="1"/>
  <c r="EN149" i="92"/>
  <c r="EP144" i="92"/>
  <c r="EN164" i="92"/>
  <c r="EP164" i="92"/>
  <c r="EN148" i="92"/>
  <c r="EP149" i="92"/>
  <c r="EN134" i="92"/>
  <c r="EP139" i="92"/>
  <c r="EK170" i="92"/>
  <c r="EN139" i="92"/>
  <c r="EK150" i="92"/>
  <c r="EE150" i="92" s="1"/>
  <c r="EF150" i="92" s="1"/>
  <c r="EO167" i="92"/>
  <c r="EO150" i="92"/>
  <c r="EP182" i="92"/>
  <c r="EN183" i="92"/>
  <c r="EP180" i="92"/>
  <c r="EK176" i="92"/>
  <c r="EE176" i="92" s="1"/>
  <c r="EF176" i="92" s="1"/>
  <c r="EK147" i="92"/>
  <c r="EE147" i="92" s="1"/>
  <c r="EF147" i="92" s="1"/>
  <c r="EO169" i="92"/>
  <c r="EK139" i="92"/>
  <c r="EO151" i="92"/>
  <c r="EN182" i="92"/>
  <c r="EK1" i="92"/>
  <c r="EJ2" i="92"/>
  <c r="ED2" i="92"/>
  <c r="EG2" i="92"/>
  <c r="EH2" i="92"/>
  <c r="EI2" i="92"/>
  <c r="EF2" i="92"/>
  <c r="EE2" i="92"/>
  <c r="EJ159" i="92"/>
  <c r="EJ169" i="92"/>
  <c r="EJ155" i="92"/>
  <c r="EE183" i="92"/>
  <c r="EF183" i="92" s="1"/>
  <c r="EJ183" i="92"/>
  <c r="EE140" i="92"/>
  <c r="EF140" i="92" s="1"/>
  <c r="EJ140" i="92"/>
  <c r="DX142" i="92"/>
  <c r="DY142" i="92" s="1"/>
  <c r="EJ142" i="92"/>
  <c r="EJ181" i="92"/>
  <c r="DX143" i="92"/>
  <c r="DY143" i="92" s="1"/>
  <c r="EJ143" i="92"/>
  <c r="EE162" i="92"/>
  <c r="EF162" i="92" s="1"/>
  <c r="EJ162" i="92"/>
  <c r="EJ164" i="92"/>
  <c r="EE164" i="92"/>
  <c r="EF164" i="92" s="1"/>
  <c r="EJ187" i="92"/>
  <c r="EE187" i="92"/>
  <c r="EF187" i="92" s="1"/>
  <c r="EJ166" i="92"/>
  <c r="EJ145" i="92"/>
  <c r="EJ175" i="92"/>
  <c r="EJ147" i="92"/>
  <c r="EJ178" i="92"/>
  <c r="EE178" i="92"/>
  <c r="EF178" i="92" s="1"/>
  <c r="EJ177" i="92"/>
  <c r="EJ180" i="92"/>
  <c r="EJ138" i="92"/>
  <c r="EE138" i="92"/>
  <c r="EF138" i="92" s="1"/>
  <c r="EJ182" i="92"/>
  <c r="EE163" i="92"/>
  <c r="EF163" i="92" s="1"/>
  <c r="EJ163" i="92"/>
  <c r="EJ184" i="92"/>
  <c r="EJ167" i="92"/>
  <c r="EJ133" i="92"/>
  <c r="EE133" i="92"/>
  <c r="EF133" i="92" s="1"/>
  <c r="EJ150" i="92"/>
  <c r="EJ139" i="92"/>
  <c r="EJ153" i="92"/>
  <c r="EJ176" i="92"/>
  <c r="EJ141" i="92"/>
  <c r="EJ154" i="92"/>
  <c r="EJ171" i="92"/>
  <c r="EJ185" i="92"/>
  <c r="EJ160" i="92"/>
  <c r="EJ173" i="92"/>
  <c r="EJ146" i="92"/>
  <c r="EE146" i="92"/>
  <c r="EF146" i="92" s="1"/>
  <c r="EJ165" i="92"/>
  <c r="EE165" i="92"/>
  <c r="EF165" i="92" s="1"/>
  <c r="EJ174" i="92"/>
  <c r="EJ134" i="92"/>
  <c r="EJ157" i="92"/>
  <c r="EE157" i="92"/>
  <c r="EF157" i="92" s="1"/>
  <c r="EJ179" i="92"/>
  <c r="EJ149" i="92"/>
  <c r="EJ170" i="92"/>
  <c r="EJ136" i="92"/>
  <c r="EJ148" i="92"/>
  <c r="EE148" i="92"/>
  <c r="EF148" i="92" s="1"/>
  <c r="DX161" i="92"/>
  <c r="DY161" i="92" s="1"/>
  <c r="EE161" i="92"/>
  <c r="EF161" i="92" s="1"/>
  <c r="EJ161" i="92"/>
  <c r="EE168" i="92"/>
  <c r="EF168" i="92" s="1"/>
  <c r="EJ168" i="92"/>
  <c r="EE186" i="92"/>
  <c r="EF186" i="92" s="1"/>
  <c r="EJ186" i="92"/>
  <c r="EJ72" i="92"/>
  <c r="DX82" i="92"/>
  <c r="DY82" i="92" s="1"/>
  <c r="EJ15" i="92"/>
  <c r="EJ88" i="92"/>
  <c r="EJ32" i="92"/>
  <c r="EJ42" i="92"/>
  <c r="EJ57" i="92"/>
  <c r="DX35" i="92"/>
  <c r="DY35" i="92" s="1"/>
  <c r="EJ46" i="92"/>
  <c r="EJ69" i="92"/>
  <c r="H14" i="95"/>
  <c r="EJ63" i="92"/>
  <c r="EJ10" i="92"/>
  <c r="EJ47" i="92"/>
  <c r="AB14" i="95"/>
  <c r="EJ101" i="92"/>
  <c r="EJ112" i="92"/>
  <c r="DX130" i="92"/>
  <c r="DY130" i="92" s="1"/>
  <c r="EJ94" i="92"/>
  <c r="EJ36" i="92"/>
  <c r="DX95" i="92"/>
  <c r="DY95" i="92" s="1"/>
  <c r="DX56" i="92"/>
  <c r="DY56" i="92" s="1"/>
  <c r="EJ22" i="92"/>
  <c r="EJ29" i="92"/>
  <c r="EJ100" i="92"/>
  <c r="DX22" i="92"/>
  <c r="DY22" i="92" s="1"/>
  <c r="DX27" i="92"/>
  <c r="DY27" i="92" s="1"/>
  <c r="DX104" i="92"/>
  <c r="DY104" i="92" s="1"/>
  <c r="EJ78" i="92"/>
  <c r="DX32" i="92"/>
  <c r="DY32" i="92" s="1"/>
  <c r="DX97" i="92"/>
  <c r="DY97" i="92" s="1"/>
  <c r="DX110" i="92"/>
  <c r="DY110" i="92" s="1"/>
  <c r="DX61" i="92"/>
  <c r="DY61" i="92" s="1"/>
  <c r="EJ86" i="92"/>
  <c r="EJ45" i="92"/>
  <c r="EJ120" i="92"/>
  <c r="EJ5" i="92"/>
  <c r="EJ119" i="92"/>
  <c r="EJ127" i="92"/>
  <c r="EJ31" i="92"/>
  <c r="DX94" i="92"/>
  <c r="DY94" i="92" s="1"/>
  <c r="DX62" i="92"/>
  <c r="DY62" i="92" s="1"/>
  <c r="DX66" i="92"/>
  <c r="DY66" i="92" s="1"/>
  <c r="DX91" i="92"/>
  <c r="DY91" i="92" s="1"/>
  <c r="DX20" i="92"/>
  <c r="DY20" i="92" s="1"/>
  <c r="DX124" i="92"/>
  <c r="DY124" i="92" s="1"/>
  <c r="DX74" i="92"/>
  <c r="DY74" i="92" s="1"/>
  <c r="EJ121" i="92"/>
  <c r="EJ11" i="92"/>
  <c r="EJ25" i="92"/>
  <c r="EJ13" i="92"/>
  <c r="DX88" i="92"/>
  <c r="DY88" i="92" s="1"/>
  <c r="DX55" i="92"/>
  <c r="DY55" i="92" s="1"/>
  <c r="DX120" i="92"/>
  <c r="DY120" i="92" s="1"/>
  <c r="DX71" i="92"/>
  <c r="DY71" i="92" s="1"/>
  <c r="DX9" i="92"/>
  <c r="DY9" i="92" s="1"/>
  <c r="EJ30" i="92"/>
  <c r="EJ89" i="92"/>
  <c r="EJ113" i="92"/>
  <c r="EJ33" i="92"/>
  <c r="EJ123" i="92"/>
  <c r="DX24" i="92"/>
  <c r="DY24" i="92" s="1"/>
  <c r="DX49" i="92"/>
  <c r="DY49" i="92" s="1"/>
  <c r="DX92" i="92"/>
  <c r="DY92" i="92" s="1"/>
  <c r="DX126" i="92"/>
  <c r="DY126" i="92" s="1"/>
  <c r="EJ21" i="92"/>
  <c r="DX127" i="92"/>
  <c r="DY127" i="92" s="1"/>
  <c r="DX45" i="92"/>
  <c r="DY45" i="92" s="1"/>
  <c r="DX78" i="92"/>
  <c r="DY78" i="92" s="1"/>
  <c r="DX63" i="92"/>
  <c r="DY63" i="92" s="1"/>
  <c r="DX48" i="92"/>
  <c r="DY48" i="92" s="1"/>
  <c r="DX52" i="92"/>
  <c r="DY52" i="92" s="1"/>
  <c r="EJ61" i="92"/>
  <c r="EJ58" i="92"/>
  <c r="EJ122" i="92"/>
  <c r="DX93" i="92"/>
  <c r="DY93" i="92" s="1"/>
  <c r="DX17" i="92"/>
  <c r="DY17" i="92" s="1"/>
  <c r="DX65" i="92"/>
  <c r="DY65" i="92" s="1"/>
  <c r="DX109" i="92"/>
  <c r="DY109" i="92" s="1"/>
  <c r="DX5" i="92"/>
  <c r="DY5" i="92" s="1"/>
  <c r="DX101" i="92"/>
  <c r="DY101" i="92" s="1"/>
  <c r="DX112" i="92"/>
  <c r="DY112" i="92" s="1"/>
  <c r="EJ118" i="92"/>
  <c r="DX125" i="92"/>
  <c r="DY125" i="92" s="1"/>
  <c r="DX25" i="92"/>
  <c r="DY25" i="92" s="1"/>
  <c r="DX99" i="92"/>
  <c r="DY99" i="92" s="1"/>
  <c r="DX70" i="92"/>
  <c r="DY70" i="92" s="1"/>
  <c r="EN43" i="92"/>
  <c r="EN76" i="92"/>
  <c r="EN105" i="92"/>
  <c r="EN32" i="92"/>
  <c r="EN132" i="92"/>
  <c r="EN8" i="92"/>
  <c r="EN49" i="92"/>
  <c r="EN30" i="92"/>
  <c r="EN120" i="92"/>
  <c r="EN26" i="92"/>
  <c r="EN61" i="92"/>
  <c r="EN23" i="92"/>
  <c r="EN31" i="92"/>
  <c r="EN14" i="92"/>
  <c r="EN72" i="92"/>
  <c r="EN58" i="92"/>
  <c r="EN45" i="92"/>
  <c r="EN98" i="92"/>
  <c r="EN55" i="92"/>
  <c r="EN7" i="92"/>
  <c r="EN21" i="92"/>
  <c r="EN64" i="92"/>
  <c r="EN117" i="92"/>
  <c r="EN93" i="92"/>
  <c r="EN108" i="92"/>
  <c r="EN89" i="92"/>
  <c r="EN40" i="92"/>
  <c r="EN62" i="92"/>
  <c r="EN53" i="92"/>
  <c r="EL3" i="92"/>
  <c r="EN127" i="92"/>
  <c r="EN91" i="92"/>
  <c r="EN109" i="92"/>
  <c r="EN114" i="92"/>
  <c r="EN123" i="92"/>
  <c r="EN100" i="92"/>
  <c r="EN116" i="92"/>
  <c r="EN86" i="92"/>
  <c r="EN112" i="92"/>
  <c r="EN102" i="92"/>
  <c r="EN80" i="92"/>
  <c r="EN10" i="92"/>
  <c r="EN83" i="92"/>
  <c r="EN106" i="92"/>
  <c r="EN74" i="92"/>
  <c r="EN15" i="92"/>
  <c r="EN18" i="92"/>
  <c r="EN96" i="92"/>
  <c r="EN29" i="92"/>
  <c r="EN107" i="92"/>
  <c r="EN95" i="92"/>
  <c r="EN65" i="92"/>
  <c r="EN119" i="92"/>
  <c r="EN3" i="92"/>
  <c r="EN34" i="92"/>
  <c r="EN92" i="92"/>
  <c r="EN131" i="92"/>
  <c r="EN88" i="92"/>
  <c r="EN73" i="92"/>
  <c r="EN130" i="92"/>
  <c r="EN99" i="92"/>
  <c r="EN47" i="92"/>
  <c r="EN44" i="92"/>
  <c r="EN13" i="92"/>
  <c r="EN67" i="92"/>
  <c r="EN39" i="92"/>
  <c r="EN101" i="92"/>
  <c r="EN87" i="92"/>
  <c r="EN57" i="92"/>
  <c r="EN121" i="92"/>
  <c r="EN38" i="92"/>
  <c r="EN19" i="92"/>
  <c r="EN70" i="92"/>
  <c r="EN37" i="92"/>
  <c r="EN118" i="92"/>
  <c r="EN60" i="92"/>
  <c r="EN94" i="92"/>
  <c r="EN35" i="92"/>
  <c r="EN6" i="92"/>
  <c r="EN75" i="92"/>
  <c r="EN54" i="92"/>
  <c r="EN71" i="92"/>
  <c r="EN11" i="92"/>
  <c r="EN27" i="92"/>
  <c r="EN33" i="92"/>
  <c r="EN82" i="92"/>
  <c r="EN110" i="92"/>
  <c r="EN20" i="92"/>
  <c r="EN63" i="92"/>
  <c r="EN77" i="92"/>
  <c r="EN79" i="92"/>
  <c r="EN48" i="92"/>
  <c r="EN5" i="92"/>
  <c r="EN9" i="92"/>
  <c r="EN66" i="92"/>
  <c r="EN41" i="92"/>
  <c r="EN50" i="92"/>
  <c r="EN104" i="92"/>
  <c r="EN12" i="92"/>
  <c r="EN124" i="92"/>
  <c r="EN28" i="92"/>
  <c r="EN36" i="92"/>
  <c r="EN52" i="92"/>
  <c r="EN129" i="92"/>
  <c r="EN68" i="92"/>
  <c r="EN85" i="92"/>
  <c r="EN16" i="92"/>
  <c r="EN81" i="92"/>
  <c r="EN113" i="92"/>
  <c r="EN59" i="92"/>
  <c r="EN24" i="92"/>
  <c r="EN46" i="92"/>
  <c r="EN69" i="92"/>
  <c r="EN103" i="92"/>
  <c r="EN25" i="92"/>
  <c r="EN125" i="92"/>
  <c r="EN128" i="92"/>
  <c r="EN84" i="92"/>
  <c r="EN51" i="92"/>
  <c r="EN111" i="92"/>
  <c r="EN56" i="92"/>
  <c r="EN17" i="92"/>
  <c r="EN122" i="92"/>
  <c r="EN42" i="92"/>
  <c r="EN126" i="92"/>
  <c r="EN97" i="92"/>
  <c r="EN90" i="92"/>
  <c r="EN115" i="92"/>
  <c r="EN22" i="92"/>
  <c r="EN78" i="92"/>
  <c r="EM3" i="92"/>
  <c r="EJ37" i="92"/>
  <c r="DX46" i="92"/>
  <c r="DY46" i="92" s="1"/>
  <c r="DX117" i="92"/>
  <c r="DY117" i="92" s="1"/>
  <c r="DX10" i="92"/>
  <c r="DY10" i="92" s="1"/>
  <c r="DX132" i="92"/>
  <c r="DY132" i="92" s="1"/>
  <c r="DX40" i="92"/>
  <c r="DY40" i="92" s="1"/>
  <c r="DX30" i="92"/>
  <c r="DY30" i="92" s="1"/>
  <c r="DX8" i="92"/>
  <c r="DY8" i="92" s="1"/>
  <c r="DX21" i="92"/>
  <c r="DY21" i="92" s="1"/>
  <c r="DX76" i="92"/>
  <c r="DY76" i="92" s="1"/>
  <c r="DX86" i="92"/>
  <c r="DY86" i="92" s="1"/>
  <c r="DX79" i="92"/>
  <c r="DY79" i="92" s="1"/>
  <c r="EJ70" i="92"/>
  <c r="EJ23" i="92"/>
  <c r="EJ76" i="92"/>
  <c r="EJ6" i="92"/>
  <c r="EJ104" i="92"/>
  <c r="EJ105" i="92"/>
  <c r="EJ75" i="92"/>
  <c r="G12" i="95"/>
  <c r="EJ82" i="92"/>
  <c r="EJ48" i="92"/>
  <c r="EJ90" i="92"/>
  <c r="EJ116" i="92"/>
  <c r="EJ20" i="92"/>
  <c r="EJ51" i="92"/>
  <c r="K13" i="95"/>
  <c r="EJ26" i="92"/>
  <c r="I12" i="95"/>
  <c r="EJ43" i="92"/>
  <c r="EJ7" i="92"/>
  <c r="EJ91" i="92"/>
  <c r="EJ114" i="92"/>
  <c r="EJ39" i="92"/>
  <c r="EJ111" i="92"/>
  <c r="EJ14" i="92"/>
  <c r="EJ130" i="92"/>
  <c r="EJ126" i="92"/>
  <c r="EJ108" i="92"/>
  <c r="EJ27" i="92"/>
  <c r="EJ117" i="92"/>
  <c r="EJ52" i="92"/>
  <c r="EJ64" i="92"/>
  <c r="EJ9" i="92"/>
  <c r="EJ50" i="92"/>
  <c r="EJ24" i="92"/>
  <c r="EJ8" i="92"/>
  <c r="EJ132" i="92"/>
  <c r="EJ98" i="92"/>
  <c r="EJ103" i="92"/>
  <c r="EJ87" i="92"/>
  <c r="EJ84" i="92"/>
  <c r="EJ80" i="92"/>
  <c r="EJ83" i="92"/>
  <c r="EJ49" i="92"/>
  <c r="EJ55" i="92"/>
  <c r="EJ109" i="92"/>
  <c r="EJ131" i="92"/>
  <c r="EJ53" i="92"/>
  <c r="EJ66" i="92"/>
  <c r="EJ107" i="92"/>
  <c r="EJ110" i="92"/>
  <c r="EJ44" i="92"/>
  <c r="EJ62" i="92"/>
  <c r="EJ124" i="92"/>
  <c r="EJ34" i="92"/>
  <c r="EJ92" i="92"/>
  <c r="EJ128" i="92"/>
  <c r="EJ102" i="92"/>
  <c r="EJ79" i="92"/>
  <c r="EJ77" i="92"/>
  <c r="EJ19" i="92"/>
  <c r="EJ97" i="92"/>
  <c r="EJ81" i="92"/>
  <c r="EJ54" i="92"/>
  <c r="EJ85" i="92"/>
  <c r="EJ67" i="92"/>
  <c r="EJ28" i="92"/>
  <c r="EJ71" i="92"/>
  <c r="EJ38" i="92"/>
  <c r="EJ68" i="92"/>
  <c r="EJ35" i="92"/>
  <c r="EJ18" i="92"/>
  <c r="EJ125" i="92"/>
  <c r="EJ59" i="92"/>
  <c r="EJ56" i="92"/>
  <c r="EJ129" i="92"/>
  <c r="J12" i="95"/>
  <c r="EJ60" i="92"/>
  <c r="AD14" i="95"/>
  <c r="AC14" i="95"/>
  <c r="EJ93" i="92"/>
  <c r="EJ96" i="92"/>
  <c r="EJ73" i="92"/>
  <c r="EJ16" i="92"/>
  <c r="EJ115" i="92"/>
  <c r="EK114" i="92"/>
  <c r="EE114" i="92" s="1"/>
  <c r="EF114" i="92" s="1"/>
  <c r="EK112" i="92"/>
  <c r="EK84" i="92"/>
  <c r="EE84" i="92" s="1"/>
  <c r="EF84" i="92" s="1"/>
  <c r="EK43" i="92"/>
  <c r="EK83" i="92"/>
  <c r="EK15" i="92"/>
  <c r="EE15" i="92" s="1"/>
  <c r="EF15" i="92" s="1"/>
  <c r="EK123" i="92"/>
  <c r="EK131" i="92"/>
  <c r="EK124" i="92"/>
  <c r="EK110" i="92"/>
  <c r="EE110" i="92" s="1"/>
  <c r="EF110" i="92" s="1"/>
  <c r="EK100" i="92"/>
  <c r="EE100" i="92" s="1"/>
  <c r="EF100" i="92" s="1"/>
  <c r="EO107" i="92"/>
  <c r="EO54" i="92"/>
  <c r="EO78" i="92"/>
  <c r="EO37" i="92"/>
  <c r="EO60" i="92"/>
  <c r="EO36" i="92"/>
  <c r="EO82" i="92"/>
  <c r="EO14" i="92"/>
  <c r="EK85" i="92"/>
  <c r="EK101" i="92"/>
  <c r="EE101" i="92" s="1"/>
  <c r="EF101" i="92" s="1"/>
  <c r="EK46" i="92"/>
  <c r="EK94" i="92"/>
  <c r="EE94" i="92" s="1"/>
  <c r="EF94" i="92" s="1"/>
  <c r="EK90" i="92"/>
  <c r="EE90" i="92" s="1"/>
  <c r="EF90" i="92" s="1"/>
  <c r="EK11" i="92"/>
  <c r="EE11" i="92" s="1"/>
  <c r="EF11" i="92" s="1"/>
  <c r="EK102" i="92"/>
  <c r="EK64" i="92"/>
  <c r="EE64" i="92" s="1"/>
  <c r="EF64" i="92" s="1"/>
  <c r="EK92" i="92"/>
  <c r="EK72" i="92"/>
  <c r="EE72" i="92" s="1"/>
  <c r="EF72" i="92" s="1"/>
  <c r="EK51" i="92"/>
  <c r="EK104" i="92"/>
  <c r="EK12" i="92"/>
  <c r="EK41" i="92"/>
  <c r="EE41" i="92" s="1"/>
  <c r="EF41" i="92" s="1"/>
  <c r="EK59" i="92"/>
  <c r="EE59" i="92" s="1"/>
  <c r="EF59" i="92" s="1"/>
  <c r="EK93" i="92"/>
  <c r="EE93" i="92" s="1"/>
  <c r="EF93" i="92" s="1"/>
  <c r="EK24" i="92"/>
  <c r="EK115" i="92"/>
  <c r="EK71" i="92"/>
  <c r="EE71" i="92" s="1"/>
  <c r="EF71" i="92" s="1"/>
  <c r="EK128" i="92"/>
  <c r="EE128" i="92" s="1"/>
  <c r="EF128" i="92" s="1"/>
  <c r="EK63" i="92"/>
  <c r="EE63" i="92" s="1"/>
  <c r="EF63" i="92" s="1"/>
  <c r="EO114" i="92"/>
  <c r="EO79" i="92"/>
  <c r="EO46" i="92"/>
  <c r="EO57" i="92"/>
  <c r="EO33" i="92"/>
  <c r="EO81" i="92"/>
  <c r="EO62" i="92"/>
  <c r="EO18" i="92"/>
  <c r="EO50" i="92"/>
  <c r="EO27" i="92"/>
  <c r="EO31" i="92"/>
  <c r="EP122" i="92"/>
  <c r="EP119" i="92"/>
  <c r="EP25" i="92"/>
  <c r="EK121" i="92"/>
  <c r="EK49" i="92"/>
  <c r="EK19" i="92"/>
  <c r="EE19" i="92" s="1"/>
  <c r="EF19" i="92" s="1"/>
  <c r="EK78" i="92"/>
  <c r="EE78" i="92" s="1"/>
  <c r="EF78" i="92" s="1"/>
  <c r="EK74" i="92"/>
  <c r="EE74" i="92" s="1"/>
  <c r="EF74" i="92" s="1"/>
  <c r="EK52" i="92"/>
  <c r="EK58" i="92"/>
  <c r="EE58" i="92" s="1"/>
  <c r="EF58" i="92" s="1"/>
  <c r="EK65" i="92"/>
  <c r="EK27" i="92"/>
  <c r="EE27" i="92" s="1"/>
  <c r="EF27" i="92" s="1"/>
  <c r="EK29" i="92"/>
  <c r="EO104" i="92"/>
  <c r="EO101" i="92"/>
  <c r="EO21" i="92"/>
  <c r="EO113" i="92"/>
  <c r="EO129" i="92"/>
  <c r="EO42" i="92"/>
  <c r="EO108" i="92"/>
  <c r="EO105" i="92"/>
  <c r="EO111" i="92"/>
  <c r="EO25" i="92"/>
  <c r="EO63" i="92"/>
  <c r="EP21" i="92"/>
  <c r="EP123" i="92"/>
  <c r="EP100" i="92"/>
  <c r="EK96" i="92"/>
  <c r="EK68" i="92"/>
  <c r="EK26" i="92"/>
  <c r="EE26" i="92" s="1"/>
  <c r="EF26" i="92" s="1"/>
  <c r="EK67" i="92"/>
  <c r="EK39" i="92"/>
  <c r="EE39" i="92" s="1"/>
  <c r="EF39" i="92" s="1"/>
  <c r="EK62" i="92"/>
  <c r="EE62" i="92" s="1"/>
  <c r="EF62" i="92" s="1"/>
  <c r="EK105" i="92"/>
  <c r="EK111" i="92"/>
  <c r="EE111" i="92" s="1"/>
  <c r="EF111" i="92" s="1"/>
  <c r="EK56" i="92"/>
  <c r="EE56" i="92" s="1"/>
  <c r="EF56" i="92" s="1"/>
  <c r="EO22" i="92"/>
  <c r="EO49" i="92"/>
  <c r="EO41" i="92"/>
  <c r="EO99" i="92"/>
  <c r="EO117" i="92"/>
  <c r="EO119" i="92"/>
  <c r="EO48" i="92"/>
  <c r="EO124" i="92"/>
  <c r="EO34" i="92"/>
  <c r="EO56" i="92"/>
  <c r="EP113" i="92"/>
  <c r="EP36" i="92"/>
  <c r="EK97" i="92"/>
  <c r="EK57" i="92"/>
  <c r="EK117" i="92"/>
  <c r="EK106" i="92"/>
  <c r="EK40" i="92"/>
  <c r="EK23" i="92"/>
  <c r="EE23" i="92" s="1"/>
  <c r="EF23" i="92" s="1"/>
  <c r="EO121" i="92"/>
  <c r="EO68" i="92"/>
  <c r="EO80" i="92"/>
  <c r="EO28" i="92"/>
  <c r="EO24" i="92"/>
  <c r="EO58" i="92"/>
  <c r="EO110" i="92"/>
  <c r="EO126" i="92"/>
  <c r="EP86" i="92"/>
  <c r="EP120" i="92"/>
  <c r="EK45" i="92"/>
  <c r="EK38" i="92"/>
  <c r="EK77" i="92"/>
  <c r="EE77" i="92" s="1"/>
  <c r="EF77" i="92" s="1"/>
  <c r="EK87" i="92"/>
  <c r="EE87" i="92" s="1"/>
  <c r="EF87" i="92" s="1"/>
  <c r="EK36" i="92"/>
  <c r="EE36" i="92" s="1"/>
  <c r="EF36" i="92" s="1"/>
  <c r="EK88" i="92"/>
  <c r="EE88" i="92" s="1"/>
  <c r="EF88" i="92" s="1"/>
  <c r="EK98" i="92"/>
  <c r="EO16" i="92"/>
  <c r="EO84" i="92"/>
  <c r="EO77" i="92"/>
  <c r="EO15" i="92"/>
  <c r="EO9" i="92"/>
  <c r="EO40" i="92"/>
  <c r="EO5" i="92"/>
  <c r="EP94" i="92"/>
  <c r="EP58" i="92"/>
  <c r="EK16" i="92"/>
  <c r="EK44" i="92"/>
  <c r="EE44" i="92" s="1"/>
  <c r="EF44" i="92" s="1"/>
  <c r="EK99" i="92"/>
  <c r="EE99" i="92" s="1"/>
  <c r="EF99" i="92" s="1"/>
  <c r="EK81" i="92"/>
  <c r="EE81" i="92" s="1"/>
  <c r="EF81" i="92" s="1"/>
  <c r="EK75" i="92"/>
  <c r="EK76" i="92"/>
  <c r="EO32" i="92"/>
  <c r="EO44" i="92"/>
  <c r="EO59" i="92"/>
  <c r="EO7" i="92"/>
  <c r="EO106" i="92"/>
  <c r="EO91" i="92"/>
  <c r="EO53" i="92"/>
  <c r="EO70" i="92"/>
  <c r="EP78" i="92"/>
  <c r="EP111" i="92"/>
  <c r="EK79" i="92"/>
  <c r="EK113" i="92"/>
  <c r="EK30" i="92"/>
  <c r="EK18" i="92"/>
  <c r="EE18" i="92" s="1"/>
  <c r="EF18" i="92" s="1"/>
  <c r="EK61" i="92"/>
  <c r="EE61" i="92" s="1"/>
  <c r="EF61" i="92" s="1"/>
  <c r="EK86" i="92"/>
  <c r="EE86" i="92" s="1"/>
  <c r="EF86" i="92" s="1"/>
  <c r="EK73" i="92"/>
  <c r="EK55" i="92"/>
  <c r="EK82" i="92"/>
  <c r="EK25" i="92"/>
  <c r="EE25" i="92" s="1"/>
  <c r="EF25" i="92" s="1"/>
  <c r="EO96" i="92"/>
  <c r="EO19" i="92"/>
  <c r="EO69" i="92"/>
  <c r="EO52" i="92"/>
  <c r="EO88" i="92"/>
  <c r="EO51" i="92"/>
  <c r="EP112" i="92"/>
  <c r="EP13" i="92"/>
  <c r="EK17" i="92"/>
  <c r="EE17" i="92" s="1"/>
  <c r="EF17" i="92" s="1"/>
  <c r="EK118" i="92"/>
  <c r="EE118" i="92" s="1"/>
  <c r="EF118" i="92" s="1"/>
  <c r="EK60" i="92"/>
  <c r="EE60" i="92" s="1"/>
  <c r="EF60" i="92" s="1"/>
  <c r="EK10" i="92"/>
  <c r="EK126" i="92"/>
  <c r="EE126" i="92" s="1"/>
  <c r="EF126" i="92" s="1"/>
  <c r="EO8" i="92"/>
  <c r="EO116" i="92"/>
  <c r="EO89" i="92"/>
  <c r="EO120" i="92"/>
  <c r="EO76" i="92"/>
  <c r="EP101" i="92"/>
  <c r="EP35" i="92"/>
  <c r="EK122" i="92"/>
  <c r="EE122" i="92" s="1"/>
  <c r="EF122" i="92" s="1"/>
  <c r="EK69" i="92"/>
  <c r="EK95" i="92"/>
  <c r="EK109" i="92"/>
  <c r="EE109" i="92" s="1"/>
  <c r="EF109" i="92" s="1"/>
  <c r="EK47" i="92"/>
  <c r="EO112" i="92"/>
  <c r="EO125" i="92"/>
  <c r="EO74" i="92"/>
  <c r="EO131" i="92"/>
  <c r="EO65" i="92"/>
  <c r="EO47" i="92"/>
  <c r="EP127" i="92"/>
  <c r="EP23" i="92"/>
  <c r="EK21" i="92"/>
  <c r="EE21" i="92" s="1"/>
  <c r="EF21" i="92" s="1"/>
  <c r="EK33" i="92"/>
  <c r="EK9" i="92"/>
  <c r="EK50" i="92"/>
  <c r="EK5" i="92"/>
  <c r="EE5" i="92" s="1"/>
  <c r="EF5" i="92" s="1"/>
  <c r="EO86" i="92"/>
  <c r="EO43" i="92"/>
  <c r="EO11" i="92"/>
  <c r="EO35" i="92"/>
  <c r="EO29" i="92"/>
  <c r="EP118" i="92"/>
  <c r="EK22" i="92"/>
  <c r="EK127" i="92"/>
  <c r="EK89" i="92"/>
  <c r="EK120" i="92"/>
  <c r="EK35" i="92"/>
  <c r="EK31" i="92"/>
  <c r="EO17" i="92"/>
  <c r="EO73" i="92"/>
  <c r="EO39" i="92"/>
  <c r="EO13" i="92"/>
  <c r="EO6" i="92"/>
  <c r="EP89" i="92"/>
  <c r="EK20" i="92"/>
  <c r="EE20" i="92" s="1"/>
  <c r="EF20" i="92" s="1"/>
  <c r="EK42" i="92"/>
  <c r="EK53" i="92"/>
  <c r="EO97" i="92"/>
  <c r="EO93" i="92"/>
  <c r="EO92" i="92"/>
  <c r="EK130" i="92"/>
  <c r="EE130" i="92" s="1"/>
  <c r="EF130" i="92" s="1"/>
  <c r="EK108" i="92"/>
  <c r="EE108" i="92" s="1"/>
  <c r="EF108" i="92" s="1"/>
  <c r="EK70" i="92"/>
  <c r="EO38" i="92"/>
  <c r="EO30" i="92"/>
  <c r="EO71" i="92"/>
  <c r="EP29" i="92"/>
  <c r="EK54" i="92"/>
  <c r="EO127" i="92"/>
  <c r="EO95" i="92"/>
  <c r="EO23" i="92"/>
  <c r="EP22" i="92"/>
  <c r="EK125" i="92"/>
  <c r="EE125" i="92" s="1"/>
  <c r="EF125" i="92" s="1"/>
  <c r="EK13" i="92"/>
  <c r="EO26" i="92"/>
  <c r="EO123" i="92"/>
  <c r="EO61" i="92"/>
  <c r="EP45" i="92"/>
  <c r="EK80" i="92"/>
  <c r="EE80" i="92" s="1"/>
  <c r="EF80" i="92" s="1"/>
  <c r="EK132" i="92"/>
  <c r="EO94" i="92"/>
  <c r="EO102" i="92"/>
  <c r="EO128" i="92"/>
  <c r="EK119" i="92"/>
  <c r="EO103" i="92"/>
  <c r="EO72" i="92"/>
  <c r="EK48" i="92"/>
  <c r="EE48" i="92" s="1"/>
  <c r="EF48" i="92" s="1"/>
  <c r="EO83" i="92"/>
  <c r="EO98" i="92"/>
  <c r="EK107" i="92"/>
  <c r="EK14" i="92"/>
  <c r="EO90" i="92"/>
  <c r="EO66" i="92"/>
  <c r="EP33" i="92"/>
  <c r="EK37" i="92"/>
  <c r="EE37" i="92" s="1"/>
  <c r="EF37" i="92" s="1"/>
  <c r="EO64" i="92"/>
  <c r="EK7" i="92"/>
  <c r="EE7" i="92" s="1"/>
  <c r="EF7" i="92" s="1"/>
  <c r="EO85" i="92"/>
  <c r="EO115" i="92"/>
  <c r="EK91" i="92"/>
  <c r="EO45" i="92"/>
  <c r="EO132" i="92"/>
  <c r="EK34" i="92"/>
  <c r="EO20" i="92"/>
  <c r="EO10" i="92"/>
  <c r="EP37" i="92"/>
  <c r="EK32" i="92"/>
  <c r="EE32" i="92" s="1"/>
  <c r="EF32" i="92" s="1"/>
  <c r="EO122" i="92"/>
  <c r="EO100" i="92"/>
  <c r="EP30" i="92"/>
  <c r="EK8" i="92"/>
  <c r="EE8" i="92" s="1"/>
  <c r="EF8" i="92" s="1"/>
  <c r="EK66" i="92"/>
  <c r="EO130" i="92"/>
  <c r="EP24" i="92"/>
  <c r="EO12" i="92"/>
  <c r="EP11" i="92"/>
  <c r="EK6" i="92"/>
  <c r="EE6" i="92" s="1"/>
  <c r="EF6" i="92" s="1"/>
  <c r="EO118" i="92"/>
  <c r="EO87" i="92"/>
  <c r="EO55" i="92"/>
  <c r="EO67" i="92"/>
  <c r="EO75" i="92"/>
  <c r="EO109" i="92"/>
  <c r="EK116" i="92"/>
  <c r="EK103" i="92"/>
  <c r="EK129" i="92"/>
  <c r="EK28" i="92"/>
  <c r="EE28" i="92" s="1"/>
  <c r="EF28" i="92" s="1"/>
  <c r="EO3" i="92"/>
  <c r="EP106" i="92"/>
  <c r="EP49" i="92"/>
  <c r="EP82" i="92"/>
  <c r="EP12" i="92"/>
  <c r="EP66" i="92"/>
  <c r="EP87" i="92"/>
  <c r="EP88" i="92"/>
  <c r="EP108" i="92"/>
  <c r="EP76" i="92"/>
  <c r="EP107" i="92"/>
  <c r="EP68" i="92"/>
  <c r="EP130" i="92"/>
  <c r="EP8" i="92"/>
  <c r="EP72" i="92"/>
  <c r="EP55" i="92"/>
  <c r="EP97" i="92"/>
  <c r="EP44" i="92"/>
  <c r="EP64" i="92"/>
  <c r="EP61" i="92"/>
  <c r="EP110" i="92"/>
  <c r="EP38" i="92"/>
  <c r="EP128" i="92"/>
  <c r="EP71" i="92"/>
  <c r="EP20" i="92"/>
  <c r="EP105" i="92"/>
  <c r="EP125" i="92"/>
  <c r="EP43" i="92"/>
  <c r="EP54" i="92"/>
  <c r="EP57" i="92"/>
  <c r="EP17" i="92"/>
  <c r="EP102" i="92"/>
  <c r="EP67" i="92"/>
  <c r="EP28" i="92"/>
  <c r="EP39" i="92"/>
  <c r="EP60" i="92"/>
  <c r="EP32" i="92"/>
  <c r="EP15" i="92"/>
  <c r="EP80" i="92"/>
  <c r="EP53" i="92"/>
  <c r="EP52" i="92"/>
  <c r="EP73" i="92"/>
  <c r="EP46" i="92"/>
  <c r="EP93" i="92"/>
  <c r="EP56" i="92"/>
  <c r="EP19" i="92"/>
  <c r="EP74" i="92"/>
  <c r="EP96" i="92"/>
  <c r="EP103" i="92"/>
  <c r="EP41" i="92"/>
  <c r="EP27" i="92"/>
  <c r="EP34" i="92"/>
  <c r="EP6" i="92"/>
  <c r="EP92" i="92"/>
  <c r="EP47" i="92"/>
  <c r="EP109" i="92"/>
  <c r="EP69" i="92"/>
  <c r="EP75" i="92"/>
  <c r="EP77" i="92"/>
  <c r="EP10" i="92"/>
  <c r="EP91" i="92"/>
  <c r="EP126" i="92"/>
  <c r="EP132" i="92"/>
  <c r="EP63" i="92"/>
  <c r="EP31" i="92"/>
  <c r="EP14" i="92"/>
  <c r="EP83" i="92"/>
  <c r="EQ83" i="92" s="1"/>
  <c r="EP99" i="92"/>
  <c r="EP16" i="92"/>
  <c r="EP117" i="92"/>
  <c r="EP50" i="92"/>
  <c r="EP121" i="92"/>
  <c r="EP9" i="92"/>
  <c r="EP84" i="92"/>
  <c r="EP5" i="92"/>
  <c r="EP65" i="92"/>
  <c r="EP18" i="92"/>
  <c r="EP79" i="92"/>
  <c r="EP7" i="92"/>
  <c r="EP48" i="92"/>
  <c r="EP70" i="92"/>
  <c r="EP90" i="92"/>
  <c r="EP129" i="92"/>
  <c r="EP81" i="92"/>
  <c r="EP116" i="92"/>
  <c r="EP98" i="92"/>
  <c r="EP104" i="92"/>
  <c r="EP131" i="92"/>
  <c r="EP114" i="92"/>
  <c r="EP51" i="92"/>
  <c r="EP95" i="92"/>
  <c r="EP59" i="92"/>
  <c r="EP115" i="92"/>
  <c r="EP85" i="92"/>
  <c r="EP62" i="92"/>
  <c r="EP40" i="92"/>
  <c r="EP124" i="92"/>
  <c r="EP26" i="92"/>
  <c r="EP42" i="92"/>
  <c r="EJ40" i="92"/>
  <c r="EJ12" i="92"/>
  <c r="EJ95" i="92"/>
  <c r="EJ99" i="92"/>
  <c r="EJ74" i="92"/>
  <c r="EJ17" i="92"/>
  <c r="EJ41" i="92"/>
  <c r="EJ65" i="92"/>
  <c r="ER3" i="92"/>
  <c r="EQ3" i="92"/>
  <c r="EP3" i="92"/>
  <c r="EE155" i="92" l="1"/>
  <c r="EF155" i="92" s="1"/>
  <c r="EE179" i="92"/>
  <c r="EF179" i="92" s="1"/>
  <c r="EQ164" i="92"/>
  <c r="EQ168" i="92"/>
  <c r="EE160" i="92"/>
  <c r="EF160" i="92" s="1"/>
  <c r="EQ141" i="92"/>
  <c r="EE185" i="92"/>
  <c r="EF185" i="92" s="1"/>
  <c r="EE139" i="92"/>
  <c r="EF139" i="92" s="1"/>
  <c r="EE143" i="92"/>
  <c r="EF143" i="92" s="1"/>
  <c r="EE171" i="92"/>
  <c r="EF171" i="92" s="1"/>
  <c r="EE170" i="92"/>
  <c r="EF170" i="92" s="1"/>
  <c r="EE154" i="92"/>
  <c r="EF154" i="92" s="1"/>
  <c r="EQ161" i="92"/>
  <c r="ER178" i="92"/>
  <c r="EL178" i="92" s="1"/>
  <c r="EM178" i="92" s="1"/>
  <c r="ER164" i="92"/>
  <c r="EL164" i="92" s="1"/>
  <c r="EM164" i="92" s="1"/>
  <c r="ER153" i="92"/>
  <c r="EL153" i="92" s="1"/>
  <c r="EM153" i="92" s="1"/>
  <c r="ER141" i="92"/>
  <c r="EU182" i="92"/>
  <c r="EU172" i="92"/>
  <c r="EU156" i="92"/>
  <c r="EU146" i="92"/>
  <c r="EU139" i="92"/>
  <c r="EV174" i="92"/>
  <c r="EV162" i="92"/>
  <c r="EV150" i="92"/>
  <c r="EV140" i="92"/>
  <c r="EW182" i="92"/>
  <c r="EW172" i="92"/>
  <c r="EW156" i="92"/>
  <c r="EW146" i="92"/>
  <c r="EW139" i="92"/>
  <c r="ER187" i="92"/>
  <c r="ER177" i="92"/>
  <c r="ER162" i="92"/>
  <c r="ER151" i="92"/>
  <c r="EL151" i="92" s="1"/>
  <c r="EM151" i="92" s="1"/>
  <c r="ER135" i="92"/>
  <c r="EL135" i="92" s="1"/>
  <c r="EM135" i="92" s="1"/>
  <c r="EU174" i="92"/>
  <c r="EU163" i="92"/>
  <c r="EU152" i="92"/>
  <c r="EU138" i="92"/>
  <c r="EV177" i="92"/>
  <c r="EV164" i="92"/>
  <c r="EV151" i="92"/>
  <c r="EV135" i="92"/>
  <c r="EW183" i="92"/>
  <c r="EW166" i="92"/>
  <c r="EW153" i="92"/>
  <c r="EW140" i="92"/>
  <c r="EU187" i="92"/>
  <c r="ER174" i="92"/>
  <c r="EL174" i="92" s="1"/>
  <c r="EM174" i="92" s="1"/>
  <c r="ER152" i="92"/>
  <c r="EL152" i="92" s="1"/>
  <c r="EM152" i="92" s="1"/>
  <c r="ER138" i="92"/>
  <c r="EU173" i="92"/>
  <c r="EU165" i="92"/>
  <c r="EU136" i="92"/>
  <c r="EV178" i="92"/>
  <c r="EV163" i="92"/>
  <c r="EV152" i="92"/>
  <c r="EW177" i="92"/>
  <c r="EW164" i="92"/>
  <c r="EW137" i="92"/>
  <c r="ER163" i="92"/>
  <c r="EL163" i="92" s="1"/>
  <c r="EM163" i="92" s="1"/>
  <c r="EU147" i="92"/>
  <c r="EV138" i="92"/>
  <c r="EW150" i="92"/>
  <c r="ER168" i="92"/>
  <c r="ER158" i="92"/>
  <c r="ER142" i="92"/>
  <c r="EL142" i="92" s="1"/>
  <c r="EM142" i="92" s="1"/>
  <c r="EU184" i="92"/>
  <c r="EU170" i="92"/>
  <c r="EU154" i="92"/>
  <c r="EU140" i="92"/>
  <c r="EV183" i="92"/>
  <c r="EV160" i="92"/>
  <c r="EV146" i="92"/>
  <c r="EW185" i="92"/>
  <c r="EW171" i="92"/>
  <c r="EW155" i="92"/>
  <c r="EW138" i="92"/>
  <c r="ER184" i="92"/>
  <c r="EL184" i="92" s="1"/>
  <c r="EM184" i="92" s="1"/>
  <c r="ER170" i="92"/>
  <c r="ER159" i="92"/>
  <c r="ER140" i="92"/>
  <c r="EL140" i="92" s="1"/>
  <c r="EM140" i="92" s="1"/>
  <c r="EU185" i="92"/>
  <c r="EU171" i="92"/>
  <c r="EU155" i="92"/>
  <c r="EU137" i="92"/>
  <c r="EV173" i="92"/>
  <c r="EV161" i="92"/>
  <c r="EV144" i="92"/>
  <c r="EW186" i="92"/>
  <c r="EW167" i="92"/>
  <c r="EW151" i="92"/>
  <c r="EW136" i="92"/>
  <c r="EW188" i="92"/>
  <c r="ER185" i="92"/>
  <c r="EL185" i="92" s="1"/>
  <c r="EM185" i="92" s="1"/>
  <c r="ER172" i="92"/>
  <c r="EL172" i="92" s="1"/>
  <c r="EM172" i="92" s="1"/>
  <c r="ER154" i="92"/>
  <c r="ER137" i="92"/>
  <c r="EL137" i="92" s="1"/>
  <c r="EM137" i="92" s="1"/>
  <c r="EU186" i="92"/>
  <c r="EU167" i="92"/>
  <c r="EU153" i="92"/>
  <c r="EU135" i="92"/>
  <c r="EV175" i="92"/>
  <c r="EV157" i="92"/>
  <c r="EV145" i="92"/>
  <c r="EW179" i="92"/>
  <c r="EW169" i="92"/>
  <c r="EW152" i="92"/>
  <c r="EW134" i="92"/>
  <c r="ER175" i="92"/>
  <c r="EL175" i="92" s="1"/>
  <c r="EM175" i="92" s="1"/>
  <c r="ER150" i="92"/>
  <c r="EL150" i="92" s="1"/>
  <c r="EM150" i="92" s="1"/>
  <c r="EU166" i="92"/>
  <c r="EU144" i="92"/>
  <c r="EV180" i="92"/>
  <c r="EV158" i="92"/>
  <c r="EV136" i="92"/>
  <c r="EW168" i="92"/>
  <c r="EW148" i="92"/>
  <c r="ER176" i="92"/>
  <c r="EL176" i="92" s="1"/>
  <c r="EM176" i="92" s="1"/>
  <c r="EU145" i="92"/>
  <c r="EV159" i="92"/>
  <c r="EW170" i="92"/>
  <c r="EW149" i="92"/>
  <c r="ER171" i="92"/>
  <c r="EX171" i="92" s="1"/>
  <c r="EU162" i="92"/>
  <c r="EV176" i="92"/>
  <c r="EV139" i="92"/>
  <c r="EW144" i="92"/>
  <c r="ER147" i="92"/>
  <c r="EU164" i="92"/>
  <c r="EV181" i="92"/>
  <c r="EV134" i="92"/>
  <c r="ER148" i="92"/>
  <c r="EL148" i="92" s="1"/>
  <c r="EM148" i="92" s="1"/>
  <c r="EU179" i="92"/>
  <c r="EU143" i="92"/>
  <c r="EV154" i="92"/>
  <c r="EW162" i="92"/>
  <c r="ER186" i="92"/>
  <c r="ER166" i="92"/>
  <c r="EL166" i="92" s="1"/>
  <c r="EM166" i="92" s="1"/>
  <c r="ER144" i="92"/>
  <c r="EU183" i="92"/>
  <c r="EU157" i="92"/>
  <c r="EU134" i="92"/>
  <c r="EV172" i="92"/>
  <c r="EV147" i="92"/>
  <c r="EW180" i="92"/>
  <c r="EW160" i="92"/>
  <c r="EW142" i="92"/>
  <c r="ER182" i="92"/>
  <c r="ER160" i="92"/>
  <c r="EL160" i="92" s="1"/>
  <c r="EM160" i="92" s="1"/>
  <c r="ER143" i="92"/>
  <c r="EL143" i="92" s="1"/>
  <c r="EM143" i="92" s="1"/>
  <c r="EU178" i="92"/>
  <c r="EU159" i="92"/>
  <c r="EV184" i="92"/>
  <c r="EV167" i="92"/>
  <c r="EV149" i="92"/>
  <c r="EW178" i="92"/>
  <c r="EW157" i="92"/>
  <c r="EW135" i="92"/>
  <c r="ER155" i="92"/>
  <c r="EU158" i="92"/>
  <c r="EV168" i="92"/>
  <c r="EV141" i="92"/>
  <c r="EW158" i="92"/>
  <c r="EV188" i="92"/>
  <c r="EW187" i="92"/>
  <c r="ER179" i="92"/>
  <c r="EL179" i="92" s="1"/>
  <c r="EM179" i="92" s="1"/>
  <c r="ER149" i="92"/>
  <c r="EL149" i="92" s="1"/>
  <c r="EM149" i="92" s="1"/>
  <c r="EU150" i="92"/>
  <c r="EV170" i="92"/>
  <c r="EV137" i="92"/>
  <c r="EW159" i="92"/>
  <c r="ER180" i="92"/>
  <c r="ER146" i="92"/>
  <c r="EU151" i="92"/>
  <c r="EV171" i="92"/>
  <c r="EV133" i="92"/>
  <c r="EW154" i="92"/>
  <c r="ER173" i="92"/>
  <c r="ER134" i="92"/>
  <c r="EU177" i="92"/>
  <c r="EU142" i="92"/>
  <c r="EV165" i="92"/>
  <c r="EW174" i="92"/>
  <c r="EX174" i="92" s="1"/>
  <c r="EW143" i="92"/>
  <c r="ER167" i="92"/>
  <c r="EU175" i="92"/>
  <c r="EV156" i="92"/>
  <c r="EW141" i="92"/>
  <c r="EU168" i="92"/>
  <c r="EW176" i="92"/>
  <c r="EV186" i="92"/>
  <c r="ER188" i="92"/>
  <c r="EL188" i="92" s="1"/>
  <c r="EM188" i="92" s="1"/>
  <c r="ER139" i="92"/>
  <c r="EL139" i="92" s="1"/>
  <c r="EM139" i="92" s="1"/>
  <c r="EU141" i="92"/>
  <c r="EW173" i="92"/>
  <c r="ER165" i="92"/>
  <c r="EV185" i="92"/>
  <c r="EV148" i="92"/>
  <c r="ER169" i="92"/>
  <c r="EL169" i="92" s="1"/>
  <c r="EM169" i="92" s="1"/>
  <c r="ER133" i="92"/>
  <c r="EL133" i="92" s="1"/>
  <c r="EM133" i="92" s="1"/>
  <c r="EU176" i="92"/>
  <c r="EU133" i="92"/>
  <c r="EV155" i="92"/>
  <c r="EW175" i="92"/>
  <c r="EW133" i="92"/>
  <c r="EV153" i="92"/>
  <c r="ER161" i="92"/>
  <c r="EU169" i="92"/>
  <c r="EW163" i="92"/>
  <c r="ER145" i="92"/>
  <c r="EL145" i="92" s="1"/>
  <c r="EM145" i="92" s="1"/>
  <c r="EV169" i="92"/>
  <c r="EV187" i="92"/>
  <c r="EV142" i="92"/>
  <c r="ER136" i="92"/>
  <c r="EL136" i="92" s="1"/>
  <c r="EM136" i="92" s="1"/>
  <c r="EV166" i="92"/>
  <c r="EV143" i="92"/>
  <c r="EU180" i="92"/>
  <c r="EW184" i="92"/>
  <c r="EU181" i="92"/>
  <c r="EW181" i="92"/>
  <c r="EU160" i="92"/>
  <c r="EW165" i="92"/>
  <c r="EU148" i="92"/>
  <c r="ER183" i="92"/>
  <c r="EL183" i="92" s="1"/>
  <c r="EM183" i="92" s="1"/>
  <c r="EW145" i="92"/>
  <c r="EV179" i="92"/>
  <c r="ER156" i="92"/>
  <c r="EL156" i="92" s="1"/>
  <c r="EM156" i="92" s="1"/>
  <c r="EV182" i="92"/>
  <c r="EU188" i="92"/>
  <c r="EU161" i="92"/>
  <c r="EW161" i="92"/>
  <c r="ER181" i="92"/>
  <c r="EW147" i="92"/>
  <c r="EU149" i="92"/>
  <c r="ER157" i="92"/>
  <c r="EL157" i="92" s="1"/>
  <c r="EM157" i="92" s="1"/>
  <c r="ER1" i="92"/>
  <c r="EQ2" i="92"/>
  <c r="EP2" i="92"/>
  <c r="EO2" i="92"/>
  <c r="EK2" i="92"/>
  <c r="EL2" i="92"/>
  <c r="EM2" i="92"/>
  <c r="EN2" i="92"/>
  <c r="EQ139" i="92"/>
  <c r="EL147" i="92"/>
  <c r="EM147" i="92" s="1"/>
  <c r="EQ147" i="92"/>
  <c r="EQ176" i="92"/>
  <c r="EQ150" i="92"/>
  <c r="EQ170" i="92"/>
  <c r="EL170" i="92"/>
  <c r="EM170" i="92" s="1"/>
  <c r="EQ184" i="92"/>
  <c r="EQ156" i="92"/>
  <c r="EL187" i="92"/>
  <c r="EM187" i="92" s="1"/>
  <c r="EQ187" i="92"/>
  <c r="EQ153" i="92"/>
  <c r="EL159" i="92"/>
  <c r="EM159" i="92" s="1"/>
  <c r="EQ159" i="92"/>
  <c r="EQ172" i="92"/>
  <c r="EQ136" i="92"/>
  <c r="EQ175" i="92"/>
  <c r="EE137" i="92"/>
  <c r="EF137" i="92" s="1"/>
  <c r="EQ137" i="92"/>
  <c r="EQ177" i="92"/>
  <c r="EL177" i="92"/>
  <c r="EM177" i="92" s="1"/>
  <c r="EQ145" i="92"/>
  <c r="EQ173" i="92"/>
  <c r="EQ134" i="92"/>
  <c r="EL134" i="92"/>
  <c r="EM134" i="92" s="1"/>
  <c r="EE158" i="92"/>
  <c r="EF158" i="92" s="1"/>
  <c r="EQ158" i="92"/>
  <c r="EL158" i="92"/>
  <c r="EM158" i="92" s="1"/>
  <c r="EQ181" i="92"/>
  <c r="EQ140" i="92"/>
  <c r="EQ160" i="92"/>
  <c r="EQ167" i="92"/>
  <c r="EL167" i="92"/>
  <c r="EM167" i="92" s="1"/>
  <c r="EQ142" i="92"/>
  <c r="EQ171" i="92"/>
  <c r="EL144" i="92"/>
  <c r="EM144" i="92" s="1"/>
  <c r="EQ144" i="92"/>
  <c r="EQ165" i="92"/>
  <c r="EQ180" i="92"/>
  <c r="EE188" i="92"/>
  <c r="EF188" i="92" s="1"/>
  <c r="EQ188" i="92"/>
  <c r="EQ149" i="92"/>
  <c r="EQ182" i="92"/>
  <c r="EQ148" i="92"/>
  <c r="EQ166" i="92"/>
  <c r="EQ179" i="92"/>
  <c r="EQ133" i="92"/>
  <c r="EQ146" i="92"/>
  <c r="EL146" i="92"/>
  <c r="EM146" i="92" s="1"/>
  <c r="EQ157" i="92"/>
  <c r="EQ185" i="92"/>
  <c r="EQ174" i="92"/>
  <c r="EQ138" i="92"/>
  <c r="EQ152" i="92"/>
  <c r="EQ163" i="92"/>
  <c r="EQ135" i="92"/>
  <c r="EE151" i="92"/>
  <c r="EF151" i="92" s="1"/>
  <c r="EQ151" i="92"/>
  <c r="EQ162" i="92"/>
  <c r="EL162" i="92"/>
  <c r="EM162" i="92" s="1"/>
  <c r="EQ178" i="92"/>
  <c r="EQ143" i="92"/>
  <c r="EQ169" i="92"/>
  <c r="EQ183" i="92"/>
  <c r="EE82" i="92"/>
  <c r="EF82" i="92" s="1"/>
  <c r="EQ121" i="92"/>
  <c r="EQ115" i="92"/>
  <c r="EQ76" i="92"/>
  <c r="EE92" i="92"/>
  <c r="EF92" i="92" s="1"/>
  <c r="EQ18" i="92"/>
  <c r="EQ131" i="92"/>
  <c r="H13" i="95"/>
  <c r="EQ30" i="92"/>
  <c r="EQ45" i="92"/>
  <c r="EE124" i="92"/>
  <c r="EF124" i="92" s="1"/>
  <c r="EQ35" i="92"/>
  <c r="EQ113" i="92"/>
  <c r="EQ120" i="92"/>
  <c r="EQ123" i="92"/>
  <c r="EE79" i="92"/>
  <c r="EF79" i="92" s="1"/>
  <c r="EE12" i="92"/>
  <c r="EF12" i="92" s="1"/>
  <c r="EE121" i="92"/>
  <c r="EF121" i="92" s="1"/>
  <c r="EE31" i="92"/>
  <c r="EF31" i="92" s="1"/>
  <c r="EQ89" i="92"/>
  <c r="EE96" i="92"/>
  <c r="EF96" i="92" s="1"/>
  <c r="EE85" i="92"/>
  <c r="EF85" i="92" s="1"/>
  <c r="EE51" i="92"/>
  <c r="EF51" i="92" s="1"/>
  <c r="EE40" i="92"/>
  <c r="EF40" i="92" s="1"/>
  <c r="EE120" i="92"/>
  <c r="EF120" i="92" s="1"/>
  <c r="EE53" i="92"/>
  <c r="EF53" i="92" s="1"/>
  <c r="EQ127" i="92"/>
  <c r="EQ29" i="92"/>
  <c r="EE132" i="92"/>
  <c r="EF132" i="92" s="1"/>
  <c r="EE113" i="92"/>
  <c r="EF113" i="92" s="1"/>
  <c r="EE35" i="92"/>
  <c r="EF35" i="92" s="1"/>
  <c r="EQ22" i="92"/>
  <c r="EQ33" i="92"/>
  <c r="EQ25" i="92"/>
  <c r="EE57" i="92"/>
  <c r="EF57" i="92" s="1"/>
  <c r="EE116" i="92"/>
  <c r="EF116" i="92" s="1"/>
  <c r="EE127" i="92"/>
  <c r="EF127" i="92" s="1"/>
  <c r="EE117" i="92"/>
  <c r="EF117" i="92" s="1"/>
  <c r="EE29" i="92"/>
  <c r="EF29" i="92" s="1"/>
  <c r="EE49" i="92"/>
  <c r="EF49" i="92" s="1"/>
  <c r="EQ21" i="92"/>
  <c r="EQ111" i="92"/>
  <c r="EE34" i="92"/>
  <c r="EF34" i="92" s="1"/>
  <c r="EE75" i="92"/>
  <c r="EF75" i="92" s="1"/>
  <c r="EE45" i="92"/>
  <c r="EF45" i="92" s="1"/>
  <c r="EE104" i="92"/>
  <c r="EF104" i="92" s="1"/>
  <c r="EQ122" i="92"/>
  <c r="EQ118" i="92"/>
  <c r="EQ58" i="92"/>
  <c r="EQ11" i="92"/>
  <c r="EQ112" i="92"/>
  <c r="EE69" i="92"/>
  <c r="EF69" i="92" s="1"/>
  <c r="EE98" i="92"/>
  <c r="EF98" i="92" s="1"/>
  <c r="EE83" i="92"/>
  <c r="EF83" i="92" s="1"/>
  <c r="EE14" i="92"/>
  <c r="EF14" i="92" s="1"/>
  <c r="EE123" i="92"/>
  <c r="EF123" i="92" s="1"/>
  <c r="EE55" i="92"/>
  <c r="EF55" i="92" s="1"/>
  <c r="EE54" i="92"/>
  <c r="EF54" i="92" s="1"/>
  <c r="EE112" i="92"/>
  <c r="EF112" i="92" s="1"/>
  <c r="EQ13" i="92"/>
  <c r="EQ36" i="92"/>
  <c r="EQ24" i="92"/>
  <c r="EE16" i="92"/>
  <c r="EF16" i="92" s="1"/>
  <c r="EE103" i="92"/>
  <c r="EF103" i="92" s="1"/>
  <c r="EE107" i="92"/>
  <c r="EF107" i="92" s="1"/>
  <c r="EE52" i="92"/>
  <c r="EF52" i="92" s="1"/>
  <c r="EE105" i="92"/>
  <c r="EF105" i="92" s="1"/>
  <c r="EE22" i="92"/>
  <c r="EF22" i="92" s="1"/>
  <c r="EQ119" i="92"/>
  <c r="EQ86" i="92"/>
  <c r="EQ94" i="92"/>
  <c r="EE129" i="92"/>
  <c r="EF129" i="92" s="1"/>
  <c r="EE73" i="92"/>
  <c r="EF73" i="92" s="1"/>
  <c r="EE106" i="92"/>
  <c r="EF106" i="92" s="1"/>
  <c r="EE68" i="92"/>
  <c r="EF68" i="92" s="1"/>
  <c r="EE102" i="92"/>
  <c r="EF102" i="92" s="1"/>
  <c r="EE89" i="92"/>
  <c r="EF89" i="92" s="1"/>
  <c r="EE131" i="92"/>
  <c r="EF131" i="92" s="1"/>
  <c r="EE24" i="92"/>
  <c r="EF24" i="92" s="1"/>
  <c r="EE119" i="92"/>
  <c r="EF119" i="92" s="1"/>
  <c r="EE10" i="92"/>
  <c r="EF10" i="92" s="1"/>
  <c r="EQ37" i="92"/>
  <c r="EQ78" i="92"/>
  <c r="EQ100" i="92"/>
  <c r="EE46" i="92"/>
  <c r="EF46" i="92" s="1"/>
  <c r="EE67" i="92"/>
  <c r="EF67" i="92" s="1"/>
  <c r="EE65" i="92"/>
  <c r="EF65" i="92" s="1"/>
  <c r="EE13" i="92"/>
  <c r="EF13" i="92" s="1"/>
  <c r="EE76" i="92"/>
  <c r="EF76" i="92" s="1"/>
  <c r="EE66" i="92"/>
  <c r="EF66" i="92" s="1"/>
  <c r="EE47" i="92"/>
  <c r="EF47" i="92" s="1"/>
  <c r="EE97" i="92"/>
  <c r="EF97" i="92" s="1"/>
  <c r="EE95" i="92"/>
  <c r="EF95" i="92" s="1"/>
  <c r="EU64" i="92"/>
  <c r="EU18" i="92"/>
  <c r="EU16" i="92"/>
  <c r="EU69" i="92"/>
  <c r="EU33" i="92"/>
  <c r="EU44" i="92"/>
  <c r="EU100" i="92"/>
  <c r="EU5" i="92"/>
  <c r="EU28" i="92"/>
  <c r="EU62" i="92"/>
  <c r="EU39" i="92"/>
  <c r="ET3" i="92"/>
  <c r="EU97" i="92"/>
  <c r="EU91" i="92"/>
  <c r="EU24" i="92"/>
  <c r="EU108" i="92"/>
  <c r="EU45" i="92"/>
  <c r="EU107" i="92"/>
  <c r="EU83" i="92"/>
  <c r="EU71" i="92"/>
  <c r="EU65" i="92"/>
  <c r="EU35" i="92"/>
  <c r="EU50" i="92"/>
  <c r="EU26" i="92"/>
  <c r="EU99" i="92"/>
  <c r="EU109" i="92"/>
  <c r="EU114" i="92"/>
  <c r="EU31" i="92"/>
  <c r="EU61" i="92"/>
  <c r="EU118" i="92"/>
  <c r="EU57" i="92"/>
  <c r="EU10" i="92"/>
  <c r="EU82" i="92"/>
  <c r="EU12" i="92"/>
  <c r="EU30" i="92"/>
  <c r="EU130" i="92"/>
  <c r="EU101" i="92"/>
  <c r="EU34" i="92"/>
  <c r="EU105" i="92"/>
  <c r="EU63" i="92"/>
  <c r="EU54" i="92"/>
  <c r="EU88" i="92"/>
  <c r="EU129" i="92"/>
  <c r="EU103" i="92"/>
  <c r="EU53" i="92"/>
  <c r="EU6" i="92"/>
  <c r="EU76" i="92"/>
  <c r="EU92" i="92"/>
  <c r="EU85" i="92"/>
  <c r="EU98" i="92"/>
  <c r="EU40" i="92"/>
  <c r="EU125" i="92"/>
  <c r="EU51" i="92"/>
  <c r="EU127" i="92"/>
  <c r="EU102" i="92"/>
  <c r="EU80" i="92"/>
  <c r="EU121" i="92"/>
  <c r="EU116" i="92"/>
  <c r="EU59" i="92"/>
  <c r="EU90" i="92"/>
  <c r="EU27" i="92"/>
  <c r="EU93" i="92"/>
  <c r="EU25" i="92"/>
  <c r="EU122" i="92"/>
  <c r="EU94" i="92"/>
  <c r="EU110" i="92"/>
  <c r="EU68" i="92"/>
  <c r="EU84" i="92"/>
  <c r="EU96" i="92"/>
  <c r="EU132" i="92"/>
  <c r="EU55" i="92"/>
  <c r="EU67" i="92"/>
  <c r="EU15" i="92"/>
  <c r="EU43" i="92"/>
  <c r="EU75" i="92"/>
  <c r="EU131" i="92"/>
  <c r="EU46" i="92"/>
  <c r="EU124" i="92"/>
  <c r="EU79" i="92"/>
  <c r="EU58" i="92"/>
  <c r="EU89" i="92"/>
  <c r="EU38" i="92"/>
  <c r="EU74" i="92"/>
  <c r="EU20" i="92"/>
  <c r="EU52" i="92"/>
  <c r="EU128" i="92"/>
  <c r="EU21" i="92"/>
  <c r="EU14" i="92"/>
  <c r="EU32" i="92"/>
  <c r="EU111" i="92"/>
  <c r="EU19" i="92"/>
  <c r="EU72" i="92"/>
  <c r="EU22" i="92"/>
  <c r="EU77" i="92"/>
  <c r="EU47" i="92"/>
  <c r="EU42" i="92"/>
  <c r="EU11" i="92"/>
  <c r="EU66" i="92"/>
  <c r="EU13" i="92"/>
  <c r="EU9" i="92"/>
  <c r="EU87" i="92"/>
  <c r="EU70" i="92"/>
  <c r="EU113" i="92"/>
  <c r="EU95" i="92"/>
  <c r="EU36" i="92"/>
  <c r="EU104" i="92"/>
  <c r="ES3" i="92"/>
  <c r="EU23" i="92"/>
  <c r="EU41" i="92"/>
  <c r="EU3" i="92"/>
  <c r="EU49" i="92"/>
  <c r="EU112" i="92"/>
  <c r="EU7" i="92"/>
  <c r="EU117" i="92"/>
  <c r="EU106" i="92"/>
  <c r="EU78" i="92"/>
  <c r="EU86" i="92"/>
  <c r="EU56" i="92"/>
  <c r="EU81" i="92"/>
  <c r="EU29" i="92"/>
  <c r="EU73" i="92"/>
  <c r="EU120" i="92"/>
  <c r="EU37" i="92"/>
  <c r="EU119" i="92"/>
  <c r="EU123" i="92"/>
  <c r="EU60" i="92"/>
  <c r="EU8" i="92"/>
  <c r="EU126" i="92"/>
  <c r="EU115" i="92"/>
  <c r="EU17" i="92"/>
  <c r="EU48" i="92"/>
  <c r="EQ23" i="92"/>
  <c r="EQ101" i="92"/>
  <c r="EE43" i="92"/>
  <c r="EF43" i="92" s="1"/>
  <c r="EE115" i="92"/>
  <c r="EF115" i="92" s="1"/>
  <c r="EE42" i="92"/>
  <c r="EF42" i="92" s="1"/>
  <c r="EE38" i="92"/>
  <c r="EF38" i="92" s="1"/>
  <c r="EE33" i="92"/>
  <c r="EF33" i="92" s="1"/>
  <c r="EE30" i="92"/>
  <c r="EF30" i="92" s="1"/>
  <c r="EE9" i="92"/>
  <c r="EF9" i="92" s="1"/>
  <c r="EE91" i="92"/>
  <c r="EF91" i="92" s="1"/>
  <c r="EE70" i="92"/>
  <c r="EF70" i="92" s="1"/>
  <c r="EE50" i="92"/>
  <c r="EF50" i="92" s="1"/>
  <c r="EQ10" i="92"/>
  <c r="EQ102" i="92"/>
  <c r="EQ71" i="92"/>
  <c r="G11" i="95"/>
  <c r="EQ64" i="92"/>
  <c r="EQ67" i="92"/>
  <c r="EQ15" i="92"/>
  <c r="AB13" i="95"/>
  <c r="EQ31" i="92"/>
  <c r="EQ8" i="92"/>
  <c r="EQ41" i="92"/>
  <c r="EQ87" i="92"/>
  <c r="EQ65" i="92"/>
  <c r="EQ40" i="92"/>
  <c r="EQ84" i="92"/>
  <c r="EQ47" i="92"/>
  <c r="EQ44" i="92"/>
  <c r="K12" i="95"/>
  <c r="EQ59" i="92"/>
  <c r="EQ46" i="92"/>
  <c r="EQ27" i="92"/>
  <c r="EQ17" i="92"/>
  <c r="EQ43" i="92"/>
  <c r="EQ79" i="92"/>
  <c r="EQ124" i="92"/>
  <c r="EQ99" i="92"/>
  <c r="I11" i="95"/>
  <c r="EQ26" i="92"/>
  <c r="EQ104" i="92"/>
  <c r="EQ56" i="92"/>
  <c r="EQ95" i="92"/>
  <c r="EQ117" i="92"/>
  <c r="EQ38" i="92"/>
  <c r="EQ52" i="92"/>
  <c r="EQ114" i="92"/>
  <c r="EQ9" i="92"/>
  <c r="EQ126" i="92"/>
  <c r="EQ61" i="92"/>
  <c r="EQ54" i="92"/>
  <c r="EQ49" i="92"/>
  <c r="EQ128" i="92"/>
  <c r="EQ5" i="92"/>
  <c r="EQ62" i="92"/>
  <c r="EQ92" i="92"/>
  <c r="EQ39" i="92"/>
  <c r="EQ130" i="92"/>
  <c r="EQ103" i="92"/>
  <c r="EQ19" i="92"/>
  <c r="EQ63" i="92"/>
  <c r="EQ28" i="92"/>
  <c r="EQ50" i="92"/>
  <c r="EQ73" i="92"/>
  <c r="EQ110" i="92"/>
  <c r="EQ7" i="92"/>
  <c r="EQ55" i="92"/>
  <c r="EQ97" i="92"/>
  <c r="EQ72" i="92"/>
  <c r="EQ105" i="92"/>
  <c r="EQ60" i="92"/>
  <c r="EQ68" i="92"/>
  <c r="EQ70" i="92"/>
  <c r="EQ42" i="92"/>
  <c r="EQ98" i="92"/>
  <c r="EQ90" i="92"/>
  <c r="EQ53" i="92"/>
  <c r="EQ75" i="92"/>
  <c r="EQ32" i="92"/>
  <c r="EQ34" i="92"/>
  <c r="EQ107" i="92"/>
  <c r="EQ93" i="92"/>
  <c r="EQ81" i="92"/>
  <c r="EQ91" i="92"/>
  <c r="EQ88" i="92"/>
  <c r="EQ96" i="92"/>
  <c r="EQ132" i="92"/>
  <c r="EQ77" i="92"/>
  <c r="EQ16" i="92"/>
  <c r="EQ80" i="92"/>
  <c r="EQ12" i="92"/>
  <c r="EQ109" i="92"/>
  <c r="EQ106" i="92"/>
  <c r="EQ85" i="92"/>
  <c r="AC13" i="95"/>
  <c r="AD13" i="95"/>
  <c r="EQ129" i="92"/>
  <c r="J11" i="95"/>
  <c r="EQ116" i="92"/>
  <c r="EQ48" i="92"/>
  <c r="EQ108" i="92"/>
  <c r="EQ57" i="92"/>
  <c r="ER104" i="92"/>
  <c r="ER79" i="92"/>
  <c r="EL79" i="92" s="1"/>
  <c r="EM79" i="92" s="1"/>
  <c r="ER44" i="92"/>
  <c r="EL44" i="92" s="1"/>
  <c r="EM44" i="92" s="1"/>
  <c r="ER80" i="92"/>
  <c r="EL80" i="92" s="1"/>
  <c r="EM80" i="92" s="1"/>
  <c r="ER67" i="92"/>
  <c r="EL67" i="92" s="1"/>
  <c r="EM67" i="92" s="1"/>
  <c r="ER7" i="92"/>
  <c r="ER24" i="92"/>
  <c r="ER91" i="92"/>
  <c r="EL91" i="92" s="1"/>
  <c r="EM91" i="92" s="1"/>
  <c r="ER34" i="92"/>
  <c r="ER85" i="92"/>
  <c r="EL85" i="92" s="1"/>
  <c r="EM85" i="92" s="1"/>
  <c r="ER101" i="92"/>
  <c r="EL101" i="92" s="1"/>
  <c r="EM101" i="92" s="1"/>
  <c r="ER46" i="92"/>
  <c r="ER94" i="92"/>
  <c r="ER90" i="92"/>
  <c r="EL90" i="92" s="1"/>
  <c r="EM90" i="92" s="1"/>
  <c r="ER11" i="92"/>
  <c r="EL11" i="92" s="1"/>
  <c r="EM11" i="92" s="1"/>
  <c r="ER102" i="92"/>
  <c r="EL102" i="92" s="1"/>
  <c r="EM102" i="92" s="1"/>
  <c r="ER64" i="92"/>
  <c r="ER92" i="92"/>
  <c r="ER72" i="92"/>
  <c r="EL72" i="92" s="1"/>
  <c r="EM72" i="92" s="1"/>
  <c r="ER121" i="92"/>
  <c r="EL121" i="92" s="1"/>
  <c r="EM121" i="92" s="1"/>
  <c r="ER86" i="92"/>
  <c r="ER21" i="92"/>
  <c r="ER57" i="92"/>
  <c r="ER69" i="92"/>
  <c r="ER87" i="92"/>
  <c r="EL87" i="92" s="1"/>
  <c r="EM87" i="92" s="1"/>
  <c r="ER52" i="92"/>
  <c r="ER13" i="92"/>
  <c r="EL13" i="92" s="1"/>
  <c r="EM13" i="92" s="1"/>
  <c r="ER109" i="92"/>
  <c r="EL109" i="92" s="1"/>
  <c r="EM109" i="92" s="1"/>
  <c r="ER6" i="92"/>
  <c r="ER49" i="92"/>
  <c r="EL49" i="92" s="1"/>
  <c r="EM49" i="92" s="1"/>
  <c r="ER116" i="92"/>
  <c r="ER103" i="92"/>
  <c r="ER81" i="92"/>
  <c r="ER120" i="92"/>
  <c r="ER40" i="92"/>
  <c r="ER53" i="92"/>
  <c r="ER66" i="92"/>
  <c r="EV85" i="92"/>
  <c r="EV101" i="92"/>
  <c r="EV46" i="92"/>
  <c r="EV94" i="92"/>
  <c r="EV90" i="92"/>
  <c r="EV11" i="92"/>
  <c r="EV102" i="92"/>
  <c r="EV64" i="92"/>
  <c r="EV92" i="92"/>
  <c r="EV72" i="92"/>
  <c r="EV51" i="92"/>
  <c r="ER114" i="92"/>
  <c r="EL114" i="92" s="1"/>
  <c r="EM114" i="92" s="1"/>
  <c r="ER17" i="92"/>
  <c r="EL17" i="92" s="1"/>
  <c r="EM17" i="92" s="1"/>
  <c r="ER54" i="92"/>
  <c r="ER83" i="92"/>
  <c r="EL83" i="92" s="1"/>
  <c r="EM83" i="92" s="1"/>
  <c r="ER42" i="92"/>
  <c r="EL42" i="92" s="1"/>
  <c r="EM42" i="92" s="1"/>
  <c r="ER36" i="92"/>
  <c r="EL36" i="92" s="1"/>
  <c r="EM36" i="92" s="1"/>
  <c r="ER124" i="92"/>
  <c r="EL124" i="92" s="1"/>
  <c r="EM124" i="92" s="1"/>
  <c r="ER23" i="92"/>
  <c r="ER47" i="92"/>
  <c r="EV121" i="92"/>
  <c r="EV86" i="92"/>
  <c r="EV21" i="92"/>
  <c r="EV57" i="92"/>
  <c r="EV69" i="92"/>
  <c r="EV87" i="92"/>
  <c r="EV52" i="92"/>
  <c r="EV13" i="92"/>
  <c r="EV109" i="92"/>
  <c r="EV6" i="92"/>
  <c r="EW22" i="92"/>
  <c r="ER112" i="92"/>
  <c r="ER26" i="92"/>
  <c r="ER89" i="92"/>
  <c r="ER95" i="92"/>
  <c r="EL95" i="92" s="1"/>
  <c r="EM95" i="92" s="1"/>
  <c r="ER18" i="92"/>
  <c r="EL18" i="92" s="1"/>
  <c r="EM18" i="92" s="1"/>
  <c r="ER110" i="92"/>
  <c r="ER5" i="92"/>
  <c r="EL5" i="92" s="1"/>
  <c r="EM5" i="92" s="1"/>
  <c r="EV114" i="92"/>
  <c r="EV12" i="92"/>
  <c r="ER12" i="92"/>
  <c r="EL12" i="92" s="1"/>
  <c r="EM12" i="92" s="1"/>
  <c r="ER125" i="92"/>
  <c r="ER28" i="92"/>
  <c r="ER123" i="92"/>
  <c r="ER105" i="92"/>
  <c r="EL105" i="92" s="1"/>
  <c r="EM105" i="92" s="1"/>
  <c r="ER70" i="92"/>
  <c r="EL70" i="92" s="1"/>
  <c r="EM70" i="92" s="1"/>
  <c r="EV104" i="92"/>
  <c r="EV49" i="92"/>
  <c r="EV19" i="92"/>
  <c r="EV78" i="92"/>
  <c r="EV74" i="92"/>
  <c r="EV24" i="92"/>
  <c r="EV58" i="92"/>
  <c r="EV65" i="92"/>
  <c r="EV27" i="92"/>
  <c r="EV29" i="92"/>
  <c r="EW122" i="92"/>
  <c r="EW11" i="92"/>
  <c r="EW111" i="92"/>
  <c r="ER68" i="92"/>
  <c r="EL68" i="92" s="1"/>
  <c r="EM68" i="92" s="1"/>
  <c r="ER113" i="92"/>
  <c r="EL113" i="92" s="1"/>
  <c r="EM113" i="92" s="1"/>
  <c r="ER37" i="92"/>
  <c r="ER106" i="92"/>
  <c r="EL106" i="92" s="1"/>
  <c r="EM106" i="92" s="1"/>
  <c r="ER10" i="92"/>
  <c r="ER128" i="92"/>
  <c r="ER63" i="92"/>
  <c r="EV45" i="92"/>
  <c r="EV97" i="92"/>
  <c r="EV54" i="92"/>
  <c r="EV103" i="92"/>
  <c r="EV7" i="92"/>
  <c r="EV106" i="92"/>
  <c r="EV18" i="92"/>
  <c r="EV14" i="92"/>
  <c r="EV98" i="92"/>
  <c r="EW127" i="92"/>
  <c r="EW30" i="92"/>
  <c r="ER38" i="92"/>
  <c r="ER118" i="92"/>
  <c r="ER9" i="92"/>
  <c r="ER71" i="92"/>
  <c r="EL71" i="92" s="1"/>
  <c r="EM71" i="92" s="1"/>
  <c r="ER51" i="92"/>
  <c r="EV17" i="92"/>
  <c r="EV125" i="92"/>
  <c r="EV129" i="92"/>
  <c r="EV60" i="92"/>
  <c r="EV50" i="92"/>
  <c r="EV56" i="92"/>
  <c r="EW21" i="92"/>
  <c r="EW123" i="92"/>
  <c r="EW100" i="92"/>
  <c r="ER22" i="92"/>
  <c r="EL22" i="92" s="1"/>
  <c r="EM22" i="92" s="1"/>
  <c r="ER84" i="92"/>
  <c r="EL84" i="92" s="1"/>
  <c r="EM84" i="92" s="1"/>
  <c r="ER33" i="92"/>
  <c r="EL33" i="92" s="1"/>
  <c r="EM33" i="92" s="1"/>
  <c r="ER62" i="92"/>
  <c r="EL62" i="92" s="1"/>
  <c r="EM62" i="92" s="1"/>
  <c r="ER65" i="92"/>
  <c r="EL65" i="92" s="1"/>
  <c r="EM65" i="92" s="1"/>
  <c r="EV68" i="92"/>
  <c r="EV43" i="92"/>
  <c r="EV89" i="92"/>
  <c r="EV119" i="92"/>
  <c r="EV115" i="92"/>
  <c r="EV111" i="92"/>
  <c r="EV126" i="92"/>
  <c r="EW94" i="92"/>
  <c r="EW24" i="92"/>
  <c r="ER16" i="92"/>
  <c r="EL16" i="92" s="1"/>
  <c r="EM16" i="92" s="1"/>
  <c r="ER41" i="92"/>
  <c r="EL41" i="92" s="1"/>
  <c r="EM41" i="92" s="1"/>
  <c r="ER93" i="92"/>
  <c r="EL93" i="92" s="1"/>
  <c r="EM93" i="92" s="1"/>
  <c r="ER48" i="92"/>
  <c r="EL48" i="92" s="1"/>
  <c r="EM48" i="92" s="1"/>
  <c r="ER111" i="92"/>
  <c r="ER29" i="92"/>
  <c r="EV96" i="92"/>
  <c r="EV38" i="92"/>
  <c r="EV73" i="92"/>
  <c r="EV37" i="92"/>
  <c r="EV9" i="92"/>
  <c r="EV82" i="92"/>
  <c r="EV34" i="92"/>
  <c r="EV5" i="92"/>
  <c r="EW118" i="92"/>
  <c r="EW75" i="92"/>
  <c r="EW29" i="92"/>
  <c r="ER130" i="92"/>
  <c r="ER15" i="92"/>
  <c r="ER82" i="92"/>
  <c r="ER126" i="92"/>
  <c r="EL126" i="92" s="1"/>
  <c r="EM126" i="92" s="1"/>
  <c r="EV99" i="92"/>
  <c r="EV42" i="92"/>
  <c r="EV132" i="92"/>
  <c r="EV53" i="92"/>
  <c r="ER127" i="92"/>
  <c r="EL127" i="92" s="1"/>
  <c r="EM127" i="92" s="1"/>
  <c r="ER39" i="92"/>
  <c r="EL39" i="92" s="1"/>
  <c r="EM39" i="92" s="1"/>
  <c r="ER88" i="92"/>
  <c r="EL88" i="92" s="1"/>
  <c r="EM88" i="92" s="1"/>
  <c r="ER31" i="92"/>
  <c r="EV122" i="92"/>
  <c r="EV59" i="92"/>
  <c r="EV30" i="92"/>
  <c r="EV105" i="92"/>
  <c r="EV23" i="92"/>
  <c r="EW45" i="92"/>
  <c r="EW42" i="92"/>
  <c r="EW31" i="92"/>
  <c r="ER96" i="92"/>
  <c r="EL96" i="92" s="1"/>
  <c r="EM96" i="92" s="1"/>
  <c r="ER73" i="92"/>
  <c r="EL73" i="92" s="1"/>
  <c r="EM73" i="92" s="1"/>
  <c r="ER60" i="92"/>
  <c r="ER14" i="92"/>
  <c r="EV22" i="92"/>
  <c r="EV130" i="92"/>
  <c r="EV67" i="92"/>
  <c r="EV123" i="92"/>
  <c r="EV124" i="92"/>
  <c r="EV25" i="92"/>
  <c r="EW86" i="92"/>
  <c r="EW36" i="92"/>
  <c r="ER32" i="92"/>
  <c r="EL32" i="92" s="1"/>
  <c r="EM32" i="92" s="1"/>
  <c r="ER77" i="92"/>
  <c r="ER119" i="92"/>
  <c r="ER35" i="92"/>
  <c r="EV16" i="92"/>
  <c r="EV127" i="92"/>
  <c r="EV33" i="92"/>
  <c r="EV62" i="92"/>
  <c r="EV91" i="92"/>
  <c r="EV100" i="92"/>
  <c r="ER59" i="92"/>
  <c r="EL59" i="92" s="1"/>
  <c r="EM59" i="92" s="1"/>
  <c r="ER132" i="92"/>
  <c r="EV116" i="92"/>
  <c r="EV81" i="92"/>
  <c r="EV76" i="92"/>
  <c r="EW89" i="92"/>
  <c r="ER78" i="92"/>
  <c r="EL78" i="92" s="1"/>
  <c r="EM78" i="92" s="1"/>
  <c r="ER76" i="92"/>
  <c r="EL76" i="92" s="1"/>
  <c r="EM76" i="92" s="1"/>
  <c r="EV26" i="92"/>
  <c r="EV55" i="92"/>
  <c r="EV71" i="92"/>
  <c r="EW37" i="92"/>
  <c r="ER45" i="92"/>
  <c r="ER129" i="92"/>
  <c r="ER50" i="92"/>
  <c r="EV80" i="92"/>
  <c r="EV95" i="92"/>
  <c r="EV35" i="92"/>
  <c r="EW93" i="92"/>
  <c r="ER8" i="92"/>
  <c r="EL8" i="92" s="1"/>
  <c r="EM8" i="92" s="1"/>
  <c r="ER74" i="92"/>
  <c r="EL74" i="92" s="1"/>
  <c r="EM74" i="92" s="1"/>
  <c r="ER27" i="92"/>
  <c r="EL27" i="92" s="1"/>
  <c r="EM27" i="92" s="1"/>
  <c r="EV107" i="92"/>
  <c r="EV77" i="92"/>
  <c r="EV120" i="92"/>
  <c r="EW120" i="92"/>
  <c r="ER20" i="92"/>
  <c r="ER30" i="92"/>
  <c r="ER25" i="92"/>
  <c r="EV8" i="92"/>
  <c r="EV118" i="92"/>
  <c r="EV36" i="92"/>
  <c r="EV61" i="92"/>
  <c r="EW13" i="92"/>
  <c r="ER108" i="92"/>
  <c r="ER100" i="92"/>
  <c r="EL100" i="92" s="1"/>
  <c r="EM100" i="92" s="1"/>
  <c r="EV112" i="92"/>
  <c r="EV28" i="92"/>
  <c r="EV48" i="92"/>
  <c r="EV66" i="92"/>
  <c r="EW101" i="92"/>
  <c r="EW35" i="92"/>
  <c r="ER99" i="92"/>
  <c r="EL99" i="92" s="1"/>
  <c r="EM99" i="92" s="1"/>
  <c r="EV41" i="92"/>
  <c r="EV88" i="92"/>
  <c r="EW5" i="92"/>
  <c r="ER55" i="92"/>
  <c r="EL55" i="92" s="1"/>
  <c r="EM55" i="92" s="1"/>
  <c r="EV83" i="92"/>
  <c r="EV128" i="92"/>
  <c r="EW112" i="92"/>
  <c r="ER131" i="92"/>
  <c r="EV93" i="92"/>
  <c r="EV70" i="92"/>
  <c r="EW78" i="92"/>
  <c r="ER115" i="92"/>
  <c r="EV15" i="92"/>
  <c r="EV31" i="92"/>
  <c r="EW67" i="92"/>
  <c r="ER58" i="92"/>
  <c r="EV39" i="92"/>
  <c r="EV63" i="92"/>
  <c r="EW33" i="92"/>
  <c r="ER75" i="92"/>
  <c r="EV44" i="92"/>
  <c r="ER61" i="92"/>
  <c r="EL61" i="92" s="1"/>
  <c r="EM61" i="92" s="1"/>
  <c r="EV113" i="92"/>
  <c r="ER56" i="92"/>
  <c r="EL56" i="92" s="1"/>
  <c r="EM56" i="92" s="1"/>
  <c r="EV108" i="92"/>
  <c r="ER43" i="92"/>
  <c r="EV75" i="92"/>
  <c r="EW53" i="92"/>
  <c r="ER117" i="92"/>
  <c r="EV131" i="92"/>
  <c r="EW23" i="92"/>
  <c r="ER98" i="92"/>
  <c r="EV10" i="92"/>
  <c r="EW25" i="92"/>
  <c r="EV40" i="92"/>
  <c r="EV47" i="92"/>
  <c r="ER122" i="92"/>
  <c r="EL122" i="92" s="1"/>
  <c r="EM122" i="92" s="1"/>
  <c r="EW119" i="92"/>
  <c r="ER19" i="92"/>
  <c r="EL19" i="92" s="1"/>
  <c r="EM19" i="92" s="1"/>
  <c r="EW58" i="92"/>
  <c r="EV20" i="92"/>
  <c r="EV79" i="92"/>
  <c r="EV84" i="92"/>
  <c r="EV3" i="92"/>
  <c r="EV117" i="92"/>
  <c r="EW113" i="92"/>
  <c r="ER107" i="92"/>
  <c r="EL107" i="92" s="1"/>
  <c r="EM107" i="92" s="1"/>
  <c r="EV32" i="92"/>
  <c r="EV110" i="92"/>
  <c r="ER97" i="92"/>
  <c r="EW60" i="92"/>
  <c r="EW90" i="92"/>
  <c r="EW28" i="92"/>
  <c r="EW130" i="92"/>
  <c r="EW19" i="92"/>
  <c r="EW56" i="92"/>
  <c r="EW72" i="92"/>
  <c r="EW15" i="92"/>
  <c r="EW16" i="92"/>
  <c r="EW54" i="92"/>
  <c r="EW96" i="92"/>
  <c r="EW44" i="92"/>
  <c r="EW20" i="92"/>
  <c r="EW63" i="92"/>
  <c r="EW108" i="92"/>
  <c r="EW110" i="92"/>
  <c r="EW77" i="92"/>
  <c r="EW83" i="92"/>
  <c r="EW109" i="92"/>
  <c r="EW116" i="92"/>
  <c r="EW62" i="92"/>
  <c r="EW97" i="92"/>
  <c r="EW7" i="92"/>
  <c r="EW121" i="92"/>
  <c r="EW47" i="92"/>
  <c r="EW92" i="92"/>
  <c r="EW132" i="92"/>
  <c r="EW71" i="92"/>
  <c r="EW65" i="92"/>
  <c r="EW68" i="92"/>
  <c r="EW129" i="92"/>
  <c r="EW40" i="92"/>
  <c r="EW34" i="92"/>
  <c r="EW52" i="92"/>
  <c r="EW32" i="92"/>
  <c r="EW73" i="92"/>
  <c r="EW12" i="92"/>
  <c r="EW80" i="92"/>
  <c r="EW99" i="92"/>
  <c r="EW81" i="92"/>
  <c r="EW105" i="92"/>
  <c r="EW128" i="92"/>
  <c r="EW43" i="92"/>
  <c r="EW70" i="92"/>
  <c r="EW125" i="92"/>
  <c r="EW76" i="92"/>
  <c r="EW6" i="92"/>
  <c r="EW50" i="92"/>
  <c r="EW114" i="92"/>
  <c r="EW48" i="92"/>
  <c r="EW55" i="92"/>
  <c r="EW79" i="92"/>
  <c r="EW124" i="92"/>
  <c r="EW9" i="92"/>
  <c r="EW131" i="92"/>
  <c r="EW85" i="92"/>
  <c r="EW88" i="92"/>
  <c r="EW27" i="92"/>
  <c r="EW102" i="92"/>
  <c r="EW39" i="92"/>
  <c r="EW57" i="92"/>
  <c r="EW51" i="92"/>
  <c r="EW18" i="92"/>
  <c r="EW64" i="92"/>
  <c r="EW14" i="92"/>
  <c r="EW59" i="92"/>
  <c r="EW8" i="92"/>
  <c r="EW107" i="92"/>
  <c r="EW74" i="92"/>
  <c r="EW82" i="92"/>
  <c r="EW17" i="92"/>
  <c r="EW38" i="92"/>
  <c r="EW103" i="92"/>
  <c r="EW84" i="92"/>
  <c r="EW46" i="92"/>
  <c r="EW61" i="92"/>
  <c r="EW49" i="92"/>
  <c r="EW69" i="92"/>
  <c r="EW26" i="92"/>
  <c r="EW95" i="92"/>
  <c r="EW115" i="92"/>
  <c r="EW41" i="92"/>
  <c r="EW10" i="92"/>
  <c r="EW104" i="92"/>
  <c r="EW66" i="92"/>
  <c r="EW126" i="92"/>
  <c r="EW106" i="92"/>
  <c r="EW87" i="92"/>
  <c r="EW91" i="92"/>
  <c r="EW98" i="92"/>
  <c r="EW117" i="92"/>
  <c r="EQ51" i="92"/>
  <c r="EQ74" i="92"/>
  <c r="EQ66" i="92"/>
  <c r="EQ14" i="92"/>
  <c r="EQ69" i="92"/>
  <c r="EQ125" i="92"/>
  <c r="EQ82" i="92"/>
  <c r="EQ20" i="92"/>
  <c r="EQ6" i="92"/>
  <c r="EX3" i="92"/>
  <c r="EY3" i="92"/>
  <c r="EW3" i="92"/>
  <c r="EX152" i="92" l="1"/>
  <c r="EX150" i="92"/>
  <c r="EX137" i="92"/>
  <c r="EL165" i="92"/>
  <c r="EM165" i="92" s="1"/>
  <c r="EL154" i="92"/>
  <c r="EM154" i="92" s="1"/>
  <c r="EL182" i="92"/>
  <c r="EM182" i="92" s="1"/>
  <c r="EL181" i="92"/>
  <c r="EM181" i="92" s="1"/>
  <c r="EL171" i="92"/>
  <c r="EM171" i="92" s="1"/>
  <c r="EX144" i="92"/>
  <c r="EX54" i="92"/>
  <c r="EL168" i="92"/>
  <c r="EM168" i="92" s="1"/>
  <c r="EL138" i="92"/>
  <c r="EM138" i="92" s="1"/>
  <c r="EL180" i="92"/>
  <c r="EM180" i="92" s="1"/>
  <c r="EL173" i="92"/>
  <c r="EM173" i="92" s="1"/>
  <c r="EY186" i="92"/>
  <c r="EY168" i="92"/>
  <c r="ES168" i="92" s="1"/>
  <c r="ET168" i="92" s="1"/>
  <c r="EY161" i="92"/>
  <c r="ES161" i="92" s="1"/>
  <c r="ET161" i="92" s="1"/>
  <c r="EY148" i="92"/>
  <c r="EY136" i="92"/>
  <c r="FB184" i="92"/>
  <c r="FB175" i="92"/>
  <c r="FB165" i="92"/>
  <c r="FB152" i="92"/>
  <c r="FB135" i="92"/>
  <c r="FC181" i="92"/>
  <c r="FC167" i="92"/>
  <c r="FC159" i="92"/>
  <c r="FC145" i="92"/>
  <c r="FD184" i="92"/>
  <c r="FD175" i="92"/>
  <c r="FD165" i="92"/>
  <c r="FD152" i="92"/>
  <c r="FD135" i="92"/>
  <c r="FC187" i="92"/>
  <c r="EY173" i="92"/>
  <c r="ES173" i="92" s="1"/>
  <c r="ET173" i="92" s="1"/>
  <c r="EY165" i="92"/>
  <c r="ES165" i="92" s="1"/>
  <c r="ET165" i="92" s="1"/>
  <c r="EY147" i="92"/>
  <c r="ES147" i="92" s="1"/>
  <c r="ET147" i="92" s="1"/>
  <c r="EY134" i="92"/>
  <c r="FE134" i="92" s="1"/>
  <c r="FB179" i="92"/>
  <c r="FB172" i="92"/>
  <c r="FB158" i="92"/>
  <c r="FB145" i="92"/>
  <c r="FC185" i="92"/>
  <c r="FC168" i="92"/>
  <c r="FC157" i="92"/>
  <c r="FC146" i="92"/>
  <c r="FC133" i="92"/>
  <c r="FD176" i="92"/>
  <c r="FD161" i="92"/>
  <c r="FD149" i="92"/>
  <c r="FD139" i="92"/>
  <c r="FD188" i="92"/>
  <c r="EY160" i="92"/>
  <c r="ES160" i="92" s="1"/>
  <c r="ET160" i="92" s="1"/>
  <c r="EY149" i="92"/>
  <c r="FE149" i="92" s="1"/>
  <c r="FB182" i="92"/>
  <c r="FB159" i="92"/>
  <c r="FB143" i="92"/>
  <c r="FC186" i="92"/>
  <c r="FC156" i="92"/>
  <c r="FC144" i="92"/>
  <c r="FD168" i="92"/>
  <c r="FD157" i="92"/>
  <c r="FD133" i="92"/>
  <c r="EY175" i="92"/>
  <c r="ES175" i="92" s="1"/>
  <c r="ET175" i="92" s="1"/>
  <c r="EY139" i="92"/>
  <c r="FE139" i="92" s="1"/>
  <c r="FB171" i="92"/>
  <c r="FC170" i="92"/>
  <c r="FD185" i="92"/>
  <c r="FD146" i="92"/>
  <c r="EY181" i="92"/>
  <c r="ES181" i="92" s="1"/>
  <c r="ET181" i="92" s="1"/>
  <c r="EY164" i="92"/>
  <c r="ES164" i="92" s="1"/>
  <c r="ET164" i="92" s="1"/>
  <c r="EY152" i="92"/>
  <c r="FB174" i="92"/>
  <c r="FB161" i="92"/>
  <c r="FB144" i="92"/>
  <c r="FC182" i="92"/>
  <c r="FC166" i="92"/>
  <c r="FC151" i="92"/>
  <c r="FC136" i="92"/>
  <c r="FD173" i="92"/>
  <c r="FD158" i="92"/>
  <c r="FD142" i="92"/>
  <c r="EY183" i="92"/>
  <c r="ES183" i="92" s="1"/>
  <c r="ET183" i="92" s="1"/>
  <c r="EY162" i="92"/>
  <c r="FE162" i="92" s="1"/>
  <c r="EY146" i="92"/>
  <c r="FE146" i="92" s="1"/>
  <c r="FB173" i="92"/>
  <c r="FB157" i="92"/>
  <c r="FB142" i="92"/>
  <c r="FC180" i="92"/>
  <c r="FC164" i="92"/>
  <c r="FC152" i="92"/>
  <c r="FC134" i="92"/>
  <c r="FD170" i="92"/>
  <c r="FD159" i="92"/>
  <c r="FD141" i="92"/>
  <c r="EY177" i="92"/>
  <c r="ES177" i="92" s="1"/>
  <c r="ET177" i="92" s="1"/>
  <c r="EY163" i="92"/>
  <c r="EY144" i="92"/>
  <c r="ES144" i="92" s="1"/>
  <c r="ET144" i="92" s="1"/>
  <c r="FB176" i="92"/>
  <c r="FB156" i="92"/>
  <c r="FB141" i="92"/>
  <c r="FC183" i="92"/>
  <c r="FC162" i="92"/>
  <c r="FC147" i="92"/>
  <c r="FC139" i="92"/>
  <c r="FD172" i="92"/>
  <c r="FD154" i="92"/>
  <c r="FD140" i="92"/>
  <c r="EY187" i="92"/>
  <c r="EY182" i="92"/>
  <c r="EY156" i="92"/>
  <c r="ES156" i="92" s="1"/>
  <c r="ET156" i="92" s="1"/>
  <c r="EY140" i="92"/>
  <c r="ES140" i="92" s="1"/>
  <c r="ET140" i="92" s="1"/>
  <c r="FB170" i="92"/>
  <c r="FB151" i="92"/>
  <c r="FC184" i="92"/>
  <c r="FC165" i="92"/>
  <c r="FC141" i="92"/>
  <c r="FD178" i="92"/>
  <c r="FD153" i="92"/>
  <c r="FD187" i="92"/>
  <c r="EY180" i="92"/>
  <c r="EY137" i="92"/>
  <c r="FB147" i="92"/>
  <c r="FC160" i="92"/>
  <c r="FD174" i="92"/>
  <c r="EY178" i="92"/>
  <c r="FE178" i="92" s="1"/>
  <c r="EY159" i="92"/>
  <c r="FE159" i="92" s="1"/>
  <c r="FB148" i="92"/>
  <c r="FC137" i="92"/>
  <c r="FD151" i="92"/>
  <c r="EY158" i="92"/>
  <c r="ES158" i="92" s="1"/>
  <c r="ET158" i="92" s="1"/>
  <c r="FB167" i="92"/>
  <c r="FC179" i="92"/>
  <c r="FC140" i="92"/>
  <c r="FD150" i="92"/>
  <c r="EY135" i="92"/>
  <c r="ES135" i="92" s="1"/>
  <c r="ET135" i="92" s="1"/>
  <c r="FB169" i="92"/>
  <c r="FC177" i="92"/>
  <c r="FC161" i="92"/>
  <c r="FD171" i="92"/>
  <c r="EY170" i="92"/>
  <c r="FE170" i="92" s="1"/>
  <c r="EY153" i="92"/>
  <c r="ES153" i="92" s="1"/>
  <c r="ET153" i="92" s="1"/>
  <c r="FB186" i="92"/>
  <c r="FB162" i="92"/>
  <c r="FB140" i="92"/>
  <c r="FC173" i="92"/>
  <c r="FC155" i="92"/>
  <c r="FD186" i="92"/>
  <c r="FD166" i="92"/>
  <c r="FD144" i="92"/>
  <c r="EY171" i="92"/>
  <c r="EY151" i="92"/>
  <c r="ES151" i="92" s="1"/>
  <c r="ET151" i="92" s="1"/>
  <c r="FB181" i="92"/>
  <c r="FB160" i="92"/>
  <c r="FB138" i="92"/>
  <c r="FC176" i="92"/>
  <c r="FC150" i="92"/>
  <c r="FD182" i="92"/>
  <c r="FD162" i="92"/>
  <c r="FD143" i="92"/>
  <c r="EY157" i="92"/>
  <c r="ES157" i="92" s="1"/>
  <c r="ET157" i="92" s="1"/>
  <c r="FB163" i="92"/>
  <c r="FC178" i="92"/>
  <c r="FC143" i="92"/>
  <c r="FD163" i="92"/>
  <c r="EY154" i="92"/>
  <c r="ES154" i="92" s="1"/>
  <c r="ET154" i="92" s="1"/>
  <c r="FB154" i="92"/>
  <c r="FC174" i="92"/>
  <c r="FC142" i="92"/>
  <c r="FD160" i="92"/>
  <c r="EY188" i="92"/>
  <c r="ES188" i="92" s="1"/>
  <c r="ET188" i="92" s="1"/>
  <c r="EY155" i="92"/>
  <c r="ES155" i="92" s="1"/>
  <c r="ET155" i="92" s="1"/>
  <c r="FB155" i="92"/>
  <c r="FC175" i="92"/>
  <c r="FC135" i="92"/>
  <c r="FD156" i="92"/>
  <c r="EY179" i="92"/>
  <c r="ES179" i="92" s="1"/>
  <c r="ET179" i="92" s="1"/>
  <c r="EY143" i="92"/>
  <c r="ES143" i="92" s="1"/>
  <c r="ET143" i="92" s="1"/>
  <c r="FB180" i="92"/>
  <c r="FB149" i="92"/>
  <c r="FC169" i="92"/>
  <c r="FD180" i="92"/>
  <c r="FD148" i="92"/>
  <c r="FC188" i="92"/>
  <c r="EY142" i="92"/>
  <c r="ES142" i="92" s="1"/>
  <c r="ET142" i="92" s="1"/>
  <c r="FB146" i="92"/>
  <c r="FD181" i="92"/>
  <c r="EY138" i="92"/>
  <c r="ES138" i="92" s="1"/>
  <c r="ET138" i="92" s="1"/>
  <c r="FC154" i="92"/>
  <c r="EY167" i="92"/>
  <c r="FE167" i="92" s="1"/>
  <c r="FB134" i="92"/>
  <c r="FD136" i="92"/>
  <c r="EY174" i="92"/>
  <c r="FB183" i="92"/>
  <c r="FC163" i="92"/>
  <c r="FD145" i="92"/>
  <c r="FB178" i="92"/>
  <c r="FD177" i="92"/>
  <c r="FB168" i="92"/>
  <c r="FD167" i="92"/>
  <c r="EY176" i="92"/>
  <c r="ES176" i="92" s="1"/>
  <c r="ET176" i="92" s="1"/>
  <c r="EY141" i="92"/>
  <c r="ES141" i="92" s="1"/>
  <c r="ET141" i="92" s="1"/>
  <c r="FB177" i="92"/>
  <c r="FB137" i="92"/>
  <c r="FC158" i="92"/>
  <c r="FD183" i="92"/>
  <c r="FD137" i="92"/>
  <c r="EY172" i="92"/>
  <c r="FE172" i="92" s="1"/>
  <c r="FB136" i="92"/>
  <c r="FD138" i="92"/>
  <c r="EY133" i="92"/>
  <c r="FC153" i="92"/>
  <c r="EY184" i="92"/>
  <c r="ES184" i="92" s="1"/>
  <c r="ET184" i="92" s="1"/>
  <c r="FB153" i="92"/>
  <c r="FD155" i="92"/>
  <c r="EY166" i="92"/>
  <c r="ES166" i="92" s="1"/>
  <c r="ET166" i="92" s="1"/>
  <c r="FB133" i="92"/>
  <c r="EY185" i="92"/>
  <c r="ES185" i="92" s="1"/>
  <c r="ET185" i="92" s="1"/>
  <c r="FB150" i="92"/>
  <c r="FD147" i="92"/>
  <c r="FB187" i="92"/>
  <c r="EY169" i="92"/>
  <c r="ES169" i="92" s="1"/>
  <c r="ET169" i="92" s="1"/>
  <c r="FB139" i="92"/>
  <c r="FD134" i="92"/>
  <c r="FB188" i="92"/>
  <c r="FC172" i="92"/>
  <c r="EY145" i="92"/>
  <c r="FE145" i="92" s="1"/>
  <c r="FC171" i="92"/>
  <c r="FC148" i="92"/>
  <c r="FD179" i="92"/>
  <c r="FB166" i="92"/>
  <c r="FB164" i="92"/>
  <c r="FD164" i="92"/>
  <c r="EY150" i="92"/>
  <c r="ES150" i="92" s="1"/>
  <c r="ET150" i="92" s="1"/>
  <c r="FC149" i="92"/>
  <c r="FC138" i="92"/>
  <c r="FB185" i="92"/>
  <c r="FD169" i="92"/>
  <c r="EY1" i="92"/>
  <c r="EX2" i="92"/>
  <c r="ER2" i="92"/>
  <c r="EV2" i="92"/>
  <c r="EW2" i="92"/>
  <c r="ET2" i="92"/>
  <c r="EU2" i="92"/>
  <c r="ES2" i="92"/>
  <c r="EX157" i="92"/>
  <c r="EX181" i="92"/>
  <c r="EX156" i="92"/>
  <c r="EX183" i="92"/>
  <c r="ES136" i="92"/>
  <c r="ET136" i="92" s="1"/>
  <c r="EX136" i="92"/>
  <c r="EX145" i="92"/>
  <c r="EL161" i="92"/>
  <c r="EM161" i="92" s="1"/>
  <c r="EX161" i="92"/>
  <c r="EX133" i="92"/>
  <c r="ES133" i="92"/>
  <c r="ET133" i="92" s="1"/>
  <c r="EX169" i="92"/>
  <c r="EX165" i="92"/>
  <c r="EX139" i="92"/>
  <c r="EX188" i="92"/>
  <c r="EX167" i="92"/>
  <c r="ES134" i="92"/>
  <c r="ET134" i="92" s="1"/>
  <c r="EX134" i="92"/>
  <c r="EX173" i="92"/>
  <c r="EX146" i="92"/>
  <c r="EX180" i="92"/>
  <c r="EX149" i="92"/>
  <c r="ES149" i="92"/>
  <c r="ET149" i="92" s="1"/>
  <c r="EX179" i="92"/>
  <c r="EL155" i="92"/>
  <c r="EM155" i="92" s="1"/>
  <c r="EX155" i="92"/>
  <c r="EX143" i="92"/>
  <c r="EX160" i="92"/>
  <c r="ES182" i="92"/>
  <c r="ET182" i="92" s="1"/>
  <c r="EX182" i="92"/>
  <c r="EX166" i="92"/>
  <c r="EL186" i="92"/>
  <c r="EM186" i="92" s="1"/>
  <c r="ES186" i="92"/>
  <c r="ET186" i="92" s="1"/>
  <c r="EX186" i="92"/>
  <c r="EX148" i="92"/>
  <c r="ES148" i="92"/>
  <c r="ET148" i="92" s="1"/>
  <c r="EX147" i="92"/>
  <c r="EX176" i="92"/>
  <c r="EX175" i="92"/>
  <c r="EX154" i="92"/>
  <c r="EX172" i="92"/>
  <c r="EX185" i="92"/>
  <c r="EX140" i="92"/>
  <c r="EX159" i="92"/>
  <c r="EX170" i="92"/>
  <c r="ES170" i="92"/>
  <c r="ET170" i="92" s="1"/>
  <c r="EX184" i="92"/>
  <c r="EX142" i="92"/>
  <c r="EX158" i="92"/>
  <c r="EX168" i="92"/>
  <c r="EX163" i="92"/>
  <c r="EX138" i="92"/>
  <c r="EX135" i="92"/>
  <c r="EX151" i="92"/>
  <c r="EX162" i="92"/>
  <c r="EX177" i="92"/>
  <c r="EX187" i="92"/>
  <c r="EL141" i="92"/>
  <c r="EM141" i="92" s="1"/>
  <c r="EX141" i="92"/>
  <c r="EX153" i="92"/>
  <c r="EX164" i="92"/>
  <c r="EX178" i="92"/>
  <c r="EX95" i="92"/>
  <c r="EL66" i="92"/>
  <c r="EM66" i="92" s="1"/>
  <c r="EX52" i="92"/>
  <c r="EX66" i="92"/>
  <c r="EX46" i="92"/>
  <c r="EX104" i="92"/>
  <c r="EX63" i="92"/>
  <c r="EX47" i="92"/>
  <c r="EX16" i="92"/>
  <c r="EX72" i="92"/>
  <c r="EX114" i="92"/>
  <c r="H12" i="95"/>
  <c r="EX116" i="92"/>
  <c r="EX17" i="92"/>
  <c r="EX79" i="92"/>
  <c r="EX18" i="92"/>
  <c r="EX84" i="92"/>
  <c r="EX90" i="92"/>
  <c r="EX44" i="92"/>
  <c r="EX25" i="92"/>
  <c r="EX89" i="92"/>
  <c r="EX53" i="92"/>
  <c r="EL104" i="92"/>
  <c r="EM104" i="92" s="1"/>
  <c r="EX75" i="92"/>
  <c r="EX30" i="92"/>
  <c r="EX118" i="92"/>
  <c r="EX101" i="92"/>
  <c r="FB26" i="92"/>
  <c r="FB61" i="92"/>
  <c r="FB23" i="92"/>
  <c r="FB66" i="92"/>
  <c r="FB48" i="92"/>
  <c r="FB54" i="92"/>
  <c r="FB111" i="92"/>
  <c r="FB41" i="92"/>
  <c r="FB81" i="92"/>
  <c r="FB110" i="92"/>
  <c r="FB90" i="92"/>
  <c r="FB43" i="92"/>
  <c r="FB76" i="92"/>
  <c r="FB105" i="92"/>
  <c r="FB32" i="92"/>
  <c r="FB132" i="92"/>
  <c r="FB8" i="92"/>
  <c r="FB49" i="92"/>
  <c r="FB30" i="92"/>
  <c r="FB120" i="92"/>
  <c r="FB68" i="92"/>
  <c r="FB112" i="92"/>
  <c r="FB84" i="92"/>
  <c r="FB87" i="92"/>
  <c r="FB92" i="92"/>
  <c r="FB85" i="92"/>
  <c r="FB107" i="92"/>
  <c r="FB55" i="92"/>
  <c r="FB40" i="92"/>
  <c r="FB19" i="92"/>
  <c r="FB51" i="92"/>
  <c r="FB27" i="92"/>
  <c r="FB102" i="92"/>
  <c r="FB58" i="92"/>
  <c r="FB115" i="92"/>
  <c r="FB100" i="92"/>
  <c r="FB38" i="92"/>
  <c r="FB59" i="92"/>
  <c r="FB130" i="92"/>
  <c r="FB20" i="92"/>
  <c r="FB113" i="92"/>
  <c r="FB108" i="92"/>
  <c r="FB131" i="92"/>
  <c r="FB42" i="92"/>
  <c r="FB94" i="92"/>
  <c r="FB46" i="92"/>
  <c r="FB39" i="92"/>
  <c r="FB117" i="92"/>
  <c r="FB24" i="92"/>
  <c r="FB114" i="92"/>
  <c r="FB60" i="92"/>
  <c r="FB88" i="92"/>
  <c r="FB129" i="92"/>
  <c r="FB62" i="92"/>
  <c r="FB70" i="92"/>
  <c r="FB18" i="92"/>
  <c r="FB109" i="92"/>
  <c r="FB14" i="92"/>
  <c r="FB96" i="92"/>
  <c r="FB45" i="92"/>
  <c r="FB82" i="92"/>
  <c r="FB106" i="92"/>
  <c r="FB9" i="92"/>
  <c r="FB31" i="92"/>
  <c r="FB79" i="92"/>
  <c r="FB104" i="92"/>
  <c r="FB10" i="92"/>
  <c r="FB65" i="92"/>
  <c r="FB50" i="92"/>
  <c r="FB34" i="92"/>
  <c r="FB52" i="92"/>
  <c r="FB98" i="92"/>
  <c r="FB12" i="92"/>
  <c r="FB11" i="92"/>
  <c r="FB99" i="92"/>
  <c r="FB80" i="92"/>
  <c r="FB89" i="92"/>
  <c r="FB7" i="92"/>
  <c r="FB119" i="92"/>
  <c r="FB16" i="92"/>
  <c r="FB29" i="92"/>
  <c r="FB83" i="92"/>
  <c r="FB67" i="92"/>
  <c r="FB124" i="92"/>
  <c r="FB127" i="92"/>
  <c r="FB57" i="92"/>
  <c r="FB13" i="92"/>
  <c r="FB77" i="92"/>
  <c r="FB6" i="92"/>
  <c r="FB33" i="92"/>
  <c r="FB74" i="92"/>
  <c r="FB101" i="92"/>
  <c r="FB63" i="92"/>
  <c r="FB95" i="92"/>
  <c r="FB36" i="92"/>
  <c r="FB37" i="92"/>
  <c r="FB25" i="92"/>
  <c r="FB71" i="92"/>
  <c r="FB3" i="92"/>
  <c r="FB97" i="92"/>
  <c r="FB28" i="92"/>
  <c r="FA3" i="92"/>
  <c r="FB123" i="92"/>
  <c r="FB21" i="92"/>
  <c r="FB44" i="92"/>
  <c r="FB125" i="92"/>
  <c r="FB121" i="92"/>
  <c r="FB64" i="92"/>
  <c r="FB17" i="92"/>
  <c r="FB35" i="92"/>
  <c r="FB91" i="92"/>
  <c r="FB53" i="92"/>
  <c r="FB22" i="92"/>
  <c r="FB122" i="92"/>
  <c r="FB128" i="92"/>
  <c r="FB5" i="92"/>
  <c r="FB78" i="92"/>
  <c r="FB116" i="92"/>
  <c r="FB103" i="92"/>
  <c r="FB72" i="92"/>
  <c r="FB126" i="92"/>
  <c r="FB118" i="92"/>
  <c r="FB69" i="92"/>
  <c r="FB86" i="92"/>
  <c r="FB73" i="92"/>
  <c r="FB15" i="92"/>
  <c r="FB56" i="92"/>
  <c r="EZ3" i="92"/>
  <c r="FB75" i="92"/>
  <c r="FB47" i="92"/>
  <c r="FB93" i="92"/>
  <c r="EX35" i="92"/>
  <c r="EX31" i="92"/>
  <c r="EX29" i="92"/>
  <c r="EX123" i="92"/>
  <c r="EX112" i="92"/>
  <c r="EX120" i="92"/>
  <c r="EX21" i="92"/>
  <c r="EL46" i="92"/>
  <c r="EM46" i="92" s="1"/>
  <c r="EL9" i="92"/>
  <c r="EM9" i="92" s="1"/>
  <c r="EL15" i="92"/>
  <c r="EM15" i="92" s="1"/>
  <c r="EX119" i="92"/>
  <c r="EX111" i="92"/>
  <c r="EX86" i="92"/>
  <c r="EL25" i="92"/>
  <c r="EM25" i="92" s="1"/>
  <c r="EL120" i="92"/>
  <c r="EM120" i="92" s="1"/>
  <c r="EX100" i="92"/>
  <c r="EX23" i="92"/>
  <c r="EL26" i="92"/>
  <c r="EM26" i="92" s="1"/>
  <c r="EL118" i="92"/>
  <c r="EM118" i="92" s="1"/>
  <c r="EL111" i="92"/>
  <c r="EM111" i="92" s="1"/>
  <c r="EL57" i="92"/>
  <c r="EM57" i="92" s="1"/>
  <c r="EX58" i="92"/>
  <c r="EX45" i="92"/>
  <c r="EX127" i="92"/>
  <c r="EX93" i="92"/>
  <c r="EL23" i="92"/>
  <c r="EM23" i="92" s="1"/>
  <c r="EL86" i="92"/>
  <c r="EM86" i="92" s="1"/>
  <c r="EL112" i="92"/>
  <c r="EM112" i="92" s="1"/>
  <c r="EL10" i="92"/>
  <c r="EM10" i="92" s="1"/>
  <c r="EL75" i="92"/>
  <c r="EM75" i="92" s="1"/>
  <c r="EL40" i="92"/>
  <c r="EM40" i="92" s="1"/>
  <c r="EX36" i="92"/>
  <c r="EX24" i="92"/>
  <c r="EL98" i="92"/>
  <c r="EM98" i="92" s="1"/>
  <c r="EL92" i="92"/>
  <c r="EM92" i="92" s="1"/>
  <c r="EL47" i="92"/>
  <c r="EM47" i="92" s="1"/>
  <c r="EL45" i="92"/>
  <c r="EM45" i="92" s="1"/>
  <c r="EX37" i="92"/>
  <c r="EX42" i="92"/>
  <c r="EL38" i="92"/>
  <c r="EM38" i="92" s="1"/>
  <c r="EL77" i="92"/>
  <c r="EM77" i="92" s="1"/>
  <c r="EL108" i="92"/>
  <c r="EM108" i="92" s="1"/>
  <c r="EL63" i="92"/>
  <c r="EM63" i="92" s="1"/>
  <c r="EL50" i="92"/>
  <c r="EM50" i="92" s="1"/>
  <c r="EL132" i="92"/>
  <c r="EM132" i="92" s="1"/>
  <c r="EX122" i="92"/>
  <c r="EX113" i="92"/>
  <c r="EX5" i="92"/>
  <c r="EX67" i="92"/>
  <c r="EL125" i="92"/>
  <c r="EM125" i="92" s="1"/>
  <c r="EL7" i="92"/>
  <c r="EM7" i="92" s="1"/>
  <c r="EL82" i="92"/>
  <c r="EM82" i="92" s="1"/>
  <c r="EL29" i="92"/>
  <c r="EM29" i="92" s="1"/>
  <c r="EL89" i="92"/>
  <c r="EM89" i="92" s="1"/>
  <c r="EL123" i="92"/>
  <c r="EM123" i="92" s="1"/>
  <c r="EL14" i="92"/>
  <c r="EM14" i="92" s="1"/>
  <c r="EL35" i="92"/>
  <c r="EM35" i="92" s="1"/>
  <c r="EL30" i="92"/>
  <c r="EM30" i="92" s="1"/>
  <c r="EX33" i="92"/>
  <c r="EX13" i="92"/>
  <c r="EX11" i="92"/>
  <c r="EL6" i="92"/>
  <c r="EM6" i="92" s="1"/>
  <c r="EL130" i="92"/>
  <c r="EM130" i="92" s="1"/>
  <c r="EL119" i="92"/>
  <c r="EM119" i="92" s="1"/>
  <c r="EL24" i="92"/>
  <c r="EM24" i="92" s="1"/>
  <c r="EL115" i="92"/>
  <c r="EM115" i="92" s="1"/>
  <c r="EL60" i="92"/>
  <c r="EM60" i="92" s="1"/>
  <c r="EL43" i="92"/>
  <c r="EM43" i="92" s="1"/>
  <c r="EL34" i="92"/>
  <c r="EM34" i="92" s="1"/>
  <c r="EL28" i="92"/>
  <c r="EM28" i="92" s="1"/>
  <c r="EL37" i="92"/>
  <c r="EM37" i="92" s="1"/>
  <c r="EL58" i="92"/>
  <c r="EM58" i="92" s="1"/>
  <c r="EL69" i="92"/>
  <c r="EM69" i="92" s="1"/>
  <c r="EL64" i="92"/>
  <c r="EM64" i="92" s="1"/>
  <c r="EL97" i="92"/>
  <c r="EM97" i="92" s="1"/>
  <c r="EL53" i="92"/>
  <c r="EM53" i="92" s="1"/>
  <c r="EL51" i="92"/>
  <c r="EM51" i="92" s="1"/>
  <c r="EL116" i="92"/>
  <c r="EM116" i="92" s="1"/>
  <c r="EL103" i="92"/>
  <c r="EM103" i="92" s="1"/>
  <c r="EL31" i="92"/>
  <c r="EM31" i="92" s="1"/>
  <c r="EX78" i="92"/>
  <c r="EX22" i="92"/>
  <c r="EX94" i="92"/>
  <c r="EL110" i="92"/>
  <c r="EM110" i="92" s="1"/>
  <c r="EL94" i="92"/>
  <c r="EM94" i="92" s="1"/>
  <c r="EL52" i="92"/>
  <c r="EM52" i="92" s="1"/>
  <c r="EL21" i="92"/>
  <c r="EM21" i="92" s="1"/>
  <c r="EL128" i="92"/>
  <c r="EM128" i="92" s="1"/>
  <c r="EL20" i="92"/>
  <c r="EM20" i="92" s="1"/>
  <c r="EL81" i="92"/>
  <c r="EM81" i="92" s="1"/>
  <c r="EL54" i="92"/>
  <c r="EM54" i="92" s="1"/>
  <c r="EL117" i="92"/>
  <c r="EM117" i="92" s="1"/>
  <c r="EL131" i="92"/>
  <c r="EM131" i="92" s="1"/>
  <c r="EL129" i="92"/>
  <c r="EM129" i="92" s="1"/>
  <c r="AB12" i="95"/>
  <c r="EX108" i="92"/>
  <c r="EX74" i="92"/>
  <c r="EX40" i="92"/>
  <c r="EX10" i="92"/>
  <c r="EX96" i="92"/>
  <c r="EX49" i="92"/>
  <c r="EX106" i="92"/>
  <c r="EX99" i="92"/>
  <c r="EX92" i="92"/>
  <c r="K11" i="95"/>
  <c r="EX69" i="92"/>
  <c r="EX125" i="92"/>
  <c r="EX128" i="92"/>
  <c r="EX121" i="92"/>
  <c r="EX91" i="92"/>
  <c r="EX57" i="92"/>
  <c r="EX105" i="92"/>
  <c r="EX109" i="92"/>
  <c r="EX103" i="92"/>
  <c r="EX39" i="92"/>
  <c r="EX82" i="92"/>
  <c r="EX102" i="92"/>
  <c r="EX77" i="92"/>
  <c r="EX110" i="92"/>
  <c r="EX73" i="92"/>
  <c r="EX68" i="92"/>
  <c r="EX132" i="92"/>
  <c r="G10" i="95"/>
  <c r="J10" i="95"/>
  <c r="AD11" i="95" s="1"/>
  <c r="EX55" i="92"/>
  <c r="I10" i="95"/>
  <c r="EX26" i="92"/>
  <c r="EX124" i="92"/>
  <c r="EX65" i="92"/>
  <c r="EX71" i="92"/>
  <c r="EX28" i="92"/>
  <c r="EX64" i="92"/>
  <c r="EX51" i="92"/>
  <c r="EX6" i="92"/>
  <c r="EX7" i="92"/>
  <c r="EX59" i="92"/>
  <c r="EX61" i="92"/>
  <c r="EX130" i="92"/>
  <c r="EX83" i="92"/>
  <c r="EX15" i="92"/>
  <c r="EX41" i="92"/>
  <c r="EX38" i="92"/>
  <c r="EX87" i="92"/>
  <c r="EX9" i="92"/>
  <c r="EX50" i="92"/>
  <c r="EX34" i="92"/>
  <c r="EX98" i="92"/>
  <c r="EX70" i="92"/>
  <c r="EX60" i="92"/>
  <c r="EX81" i="92"/>
  <c r="EX107" i="92"/>
  <c r="EX126" i="92"/>
  <c r="EX48" i="92"/>
  <c r="EX115" i="92"/>
  <c r="EX80" i="92"/>
  <c r="EX12" i="92"/>
  <c r="EX88" i="92"/>
  <c r="EX62" i="92"/>
  <c r="EX117" i="92"/>
  <c r="AC12" i="95"/>
  <c r="AD12" i="95"/>
  <c r="EX20" i="92"/>
  <c r="EX8" i="92"/>
  <c r="EX76" i="92"/>
  <c r="EX32" i="92"/>
  <c r="EX85" i="92"/>
  <c r="EX56" i="92"/>
  <c r="EX131" i="92"/>
  <c r="EX19" i="92"/>
  <c r="EX97" i="92"/>
  <c r="EY22" i="92"/>
  <c r="EY12" i="92"/>
  <c r="ES12" i="92" s="1"/>
  <c r="ET12" i="92" s="1"/>
  <c r="EY130" i="92"/>
  <c r="ES130" i="92" s="1"/>
  <c r="ET130" i="92" s="1"/>
  <c r="EY113" i="92"/>
  <c r="EY33" i="92"/>
  <c r="ES33" i="92" s="1"/>
  <c r="ET33" i="92" s="1"/>
  <c r="EY39" i="92"/>
  <c r="ES39" i="92" s="1"/>
  <c r="ET39" i="92" s="1"/>
  <c r="EY9" i="92"/>
  <c r="EY115" i="92"/>
  <c r="ES115" i="92" s="1"/>
  <c r="ET115" i="92" s="1"/>
  <c r="EY88" i="92"/>
  <c r="ES88" i="92" s="1"/>
  <c r="ET88" i="92" s="1"/>
  <c r="EY126" i="92"/>
  <c r="FC104" i="92"/>
  <c r="FC79" i="92"/>
  <c r="FC44" i="92"/>
  <c r="FC80" i="92"/>
  <c r="FC67" i="92"/>
  <c r="FC7" i="92"/>
  <c r="FC24" i="92"/>
  <c r="FC91" i="92"/>
  <c r="FC34" i="92"/>
  <c r="FC56" i="92"/>
  <c r="FD113" i="92"/>
  <c r="FD123" i="92"/>
  <c r="FD53" i="92"/>
  <c r="EY45" i="92"/>
  <c r="EY49" i="92"/>
  <c r="ES49" i="92" s="1"/>
  <c r="ET49" i="92" s="1"/>
  <c r="EY127" i="92"/>
  <c r="ES127" i="92" s="1"/>
  <c r="ET127" i="92" s="1"/>
  <c r="EY73" i="92"/>
  <c r="ES73" i="92" s="1"/>
  <c r="ET73" i="92" s="1"/>
  <c r="EY129" i="92"/>
  <c r="EY81" i="92"/>
  <c r="EY106" i="92"/>
  <c r="EY58" i="92"/>
  <c r="ES58" i="92" s="1"/>
  <c r="ET58" i="92" s="1"/>
  <c r="EY76" i="92"/>
  <c r="EY53" i="92"/>
  <c r="ES53" i="92" s="1"/>
  <c r="ET53" i="92" s="1"/>
  <c r="EY66" i="92"/>
  <c r="FC85" i="92"/>
  <c r="FC101" i="92"/>
  <c r="FC46" i="92"/>
  <c r="FC94" i="92"/>
  <c r="FC90" i="92"/>
  <c r="FC11" i="92"/>
  <c r="FC102" i="92"/>
  <c r="FC64" i="92"/>
  <c r="FC92" i="92"/>
  <c r="FC72" i="92"/>
  <c r="FC51" i="92"/>
  <c r="FD78" i="92"/>
  <c r="FD24" i="92"/>
  <c r="FD23" i="92"/>
  <c r="EY96" i="92"/>
  <c r="ES96" i="92" s="1"/>
  <c r="ET96" i="92" s="1"/>
  <c r="EY17" i="92"/>
  <c r="ES17" i="92" s="1"/>
  <c r="ET17" i="92" s="1"/>
  <c r="EY41" i="92"/>
  <c r="EY77" i="92"/>
  <c r="EY89" i="92"/>
  <c r="ES89" i="92" s="1"/>
  <c r="ET89" i="92" s="1"/>
  <c r="EY42" i="92"/>
  <c r="ES42" i="92" s="1"/>
  <c r="ET42" i="92" s="1"/>
  <c r="EY62" i="92"/>
  <c r="ES62" i="92" s="1"/>
  <c r="ET62" i="92" s="1"/>
  <c r="EY132" i="92"/>
  <c r="EY71" i="92"/>
  <c r="EY23" i="92"/>
  <c r="ES23" i="92" s="1"/>
  <c r="ET23" i="92" s="1"/>
  <c r="EY47" i="92"/>
  <c r="FC121" i="92"/>
  <c r="FC86" i="92"/>
  <c r="FC21" i="92"/>
  <c r="FC57" i="92"/>
  <c r="FC69" i="92"/>
  <c r="FC87" i="92"/>
  <c r="FC52" i="92"/>
  <c r="FC13" i="92"/>
  <c r="FC109" i="92"/>
  <c r="FC6" i="92"/>
  <c r="FD22" i="92"/>
  <c r="FD118" i="92"/>
  <c r="FD52" i="92"/>
  <c r="FD25" i="92"/>
  <c r="EY101" i="92"/>
  <c r="ES101" i="92" s="1"/>
  <c r="ET101" i="92" s="1"/>
  <c r="EY116" i="92"/>
  <c r="ES116" i="92" s="1"/>
  <c r="ET116" i="92" s="1"/>
  <c r="EY103" i="92"/>
  <c r="ES103" i="92" s="1"/>
  <c r="ET103" i="92" s="1"/>
  <c r="EY11" i="92"/>
  <c r="EY120" i="92"/>
  <c r="EY40" i="92"/>
  <c r="EY72" i="92"/>
  <c r="ES72" i="92" s="1"/>
  <c r="ET72" i="92" s="1"/>
  <c r="EY70" i="92"/>
  <c r="FC32" i="92"/>
  <c r="FC38" i="92"/>
  <c r="FC73" i="92"/>
  <c r="FC117" i="92"/>
  <c r="FC95" i="92"/>
  <c r="FC58" i="92"/>
  <c r="FC50" i="92"/>
  <c r="FC98" i="92"/>
  <c r="FD112" i="92"/>
  <c r="FD93" i="92"/>
  <c r="FD35" i="92"/>
  <c r="EY114" i="92"/>
  <c r="EY86" i="92"/>
  <c r="EY54" i="92"/>
  <c r="EY83" i="92"/>
  <c r="ES83" i="92" s="1"/>
  <c r="ET83" i="92" s="1"/>
  <c r="EY87" i="92"/>
  <c r="ES87" i="92" s="1"/>
  <c r="ET87" i="92" s="1"/>
  <c r="EY36" i="92"/>
  <c r="ES36" i="92" s="1"/>
  <c r="ET36" i="92" s="1"/>
  <c r="EY124" i="92"/>
  <c r="ES124" i="92" s="1"/>
  <c r="ET124" i="92" s="1"/>
  <c r="EY6" i="92"/>
  <c r="ES6" i="92" s="1"/>
  <c r="ET6" i="92" s="1"/>
  <c r="EY31" i="92"/>
  <c r="FC107" i="92"/>
  <c r="FC84" i="92"/>
  <c r="FC77" i="92"/>
  <c r="FC37" i="92"/>
  <c r="FC123" i="92"/>
  <c r="FC132" i="92"/>
  <c r="FC14" i="92"/>
  <c r="FC100" i="92"/>
  <c r="FD101" i="92"/>
  <c r="FD11" i="92"/>
  <c r="EY104" i="92"/>
  <c r="EY94" i="92"/>
  <c r="EY93" i="92"/>
  <c r="EY52" i="92"/>
  <c r="ES52" i="92" s="1"/>
  <c r="ET52" i="92" s="1"/>
  <c r="EY91" i="92"/>
  <c r="EY27" i="92"/>
  <c r="FC8" i="92"/>
  <c r="FC41" i="92"/>
  <c r="FC103" i="92"/>
  <c r="FC30" i="92"/>
  <c r="FC131" i="92"/>
  <c r="FC111" i="92"/>
  <c r="FC47" i="92"/>
  <c r="FD42" i="92"/>
  <c r="FD5" i="92"/>
  <c r="EY85" i="92"/>
  <c r="EY122" i="92"/>
  <c r="EY57" i="92"/>
  <c r="EY74" i="92"/>
  <c r="ES74" i="92" s="1"/>
  <c r="ET74" i="92" s="1"/>
  <c r="EY108" i="92"/>
  <c r="ES108" i="92" s="1"/>
  <c r="ET108" i="92" s="1"/>
  <c r="EY92" i="92"/>
  <c r="EY25" i="92"/>
  <c r="FC20" i="92"/>
  <c r="FC19" i="92"/>
  <c r="FC83" i="92"/>
  <c r="FC55" i="92"/>
  <c r="FC115" i="92"/>
  <c r="FC35" i="92"/>
  <c r="FC5" i="92"/>
  <c r="FD45" i="92"/>
  <c r="FD30" i="92"/>
  <c r="FD70" i="92"/>
  <c r="EY16" i="92"/>
  <c r="ES16" i="92" s="1"/>
  <c r="ET16" i="92" s="1"/>
  <c r="EY84" i="92"/>
  <c r="ES84" i="92" s="1"/>
  <c r="ET84" i="92" s="1"/>
  <c r="EY59" i="92"/>
  <c r="EY7" i="92"/>
  <c r="EY48" i="92"/>
  <c r="EY65" i="92"/>
  <c r="EY100" i="92"/>
  <c r="FC12" i="92"/>
  <c r="FC54" i="92"/>
  <c r="FC129" i="92"/>
  <c r="FC119" i="92"/>
  <c r="FC105" i="92"/>
  <c r="FC31" i="92"/>
  <c r="FD120" i="92"/>
  <c r="FD29" i="92"/>
  <c r="EY32" i="92"/>
  <c r="EY44" i="92"/>
  <c r="EY107" i="92"/>
  <c r="EY125" i="92"/>
  <c r="EY15" i="92"/>
  <c r="EY64" i="92"/>
  <c r="ES64" i="92" s="1"/>
  <c r="ET64" i="92" s="1"/>
  <c r="EY34" i="92"/>
  <c r="ES34" i="92" s="1"/>
  <c r="ET34" i="92" s="1"/>
  <c r="FC45" i="92"/>
  <c r="FC116" i="92"/>
  <c r="FC93" i="92"/>
  <c r="FC36" i="92"/>
  <c r="FC110" i="92"/>
  <c r="FD86" i="92"/>
  <c r="EY8" i="92"/>
  <c r="EY43" i="92"/>
  <c r="EY30" i="92"/>
  <c r="EY13" i="92"/>
  <c r="ES13" i="92" s="1"/>
  <c r="ET13" i="92" s="1"/>
  <c r="EY61" i="92"/>
  <c r="FC96" i="92"/>
  <c r="FC26" i="92"/>
  <c r="FC74" i="92"/>
  <c r="FC75" i="92"/>
  <c r="FC53" i="92"/>
  <c r="FD122" i="92"/>
  <c r="FD13" i="92"/>
  <c r="EY79" i="92"/>
  <c r="EY78" i="92"/>
  <c r="EY119" i="92"/>
  <c r="EY82" i="92"/>
  <c r="EY56" i="92"/>
  <c r="ES56" i="92" s="1"/>
  <c r="ET56" i="92" s="1"/>
  <c r="FC49" i="92"/>
  <c r="FC113" i="92"/>
  <c r="FC81" i="92"/>
  <c r="FC82" i="92"/>
  <c r="FC128" i="92"/>
  <c r="FD94" i="92"/>
  <c r="FD100" i="92"/>
  <c r="EY46" i="92"/>
  <c r="ES46" i="92" s="1"/>
  <c r="ET46" i="92" s="1"/>
  <c r="EY37" i="92"/>
  <c r="EY10" i="92"/>
  <c r="EY63" i="92"/>
  <c r="ES63" i="92" s="1"/>
  <c r="ET63" i="92" s="1"/>
  <c r="FC17" i="92"/>
  <c r="FC118" i="92"/>
  <c r="FC120" i="92"/>
  <c r="FC27" i="92"/>
  <c r="EY21" i="92"/>
  <c r="EY55" i="92"/>
  <c r="ES55" i="92" s="1"/>
  <c r="ET55" i="92" s="1"/>
  <c r="EY109" i="92"/>
  <c r="EY29" i="92"/>
  <c r="FC97" i="92"/>
  <c r="FC33" i="92"/>
  <c r="FC48" i="92"/>
  <c r="FC25" i="92"/>
  <c r="FD21" i="92"/>
  <c r="FD31" i="92"/>
  <c r="EY19" i="92"/>
  <c r="ES19" i="92" s="1"/>
  <c r="ET19" i="92" s="1"/>
  <c r="EY60" i="92"/>
  <c r="ES60" i="92" s="1"/>
  <c r="ET60" i="92" s="1"/>
  <c r="EY50" i="92"/>
  <c r="ES50" i="92" s="1"/>
  <c r="ET50" i="92" s="1"/>
  <c r="FC68" i="92"/>
  <c r="FC89" i="92"/>
  <c r="FC18" i="92"/>
  <c r="FC126" i="92"/>
  <c r="FD127" i="92"/>
  <c r="EY99" i="92"/>
  <c r="EY24" i="92"/>
  <c r="ES24" i="92" s="1"/>
  <c r="ET24" i="92" s="1"/>
  <c r="EY35" i="92"/>
  <c r="FC130" i="92"/>
  <c r="FC39" i="92"/>
  <c r="FC124" i="92"/>
  <c r="FC63" i="92"/>
  <c r="FD89" i="92"/>
  <c r="EY121" i="92"/>
  <c r="EY118" i="92"/>
  <c r="ES118" i="92" s="1"/>
  <c r="ET118" i="92" s="1"/>
  <c r="EY102" i="92"/>
  <c r="EY110" i="92"/>
  <c r="FC127" i="92"/>
  <c r="FC42" i="92"/>
  <c r="FC88" i="92"/>
  <c r="FC29" i="92"/>
  <c r="FD37" i="92"/>
  <c r="EY90" i="92"/>
  <c r="ES90" i="92" s="1"/>
  <c r="ET90" i="92" s="1"/>
  <c r="EY111" i="92"/>
  <c r="FC99" i="92"/>
  <c r="FC76" i="92"/>
  <c r="FD36" i="92"/>
  <c r="EY69" i="92"/>
  <c r="ES69" i="92" s="1"/>
  <c r="ET69" i="92" s="1"/>
  <c r="EY128" i="92"/>
  <c r="FC59" i="92"/>
  <c r="FC71" i="92"/>
  <c r="FD75" i="92"/>
  <c r="EY28" i="92"/>
  <c r="EY98" i="92"/>
  <c r="FC78" i="92"/>
  <c r="FC65" i="92"/>
  <c r="FD58" i="92"/>
  <c r="EY20" i="92"/>
  <c r="ES20" i="92" s="1"/>
  <c r="ET20" i="92" s="1"/>
  <c r="EY95" i="92"/>
  <c r="FC114" i="92"/>
  <c r="FC15" i="92"/>
  <c r="FC61" i="92"/>
  <c r="EY112" i="92"/>
  <c r="ES112" i="92" s="1"/>
  <c r="ET112" i="92" s="1"/>
  <c r="EY123" i="92"/>
  <c r="ES123" i="92" s="1"/>
  <c r="ET123" i="92" s="1"/>
  <c r="EY5" i="92"/>
  <c r="FC22" i="92"/>
  <c r="FC60" i="92"/>
  <c r="FC66" i="92"/>
  <c r="EY68" i="92"/>
  <c r="ES68" i="92" s="1"/>
  <c r="ET68" i="92" s="1"/>
  <c r="EY131" i="92"/>
  <c r="FC112" i="92"/>
  <c r="FC106" i="92"/>
  <c r="EY67" i="92"/>
  <c r="ES67" i="92" s="1"/>
  <c r="ET67" i="92" s="1"/>
  <c r="FC40" i="92"/>
  <c r="FD119" i="92"/>
  <c r="EY75" i="92"/>
  <c r="ES75" i="92" s="1"/>
  <c r="ET75" i="92" s="1"/>
  <c r="FC16" i="92"/>
  <c r="FC70" i="92"/>
  <c r="EY18" i="92"/>
  <c r="ES18" i="92" s="1"/>
  <c r="ET18" i="92" s="1"/>
  <c r="FC122" i="92"/>
  <c r="EY105" i="92"/>
  <c r="ES105" i="92" s="1"/>
  <c r="ET105" i="92" s="1"/>
  <c r="FC125" i="92"/>
  <c r="EY14" i="92"/>
  <c r="ES14" i="92" s="1"/>
  <c r="ET14" i="92" s="1"/>
  <c r="FC43" i="92"/>
  <c r="EY97" i="92"/>
  <c r="ES97" i="92" s="1"/>
  <c r="ET97" i="92" s="1"/>
  <c r="FD33" i="92"/>
  <c r="EY38" i="92"/>
  <c r="ES38" i="92" s="1"/>
  <c r="ET38" i="92" s="1"/>
  <c r="FC108" i="92"/>
  <c r="EY26" i="92"/>
  <c r="FC10" i="92"/>
  <c r="EY80" i="92"/>
  <c r="FC23" i="92"/>
  <c r="EY117" i="92"/>
  <c r="ES117" i="92" s="1"/>
  <c r="ET117" i="92" s="1"/>
  <c r="EY51" i="92"/>
  <c r="FD67" i="92"/>
  <c r="FD111" i="92"/>
  <c r="FC28" i="92"/>
  <c r="FC9" i="92"/>
  <c r="FC3" i="92"/>
  <c r="FC62" i="92"/>
  <c r="FD82" i="92"/>
  <c r="FD73" i="92"/>
  <c r="FD105" i="92"/>
  <c r="FD63" i="92"/>
  <c r="FD128" i="92"/>
  <c r="FD40" i="92"/>
  <c r="FD47" i="92"/>
  <c r="FD56" i="92"/>
  <c r="FD108" i="92"/>
  <c r="FD55" i="92"/>
  <c r="FD81" i="92"/>
  <c r="FD8" i="92"/>
  <c r="FD124" i="92"/>
  <c r="FD34" i="92"/>
  <c r="FD85" i="92"/>
  <c r="FD79" i="92"/>
  <c r="FD103" i="92"/>
  <c r="FD66" i="92"/>
  <c r="FD97" i="92"/>
  <c r="FD88" i="92"/>
  <c r="FD26" i="92"/>
  <c r="FD71" i="92"/>
  <c r="FD132" i="92"/>
  <c r="FD62" i="92"/>
  <c r="FD117" i="92"/>
  <c r="FD109" i="92"/>
  <c r="FD98" i="92"/>
  <c r="FD116" i="92"/>
  <c r="FD10" i="92"/>
  <c r="FD18" i="92"/>
  <c r="FD38" i="92"/>
  <c r="FD84" i="92"/>
  <c r="FD68" i="92"/>
  <c r="FD64" i="92"/>
  <c r="FD50" i="92"/>
  <c r="FD87" i="92"/>
  <c r="FD6" i="92"/>
  <c r="FD27" i="92"/>
  <c r="FD125" i="92"/>
  <c r="FD110" i="92"/>
  <c r="FD61" i="92"/>
  <c r="FD72" i="92"/>
  <c r="FD60" i="92"/>
  <c r="FD65" i="92"/>
  <c r="FD17" i="92"/>
  <c r="FD28" i="92"/>
  <c r="FD49" i="92"/>
  <c r="FD43" i="92"/>
  <c r="FD107" i="92"/>
  <c r="FD59" i="92"/>
  <c r="FD51" i="92"/>
  <c r="FD129" i="92"/>
  <c r="FD83" i="92"/>
  <c r="FD44" i="92"/>
  <c r="FD69" i="92"/>
  <c r="FD114" i="92"/>
  <c r="FD48" i="92"/>
  <c r="FD39" i="92"/>
  <c r="FE39" i="92" s="1"/>
  <c r="FD16" i="92"/>
  <c r="FD41" i="92"/>
  <c r="FD74" i="92"/>
  <c r="FD90" i="92"/>
  <c r="FD102" i="92"/>
  <c r="FD9" i="92"/>
  <c r="FD96" i="92"/>
  <c r="FD7" i="92"/>
  <c r="FD80" i="92"/>
  <c r="FD130" i="92"/>
  <c r="FD115" i="92"/>
  <c r="FD46" i="92"/>
  <c r="FD77" i="92"/>
  <c r="FD20" i="92"/>
  <c r="FD32" i="92"/>
  <c r="FD12" i="92"/>
  <c r="FD76" i="92"/>
  <c r="FD19" i="92"/>
  <c r="FD121" i="92"/>
  <c r="FD104" i="92"/>
  <c r="FD131" i="92"/>
  <c r="FD99" i="92"/>
  <c r="FD95" i="92"/>
  <c r="FD14" i="92"/>
  <c r="FD126" i="92"/>
  <c r="FD92" i="92"/>
  <c r="FD106" i="92"/>
  <c r="FD15" i="92"/>
  <c r="FD57" i="92"/>
  <c r="FD91" i="92"/>
  <c r="FD54" i="92"/>
  <c r="EX14" i="92"/>
  <c r="EX43" i="92"/>
  <c r="EX129" i="92"/>
  <c r="EX27" i="92"/>
  <c r="FF3" i="92"/>
  <c r="FE3" i="92"/>
  <c r="FD3" i="92"/>
  <c r="ES139" i="92" l="1"/>
  <c r="ET139" i="92" s="1"/>
  <c r="ES178" i="92"/>
  <c r="ET178" i="92" s="1"/>
  <c r="FE156" i="92"/>
  <c r="ES159" i="92"/>
  <c r="ET159" i="92" s="1"/>
  <c r="FE181" i="92"/>
  <c r="ES167" i="92"/>
  <c r="ET167" i="92" s="1"/>
  <c r="ES162" i="92"/>
  <c r="ET162" i="92" s="1"/>
  <c r="FE133" i="92"/>
  <c r="ES152" i="92"/>
  <c r="ET152" i="92" s="1"/>
  <c r="ES187" i="92"/>
  <c r="ET187" i="92" s="1"/>
  <c r="ES163" i="92"/>
  <c r="ET163" i="92" s="1"/>
  <c r="ES145" i="92"/>
  <c r="ET145" i="92" s="1"/>
  <c r="ES180" i="92"/>
  <c r="ET180" i="92" s="1"/>
  <c r="ES146" i="92"/>
  <c r="ET146" i="92" s="1"/>
  <c r="FE182" i="92"/>
  <c r="FE157" i="92"/>
  <c r="ES172" i="92"/>
  <c r="ET172" i="92" s="1"/>
  <c r="ES174" i="92"/>
  <c r="ET174" i="92" s="1"/>
  <c r="FE179" i="92"/>
  <c r="FF183" i="92"/>
  <c r="FL183" i="92" s="1"/>
  <c r="FF169" i="92"/>
  <c r="FL169" i="92" s="1"/>
  <c r="FF154" i="92"/>
  <c r="F154" i="92" s="1"/>
  <c r="FF143" i="92"/>
  <c r="EZ143" i="92" s="1"/>
  <c r="FA143" i="92" s="1"/>
  <c r="Y143" i="92" s="1"/>
  <c r="AA143" i="92" s="1"/>
  <c r="FI185" i="92"/>
  <c r="FI176" i="92"/>
  <c r="FI160" i="92"/>
  <c r="FI147" i="92"/>
  <c r="FI138" i="92"/>
  <c r="FJ183" i="92"/>
  <c r="FJ169" i="92"/>
  <c r="FJ154" i="92"/>
  <c r="FJ143" i="92"/>
  <c r="FK185" i="92"/>
  <c r="K185" i="92" s="1"/>
  <c r="FK176" i="92"/>
  <c r="K176" i="92" s="1"/>
  <c r="FK160" i="92"/>
  <c r="G160" i="92" s="1"/>
  <c r="FK147" i="92"/>
  <c r="I147" i="92" s="1"/>
  <c r="FK138" i="92"/>
  <c r="K138" i="92" s="1"/>
  <c r="FF185" i="92"/>
  <c r="EZ185" i="92" s="1"/>
  <c r="FA185" i="92" s="1"/>
  <c r="FF168" i="92"/>
  <c r="EZ168" i="92" s="1"/>
  <c r="FA168" i="92" s="1"/>
  <c r="FF157" i="92"/>
  <c r="F157" i="92" s="1"/>
  <c r="FF146" i="92"/>
  <c r="F146" i="92" s="1"/>
  <c r="FF133" i="92"/>
  <c r="F133" i="92" s="1"/>
  <c r="FI175" i="92"/>
  <c r="FI161" i="92"/>
  <c r="FI149" i="92"/>
  <c r="FI139" i="92"/>
  <c r="FJ173" i="92"/>
  <c r="FJ165" i="92"/>
  <c r="FJ147" i="92"/>
  <c r="FJ136" i="92"/>
  <c r="FK178" i="92"/>
  <c r="G178" i="92" s="1"/>
  <c r="FK162" i="92"/>
  <c r="G162" i="92" s="1"/>
  <c r="FK151" i="92"/>
  <c r="G151" i="92" s="1"/>
  <c r="FK135" i="92"/>
  <c r="FF170" i="92"/>
  <c r="F170" i="92" s="1"/>
  <c r="FF156" i="92"/>
  <c r="F156" i="92" s="1"/>
  <c r="FF144" i="92"/>
  <c r="F144" i="92" s="1"/>
  <c r="FI168" i="92"/>
  <c r="FI157" i="92"/>
  <c r="FI146" i="92"/>
  <c r="FJ175" i="92"/>
  <c r="FJ160" i="92"/>
  <c r="FJ134" i="92"/>
  <c r="FK174" i="92"/>
  <c r="K174" i="92" s="1"/>
  <c r="FK152" i="92"/>
  <c r="G152" i="92" s="1"/>
  <c r="FK136" i="92"/>
  <c r="G136" i="92" s="1"/>
  <c r="FF186" i="92"/>
  <c r="FI184" i="92"/>
  <c r="FI133" i="92"/>
  <c r="FJ148" i="92"/>
  <c r="FK163" i="92"/>
  <c r="K163" i="92" s="1"/>
  <c r="FF176" i="92"/>
  <c r="FL176" i="92" s="1"/>
  <c r="FF159" i="92"/>
  <c r="F159" i="92" s="1"/>
  <c r="FF140" i="92"/>
  <c r="FL140" i="92" s="1"/>
  <c r="FI183" i="92"/>
  <c r="FI162" i="92"/>
  <c r="FI148" i="92"/>
  <c r="FJ185" i="92"/>
  <c r="FJ172" i="92"/>
  <c r="FJ155" i="92"/>
  <c r="FJ137" i="92"/>
  <c r="FK177" i="92"/>
  <c r="I177" i="92" s="1"/>
  <c r="FK161" i="92"/>
  <c r="G161" i="92" s="1"/>
  <c r="FK144" i="92"/>
  <c r="I144" i="92" s="1"/>
  <c r="FF172" i="92"/>
  <c r="F172" i="92" s="1"/>
  <c r="FF155" i="92"/>
  <c r="FF137" i="92"/>
  <c r="FI177" i="92"/>
  <c r="FI163" i="92"/>
  <c r="FI144" i="92"/>
  <c r="FJ186" i="92"/>
  <c r="FJ171" i="92"/>
  <c r="FJ153" i="92"/>
  <c r="FJ135" i="92"/>
  <c r="FK173" i="92"/>
  <c r="K173" i="92" s="1"/>
  <c r="FK157" i="92"/>
  <c r="K157" i="92" s="1"/>
  <c r="FK145" i="92"/>
  <c r="I145" i="92" s="1"/>
  <c r="FJ188" i="92"/>
  <c r="FF184" i="92"/>
  <c r="F184" i="92" s="1"/>
  <c r="FF171" i="92"/>
  <c r="FL171" i="92" s="1"/>
  <c r="FF153" i="92"/>
  <c r="FL153" i="92" s="1"/>
  <c r="FF135" i="92"/>
  <c r="FL135" i="92" s="1"/>
  <c r="FI178" i="92"/>
  <c r="FI165" i="92"/>
  <c r="FI145" i="92"/>
  <c r="FJ179" i="92"/>
  <c r="FJ167" i="92"/>
  <c r="FJ150" i="92"/>
  <c r="FJ138" i="92"/>
  <c r="FK175" i="92"/>
  <c r="G175" i="92" s="1"/>
  <c r="FK156" i="92"/>
  <c r="I156" i="92" s="1"/>
  <c r="FK143" i="92"/>
  <c r="I143" i="92" s="1"/>
  <c r="FK187" i="92"/>
  <c r="G187" i="92" s="1"/>
  <c r="FF166" i="92"/>
  <c r="FL166" i="92" s="1"/>
  <c r="FF148" i="92"/>
  <c r="FL148" i="92" s="1"/>
  <c r="FI180" i="92"/>
  <c r="FI158" i="92"/>
  <c r="FI137" i="92"/>
  <c r="FJ168" i="92"/>
  <c r="FJ152" i="92"/>
  <c r="FK179" i="92"/>
  <c r="K179" i="92" s="1"/>
  <c r="FK164" i="92"/>
  <c r="G164" i="92" s="1"/>
  <c r="FK141" i="92"/>
  <c r="I141" i="92" s="1"/>
  <c r="FF164" i="92"/>
  <c r="FL164" i="92" s="1"/>
  <c r="FI181" i="92"/>
  <c r="FI135" i="92"/>
  <c r="FJ149" i="92"/>
  <c r="FK165" i="92"/>
  <c r="FF179" i="92"/>
  <c r="F179" i="92" s="1"/>
  <c r="FF145" i="92"/>
  <c r="F145" i="92" s="1"/>
  <c r="FI154" i="92"/>
  <c r="FJ166" i="92"/>
  <c r="FJ146" i="92"/>
  <c r="FK158" i="92"/>
  <c r="G158" i="92" s="1"/>
  <c r="FF149" i="92"/>
  <c r="F149" i="92" s="1"/>
  <c r="FI159" i="92"/>
  <c r="FJ170" i="92"/>
  <c r="FK182" i="92"/>
  <c r="K182" i="92" s="1"/>
  <c r="FK140" i="92"/>
  <c r="I140" i="92" s="1"/>
  <c r="FF187" i="92"/>
  <c r="FL187" i="92" s="1"/>
  <c r="FF162" i="92"/>
  <c r="F162" i="92" s="1"/>
  <c r="FI174" i="92"/>
  <c r="FI136" i="92"/>
  <c r="FK180" i="92"/>
  <c r="I180" i="92" s="1"/>
  <c r="FK137" i="92"/>
  <c r="K137" i="92" s="1"/>
  <c r="FF188" i="92"/>
  <c r="FL188" i="92" s="1"/>
  <c r="FF181" i="92"/>
  <c r="FL181" i="92" s="1"/>
  <c r="FF160" i="92"/>
  <c r="EZ160" i="92" s="1"/>
  <c r="FA160" i="92" s="1"/>
  <c r="Y160" i="92" s="1"/>
  <c r="FF138" i="92"/>
  <c r="FL138" i="92" s="1"/>
  <c r="FI172" i="92"/>
  <c r="FI150" i="92"/>
  <c r="FJ182" i="92"/>
  <c r="FJ163" i="92"/>
  <c r="FJ142" i="92"/>
  <c r="FK168" i="92"/>
  <c r="FK155" i="92"/>
  <c r="I155" i="92" s="1"/>
  <c r="FK133" i="92"/>
  <c r="G133" i="92" s="1"/>
  <c r="FF178" i="92"/>
  <c r="F178" i="92" s="1"/>
  <c r="FF158" i="92"/>
  <c r="FL158" i="92" s="1"/>
  <c r="FF134" i="92"/>
  <c r="F134" i="92" s="1"/>
  <c r="FI167" i="92"/>
  <c r="FI152" i="92"/>
  <c r="FJ181" i="92"/>
  <c r="FJ157" i="92"/>
  <c r="FJ140" i="92"/>
  <c r="FK172" i="92"/>
  <c r="K172" i="92" s="1"/>
  <c r="FK150" i="92"/>
  <c r="K150" i="92" s="1"/>
  <c r="FF167" i="92"/>
  <c r="F167" i="92" s="1"/>
  <c r="FI186" i="92"/>
  <c r="FI151" i="92"/>
  <c r="FJ164" i="92"/>
  <c r="FK184" i="92"/>
  <c r="K184" i="92" s="1"/>
  <c r="FK148" i="92"/>
  <c r="G148" i="92" s="1"/>
  <c r="FK146" i="92"/>
  <c r="I146" i="92" s="1"/>
  <c r="FF163" i="92"/>
  <c r="FL163" i="92" s="1"/>
  <c r="FI179" i="92"/>
  <c r="FI143" i="92"/>
  <c r="FJ162" i="92"/>
  <c r="FK186" i="92"/>
  <c r="FK149" i="92"/>
  <c r="I149" i="92" s="1"/>
  <c r="FF165" i="92"/>
  <c r="EZ165" i="92" s="1"/>
  <c r="FA165" i="92" s="1"/>
  <c r="Y165" i="92" s="1"/>
  <c r="AA165" i="92" s="1"/>
  <c r="FI182" i="92"/>
  <c r="FI142" i="92"/>
  <c r="FJ161" i="92"/>
  <c r="FK181" i="92"/>
  <c r="G181" i="92" s="1"/>
  <c r="FF151" i="92"/>
  <c r="EZ151" i="92" s="1"/>
  <c r="FA151" i="92" s="1"/>
  <c r="FI171" i="92"/>
  <c r="FI134" i="92"/>
  <c r="FJ159" i="92"/>
  <c r="FK171" i="92"/>
  <c r="K171" i="92" s="1"/>
  <c r="FK139" i="92"/>
  <c r="G139" i="92" s="1"/>
  <c r="FF182" i="92"/>
  <c r="FI169" i="92"/>
  <c r="FJ151" i="92"/>
  <c r="FF177" i="92"/>
  <c r="FL177" i="92" s="1"/>
  <c r="FJ177" i="92"/>
  <c r="FJ187" i="92"/>
  <c r="FI156" i="92"/>
  <c r="FK159" i="92"/>
  <c r="K159" i="92" s="1"/>
  <c r="FF152" i="92"/>
  <c r="F152" i="92" s="1"/>
  <c r="FJ184" i="92"/>
  <c r="FK167" i="92"/>
  <c r="G167" i="92" s="1"/>
  <c r="FI187" i="92"/>
  <c r="FF142" i="92"/>
  <c r="FL142" i="92" s="1"/>
  <c r="FJ145" i="92"/>
  <c r="FF141" i="92"/>
  <c r="FL141" i="92" s="1"/>
  <c r="FJ141" i="92"/>
  <c r="FK188" i="92"/>
  <c r="K188" i="92" s="1"/>
  <c r="FF180" i="92"/>
  <c r="FL180" i="92" s="1"/>
  <c r="FF147" i="92"/>
  <c r="FL147" i="92" s="1"/>
  <c r="FI166" i="92"/>
  <c r="FJ180" i="92"/>
  <c r="FJ144" i="92"/>
  <c r="FK169" i="92"/>
  <c r="I169" i="92" s="1"/>
  <c r="FI188" i="92"/>
  <c r="FI164" i="92"/>
  <c r="FK166" i="92"/>
  <c r="K166" i="92" s="1"/>
  <c r="FF174" i="92"/>
  <c r="FL174" i="92" s="1"/>
  <c r="FJ178" i="92"/>
  <c r="FI173" i="92"/>
  <c r="FK183" i="92"/>
  <c r="K183" i="92" s="1"/>
  <c r="FI153" i="92"/>
  <c r="FK153" i="92"/>
  <c r="I153" i="92" s="1"/>
  <c r="FI170" i="92"/>
  <c r="FK170" i="92"/>
  <c r="G170" i="92" s="1"/>
  <c r="FI155" i="92"/>
  <c r="FK154" i="92"/>
  <c r="K154" i="92" s="1"/>
  <c r="FI141" i="92"/>
  <c r="FI140" i="92"/>
  <c r="FK134" i="92"/>
  <c r="I134" i="92" s="1"/>
  <c r="FF173" i="92"/>
  <c r="FL173" i="92" s="1"/>
  <c r="FJ174" i="92"/>
  <c r="FF161" i="92"/>
  <c r="FL161" i="92" s="1"/>
  <c r="FJ158" i="92"/>
  <c r="FF136" i="92"/>
  <c r="FL136" i="92" s="1"/>
  <c r="FF139" i="92"/>
  <c r="F139" i="92" s="1"/>
  <c r="FJ133" i="92"/>
  <c r="FK142" i="92"/>
  <c r="I142" i="92" s="1"/>
  <c r="FF175" i="92"/>
  <c r="EZ175" i="92" s="1"/>
  <c r="FA175" i="92" s="1"/>
  <c r="FJ176" i="92"/>
  <c r="FJ156" i="92"/>
  <c r="FF150" i="92"/>
  <c r="FJ139" i="92"/>
  <c r="FF1" i="92"/>
  <c r="FG3" i="92"/>
  <c r="FH3" i="92"/>
  <c r="FK3" i="92"/>
  <c r="FI3" i="92"/>
  <c r="FJ3" i="92"/>
  <c r="FL3" i="92"/>
  <c r="FE2" i="92"/>
  <c r="FC2" i="92"/>
  <c r="FD2" i="92"/>
  <c r="FB2" i="92"/>
  <c r="EY2" i="92"/>
  <c r="EZ2" i="92"/>
  <c r="FA2" i="92"/>
  <c r="FE150" i="92"/>
  <c r="FE169" i="92"/>
  <c r="EZ169" i="92"/>
  <c r="FA169" i="92" s="1"/>
  <c r="Y169" i="92" s="1"/>
  <c r="AA169" i="92" s="1"/>
  <c r="FE185" i="92"/>
  <c r="FE166" i="92"/>
  <c r="FE184" i="92"/>
  <c r="FE141" i="92"/>
  <c r="FE176" i="92"/>
  <c r="FE174" i="92"/>
  <c r="FE138" i="92"/>
  <c r="FE142" i="92"/>
  <c r="FE143" i="92"/>
  <c r="FE155" i="92"/>
  <c r="FE188" i="92"/>
  <c r="FE154" i="92"/>
  <c r="FE151" i="92"/>
  <c r="ES171" i="92"/>
  <c r="ET171" i="92" s="1"/>
  <c r="FE171" i="92"/>
  <c r="FE153" i="92"/>
  <c r="FE135" i="92"/>
  <c r="FE158" i="92"/>
  <c r="ES137" i="92"/>
  <c r="ET137" i="92" s="1"/>
  <c r="FE137" i="92"/>
  <c r="FE180" i="92"/>
  <c r="FE140" i="92"/>
  <c r="EZ140" i="92"/>
  <c r="FA140" i="92" s="1"/>
  <c r="Y140" i="92" s="1"/>
  <c r="AA140" i="92" s="1"/>
  <c r="FE187" i="92"/>
  <c r="EZ144" i="92"/>
  <c r="FA144" i="92" s="1"/>
  <c r="Y144" i="92" s="1"/>
  <c r="FE144" i="92"/>
  <c r="FE163" i="92"/>
  <c r="FE177" i="92"/>
  <c r="FE183" i="92"/>
  <c r="FE152" i="92"/>
  <c r="FE164" i="92"/>
  <c r="FE175" i="92"/>
  <c r="FE160" i="92"/>
  <c r="FE147" i="92"/>
  <c r="FE165" i="92"/>
  <c r="FE173" i="92"/>
  <c r="FE136" i="92"/>
  <c r="FE148" i="92"/>
  <c r="FE161" i="92"/>
  <c r="FE168" i="92"/>
  <c r="EZ186" i="92"/>
  <c r="FA186" i="92" s="1"/>
  <c r="Y186" i="92" s="1"/>
  <c r="AA186" i="92" s="1"/>
  <c r="FE186" i="92"/>
  <c r="FE104" i="92"/>
  <c r="ES66" i="92"/>
  <c r="ET66" i="92" s="1"/>
  <c r="FE17" i="92"/>
  <c r="ES82" i="92"/>
  <c r="ET82" i="92" s="1"/>
  <c r="FE114" i="92"/>
  <c r="FE115" i="92"/>
  <c r="FE87" i="92"/>
  <c r="ES92" i="92"/>
  <c r="ET92" i="92" s="1"/>
  <c r="FE69" i="92"/>
  <c r="ES120" i="92"/>
  <c r="ET120" i="92" s="1"/>
  <c r="FE61" i="92"/>
  <c r="ES35" i="92"/>
  <c r="ET35" i="92" s="1"/>
  <c r="H11" i="95"/>
  <c r="FE48" i="92"/>
  <c r="FI97" i="92"/>
  <c r="FI91" i="92"/>
  <c r="FI24" i="92"/>
  <c r="FI108" i="92"/>
  <c r="FI45" i="92"/>
  <c r="FI107" i="92"/>
  <c r="FI83" i="92"/>
  <c r="FI71" i="92"/>
  <c r="FI65" i="92"/>
  <c r="FI35" i="92"/>
  <c r="FI50" i="92"/>
  <c r="FI64" i="92"/>
  <c r="FI18" i="92"/>
  <c r="FI16" i="92"/>
  <c r="FI69" i="92"/>
  <c r="FI33" i="92"/>
  <c r="FI44" i="92"/>
  <c r="FI100" i="92"/>
  <c r="FI5" i="92"/>
  <c r="FI28" i="92"/>
  <c r="FI62" i="92"/>
  <c r="FI39" i="92"/>
  <c r="FI14" i="92"/>
  <c r="FI23" i="92"/>
  <c r="FI58" i="92"/>
  <c r="FI115" i="92"/>
  <c r="FI22" i="92"/>
  <c r="FI116" i="92"/>
  <c r="FI81" i="92"/>
  <c r="FI74" i="92"/>
  <c r="FI124" i="92"/>
  <c r="FI31" i="92"/>
  <c r="FI117" i="92"/>
  <c r="FI72" i="92"/>
  <c r="FI52" i="92"/>
  <c r="FI132" i="92"/>
  <c r="FI122" i="92"/>
  <c r="FI95" i="92"/>
  <c r="FI73" i="92"/>
  <c r="FI11" i="92"/>
  <c r="FI68" i="92"/>
  <c r="FI6" i="92"/>
  <c r="FI56" i="92"/>
  <c r="FI66" i="92"/>
  <c r="FI131" i="92"/>
  <c r="FI111" i="92"/>
  <c r="FI129" i="92"/>
  <c r="FI19" i="92"/>
  <c r="FI70" i="92"/>
  <c r="FI112" i="92"/>
  <c r="FI87" i="92"/>
  <c r="FI104" i="92"/>
  <c r="FI123" i="92"/>
  <c r="FI82" i="92"/>
  <c r="FI49" i="92"/>
  <c r="FI125" i="92"/>
  <c r="FI15" i="92"/>
  <c r="FI27" i="92"/>
  <c r="FI93" i="92"/>
  <c r="FI114" i="92"/>
  <c r="FI54" i="92"/>
  <c r="FI55" i="92"/>
  <c r="FI106" i="92"/>
  <c r="FI9" i="92"/>
  <c r="FI84" i="92"/>
  <c r="FI109" i="92"/>
  <c r="FI85" i="92"/>
  <c r="FI88" i="92"/>
  <c r="FI67" i="92"/>
  <c r="FI126" i="92"/>
  <c r="FI43" i="92"/>
  <c r="FI105" i="92"/>
  <c r="FI25" i="92"/>
  <c r="FI13" i="92"/>
  <c r="FI59" i="92"/>
  <c r="FI90" i="92"/>
  <c r="FI99" i="92"/>
  <c r="FI47" i="92"/>
  <c r="FI17" i="92"/>
  <c r="FI41" i="92"/>
  <c r="FI21" i="92"/>
  <c r="FI102" i="92"/>
  <c r="FI38" i="92"/>
  <c r="FI119" i="92"/>
  <c r="FI113" i="92"/>
  <c r="FI60" i="92"/>
  <c r="FI94" i="92"/>
  <c r="FI130" i="92"/>
  <c r="FI127" i="92"/>
  <c r="FI92" i="92"/>
  <c r="FI89" i="92"/>
  <c r="FI86" i="92"/>
  <c r="FI79" i="92"/>
  <c r="FI10" i="92"/>
  <c r="FI46" i="92"/>
  <c r="FI78" i="92"/>
  <c r="FI121" i="92"/>
  <c r="FI30" i="92"/>
  <c r="FI80" i="92"/>
  <c r="FI32" i="92"/>
  <c r="FI12" i="92"/>
  <c r="FI101" i="92"/>
  <c r="FI57" i="92"/>
  <c r="FI7" i="92"/>
  <c r="FI37" i="92"/>
  <c r="FI98" i="92"/>
  <c r="FI51" i="92"/>
  <c r="FI26" i="92"/>
  <c r="FI8" i="92"/>
  <c r="FI36" i="92"/>
  <c r="FI128" i="92"/>
  <c r="FI20" i="92"/>
  <c r="FI42" i="92"/>
  <c r="FI61" i="92"/>
  <c r="FI34" i="92"/>
  <c r="FI110" i="92"/>
  <c r="FI76" i="92"/>
  <c r="FI77" i="92"/>
  <c r="FI118" i="92"/>
  <c r="FI120" i="92"/>
  <c r="FI96" i="92"/>
  <c r="FI53" i="92"/>
  <c r="FI75" i="92"/>
  <c r="FI40" i="92"/>
  <c r="FI63" i="92"/>
  <c r="FI29" i="92"/>
  <c r="FI103" i="92"/>
  <c r="FI48" i="92"/>
  <c r="FE119" i="92"/>
  <c r="FE30" i="92"/>
  <c r="FE45" i="92"/>
  <c r="ES45" i="92"/>
  <c r="ET45" i="92" s="1"/>
  <c r="FE37" i="92"/>
  <c r="FE78" i="92"/>
  <c r="FE122" i="92"/>
  <c r="FE86" i="92"/>
  <c r="FE22" i="92"/>
  <c r="FE52" i="92"/>
  <c r="FE70" i="92"/>
  <c r="FE23" i="92"/>
  <c r="ES114" i="92"/>
  <c r="ET114" i="92" s="1"/>
  <c r="ES27" i="92"/>
  <c r="ET27" i="92" s="1"/>
  <c r="FE118" i="92"/>
  <c r="FE29" i="92"/>
  <c r="FE100" i="92"/>
  <c r="FE93" i="92"/>
  <c r="FE53" i="92"/>
  <c r="ES95" i="92"/>
  <c r="ET95" i="92" s="1"/>
  <c r="ES122" i="92"/>
  <c r="ET122" i="92" s="1"/>
  <c r="ES125" i="92"/>
  <c r="ET125" i="92" s="1"/>
  <c r="ES119" i="92"/>
  <c r="ET119" i="92" s="1"/>
  <c r="ES15" i="92"/>
  <c r="ET15" i="92" s="1"/>
  <c r="FE94" i="92"/>
  <c r="ES70" i="92"/>
  <c r="ET70" i="92" s="1"/>
  <c r="ES51" i="92"/>
  <c r="ET51" i="92" s="1"/>
  <c r="ES99" i="92"/>
  <c r="ET99" i="92" s="1"/>
  <c r="ES37" i="92"/>
  <c r="ET37" i="92" s="1"/>
  <c r="ES10" i="92"/>
  <c r="ET10" i="92" s="1"/>
  <c r="ES128" i="92"/>
  <c r="ET128" i="92" s="1"/>
  <c r="ES30" i="92"/>
  <c r="ET30" i="92" s="1"/>
  <c r="FE120" i="92"/>
  <c r="FE58" i="92"/>
  <c r="ES71" i="92"/>
  <c r="ET71" i="92" s="1"/>
  <c r="ES80" i="92"/>
  <c r="ET80" i="92" s="1"/>
  <c r="ES93" i="92"/>
  <c r="ET93" i="92" s="1"/>
  <c r="ES48" i="92"/>
  <c r="ET48" i="92" s="1"/>
  <c r="ES86" i="92"/>
  <c r="ET86" i="92" s="1"/>
  <c r="FE111" i="92"/>
  <c r="FE21" i="92"/>
  <c r="FE31" i="92"/>
  <c r="FE11" i="92"/>
  <c r="FE42" i="92"/>
  <c r="ES22" i="92"/>
  <c r="ET22" i="92" s="1"/>
  <c r="ES76" i="92"/>
  <c r="ET76" i="92" s="1"/>
  <c r="ES11" i="92"/>
  <c r="ET11" i="92" s="1"/>
  <c r="ES102" i="92"/>
  <c r="ET102" i="92" s="1"/>
  <c r="ES65" i="92"/>
  <c r="ET65" i="92" s="1"/>
  <c r="ES131" i="92"/>
  <c r="ET131" i="92" s="1"/>
  <c r="FE5" i="92"/>
  <c r="FE89" i="92"/>
  <c r="ES8" i="92"/>
  <c r="ET8" i="92" s="1"/>
  <c r="ES109" i="92"/>
  <c r="ET109" i="92" s="1"/>
  <c r="ES81" i="92"/>
  <c r="ET81" i="92" s="1"/>
  <c r="ES29" i="92"/>
  <c r="ET29" i="92" s="1"/>
  <c r="FE75" i="92"/>
  <c r="FE123" i="92"/>
  <c r="FE25" i="92"/>
  <c r="ES126" i="92"/>
  <c r="ET126" i="92" s="1"/>
  <c r="ES107" i="92"/>
  <c r="ET107" i="92" s="1"/>
  <c r="ES43" i="92"/>
  <c r="ET43" i="92" s="1"/>
  <c r="ES106" i="92"/>
  <c r="ET106" i="92" s="1"/>
  <c r="ES77" i="92"/>
  <c r="ET77" i="92" s="1"/>
  <c r="ES47" i="92"/>
  <c r="ET47" i="92" s="1"/>
  <c r="ES9" i="92"/>
  <c r="ET9" i="92" s="1"/>
  <c r="FE112" i="92"/>
  <c r="FE36" i="92"/>
  <c r="FE101" i="92"/>
  <c r="FE33" i="92"/>
  <c r="ES79" i="92"/>
  <c r="ET79" i="92" s="1"/>
  <c r="ES78" i="92"/>
  <c r="ET78" i="92" s="1"/>
  <c r="ES5" i="92"/>
  <c r="ET5" i="92" s="1"/>
  <c r="ES132" i="92"/>
  <c r="ET132" i="92" s="1"/>
  <c r="ES28" i="92"/>
  <c r="ET28" i="92" s="1"/>
  <c r="ES85" i="92"/>
  <c r="ET85" i="92" s="1"/>
  <c r="ES57" i="92"/>
  <c r="ET57" i="92" s="1"/>
  <c r="ES98" i="92"/>
  <c r="ET98" i="92" s="1"/>
  <c r="FE35" i="92"/>
  <c r="FE127" i="92"/>
  <c r="FE113" i="92"/>
  <c r="ES94" i="92"/>
  <c r="ET94" i="92" s="1"/>
  <c r="ES54" i="92"/>
  <c r="ET54" i="92" s="1"/>
  <c r="ES32" i="92"/>
  <c r="ET32" i="92" s="1"/>
  <c r="ES91" i="92"/>
  <c r="ET91" i="92" s="1"/>
  <c r="ES129" i="92"/>
  <c r="ET129" i="92" s="1"/>
  <c r="ES21" i="92"/>
  <c r="ET21" i="92" s="1"/>
  <c r="ES31" i="92"/>
  <c r="ET31" i="92" s="1"/>
  <c r="ES40" i="92"/>
  <c r="ET40" i="92" s="1"/>
  <c r="ES25" i="92"/>
  <c r="ET25" i="92" s="1"/>
  <c r="FE67" i="92"/>
  <c r="FE24" i="92"/>
  <c r="FE13" i="92"/>
  <c r="ES61" i="92"/>
  <c r="ET61" i="92" s="1"/>
  <c r="ES44" i="92"/>
  <c r="ET44" i="92" s="1"/>
  <c r="ES110" i="92"/>
  <c r="ET110" i="92" s="1"/>
  <c r="ES113" i="92"/>
  <c r="ET113" i="92" s="1"/>
  <c r="ES7" i="92"/>
  <c r="ET7" i="92" s="1"/>
  <c r="ES41" i="92"/>
  <c r="ET41" i="92" s="1"/>
  <c r="ES59" i="92"/>
  <c r="ET59" i="92" s="1"/>
  <c r="ES121" i="92"/>
  <c r="ET121" i="92" s="1"/>
  <c r="ES100" i="92"/>
  <c r="ET100" i="92" s="1"/>
  <c r="ES111" i="92"/>
  <c r="ET111" i="92" s="1"/>
  <c r="ES26" i="92"/>
  <c r="ET26" i="92" s="1"/>
  <c r="ES104" i="92"/>
  <c r="ET104" i="92" s="1"/>
  <c r="FE84" i="92"/>
  <c r="FE32" i="92"/>
  <c r="FE126" i="92"/>
  <c r="FE132" i="92"/>
  <c r="FE71" i="92"/>
  <c r="FE15" i="92"/>
  <c r="FE54" i="92"/>
  <c r="FE10" i="92"/>
  <c r="FE92" i="92"/>
  <c r="FE55" i="92"/>
  <c r="FE83" i="92"/>
  <c r="FE72" i="92"/>
  <c r="FE108" i="92"/>
  <c r="AB11" i="95"/>
  <c r="AC11" i="95"/>
  <c r="FE19" i="92"/>
  <c r="K10" i="95"/>
  <c r="J9" i="95"/>
  <c r="AD10" i="95" s="1"/>
  <c r="FE59" i="92"/>
  <c r="FE107" i="92"/>
  <c r="FE106" i="92"/>
  <c r="FE12" i="92"/>
  <c r="FE49" i="92"/>
  <c r="FE124" i="92"/>
  <c r="FE57" i="92"/>
  <c r="FE8" i="92"/>
  <c r="FE82" i="92"/>
  <c r="I9" i="95"/>
  <c r="G9" i="95"/>
  <c r="FE66" i="92"/>
  <c r="FE85" i="92"/>
  <c r="FE76" i="92"/>
  <c r="FE131" i="92"/>
  <c r="FE110" i="92"/>
  <c r="FE117" i="92"/>
  <c r="FE28" i="92"/>
  <c r="FE46" i="92"/>
  <c r="FE51" i="92"/>
  <c r="FE9" i="92"/>
  <c r="FE81" i="92"/>
  <c r="FE102" i="92"/>
  <c r="FE63" i="92"/>
  <c r="FE43" i="92"/>
  <c r="FE62" i="92"/>
  <c r="FE14" i="92"/>
  <c r="FE88" i="92"/>
  <c r="FE40" i="92"/>
  <c r="FE125" i="92"/>
  <c r="FE74" i="92"/>
  <c r="FE130" i="92"/>
  <c r="FE6" i="92"/>
  <c r="FE7" i="92"/>
  <c r="FE96" i="92"/>
  <c r="FE64" i="92"/>
  <c r="FE65" i="92"/>
  <c r="FE60" i="92"/>
  <c r="FE91" i="92"/>
  <c r="FE121" i="92"/>
  <c r="FE41" i="92"/>
  <c r="FE116" i="92"/>
  <c r="FE73" i="92"/>
  <c r="FE98" i="92"/>
  <c r="FE109" i="92"/>
  <c r="FE47" i="92"/>
  <c r="FE79" i="92"/>
  <c r="FE80" i="92"/>
  <c r="FE16" i="92"/>
  <c r="FE44" i="92"/>
  <c r="FE128" i="92"/>
  <c r="FE68" i="92"/>
  <c r="FE18" i="92"/>
  <c r="FF114" i="92"/>
  <c r="F114" i="92" s="1"/>
  <c r="FF112" i="92"/>
  <c r="F112" i="92" s="1"/>
  <c r="FF84" i="92"/>
  <c r="EZ84" i="92" s="1"/>
  <c r="FA84" i="92" s="1"/>
  <c r="Y84" i="92" s="1"/>
  <c r="FF43" i="92"/>
  <c r="F43" i="92" s="1"/>
  <c r="FF83" i="92"/>
  <c r="F83" i="92" s="1"/>
  <c r="FF15" i="92"/>
  <c r="EZ15" i="92" s="1"/>
  <c r="FA15" i="92" s="1"/>
  <c r="FF123" i="92"/>
  <c r="FF131" i="92"/>
  <c r="F131" i="92" s="1"/>
  <c r="FF124" i="92"/>
  <c r="EZ124" i="92" s="1"/>
  <c r="FA124" i="92" s="1"/>
  <c r="Y124" i="92" s="1"/>
  <c r="FF110" i="92"/>
  <c r="EZ110" i="92" s="1"/>
  <c r="FA110" i="92" s="1"/>
  <c r="FF100" i="92"/>
  <c r="FJ107" i="92"/>
  <c r="FJ54" i="92"/>
  <c r="FJ78" i="92"/>
  <c r="FJ37" i="92"/>
  <c r="FJ60" i="92"/>
  <c r="FJ36" i="92"/>
  <c r="FJ82" i="92"/>
  <c r="FJ14" i="92"/>
  <c r="FJ27" i="92"/>
  <c r="FJ31" i="92"/>
  <c r="FK11" i="92"/>
  <c r="FK13" i="92"/>
  <c r="FK5" i="92"/>
  <c r="FF104" i="92"/>
  <c r="EZ104" i="92" s="1"/>
  <c r="FA104" i="92" s="1"/>
  <c r="FF79" i="92"/>
  <c r="F79" i="92" s="1"/>
  <c r="FF44" i="92"/>
  <c r="F44" i="92" s="1"/>
  <c r="FF80" i="92"/>
  <c r="EZ80" i="92" s="1"/>
  <c r="FA80" i="92" s="1"/>
  <c r="FF67" i="92"/>
  <c r="FF7" i="92"/>
  <c r="EZ7" i="92" s="1"/>
  <c r="FA7" i="92" s="1"/>
  <c r="FF24" i="92"/>
  <c r="FF91" i="92"/>
  <c r="EZ91" i="92" s="1"/>
  <c r="FA91" i="92" s="1"/>
  <c r="FF34" i="92"/>
  <c r="FF56" i="92"/>
  <c r="F56" i="92" s="1"/>
  <c r="FJ8" i="92"/>
  <c r="FJ122" i="92"/>
  <c r="FJ26" i="92"/>
  <c r="FJ118" i="92"/>
  <c r="FJ93" i="92"/>
  <c r="FJ119" i="92"/>
  <c r="FJ75" i="92"/>
  <c r="FJ10" i="92"/>
  <c r="FJ111" i="92"/>
  <c r="FJ25" i="92"/>
  <c r="FJ63" i="92"/>
  <c r="FK122" i="92"/>
  <c r="FK42" i="92"/>
  <c r="FK58" i="92"/>
  <c r="FK70" i="92"/>
  <c r="FF85" i="92"/>
  <c r="F85" i="92" s="1"/>
  <c r="FF101" i="92"/>
  <c r="FF46" i="92"/>
  <c r="EZ46" i="92" s="1"/>
  <c r="FA46" i="92" s="1"/>
  <c r="Y46" i="92" s="1"/>
  <c r="FF94" i="92"/>
  <c r="FF90" i="92"/>
  <c r="F90" i="92" s="1"/>
  <c r="FF11" i="92"/>
  <c r="FF102" i="92"/>
  <c r="F102" i="92" s="1"/>
  <c r="FF64" i="92"/>
  <c r="F64" i="92" s="1"/>
  <c r="FF92" i="92"/>
  <c r="FF72" i="92"/>
  <c r="EZ72" i="92" s="1"/>
  <c r="FA72" i="92" s="1"/>
  <c r="Y72" i="92" s="1"/>
  <c r="FF51" i="92"/>
  <c r="EZ51" i="92" s="1"/>
  <c r="FA51" i="92" s="1"/>
  <c r="FJ20" i="92"/>
  <c r="FJ38" i="92"/>
  <c r="FJ125" i="92"/>
  <c r="FJ103" i="92"/>
  <c r="FJ74" i="92"/>
  <c r="FJ95" i="92"/>
  <c r="FJ48" i="92"/>
  <c r="FJ40" i="92"/>
  <c r="FJ35" i="92"/>
  <c r="FJ98" i="92"/>
  <c r="FJ29" i="92"/>
  <c r="FK21" i="92"/>
  <c r="FK30" i="92"/>
  <c r="FK50" i="92"/>
  <c r="FK31" i="92"/>
  <c r="FF121" i="92"/>
  <c r="F121" i="92" s="1"/>
  <c r="FF17" i="92"/>
  <c r="EZ17" i="92" s="1"/>
  <c r="FA17" i="92" s="1"/>
  <c r="Y17" i="92" s="1"/>
  <c r="FF54" i="92"/>
  <c r="EZ54" i="92" s="1"/>
  <c r="FA54" i="92" s="1"/>
  <c r="FF69" i="92"/>
  <c r="EZ69" i="92" s="1"/>
  <c r="FA69" i="92" s="1"/>
  <c r="Y69" i="92" s="1"/>
  <c r="FF42" i="92"/>
  <c r="FF36" i="92"/>
  <c r="FF109" i="92"/>
  <c r="F109" i="92" s="1"/>
  <c r="FF23" i="92"/>
  <c r="F23" i="92" s="1"/>
  <c r="FF31" i="92"/>
  <c r="F31" i="92" s="1"/>
  <c r="FJ112" i="92"/>
  <c r="FJ21" i="92"/>
  <c r="FF22" i="92"/>
  <c r="FF97" i="92"/>
  <c r="F97" i="92" s="1"/>
  <c r="FF26" i="92"/>
  <c r="EZ26" i="92" s="1"/>
  <c r="FA26" i="92" s="1"/>
  <c r="FF33" i="92"/>
  <c r="FF30" i="92"/>
  <c r="FF75" i="92"/>
  <c r="FF88" i="92"/>
  <c r="EZ88" i="92" s="1"/>
  <c r="FA88" i="92" s="1"/>
  <c r="Y88" i="92" s="1"/>
  <c r="FF61" i="92"/>
  <c r="EZ61" i="92" s="1"/>
  <c r="FA61" i="92" s="1"/>
  <c r="FF63" i="92"/>
  <c r="F63" i="92" s="1"/>
  <c r="FJ79" i="92"/>
  <c r="FJ130" i="92"/>
  <c r="FJ99" i="92"/>
  <c r="FJ7" i="92"/>
  <c r="FJ9" i="92"/>
  <c r="FJ18" i="92"/>
  <c r="FJ34" i="92"/>
  <c r="FJ126" i="92"/>
  <c r="FK86" i="92"/>
  <c r="FK123" i="92"/>
  <c r="FK53" i="92"/>
  <c r="FF45" i="92"/>
  <c r="FF68" i="92"/>
  <c r="FF125" i="92"/>
  <c r="F125" i="92" s="1"/>
  <c r="FF129" i="92"/>
  <c r="EZ129" i="92" s="1"/>
  <c r="FA129" i="92" s="1"/>
  <c r="FF55" i="92"/>
  <c r="EZ55" i="92" s="1"/>
  <c r="FA55" i="92" s="1"/>
  <c r="Y55" i="92" s="1"/>
  <c r="FF48" i="92"/>
  <c r="FF76" i="92"/>
  <c r="EZ76" i="92" s="1"/>
  <c r="FA76" i="92" s="1"/>
  <c r="FF128" i="92"/>
  <c r="F128" i="92" s="1"/>
  <c r="FF29" i="92"/>
  <c r="FJ101" i="92"/>
  <c r="FJ127" i="92"/>
  <c r="FJ59" i="92"/>
  <c r="FJ11" i="92"/>
  <c r="FJ106" i="92"/>
  <c r="FJ105" i="92"/>
  <c r="FJ72" i="92"/>
  <c r="FJ66" i="92"/>
  <c r="FK68" i="92"/>
  <c r="FK24" i="92"/>
  <c r="FK23" i="92"/>
  <c r="FF96" i="92"/>
  <c r="F96" i="92" s="1"/>
  <c r="FF57" i="92"/>
  <c r="F57" i="92" s="1"/>
  <c r="FF89" i="92"/>
  <c r="FF60" i="92"/>
  <c r="EZ60" i="92" s="1"/>
  <c r="FA60" i="92" s="1"/>
  <c r="Y60" i="92" s="1"/>
  <c r="FF13" i="92"/>
  <c r="FF71" i="92"/>
  <c r="F71" i="92" s="1"/>
  <c r="FF27" i="92"/>
  <c r="EZ27" i="92" s="1"/>
  <c r="FA27" i="92" s="1"/>
  <c r="FJ114" i="92"/>
  <c r="FJ86" i="92"/>
  <c r="FJ41" i="92"/>
  <c r="FF32" i="92"/>
  <c r="F32" i="92" s="1"/>
  <c r="FF41" i="92"/>
  <c r="F41" i="92" s="1"/>
  <c r="FF117" i="92"/>
  <c r="F117" i="92" s="1"/>
  <c r="FF62" i="92"/>
  <c r="F62" i="92" s="1"/>
  <c r="FF50" i="92"/>
  <c r="FF47" i="92"/>
  <c r="EZ47" i="92" s="1"/>
  <c r="FA47" i="92" s="1"/>
  <c r="FJ49" i="92"/>
  <c r="FJ57" i="92"/>
  <c r="FJ117" i="92"/>
  <c r="FJ62" i="92"/>
  <c r="FJ92" i="92"/>
  <c r="FJ61" i="92"/>
  <c r="FK113" i="92"/>
  <c r="FK48" i="92"/>
  <c r="FF107" i="92"/>
  <c r="F107" i="92" s="1"/>
  <c r="FF19" i="92"/>
  <c r="F19" i="92" s="1"/>
  <c r="FF37" i="92"/>
  <c r="FF108" i="92"/>
  <c r="F108" i="92" s="1"/>
  <c r="FF14" i="92"/>
  <c r="F14" i="92" s="1"/>
  <c r="FF5" i="92"/>
  <c r="FJ17" i="92"/>
  <c r="FJ113" i="92"/>
  <c r="FJ15" i="92"/>
  <c r="FJ108" i="92"/>
  <c r="FJ109" i="92"/>
  <c r="FJ128" i="92"/>
  <c r="FK78" i="92"/>
  <c r="FF8" i="92"/>
  <c r="EZ8" i="92" s="1"/>
  <c r="FA8" i="92" s="1"/>
  <c r="FF20" i="92"/>
  <c r="EZ20" i="92" s="1"/>
  <c r="FA20" i="92" s="1"/>
  <c r="Y20" i="92" s="1"/>
  <c r="FF113" i="92"/>
  <c r="FF74" i="92"/>
  <c r="F74" i="92" s="1"/>
  <c r="FF115" i="92"/>
  <c r="F115" i="92" s="1"/>
  <c r="FF35" i="92"/>
  <c r="FJ104" i="92"/>
  <c r="FJ68" i="92"/>
  <c r="FJ77" i="92"/>
  <c r="FJ39" i="92"/>
  <c r="FJ131" i="92"/>
  <c r="FJ76" i="92"/>
  <c r="FJ56" i="92"/>
  <c r="FK67" i="92"/>
  <c r="FK35" i="92"/>
  <c r="FF86" i="92"/>
  <c r="FF73" i="92"/>
  <c r="F73" i="92" s="1"/>
  <c r="FF87" i="92"/>
  <c r="F87" i="92" s="1"/>
  <c r="FF58" i="92"/>
  <c r="FF6" i="92"/>
  <c r="EZ6" i="92" s="1"/>
  <c r="FA6" i="92" s="1"/>
  <c r="Y6" i="92" s="1"/>
  <c r="FJ85" i="92"/>
  <c r="FJ84" i="92"/>
  <c r="FJ83" i="92"/>
  <c r="FJ81" i="92"/>
  <c r="FJ71" i="92"/>
  <c r="FJ51" i="92"/>
  <c r="FK33" i="92"/>
  <c r="FK34" i="92"/>
  <c r="FF16" i="92"/>
  <c r="F16" i="92" s="1"/>
  <c r="FF78" i="92"/>
  <c r="FF120" i="92"/>
  <c r="FF98" i="92"/>
  <c r="F98" i="92" s="1"/>
  <c r="FJ96" i="92"/>
  <c r="FJ73" i="92"/>
  <c r="FJ123" i="92"/>
  <c r="FJ88" i="92"/>
  <c r="FJ70" i="92"/>
  <c r="FK112" i="92"/>
  <c r="FF12" i="92"/>
  <c r="F12" i="92" s="1"/>
  <c r="FF118" i="92"/>
  <c r="FF132" i="92"/>
  <c r="F132" i="92" s="1"/>
  <c r="FJ16" i="92"/>
  <c r="FJ67" i="92"/>
  <c r="FJ24" i="92"/>
  <c r="FJ65" i="92"/>
  <c r="FK101" i="92"/>
  <c r="FF49" i="92"/>
  <c r="F49" i="92" s="1"/>
  <c r="FF103" i="92"/>
  <c r="F103" i="92" s="1"/>
  <c r="FF18" i="92"/>
  <c r="EZ18" i="92" s="1"/>
  <c r="FA18" i="92" s="1"/>
  <c r="Y18" i="92" s="1"/>
  <c r="FF126" i="92"/>
  <c r="EZ126" i="92" s="1"/>
  <c r="FA126" i="92" s="1"/>
  <c r="FJ32" i="92"/>
  <c r="FJ90" i="92"/>
  <c r="FJ102" i="92"/>
  <c r="FJ50" i="92"/>
  <c r="FK127" i="92"/>
  <c r="FK25" i="92"/>
  <c r="FF21" i="92"/>
  <c r="FF39" i="92"/>
  <c r="F39" i="92" s="1"/>
  <c r="FF10" i="92"/>
  <c r="F10" i="92" s="1"/>
  <c r="FJ44" i="92"/>
  <c r="FJ129" i="92"/>
  <c r="FJ64" i="92"/>
  <c r="FK89" i="92"/>
  <c r="FK29" i="92"/>
  <c r="FF122" i="92"/>
  <c r="FF95" i="92"/>
  <c r="F95" i="92" s="1"/>
  <c r="FF66" i="92"/>
  <c r="FJ69" i="92"/>
  <c r="FJ58" i="92"/>
  <c r="FK111" i="92"/>
  <c r="FF38" i="92"/>
  <c r="F38" i="92" s="1"/>
  <c r="FF52" i="92"/>
  <c r="FF70" i="92"/>
  <c r="FL70" i="92" s="1"/>
  <c r="FJ121" i="92"/>
  <c r="FJ33" i="92"/>
  <c r="FJ132" i="92"/>
  <c r="FK100" i="92"/>
  <c r="FF130" i="92"/>
  <c r="EZ130" i="92" s="1"/>
  <c r="FA130" i="92" s="1"/>
  <c r="Y130" i="92" s="1"/>
  <c r="FF9" i="92"/>
  <c r="EZ9" i="92" s="1"/>
  <c r="FA9" i="92" s="1"/>
  <c r="FJ22" i="92"/>
  <c r="FJ89" i="92"/>
  <c r="FJ124" i="92"/>
  <c r="FK22" i="92"/>
  <c r="FF77" i="92"/>
  <c r="F77" i="92" s="1"/>
  <c r="FF82" i="92"/>
  <c r="FJ97" i="92"/>
  <c r="FJ42" i="92"/>
  <c r="FJ6" i="92"/>
  <c r="FK118" i="92"/>
  <c r="FF99" i="92"/>
  <c r="F99" i="92" s="1"/>
  <c r="FF40" i="92"/>
  <c r="F40" i="92" s="1"/>
  <c r="FJ46" i="92"/>
  <c r="FJ30" i="92"/>
  <c r="FJ53" i="92"/>
  <c r="FK37" i="92"/>
  <c r="FF116" i="92"/>
  <c r="EZ116" i="92" s="1"/>
  <c r="FA116" i="92" s="1"/>
  <c r="Y116" i="92" s="1"/>
  <c r="FF25" i="92"/>
  <c r="FJ43" i="92"/>
  <c r="FJ23" i="92"/>
  <c r="FK45" i="92"/>
  <c r="FF59" i="92"/>
  <c r="EZ59" i="92" s="1"/>
  <c r="FA59" i="92" s="1"/>
  <c r="FJ80" i="92"/>
  <c r="FJ100" i="92"/>
  <c r="FK94" i="92"/>
  <c r="FF28" i="92"/>
  <c r="F28" i="92" s="1"/>
  <c r="FJ94" i="92"/>
  <c r="FK119" i="92"/>
  <c r="FF81" i="92"/>
  <c r="F81" i="92" s="1"/>
  <c r="FJ87" i="92"/>
  <c r="FJ5" i="92"/>
  <c r="FK120" i="92"/>
  <c r="FF119" i="92"/>
  <c r="FJ55" i="92"/>
  <c r="FK36" i="92"/>
  <c r="FF105" i="92"/>
  <c r="EZ105" i="92" s="1"/>
  <c r="FA105" i="92" s="1"/>
  <c r="Y105" i="92" s="1"/>
  <c r="FJ120" i="92"/>
  <c r="FF127" i="92"/>
  <c r="FJ116" i="92"/>
  <c r="FF106" i="92"/>
  <c r="F106" i="92" s="1"/>
  <c r="FJ52" i="92"/>
  <c r="FK75" i="92"/>
  <c r="FF111" i="92"/>
  <c r="FJ115" i="92"/>
  <c r="FJ91" i="92"/>
  <c r="FF53" i="92"/>
  <c r="FJ110" i="92"/>
  <c r="FK52" i="92"/>
  <c r="FJ12" i="92"/>
  <c r="FF93" i="92"/>
  <c r="F93" i="92" s="1"/>
  <c r="FF65" i="92"/>
  <c r="EZ65" i="92" s="1"/>
  <c r="FA65" i="92" s="1"/>
  <c r="FJ45" i="92"/>
  <c r="FJ19" i="92"/>
  <c r="FJ13" i="92"/>
  <c r="FJ47" i="92"/>
  <c r="FJ28" i="92"/>
  <c r="FK97" i="92"/>
  <c r="FK104" i="92"/>
  <c r="FK82" i="92"/>
  <c r="FK88" i="92"/>
  <c r="FK69" i="92"/>
  <c r="FK40" i="92"/>
  <c r="FK16" i="92"/>
  <c r="FK81" i="92"/>
  <c r="FK12" i="92"/>
  <c r="FK20" i="92"/>
  <c r="FK18" i="92"/>
  <c r="FK131" i="92"/>
  <c r="FK44" i="92"/>
  <c r="FK73" i="92"/>
  <c r="FK57" i="92"/>
  <c r="FK91" i="92"/>
  <c r="FK38" i="92"/>
  <c r="FK125" i="92"/>
  <c r="FK114" i="92"/>
  <c r="FK51" i="92"/>
  <c r="FK117" i="92"/>
  <c r="FK102" i="92"/>
  <c r="FK47" i="92"/>
  <c r="FK59" i="92"/>
  <c r="FK99" i="92"/>
  <c r="FK80" i="92"/>
  <c r="FK110" i="92"/>
  <c r="FK19" i="92"/>
  <c r="FK115" i="92"/>
  <c r="FK55" i="92"/>
  <c r="FK56" i="92"/>
  <c r="FK71" i="92"/>
  <c r="FK64" i="92"/>
  <c r="FK72" i="92"/>
  <c r="FK63" i="92"/>
  <c r="FK108" i="92"/>
  <c r="FK124" i="92"/>
  <c r="FK98" i="92"/>
  <c r="FK46" i="92"/>
  <c r="FK106" i="92"/>
  <c r="FK105" i="92"/>
  <c r="FK77" i="92"/>
  <c r="FK66" i="92"/>
  <c r="FK92" i="92"/>
  <c r="FK8" i="92"/>
  <c r="FK39" i="92"/>
  <c r="FK74" i="92"/>
  <c r="FK49" i="92"/>
  <c r="FK10" i="92"/>
  <c r="FK103" i="92"/>
  <c r="FK76" i="92"/>
  <c r="FK6" i="92"/>
  <c r="FK9" i="92"/>
  <c r="FK85" i="92"/>
  <c r="FK32" i="92"/>
  <c r="FK116" i="92"/>
  <c r="FK27" i="92"/>
  <c r="FK121" i="92"/>
  <c r="FK54" i="92"/>
  <c r="FK61" i="92"/>
  <c r="FK96" i="92"/>
  <c r="FK62" i="92"/>
  <c r="FK93" i="92"/>
  <c r="FK17" i="92"/>
  <c r="FK15" i="92"/>
  <c r="FK87" i="92"/>
  <c r="FK126" i="92"/>
  <c r="FK7" i="92"/>
  <c r="FK130" i="92"/>
  <c r="FK41" i="92"/>
  <c r="FK128" i="92"/>
  <c r="FK79" i="92"/>
  <c r="FK43" i="92"/>
  <c r="FK107" i="92"/>
  <c r="FK65" i="92"/>
  <c r="FK83" i="92"/>
  <c r="FK60" i="92"/>
  <c r="FK84" i="92"/>
  <c r="FK14" i="92"/>
  <c r="FK95" i="92"/>
  <c r="FK109" i="92"/>
  <c r="FK90" i="92"/>
  <c r="FK28" i="92"/>
  <c r="FK132" i="92"/>
  <c r="FK129" i="92"/>
  <c r="FK26" i="92"/>
  <c r="FE26" i="92"/>
  <c r="FE50" i="92"/>
  <c r="FE95" i="92"/>
  <c r="FE20" i="92"/>
  <c r="FE99" i="92"/>
  <c r="FE77" i="92"/>
  <c r="FE90" i="92"/>
  <c r="FE129" i="92"/>
  <c r="FE38" i="92"/>
  <c r="FE97" i="92"/>
  <c r="FE56" i="92"/>
  <c r="FE103" i="92"/>
  <c r="FE27" i="92"/>
  <c r="FE34" i="92"/>
  <c r="FE105" i="92"/>
  <c r="EZ142" i="92" l="1"/>
  <c r="FA142" i="92" s="1"/>
  <c r="Y142" i="92" s="1"/>
  <c r="AA142" i="92" s="1"/>
  <c r="I160" i="92"/>
  <c r="FL150" i="92"/>
  <c r="EZ148" i="92"/>
  <c r="FA148" i="92" s="1"/>
  <c r="Y148" i="92" s="1"/>
  <c r="AA148" i="92" s="1"/>
  <c r="EZ163" i="92"/>
  <c r="FA163" i="92" s="1"/>
  <c r="Y163" i="92" s="1"/>
  <c r="AA163" i="92" s="1"/>
  <c r="I171" i="92"/>
  <c r="EZ171" i="92"/>
  <c r="FA171" i="92" s="1"/>
  <c r="Y171" i="92" s="1"/>
  <c r="AA171" i="92" s="1"/>
  <c r="K170" i="92"/>
  <c r="L184" i="92"/>
  <c r="K140" i="92"/>
  <c r="EZ154" i="92"/>
  <c r="FA154" i="92" s="1"/>
  <c r="Y154" i="92" s="1"/>
  <c r="L154" i="92"/>
  <c r="FL182" i="92"/>
  <c r="K144" i="92"/>
  <c r="L144" i="92" s="1"/>
  <c r="EZ166" i="92"/>
  <c r="FA166" i="92" s="1"/>
  <c r="Z166" i="92" s="1"/>
  <c r="I150" i="92"/>
  <c r="G177" i="92"/>
  <c r="R177" i="92" s="1"/>
  <c r="L172" i="92"/>
  <c r="G142" i="92"/>
  <c r="Q142" i="92" s="1"/>
  <c r="EZ135" i="92"/>
  <c r="FA135" i="92" s="1"/>
  <c r="Z135" i="92" s="1"/>
  <c r="G147" i="92"/>
  <c r="F171" i="92"/>
  <c r="L171" i="92" s="1"/>
  <c r="EZ176" i="92"/>
  <c r="FA176" i="92" s="1"/>
  <c r="Y176" i="92" s="1"/>
  <c r="AA176" i="92" s="1"/>
  <c r="G180" i="92"/>
  <c r="K158" i="92"/>
  <c r="EZ164" i="92"/>
  <c r="FA164" i="92" s="1"/>
  <c r="Y164" i="92" s="1"/>
  <c r="AA164" i="92" s="1"/>
  <c r="F135" i="92"/>
  <c r="I184" i="92"/>
  <c r="I181" i="92"/>
  <c r="U181" i="92" s="1"/>
  <c r="I170" i="92"/>
  <c r="V170" i="92" s="1"/>
  <c r="I159" i="92"/>
  <c r="G182" i="92"/>
  <c r="EZ157" i="92"/>
  <c r="FA157" i="92" s="1"/>
  <c r="Y157" i="92" s="1"/>
  <c r="AA157" i="92" s="1"/>
  <c r="Z148" i="92"/>
  <c r="G159" i="92"/>
  <c r="R159" i="92" s="1"/>
  <c r="EZ152" i="92"/>
  <c r="FA152" i="92" s="1"/>
  <c r="Y152" i="92" s="1"/>
  <c r="K146" i="92"/>
  <c r="F138" i="92"/>
  <c r="G172" i="92"/>
  <c r="G176" i="92"/>
  <c r="I154" i="92"/>
  <c r="J154" i="92" s="1"/>
  <c r="Z169" i="92"/>
  <c r="I187" i="92"/>
  <c r="K161" i="92"/>
  <c r="K152" i="92"/>
  <c r="L152" i="92" s="1"/>
  <c r="G137" i="92"/>
  <c r="G140" i="92"/>
  <c r="R140" i="92" s="1"/>
  <c r="L159" i="92"/>
  <c r="K164" i="92"/>
  <c r="K136" i="92"/>
  <c r="I148" i="92"/>
  <c r="I175" i="92"/>
  <c r="I188" i="92"/>
  <c r="V188" i="92" s="1"/>
  <c r="F180" i="92"/>
  <c r="N180" i="92" s="1"/>
  <c r="Z142" i="92"/>
  <c r="K177" i="92"/>
  <c r="K145" i="92"/>
  <c r="L145" i="92" s="1"/>
  <c r="F136" i="92"/>
  <c r="H136" i="92" s="1"/>
  <c r="Q148" i="92"/>
  <c r="R148" i="92"/>
  <c r="Q151" i="92"/>
  <c r="R151" i="92"/>
  <c r="M146" i="92"/>
  <c r="N146" i="92"/>
  <c r="H152" i="92"/>
  <c r="R152" i="92"/>
  <c r="Q152" i="92"/>
  <c r="M157" i="92"/>
  <c r="N157" i="92"/>
  <c r="M149" i="92"/>
  <c r="N149" i="92"/>
  <c r="V141" i="92"/>
  <c r="U141" i="92"/>
  <c r="J156" i="92"/>
  <c r="V156" i="92"/>
  <c r="U156" i="92"/>
  <c r="M184" i="92"/>
  <c r="N184" i="92"/>
  <c r="Q178" i="92"/>
  <c r="H178" i="92"/>
  <c r="R178" i="92"/>
  <c r="Y168" i="92"/>
  <c r="AA168" i="92" s="1"/>
  <c r="V134" i="92"/>
  <c r="J134" i="92"/>
  <c r="U134" i="92"/>
  <c r="M178" i="92"/>
  <c r="N178" i="92"/>
  <c r="R158" i="92"/>
  <c r="Q158" i="92"/>
  <c r="Y185" i="92"/>
  <c r="AA185" i="92" s="1"/>
  <c r="Q133" i="92"/>
  <c r="H133" i="92"/>
  <c r="R133" i="92"/>
  <c r="J145" i="92"/>
  <c r="V145" i="92"/>
  <c r="U145" i="92"/>
  <c r="U180" i="92"/>
  <c r="V180" i="92"/>
  <c r="L157" i="92"/>
  <c r="R181" i="92"/>
  <c r="Q181" i="92"/>
  <c r="Y151" i="92"/>
  <c r="N154" i="92"/>
  <c r="M154" i="92"/>
  <c r="M162" i="92"/>
  <c r="N162" i="92"/>
  <c r="M179" i="92"/>
  <c r="N179" i="92"/>
  <c r="M152" i="92"/>
  <c r="N152" i="92"/>
  <c r="M156" i="92"/>
  <c r="N156" i="92"/>
  <c r="V146" i="92"/>
  <c r="J146" i="92"/>
  <c r="U146" i="92"/>
  <c r="N133" i="92"/>
  <c r="M133" i="92"/>
  <c r="Q139" i="92"/>
  <c r="R139" i="92"/>
  <c r="H139" i="92"/>
  <c r="Q161" i="92"/>
  <c r="R161" i="92"/>
  <c r="Q167" i="92"/>
  <c r="H167" i="92"/>
  <c r="R167" i="92"/>
  <c r="H170" i="92"/>
  <c r="Q170" i="92"/>
  <c r="R170" i="92"/>
  <c r="V153" i="92"/>
  <c r="U153" i="92"/>
  <c r="U140" i="92"/>
  <c r="V140" i="92"/>
  <c r="N170" i="92"/>
  <c r="M170" i="92"/>
  <c r="EZ183" i="92"/>
  <c r="FA183" i="92" s="1"/>
  <c r="EZ180" i="92"/>
  <c r="FA180" i="92" s="1"/>
  <c r="Y180" i="92" s="1"/>
  <c r="AA180" i="92" s="1"/>
  <c r="FL165" i="92"/>
  <c r="Z165" i="92" s="1"/>
  <c r="F165" i="92"/>
  <c r="L179" i="92"/>
  <c r="N172" i="92"/>
  <c r="M172" i="92"/>
  <c r="L138" i="92"/>
  <c r="K181" i="92"/>
  <c r="I136" i="92"/>
  <c r="I163" i="92"/>
  <c r="K149" i="92"/>
  <c r="L149" i="92" s="1"/>
  <c r="K139" i="92"/>
  <c r="L139" i="92" s="1"/>
  <c r="K156" i="92"/>
  <c r="L156" i="92" s="1"/>
  <c r="G171" i="92"/>
  <c r="I164" i="92"/>
  <c r="F151" i="92"/>
  <c r="H151" i="92" s="1"/>
  <c r="G138" i="92"/>
  <c r="K151" i="92"/>
  <c r="G156" i="92"/>
  <c r="Y135" i="92"/>
  <c r="K160" i="92"/>
  <c r="G163" i="92"/>
  <c r="I151" i="92"/>
  <c r="K187" i="92"/>
  <c r="M138" i="92"/>
  <c r="N138" i="92"/>
  <c r="J149" i="92"/>
  <c r="V149" i="92"/>
  <c r="U149" i="92"/>
  <c r="M167" i="92"/>
  <c r="N167" i="92"/>
  <c r="U155" i="92"/>
  <c r="V155" i="92"/>
  <c r="J144" i="92"/>
  <c r="V144" i="92"/>
  <c r="U144" i="92"/>
  <c r="U147" i="92"/>
  <c r="V147" i="92"/>
  <c r="K134" i="92"/>
  <c r="L134" i="92" s="1"/>
  <c r="F166" i="92"/>
  <c r="L166" i="92" s="1"/>
  <c r="F164" i="92"/>
  <c r="H164" i="92" s="1"/>
  <c r="G157" i="92"/>
  <c r="I172" i="92"/>
  <c r="I179" i="92"/>
  <c r="K167" i="92"/>
  <c r="L167" i="92" s="1"/>
  <c r="F153" i="92"/>
  <c r="J153" i="92" s="1"/>
  <c r="F158" i="92"/>
  <c r="L158" i="92" s="1"/>
  <c r="FL137" i="92"/>
  <c r="F137" i="92"/>
  <c r="L137" i="92" s="1"/>
  <c r="EZ173" i="92"/>
  <c r="FA173" i="92" s="1"/>
  <c r="EZ184" i="92"/>
  <c r="FA184" i="92" s="1"/>
  <c r="Y184" i="92" s="1"/>
  <c r="AA184" i="92" s="1"/>
  <c r="EZ177" i="92"/>
  <c r="FA177" i="92" s="1"/>
  <c r="EZ137" i="92"/>
  <c r="FA137" i="92" s="1"/>
  <c r="Y137" i="92" s="1"/>
  <c r="AA137" i="92" s="1"/>
  <c r="FL175" i="92"/>
  <c r="Z175" i="92" s="1"/>
  <c r="F175" i="92"/>
  <c r="H175" i="92" s="1"/>
  <c r="I186" i="92"/>
  <c r="G186" i="92"/>
  <c r="K168" i="92"/>
  <c r="I168" i="92"/>
  <c r="R160" i="92"/>
  <c r="Q160" i="92"/>
  <c r="FL143" i="92"/>
  <c r="Z143" i="92" s="1"/>
  <c r="F143" i="92"/>
  <c r="F182" i="92"/>
  <c r="L182" i="92" s="1"/>
  <c r="G169" i="92"/>
  <c r="G185" i="92"/>
  <c r="F183" i="92"/>
  <c r="L183" i="92" s="1"/>
  <c r="I139" i="92"/>
  <c r="G188" i="92"/>
  <c r="I185" i="92"/>
  <c r="K186" i="92"/>
  <c r="G134" i="92"/>
  <c r="F176" i="92"/>
  <c r="L176" i="92" s="1"/>
  <c r="K155" i="92"/>
  <c r="V171" i="92"/>
  <c r="U171" i="92"/>
  <c r="EZ147" i="92"/>
  <c r="FA147" i="92" s="1"/>
  <c r="EZ138" i="92"/>
  <c r="FA138" i="92" s="1"/>
  <c r="V142" i="92"/>
  <c r="U142" i="92"/>
  <c r="V169" i="92"/>
  <c r="U169" i="92"/>
  <c r="N145" i="92"/>
  <c r="M145" i="92"/>
  <c r="FL154" i="92"/>
  <c r="G141" i="92"/>
  <c r="EZ182" i="92"/>
  <c r="FA182" i="92" s="1"/>
  <c r="G144" i="92"/>
  <c r="G145" i="92"/>
  <c r="I161" i="92"/>
  <c r="G179" i="92"/>
  <c r="F161" i="92"/>
  <c r="K143" i="92"/>
  <c r="F141" i="92"/>
  <c r="J141" i="92" s="1"/>
  <c r="F163" i="92"/>
  <c r="L163" i="92" s="1"/>
  <c r="R175" i="92"/>
  <c r="Q175" i="92"/>
  <c r="EZ161" i="92"/>
  <c r="FA161" i="92" s="1"/>
  <c r="FL144" i="92"/>
  <c r="Z144" i="92" s="1"/>
  <c r="AA144" i="92" s="1"/>
  <c r="K180" i="92"/>
  <c r="L180" i="92" s="1"/>
  <c r="G154" i="92"/>
  <c r="I182" i="92"/>
  <c r="F142" i="92"/>
  <c r="J142" i="92" s="1"/>
  <c r="K147" i="92"/>
  <c r="I133" i="92"/>
  <c r="Y175" i="92"/>
  <c r="AA175" i="92" s="1"/>
  <c r="K148" i="92"/>
  <c r="K133" i="92"/>
  <c r="L133" i="92" s="1"/>
  <c r="F169" i="92"/>
  <c r="J169" i="92" s="1"/>
  <c r="Z140" i="92"/>
  <c r="K169" i="92"/>
  <c r="Z164" i="92"/>
  <c r="F187" i="92"/>
  <c r="J187" i="92" s="1"/>
  <c r="FL168" i="92"/>
  <c r="Z168" i="92" s="1"/>
  <c r="F168" i="92"/>
  <c r="K141" i="92"/>
  <c r="FL185" i="92"/>
  <c r="Z185" i="92" s="1"/>
  <c r="F185" i="92"/>
  <c r="M159" i="92"/>
  <c r="N159" i="92"/>
  <c r="EZ181" i="92"/>
  <c r="FA181" i="92" s="1"/>
  <c r="M134" i="92"/>
  <c r="N134" i="92"/>
  <c r="U177" i="92"/>
  <c r="V177" i="92"/>
  <c r="H172" i="92"/>
  <c r="Q172" i="92"/>
  <c r="R172" i="92"/>
  <c r="EZ158" i="92"/>
  <c r="FA158" i="92" s="1"/>
  <c r="EZ174" i="92"/>
  <c r="FA174" i="92" s="1"/>
  <c r="Y174" i="92" s="1"/>
  <c r="AA174" i="92" s="1"/>
  <c r="N139" i="92"/>
  <c r="M139" i="92"/>
  <c r="I165" i="92"/>
  <c r="G165" i="92"/>
  <c r="N135" i="92"/>
  <c r="M135" i="92"/>
  <c r="Q182" i="92"/>
  <c r="R182" i="92"/>
  <c r="L146" i="92"/>
  <c r="R147" i="92"/>
  <c r="Q147" i="92"/>
  <c r="N144" i="92"/>
  <c r="M144" i="92"/>
  <c r="L170" i="92"/>
  <c r="F177" i="92"/>
  <c r="H177" i="92" s="1"/>
  <c r="K153" i="92"/>
  <c r="G153" i="92"/>
  <c r="FL186" i="92"/>
  <c r="Z186" i="92" s="1"/>
  <c r="F186" i="92"/>
  <c r="I158" i="92"/>
  <c r="I167" i="92"/>
  <c r="G150" i="92"/>
  <c r="Y166" i="92"/>
  <c r="AA166" i="92" s="1"/>
  <c r="I157" i="92"/>
  <c r="F174" i="92"/>
  <c r="L174" i="92" s="1"/>
  <c r="I178" i="92"/>
  <c r="K178" i="92"/>
  <c r="L178" i="92" s="1"/>
  <c r="U150" i="92"/>
  <c r="V150" i="92"/>
  <c r="V184" i="92"/>
  <c r="J184" i="92"/>
  <c r="U184" i="92"/>
  <c r="FL155" i="92"/>
  <c r="F155" i="92"/>
  <c r="J155" i="92" s="1"/>
  <c r="F140" i="92"/>
  <c r="J140" i="92" s="1"/>
  <c r="EZ188" i="92"/>
  <c r="FA188" i="92" s="1"/>
  <c r="EZ150" i="92"/>
  <c r="FA150" i="92" s="1"/>
  <c r="Q136" i="92"/>
  <c r="R136" i="92"/>
  <c r="K135" i="92"/>
  <c r="L135" i="92" s="1"/>
  <c r="I135" i="92"/>
  <c r="G166" i="92"/>
  <c r="V160" i="92"/>
  <c r="U160" i="92"/>
  <c r="G155" i="92"/>
  <c r="F147" i="92"/>
  <c r="I173" i="92"/>
  <c r="Q162" i="92"/>
  <c r="H162" i="92"/>
  <c r="R162" i="92"/>
  <c r="I166" i="92"/>
  <c r="K165" i="92"/>
  <c r="G149" i="92"/>
  <c r="G168" i="92"/>
  <c r="I176" i="92"/>
  <c r="Q164" i="92"/>
  <c r="R164" i="92"/>
  <c r="EZ155" i="92"/>
  <c r="FA155" i="92" s="1"/>
  <c r="EZ141" i="92"/>
  <c r="FA141" i="92" s="1"/>
  <c r="Q187" i="92"/>
  <c r="R187" i="92"/>
  <c r="FL152" i="92"/>
  <c r="FL151" i="92"/>
  <c r="Z151" i="92" s="1"/>
  <c r="V159" i="92"/>
  <c r="U159" i="92"/>
  <c r="J159" i="92"/>
  <c r="Q176" i="92"/>
  <c r="R176" i="92"/>
  <c r="I183" i="92"/>
  <c r="G146" i="92"/>
  <c r="F148" i="92"/>
  <c r="J148" i="92" s="1"/>
  <c r="F188" i="92"/>
  <c r="L188" i="92" s="1"/>
  <c r="G183" i="92"/>
  <c r="I152" i="92"/>
  <c r="G135" i="92"/>
  <c r="F181" i="92"/>
  <c r="H181" i="92" s="1"/>
  <c r="V187" i="92"/>
  <c r="U187" i="92"/>
  <c r="U148" i="92"/>
  <c r="V148" i="92"/>
  <c r="V175" i="92"/>
  <c r="U175" i="92"/>
  <c r="EZ136" i="92"/>
  <c r="FA136" i="92" s="1"/>
  <c r="EZ187" i="92"/>
  <c r="FA187" i="92" s="1"/>
  <c r="Y187" i="92" s="1"/>
  <c r="AA187" i="92" s="1"/>
  <c r="EZ153" i="92"/>
  <c r="FA153" i="92" s="1"/>
  <c r="FL184" i="92"/>
  <c r="G184" i="92"/>
  <c r="FL160" i="92"/>
  <c r="Z160" i="92" s="1"/>
  <c r="AA160" i="92" s="1"/>
  <c r="F160" i="92"/>
  <c r="H160" i="92" s="1"/>
  <c r="U143" i="92"/>
  <c r="V143" i="92"/>
  <c r="G174" i="92"/>
  <c r="I174" i="92"/>
  <c r="I162" i="92"/>
  <c r="K162" i="92"/>
  <c r="L162" i="92" s="1"/>
  <c r="FL157" i="92"/>
  <c r="Z157" i="92" s="1"/>
  <c r="I138" i="92"/>
  <c r="G143" i="92"/>
  <c r="G173" i="92"/>
  <c r="I137" i="92"/>
  <c r="K175" i="92"/>
  <c r="F150" i="92"/>
  <c r="L150" i="92" s="1"/>
  <c r="K142" i="92"/>
  <c r="F173" i="92"/>
  <c r="L173" i="92" s="1"/>
  <c r="FH2" i="92"/>
  <c r="FI2" i="92"/>
  <c r="FJ2" i="92"/>
  <c r="FK2" i="92"/>
  <c r="FL2" i="92"/>
  <c r="FG2" i="92"/>
  <c r="FF2" i="92"/>
  <c r="EZ139" i="92"/>
  <c r="FA139" i="92" s="1"/>
  <c r="FL139" i="92"/>
  <c r="EZ167" i="92"/>
  <c r="FA167" i="92" s="1"/>
  <c r="FL167" i="92"/>
  <c r="EZ134" i="92"/>
  <c r="FA134" i="92" s="1"/>
  <c r="FL134" i="92"/>
  <c r="EZ178" i="92"/>
  <c r="FA178" i="92" s="1"/>
  <c r="FL178" i="92"/>
  <c r="EZ162" i="92"/>
  <c r="FA162" i="92" s="1"/>
  <c r="FL162" i="92"/>
  <c r="EZ149" i="92"/>
  <c r="FA149" i="92" s="1"/>
  <c r="FL149" i="92"/>
  <c r="EZ145" i="92"/>
  <c r="FA145" i="92" s="1"/>
  <c r="Y145" i="92" s="1"/>
  <c r="AA145" i="92" s="1"/>
  <c r="FL145" i="92"/>
  <c r="EZ179" i="92"/>
  <c r="FA179" i="92" s="1"/>
  <c r="FL179" i="92"/>
  <c r="EZ172" i="92"/>
  <c r="FA172" i="92" s="1"/>
  <c r="Y172" i="92" s="1"/>
  <c r="FL172" i="92"/>
  <c r="EZ159" i="92"/>
  <c r="FA159" i="92" s="1"/>
  <c r="FL159" i="92"/>
  <c r="EZ156" i="92"/>
  <c r="FA156" i="92" s="1"/>
  <c r="FL156" i="92"/>
  <c r="EZ170" i="92"/>
  <c r="FA170" i="92" s="1"/>
  <c r="FL170" i="92"/>
  <c r="EZ133" i="92"/>
  <c r="FA133" i="92" s="1"/>
  <c r="FL133" i="92"/>
  <c r="EZ146" i="92"/>
  <c r="FA146" i="92" s="1"/>
  <c r="FL146" i="92"/>
  <c r="F126" i="92"/>
  <c r="N126" i="92" s="1"/>
  <c r="F66" i="92"/>
  <c r="N66" i="92" s="1"/>
  <c r="EZ82" i="92"/>
  <c r="FA82" i="92" s="1"/>
  <c r="F7" i="92"/>
  <c r="M7" i="92" s="1"/>
  <c r="FL127" i="92"/>
  <c r="FL113" i="92"/>
  <c r="FL13" i="92"/>
  <c r="FL110" i="92"/>
  <c r="Z110" i="92" s="1"/>
  <c r="FL23" i="92"/>
  <c r="F51" i="92"/>
  <c r="M51" i="92" s="1"/>
  <c r="F104" i="92"/>
  <c r="M104" i="92" s="1"/>
  <c r="FL25" i="92"/>
  <c r="FL45" i="92"/>
  <c r="F84" i="92"/>
  <c r="N84" i="92" s="1"/>
  <c r="FL53" i="92"/>
  <c r="FL21" i="92"/>
  <c r="FL94" i="92"/>
  <c r="FL111" i="92"/>
  <c r="FL120" i="92"/>
  <c r="FL78" i="92"/>
  <c r="FL58" i="92"/>
  <c r="FL48" i="92"/>
  <c r="FL118" i="92"/>
  <c r="FL52" i="92"/>
  <c r="FL86" i="92"/>
  <c r="FL5" i="92"/>
  <c r="F92" i="92"/>
  <c r="FL42" i="92"/>
  <c r="FL100" i="92"/>
  <c r="G120" i="92"/>
  <c r="FL122" i="92"/>
  <c r="FL37" i="92"/>
  <c r="FL50" i="92"/>
  <c r="FL89" i="92"/>
  <c r="FL36" i="92"/>
  <c r="FL34" i="92"/>
  <c r="FL75" i="92"/>
  <c r="FL119" i="92"/>
  <c r="FL29" i="92"/>
  <c r="FL30" i="92"/>
  <c r="FL11" i="92"/>
  <c r="FL72" i="92"/>
  <c r="Z72" i="92" s="1"/>
  <c r="FL33" i="92"/>
  <c r="FL24" i="92"/>
  <c r="FL67" i="92"/>
  <c r="FL123" i="92"/>
  <c r="FL22" i="92"/>
  <c r="FL101" i="92"/>
  <c r="FL68" i="92"/>
  <c r="FL31" i="92"/>
  <c r="FL112" i="92"/>
  <c r="F69" i="92"/>
  <c r="N69" i="92" s="1"/>
  <c r="F110" i="92"/>
  <c r="N110" i="92" s="1"/>
  <c r="FL51" i="92"/>
  <c r="Z51" i="92" s="1"/>
  <c r="F20" i="92"/>
  <c r="N20" i="92" s="1"/>
  <c r="FL35" i="92"/>
  <c r="FL60" i="92"/>
  <c r="Z60" i="92" s="1"/>
  <c r="AA60" i="92" s="1"/>
  <c r="FL69" i="92"/>
  <c r="Z69" i="92" s="1"/>
  <c r="H10" i="95"/>
  <c r="Y7" i="92"/>
  <c r="Y54" i="92"/>
  <c r="Y51" i="92"/>
  <c r="Y15" i="92"/>
  <c r="Y9" i="92"/>
  <c r="Y129" i="92"/>
  <c r="Y47" i="92"/>
  <c r="Y26" i="92"/>
  <c r="Y110" i="92"/>
  <c r="Y91" i="92"/>
  <c r="Y61" i="92"/>
  <c r="Y104" i="92"/>
  <c r="Y126" i="92"/>
  <c r="Y65" i="92"/>
  <c r="Y80" i="92"/>
  <c r="Y27" i="92"/>
  <c r="Y76" i="92"/>
  <c r="Y59" i="92"/>
  <c r="Y8" i="92"/>
  <c r="EZ131" i="92"/>
  <c r="FA131" i="92" s="1"/>
  <c r="Y131" i="92" s="1"/>
  <c r="EZ43" i="92"/>
  <c r="FA43" i="92" s="1"/>
  <c r="Y43" i="92" s="1"/>
  <c r="EZ108" i="92"/>
  <c r="FA108" i="92" s="1"/>
  <c r="EZ103" i="92"/>
  <c r="FA103" i="92" s="1"/>
  <c r="EZ21" i="92"/>
  <c r="FA21" i="92" s="1"/>
  <c r="Y21" i="92" s="1"/>
  <c r="EZ53" i="92"/>
  <c r="FA53" i="92" s="1"/>
  <c r="EZ52" i="92"/>
  <c r="FA52" i="92" s="1"/>
  <c r="EZ117" i="92"/>
  <c r="FA117" i="92" s="1"/>
  <c r="EZ34" i="92"/>
  <c r="FA34" i="92" s="1"/>
  <c r="EZ92" i="92"/>
  <c r="FA92" i="92" s="1"/>
  <c r="EZ39" i="92"/>
  <c r="FA39" i="92" s="1"/>
  <c r="EZ75" i="92"/>
  <c r="FA75" i="92" s="1"/>
  <c r="EZ58" i="92"/>
  <c r="FA58" i="92" s="1"/>
  <c r="EZ32" i="92"/>
  <c r="FA32" i="92" s="1"/>
  <c r="Y32" i="92" s="1"/>
  <c r="EZ95" i="92"/>
  <c r="FA95" i="92" s="1"/>
  <c r="Y95" i="92" s="1"/>
  <c r="EZ22" i="92"/>
  <c r="FA22" i="92" s="1"/>
  <c r="EZ37" i="92"/>
  <c r="FA37" i="92" s="1"/>
  <c r="Y37" i="92" s="1"/>
  <c r="EZ57" i="92"/>
  <c r="FA57" i="92" s="1"/>
  <c r="Y57" i="92" s="1"/>
  <c r="EZ63" i="92"/>
  <c r="FA63" i="92" s="1"/>
  <c r="EZ16" i="92"/>
  <c r="FA16" i="92" s="1"/>
  <c r="EZ115" i="92"/>
  <c r="FA115" i="92" s="1"/>
  <c r="EZ50" i="92"/>
  <c r="FA50" i="92" s="1"/>
  <c r="EZ109" i="92"/>
  <c r="FA109" i="92" s="1"/>
  <c r="Y109" i="92" s="1"/>
  <c r="EZ71" i="92"/>
  <c r="FA71" i="92" s="1"/>
  <c r="Y71" i="92" s="1"/>
  <c r="EZ68" i="92"/>
  <c r="FA68" i="92" s="1"/>
  <c r="EZ85" i="92"/>
  <c r="FA85" i="92" s="1"/>
  <c r="Y85" i="92" s="1"/>
  <c r="EZ24" i="92"/>
  <c r="FA24" i="92" s="1"/>
  <c r="EZ56" i="92"/>
  <c r="FA56" i="92" s="1"/>
  <c r="EZ28" i="92"/>
  <c r="FA28" i="92" s="1"/>
  <c r="Y28" i="92" s="1"/>
  <c r="EZ77" i="92"/>
  <c r="FA77" i="92" s="1"/>
  <c r="EZ38" i="92"/>
  <c r="FA38" i="92" s="1"/>
  <c r="EZ106" i="92"/>
  <c r="FA106" i="92" s="1"/>
  <c r="Y106" i="92" s="1"/>
  <c r="EZ111" i="92"/>
  <c r="FA111" i="92" s="1"/>
  <c r="Y111" i="92" s="1"/>
  <c r="EZ62" i="92"/>
  <c r="FA62" i="92" s="1"/>
  <c r="EZ121" i="92"/>
  <c r="FA121" i="92" s="1"/>
  <c r="Y121" i="92" s="1"/>
  <c r="EZ107" i="92"/>
  <c r="FA107" i="92" s="1"/>
  <c r="Y107" i="92" s="1"/>
  <c r="EZ30" i="92"/>
  <c r="FA30" i="92" s="1"/>
  <c r="Y30" i="92" s="1"/>
  <c r="EZ35" i="92"/>
  <c r="FA35" i="92" s="1"/>
  <c r="EZ112" i="92"/>
  <c r="FA112" i="92" s="1"/>
  <c r="EZ90" i="92"/>
  <c r="FA90" i="92" s="1"/>
  <c r="EZ42" i="92"/>
  <c r="FA42" i="92" s="1"/>
  <c r="EZ120" i="92"/>
  <c r="FA120" i="92" s="1"/>
  <c r="EZ93" i="92"/>
  <c r="FA93" i="92" s="1"/>
  <c r="Y93" i="92" s="1"/>
  <c r="EZ86" i="92"/>
  <c r="FA86" i="92" s="1"/>
  <c r="Y86" i="92" s="1"/>
  <c r="EZ128" i="92"/>
  <c r="FA128" i="92" s="1"/>
  <c r="Y128" i="92" s="1"/>
  <c r="EZ67" i="92"/>
  <c r="FA67" i="92" s="1"/>
  <c r="EZ33" i="92"/>
  <c r="FA33" i="92" s="1"/>
  <c r="EZ5" i="92"/>
  <c r="FA5" i="92" s="1"/>
  <c r="Y5" i="92" s="1"/>
  <c r="EZ79" i="92"/>
  <c r="FA79" i="92" s="1"/>
  <c r="Y79" i="92" s="1"/>
  <c r="EZ14" i="92"/>
  <c r="FA14" i="92" s="1"/>
  <c r="EZ119" i="92"/>
  <c r="FA119" i="92" s="1"/>
  <c r="Y119" i="92" s="1"/>
  <c r="EZ49" i="92"/>
  <c r="FA49" i="92" s="1"/>
  <c r="EZ113" i="92"/>
  <c r="FA113" i="92" s="1"/>
  <c r="Y113" i="92" s="1"/>
  <c r="EZ25" i="92"/>
  <c r="FA25" i="92" s="1"/>
  <c r="Y25" i="92" s="1"/>
  <c r="EZ11" i="92"/>
  <c r="FA11" i="92" s="1"/>
  <c r="Y11" i="92" s="1"/>
  <c r="EZ100" i="92"/>
  <c r="FA100" i="92" s="1"/>
  <c r="Y100" i="92" s="1"/>
  <c r="EZ66" i="92"/>
  <c r="FA66" i="92" s="1"/>
  <c r="EZ96" i="92"/>
  <c r="FA96" i="92" s="1"/>
  <c r="EZ97" i="92"/>
  <c r="FA97" i="92" s="1"/>
  <c r="EZ73" i="92"/>
  <c r="FA73" i="92" s="1"/>
  <c r="EZ23" i="92"/>
  <c r="FA23" i="92" s="1"/>
  <c r="EZ102" i="92"/>
  <c r="FA102" i="92" s="1"/>
  <c r="Y102" i="92" s="1"/>
  <c r="EZ122" i="92"/>
  <c r="FA122" i="92" s="1"/>
  <c r="Y122" i="92" s="1"/>
  <c r="EZ10" i="92"/>
  <c r="FA10" i="92" s="1"/>
  <c r="EZ83" i="92"/>
  <c r="FA83" i="92" s="1"/>
  <c r="EZ127" i="92"/>
  <c r="FA127" i="92" s="1"/>
  <c r="EZ41" i="92"/>
  <c r="FA41" i="92" s="1"/>
  <c r="Y41" i="92" s="1"/>
  <c r="EZ31" i="92"/>
  <c r="FA31" i="92" s="1"/>
  <c r="Y31" i="92" s="1"/>
  <c r="EZ48" i="92"/>
  <c r="FA48" i="92" s="1"/>
  <c r="Y48" i="92" s="1"/>
  <c r="EZ132" i="92"/>
  <c r="FA132" i="92" s="1"/>
  <c r="Y132" i="92" s="1"/>
  <c r="EZ44" i="92"/>
  <c r="FA44" i="92" s="1"/>
  <c r="Y44" i="92" s="1"/>
  <c r="EZ12" i="92"/>
  <c r="FA12" i="92" s="1"/>
  <c r="EZ99" i="92"/>
  <c r="FA99" i="92" s="1"/>
  <c r="Y99" i="92" s="1"/>
  <c r="EZ74" i="92"/>
  <c r="FA74" i="92" s="1"/>
  <c r="EZ101" i="92"/>
  <c r="FA101" i="92" s="1"/>
  <c r="EZ19" i="92"/>
  <c r="FA19" i="92" s="1"/>
  <c r="EZ81" i="92"/>
  <c r="FA81" i="92" s="1"/>
  <c r="Y81" i="92" s="1"/>
  <c r="EZ40" i="92"/>
  <c r="FA40" i="92" s="1"/>
  <c r="EZ29" i="92"/>
  <c r="FA29" i="92" s="1"/>
  <c r="EZ70" i="92"/>
  <c r="FA70" i="92" s="1"/>
  <c r="Y70" i="92" s="1"/>
  <c r="EZ125" i="92"/>
  <c r="FA125" i="92" s="1"/>
  <c r="Y125" i="92" s="1"/>
  <c r="EZ45" i="92"/>
  <c r="FA45" i="92" s="1"/>
  <c r="Y45" i="92" s="1"/>
  <c r="EZ64" i="92"/>
  <c r="FA64" i="92" s="1"/>
  <c r="EZ98" i="92"/>
  <c r="FA98" i="92" s="1"/>
  <c r="Y98" i="92" s="1"/>
  <c r="EZ89" i="92"/>
  <c r="FA89" i="92" s="1"/>
  <c r="EZ94" i="92"/>
  <c r="FA94" i="92" s="1"/>
  <c r="Y94" i="92" s="1"/>
  <c r="EZ13" i="92"/>
  <c r="FA13" i="92" s="1"/>
  <c r="EZ87" i="92"/>
  <c r="FA87" i="92" s="1"/>
  <c r="EZ36" i="92"/>
  <c r="FA36" i="92" s="1"/>
  <c r="EZ123" i="92"/>
  <c r="FA123" i="92" s="1"/>
  <c r="EZ118" i="92"/>
  <c r="FA118" i="92" s="1"/>
  <c r="EZ114" i="92"/>
  <c r="FA114" i="92" s="1"/>
  <c r="EZ78" i="92"/>
  <c r="FA78" i="92" s="1"/>
  <c r="Y78" i="92" s="1"/>
  <c r="FL80" i="92"/>
  <c r="Z80" i="92" s="1"/>
  <c r="FL15" i="92"/>
  <c r="Z15" i="92" s="1"/>
  <c r="FL97" i="92"/>
  <c r="F78" i="92"/>
  <c r="N78" i="92" s="1"/>
  <c r="F67" i="92"/>
  <c r="M67" i="92" s="1"/>
  <c r="FL95" i="92"/>
  <c r="FL61" i="92"/>
  <c r="Z61" i="92" s="1"/>
  <c r="FL8" i="92"/>
  <c r="Z8" i="92" s="1"/>
  <c r="FL6" i="92"/>
  <c r="Z6" i="92" s="1"/>
  <c r="FL117" i="92"/>
  <c r="FL93" i="92"/>
  <c r="F5" i="92"/>
  <c r="M5" i="92" s="1"/>
  <c r="FL125" i="92"/>
  <c r="FL17" i="92"/>
  <c r="Z17" i="92" s="1"/>
  <c r="F101" i="92"/>
  <c r="M101" i="92" s="1"/>
  <c r="FL32" i="92"/>
  <c r="AC10" i="95"/>
  <c r="G8" i="95"/>
  <c r="K9" i="95"/>
  <c r="I8" i="95"/>
  <c r="FL7" i="92"/>
  <c r="Z7" i="92" s="1"/>
  <c r="FL131" i="92"/>
  <c r="FL76" i="92"/>
  <c r="Z76" i="92" s="1"/>
  <c r="F45" i="92"/>
  <c r="N45" i="92" s="1"/>
  <c r="FL126" i="92"/>
  <c r="Z126" i="92" s="1"/>
  <c r="FL57" i="92"/>
  <c r="F122" i="92"/>
  <c r="N122" i="92" s="1"/>
  <c r="FL87" i="92"/>
  <c r="FL108" i="92"/>
  <c r="FL39" i="92"/>
  <c r="AB10" i="95"/>
  <c r="F26" i="92"/>
  <c r="N26" i="92" s="1"/>
  <c r="FL106" i="92"/>
  <c r="FL65" i="92"/>
  <c r="Z65" i="92" s="1"/>
  <c r="FL59" i="92"/>
  <c r="Z59" i="92" s="1"/>
  <c r="FL27" i="92"/>
  <c r="Z27" i="92" s="1"/>
  <c r="FL92" i="92"/>
  <c r="F119" i="92"/>
  <c r="M119" i="92" s="1"/>
  <c r="FL56" i="92"/>
  <c r="FL109" i="92"/>
  <c r="FL105" i="92"/>
  <c r="Z105" i="92" s="1"/>
  <c r="FL114" i="92"/>
  <c r="FL81" i="92"/>
  <c r="FL73" i="92"/>
  <c r="FL47" i="92"/>
  <c r="Z47" i="92" s="1"/>
  <c r="F129" i="92"/>
  <c r="M129" i="92" s="1"/>
  <c r="FL83" i="92"/>
  <c r="FL74" i="92"/>
  <c r="FL63" i="92"/>
  <c r="FL44" i="92"/>
  <c r="FL107" i="92"/>
  <c r="FL85" i="92"/>
  <c r="F35" i="92"/>
  <c r="FL46" i="92"/>
  <c r="Z46" i="92" s="1"/>
  <c r="FL121" i="92"/>
  <c r="FL84" i="92"/>
  <c r="Z84" i="92" s="1"/>
  <c r="FL10" i="92"/>
  <c r="FL88" i="92"/>
  <c r="Z88" i="92" s="1"/>
  <c r="F68" i="92"/>
  <c r="M68" i="92" s="1"/>
  <c r="F58" i="92"/>
  <c r="M58" i="92" s="1"/>
  <c r="FL104" i="92"/>
  <c r="Z104" i="92" s="1"/>
  <c r="F25" i="92"/>
  <c r="N25" i="92" s="1"/>
  <c r="F113" i="92"/>
  <c r="N113" i="92" s="1"/>
  <c r="FL43" i="92"/>
  <c r="FL79" i="92"/>
  <c r="FL20" i="92"/>
  <c r="Z20" i="92" s="1"/>
  <c r="FL128" i="92"/>
  <c r="FL16" i="92"/>
  <c r="FL54" i="92"/>
  <c r="Z54" i="92" s="1"/>
  <c r="FL90" i="92"/>
  <c r="FL14" i="92"/>
  <c r="FL41" i="92"/>
  <c r="F24" i="92"/>
  <c r="N24" i="92" s="1"/>
  <c r="FL124" i="92"/>
  <c r="Z124" i="92" s="1"/>
  <c r="AA124" i="92" s="1"/>
  <c r="FL99" i="92"/>
  <c r="FL82" i="92"/>
  <c r="FL77" i="92"/>
  <c r="FL12" i="92"/>
  <c r="FL129" i="92"/>
  <c r="Z129" i="92" s="1"/>
  <c r="J8" i="95"/>
  <c r="FL18" i="92"/>
  <c r="Z18" i="92" s="1"/>
  <c r="FL116" i="92"/>
  <c r="Z116" i="92" s="1"/>
  <c r="FL28" i="92"/>
  <c r="FL66" i="92"/>
  <c r="FL26" i="92"/>
  <c r="Z26" i="92" s="1"/>
  <c r="F50" i="92"/>
  <c r="M50" i="92" s="1"/>
  <c r="F120" i="92"/>
  <c r="N120" i="92" s="1"/>
  <c r="FL64" i="92"/>
  <c r="FL102" i="92"/>
  <c r="FL132" i="92"/>
  <c r="FL71" i="92"/>
  <c r="F33" i="92"/>
  <c r="M33" i="92" s="1"/>
  <c r="F34" i="92"/>
  <c r="N34" i="92" s="1"/>
  <c r="F100" i="92"/>
  <c r="M100" i="92" s="1"/>
  <c r="F86" i="92"/>
  <c r="N86" i="92" s="1"/>
  <c r="FL62" i="92"/>
  <c r="FL9" i="92"/>
  <c r="Z9" i="92" s="1"/>
  <c r="FL96" i="92"/>
  <c r="FL55" i="92"/>
  <c r="Z55" i="92" s="1"/>
  <c r="F36" i="92"/>
  <c r="M36" i="92" s="1"/>
  <c r="FL115" i="92"/>
  <c r="FL130" i="92"/>
  <c r="Z130" i="92" s="1"/>
  <c r="FL103" i="92"/>
  <c r="FL19" i="92"/>
  <c r="FL38" i="92"/>
  <c r="FL40" i="92"/>
  <c r="FL98" i="92"/>
  <c r="FL91" i="92"/>
  <c r="Z91" i="92" s="1"/>
  <c r="F13" i="92"/>
  <c r="N13" i="92" s="1"/>
  <c r="FL49" i="92"/>
  <c r="F91" i="92"/>
  <c r="M91" i="92" s="1"/>
  <c r="G48" i="92"/>
  <c r="K42" i="92"/>
  <c r="K21" i="92"/>
  <c r="K119" i="92"/>
  <c r="I111" i="92"/>
  <c r="G106" i="92"/>
  <c r="K107" i="92"/>
  <c r="L107" i="92" s="1"/>
  <c r="K44" i="92"/>
  <c r="L44" i="92" s="1"/>
  <c r="K28" i="92"/>
  <c r="L28" i="92" s="1"/>
  <c r="K29" i="92"/>
  <c r="I59" i="92"/>
  <c r="I45" i="92"/>
  <c r="I9" i="92"/>
  <c r="G104" i="92"/>
  <c r="I95" i="92"/>
  <c r="K127" i="92"/>
  <c r="I98" i="92"/>
  <c r="K31" i="92"/>
  <c r="L31" i="92" s="1"/>
  <c r="K7" i="92"/>
  <c r="G99" i="92"/>
  <c r="K71" i="92"/>
  <c r="L71" i="92" s="1"/>
  <c r="K90" i="92"/>
  <c r="L90" i="92" s="1"/>
  <c r="I5" i="92"/>
  <c r="K14" i="92"/>
  <c r="L14" i="92" s="1"/>
  <c r="K18" i="92"/>
  <c r="I8" i="92"/>
  <c r="K96" i="92"/>
  <c r="L96" i="92" s="1"/>
  <c r="I123" i="92"/>
  <c r="I121" i="92"/>
  <c r="I35" i="92"/>
  <c r="G73" i="92"/>
  <c r="G112" i="92"/>
  <c r="G20" i="92"/>
  <c r="I72" i="92"/>
  <c r="I113" i="92"/>
  <c r="I93" i="92"/>
  <c r="G46" i="92"/>
  <c r="G19" i="92"/>
  <c r="G62" i="92"/>
  <c r="K61" i="92"/>
  <c r="I86" i="92"/>
  <c r="I117" i="92"/>
  <c r="G102" i="92"/>
  <c r="K89" i="92"/>
  <c r="I68" i="92"/>
  <c r="K87" i="92"/>
  <c r="L87" i="92" s="1"/>
  <c r="I23" i="92"/>
  <c r="I79" i="92"/>
  <c r="K37" i="92"/>
  <c r="G57" i="92"/>
  <c r="K26" i="92"/>
  <c r="K83" i="92"/>
  <c r="L83" i="92" s="1"/>
  <c r="I74" i="92"/>
  <c r="I58" i="92"/>
  <c r="I118" i="92"/>
  <c r="K15" i="92"/>
  <c r="I63" i="92"/>
  <c r="G22" i="92"/>
  <c r="I32" i="92"/>
  <c r="G41" i="92"/>
  <c r="K78" i="92"/>
  <c r="K100" i="92"/>
  <c r="G13" i="92"/>
  <c r="I6" i="92"/>
  <c r="G128" i="92"/>
  <c r="K30" i="92"/>
  <c r="K38" i="92"/>
  <c r="L38" i="92" s="1"/>
  <c r="K69" i="92"/>
  <c r="G82" i="92"/>
  <c r="G88" i="92"/>
  <c r="G85" i="92"/>
  <c r="K50" i="92"/>
  <c r="I65" i="92"/>
  <c r="G25" i="92"/>
  <c r="G116" i="92"/>
  <c r="I53" i="92"/>
  <c r="I94" i="92"/>
  <c r="G39" i="92"/>
  <c r="G40" i="92"/>
  <c r="K101" i="92"/>
  <c r="I10" i="92"/>
  <c r="K54" i="92"/>
  <c r="K67" i="92"/>
  <c r="K81" i="92"/>
  <c r="L81" i="92" s="1"/>
  <c r="I55" i="92"/>
  <c r="G56" i="92"/>
  <c r="K77" i="92"/>
  <c r="L77" i="92" s="1"/>
  <c r="I125" i="92"/>
  <c r="K66" i="92"/>
  <c r="G52" i="92"/>
  <c r="G11" i="92"/>
  <c r="I126" i="92"/>
  <c r="G84" i="92"/>
  <c r="I80" i="92"/>
  <c r="G103" i="92"/>
  <c r="I124" i="92"/>
  <c r="I105" i="92"/>
  <c r="K51" i="92"/>
  <c r="I33" i="92"/>
  <c r="K12" i="92"/>
  <c r="L12" i="92" s="1"/>
  <c r="G122" i="92"/>
  <c r="K27" i="92"/>
  <c r="I76" i="92"/>
  <c r="K130" i="92"/>
  <c r="I43" i="92"/>
  <c r="G60" i="92"/>
  <c r="K115" i="92"/>
  <c r="L115" i="92" s="1"/>
  <c r="I36" i="92"/>
  <c r="G110" i="92"/>
  <c r="K17" i="92"/>
  <c r="I108" i="92"/>
  <c r="G109" i="92"/>
  <c r="I131" i="92"/>
  <c r="K129" i="92"/>
  <c r="G75" i="92"/>
  <c r="G70" i="92"/>
  <c r="G16" i="92"/>
  <c r="N132" i="92"/>
  <c r="M132" i="92"/>
  <c r="M12" i="92"/>
  <c r="N12" i="92"/>
  <c r="N106" i="92"/>
  <c r="M106" i="92"/>
  <c r="N95" i="92"/>
  <c r="M95" i="92"/>
  <c r="M108" i="92"/>
  <c r="N108" i="92"/>
  <c r="N128" i="92"/>
  <c r="M128" i="92"/>
  <c r="N10" i="92"/>
  <c r="M10" i="92"/>
  <c r="N99" i="92"/>
  <c r="M99" i="92"/>
  <c r="M16" i="92"/>
  <c r="N16" i="92"/>
  <c r="N31" i="92"/>
  <c r="M31" i="92"/>
  <c r="M63" i="92"/>
  <c r="N63" i="92"/>
  <c r="M77" i="92"/>
  <c r="N77" i="92"/>
  <c r="M121" i="92"/>
  <c r="N121" i="92"/>
  <c r="N109" i="92"/>
  <c r="M109" i="92"/>
  <c r="N125" i="92"/>
  <c r="M125" i="92"/>
  <c r="M44" i="92"/>
  <c r="N44" i="92"/>
  <c r="N62" i="92"/>
  <c r="M62" i="92"/>
  <c r="M19" i="92"/>
  <c r="N19" i="92"/>
  <c r="N71" i="92"/>
  <c r="M71" i="92"/>
  <c r="M96" i="92"/>
  <c r="N96" i="92"/>
  <c r="N79" i="92"/>
  <c r="M79" i="92"/>
  <c r="M57" i="92"/>
  <c r="N57" i="92"/>
  <c r="M90" i="92"/>
  <c r="N90" i="92"/>
  <c r="N83" i="92"/>
  <c r="M83" i="92"/>
  <c r="M14" i="92"/>
  <c r="N14" i="92"/>
  <c r="N49" i="92"/>
  <c r="M49" i="92"/>
  <c r="N74" i="92"/>
  <c r="M74" i="92"/>
  <c r="N41" i="92"/>
  <c r="M41" i="92"/>
  <c r="N112" i="92"/>
  <c r="M112" i="92"/>
  <c r="N23" i="92"/>
  <c r="M23" i="92"/>
  <c r="M131" i="92"/>
  <c r="N131" i="92"/>
  <c r="N40" i="92"/>
  <c r="M40" i="92"/>
  <c r="N56" i="92"/>
  <c r="M56" i="92"/>
  <c r="M126" i="92"/>
  <c r="N117" i="92"/>
  <c r="M117" i="92"/>
  <c r="M102" i="92"/>
  <c r="N102" i="92"/>
  <c r="N38" i="92"/>
  <c r="M38" i="92"/>
  <c r="N93" i="92"/>
  <c r="M93" i="92"/>
  <c r="N98" i="92"/>
  <c r="M98" i="92"/>
  <c r="N73" i="92"/>
  <c r="M73" i="92"/>
  <c r="N103" i="92"/>
  <c r="M103" i="92"/>
  <c r="M39" i="92"/>
  <c r="N39" i="92"/>
  <c r="N97" i="92"/>
  <c r="M97" i="92"/>
  <c r="M32" i="92"/>
  <c r="N32" i="92"/>
  <c r="M107" i="92"/>
  <c r="N107" i="92"/>
  <c r="N28" i="92"/>
  <c r="M28" i="92"/>
  <c r="N115" i="92"/>
  <c r="M115" i="92"/>
  <c r="N43" i="92"/>
  <c r="M43" i="92"/>
  <c r="M64" i="92"/>
  <c r="N64" i="92"/>
  <c r="M87" i="92"/>
  <c r="N87" i="92"/>
  <c r="N114" i="92"/>
  <c r="M114" i="92"/>
  <c r="N81" i="92"/>
  <c r="M81" i="92"/>
  <c r="M85" i="92"/>
  <c r="N85" i="92"/>
  <c r="I56" i="92"/>
  <c r="I130" i="92"/>
  <c r="G8" i="92"/>
  <c r="G23" i="92"/>
  <c r="I62" i="92"/>
  <c r="I128" i="92"/>
  <c r="K122" i="92"/>
  <c r="G9" i="92"/>
  <c r="K86" i="92"/>
  <c r="K62" i="92"/>
  <c r="I102" i="92"/>
  <c r="G12" i="92"/>
  <c r="K80" i="92"/>
  <c r="G131" i="92"/>
  <c r="I88" i="92"/>
  <c r="G50" i="92"/>
  <c r="I60" i="92"/>
  <c r="K98" i="92"/>
  <c r="L98" i="92" s="1"/>
  <c r="K35" i="92"/>
  <c r="I103" i="92"/>
  <c r="I122" i="92"/>
  <c r="K23" i="92"/>
  <c r="L23" i="92" s="1"/>
  <c r="G43" i="92"/>
  <c r="G36" i="92"/>
  <c r="K57" i="92"/>
  <c r="L57" i="92" s="1"/>
  <c r="I85" i="92"/>
  <c r="I78" i="92"/>
  <c r="G80" i="92"/>
  <c r="I11" i="92"/>
  <c r="G7" i="92"/>
  <c r="I31" i="92"/>
  <c r="I15" i="92"/>
  <c r="K11" i="92"/>
  <c r="I83" i="92"/>
  <c r="G98" i="92"/>
  <c r="K53" i="92"/>
  <c r="K70" i="92"/>
  <c r="I20" i="92"/>
  <c r="K118" i="92"/>
  <c r="K76" i="92"/>
  <c r="G18" i="92"/>
  <c r="I73" i="92"/>
  <c r="K22" i="92"/>
  <c r="I49" i="92"/>
  <c r="G92" i="92"/>
  <c r="K47" i="92"/>
  <c r="G47" i="92"/>
  <c r="G64" i="92"/>
  <c r="I64" i="92"/>
  <c r="G129" i="92"/>
  <c r="K92" i="92"/>
  <c r="K74" i="92"/>
  <c r="L74" i="92" s="1"/>
  <c r="G94" i="92"/>
  <c r="K111" i="92"/>
  <c r="K125" i="92"/>
  <c r="L125" i="92" s="1"/>
  <c r="K43" i="92"/>
  <c r="L43" i="92" s="1"/>
  <c r="I14" i="92"/>
  <c r="I81" i="92"/>
  <c r="K55" i="92"/>
  <c r="K88" i="92"/>
  <c r="G68" i="92"/>
  <c r="G53" i="92"/>
  <c r="I67" i="92"/>
  <c r="G29" i="92"/>
  <c r="K56" i="92"/>
  <c r="L56" i="92" s="1"/>
  <c r="K36" i="92"/>
  <c r="K93" i="92"/>
  <c r="L93" i="92" s="1"/>
  <c r="I66" i="92"/>
  <c r="G55" i="92"/>
  <c r="G95" i="92"/>
  <c r="K102" i="92"/>
  <c r="L102" i="92" s="1"/>
  <c r="K8" i="92"/>
  <c r="I41" i="92"/>
  <c r="K39" i="92"/>
  <c r="L39" i="92" s="1"/>
  <c r="I48" i="92"/>
  <c r="K95" i="92"/>
  <c r="L95" i="92" s="1"/>
  <c r="I25" i="92"/>
  <c r="I18" i="92"/>
  <c r="K94" i="92"/>
  <c r="I101" i="92"/>
  <c r="I30" i="92"/>
  <c r="G10" i="92"/>
  <c r="I29" i="92"/>
  <c r="I54" i="92"/>
  <c r="K104" i="92"/>
  <c r="G79" i="92"/>
  <c r="I71" i="92"/>
  <c r="G30" i="92"/>
  <c r="G113" i="92"/>
  <c r="G14" i="92"/>
  <c r="K33" i="92"/>
  <c r="G31" i="92"/>
  <c r="G77" i="92"/>
  <c r="G81" i="92"/>
  <c r="G125" i="92"/>
  <c r="G27" i="92"/>
  <c r="I27" i="92"/>
  <c r="I84" i="92"/>
  <c r="K84" i="92"/>
  <c r="K105" i="92"/>
  <c r="G105" i="92"/>
  <c r="K52" i="92"/>
  <c r="I52" i="92"/>
  <c r="G6" i="92"/>
  <c r="G76" i="92"/>
  <c r="I77" i="92"/>
  <c r="K64" i="92"/>
  <c r="L64" i="92" s="1"/>
  <c r="G5" i="92"/>
  <c r="K128" i="92"/>
  <c r="L128" i="92" s="1"/>
  <c r="K41" i="92"/>
  <c r="L41" i="92" s="1"/>
  <c r="I104" i="92"/>
  <c r="G78" i="92"/>
  <c r="K126" i="92"/>
  <c r="K85" i="92"/>
  <c r="L85" i="92" s="1"/>
  <c r="G119" i="92"/>
  <c r="G33" i="92"/>
  <c r="G89" i="92"/>
  <c r="G96" i="92"/>
  <c r="I28" i="92"/>
  <c r="G44" i="92"/>
  <c r="K60" i="92"/>
  <c r="K108" i="92"/>
  <c r="L108" i="92" s="1"/>
  <c r="K49" i="92"/>
  <c r="L49" i="92" s="1"/>
  <c r="K10" i="92"/>
  <c r="L10" i="92" s="1"/>
  <c r="G69" i="92"/>
  <c r="K58" i="92"/>
  <c r="G111" i="92"/>
  <c r="I34" i="92"/>
  <c r="G24" i="92"/>
  <c r="I24" i="92"/>
  <c r="K132" i="92"/>
  <c r="L132" i="92" s="1"/>
  <c r="I132" i="92"/>
  <c r="I116" i="92"/>
  <c r="I129" i="92"/>
  <c r="K131" i="92"/>
  <c r="L131" i="92" s="1"/>
  <c r="I40" i="92"/>
  <c r="G38" i="92"/>
  <c r="G54" i="92"/>
  <c r="G86" i="92"/>
  <c r="G51" i="92"/>
  <c r="K75" i="92"/>
  <c r="I100" i="92"/>
  <c r="I12" i="92"/>
  <c r="G45" i="92"/>
  <c r="K32" i="92"/>
  <c r="L32" i="92" s="1"/>
  <c r="G115" i="92"/>
  <c r="I13" i="92"/>
  <c r="G130" i="92"/>
  <c r="K9" i="92"/>
  <c r="G21" i="92"/>
  <c r="G127" i="92"/>
  <c r="K59" i="92"/>
  <c r="I22" i="92"/>
  <c r="K65" i="92"/>
  <c r="G65" i="92"/>
  <c r="G87" i="92"/>
  <c r="I16" i="92"/>
  <c r="K16" i="92"/>
  <c r="L16" i="92" s="1"/>
  <c r="G117" i="92"/>
  <c r="K116" i="92"/>
  <c r="K124" i="92"/>
  <c r="I57" i="92"/>
  <c r="K13" i="92"/>
  <c r="K121" i="92"/>
  <c r="L121" i="92" s="1"/>
  <c r="G15" i="92"/>
  <c r="I97" i="92"/>
  <c r="I87" i="92"/>
  <c r="G91" i="92"/>
  <c r="G100" i="92"/>
  <c r="G124" i="92"/>
  <c r="K91" i="92"/>
  <c r="K82" i="92"/>
  <c r="I109" i="92"/>
  <c r="I50" i="92"/>
  <c r="K5" i="92"/>
  <c r="G26" i="92"/>
  <c r="I89" i="92"/>
  <c r="K24" i="92"/>
  <c r="I38" i="92"/>
  <c r="G123" i="92"/>
  <c r="G121" i="92"/>
  <c r="G132" i="92"/>
  <c r="K113" i="92"/>
  <c r="G126" i="92"/>
  <c r="G83" i="92"/>
  <c r="I115" i="92"/>
  <c r="K103" i="92"/>
  <c r="L103" i="92" s="1"/>
  <c r="G42" i="92"/>
  <c r="G35" i="92"/>
  <c r="I120" i="92"/>
  <c r="K117" i="92"/>
  <c r="L117" i="92" s="1"/>
  <c r="I107" i="92"/>
  <c r="G66" i="92"/>
  <c r="G49" i="92"/>
  <c r="K46" i="92"/>
  <c r="G90" i="92"/>
  <c r="I106" i="92"/>
  <c r="I70" i="92"/>
  <c r="K120" i="92"/>
  <c r="I47" i="92"/>
  <c r="G72" i="92"/>
  <c r="I91" i="92"/>
  <c r="G17" i="92"/>
  <c r="I96" i="92"/>
  <c r="I75" i="92"/>
  <c r="K99" i="92"/>
  <c r="L99" i="92" s="1"/>
  <c r="K40" i="92"/>
  <c r="L40" i="92" s="1"/>
  <c r="I61" i="92"/>
  <c r="K25" i="92"/>
  <c r="K123" i="92"/>
  <c r="G74" i="92"/>
  <c r="I46" i="92"/>
  <c r="I69" i="92"/>
  <c r="G118" i="92"/>
  <c r="K45" i="92"/>
  <c r="G108" i="92"/>
  <c r="I127" i="92"/>
  <c r="I21" i="92"/>
  <c r="K48" i="92"/>
  <c r="K79" i="92"/>
  <c r="L79" i="92" s="1"/>
  <c r="I19" i="92"/>
  <c r="I7" i="92"/>
  <c r="I90" i="92"/>
  <c r="G32" i="92"/>
  <c r="I37" i="92"/>
  <c r="G37" i="92"/>
  <c r="I112" i="92"/>
  <c r="K112" i="92"/>
  <c r="L112" i="92" s="1"/>
  <c r="G93" i="92"/>
  <c r="K19" i="92"/>
  <c r="L19" i="92" s="1"/>
  <c r="K20" i="92"/>
  <c r="K72" i="92"/>
  <c r="I42" i="92"/>
  <c r="K97" i="92"/>
  <c r="L97" i="92" s="1"/>
  <c r="I44" i="92"/>
  <c r="I26" i="92"/>
  <c r="I119" i="92"/>
  <c r="G71" i="92"/>
  <c r="I92" i="92"/>
  <c r="I51" i="92"/>
  <c r="I82" i="92"/>
  <c r="G67" i="92"/>
  <c r="I39" i="92"/>
  <c r="I110" i="92"/>
  <c r="G34" i="92"/>
  <c r="G59" i="92"/>
  <c r="K106" i="92"/>
  <c r="L106" i="92" s="1"/>
  <c r="G28" i="92"/>
  <c r="G107" i="92"/>
  <c r="G61" i="92"/>
  <c r="G58" i="92"/>
  <c r="G63" i="92"/>
  <c r="K63" i="92"/>
  <c r="L63" i="92" s="1"/>
  <c r="I99" i="92"/>
  <c r="G101" i="92"/>
  <c r="K109" i="92"/>
  <c r="L109" i="92" s="1"/>
  <c r="K34" i="92"/>
  <c r="I17" i="92"/>
  <c r="K73" i="92"/>
  <c r="L73" i="92" s="1"/>
  <c r="K6" i="92"/>
  <c r="K110" i="92"/>
  <c r="G97" i="92"/>
  <c r="K68" i="92"/>
  <c r="F130" i="92"/>
  <c r="F60" i="92"/>
  <c r="F6" i="92"/>
  <c r="F88" i="92"/>
  <c r="F17" i="92"/>
  <c r="F37" i="92"/>
  <c r="F72" i="92"/>
  <c r="F118" i="92"/>
  <c r="F123" i="92"/>
  <c r="F52" i="92"/>
  <c r="F111" i="92"/>
  <c r="F94" i="92"/>
  <c r="F29" i="92"/>
  <c r="F80" i="92"/>
  <c r="F15" i="92"/>
  <c r="F47" i="92"/>
  <c r="F21" i="92"/>
  <c r="F27" i="92"/>
  <c r="F124" i="92"/>
  <c r="F61" i="92"/>
  <c r="F76" i="92"/>
  <c r="F55" i="92"/>
  <c r="F75" i="92"/>
  <c r="F105" i="92"/>
  <c r="F22" i="92"/>
  <c r="F18" i="92"/>
  <c r="F54" i="92"/>
  <c r="F30" i="92"/>
  <c r="F8" i="92"/>
  <c r="F82" i="92"/>
  <c r="F116" i="92"/>
  <c r="F70" i="92"/>
  <c r="F89" i="92"/>
  <c r="F46" i="92"/>
  <c r="F65" i="92"/>
  <c r="F59" i="92"/>
  <c r="F11" i="92"/>
  <c r="F42" i="92"/>
  <c r="F9" i="92"/>
  <c r="F48" i="92"/>
  <c r="F53" i="92"/>
  <c r="F127" i="92"/>
  <c r="Q177" i="92" l="1"/>
  <c r="Z152" i="92"/>
  <c r="S177" i="92"/>
  <c r="L126" i="92"/>
  <c r="S175" i="92"/>
  <c r="T175" i="92" s="1"/>
  <c r="O157" i="92"/>
  <c r="J175" i="92"/>
  <c r="L175" i="92"/>
  <c r="U188" i="92"/>
  <c r="Z163" i="92"/>
  <c r="L164" i="92"/>
  <c r="Z171" i="92"/>
  <c r="Z146" i="92"/>
  <c r="H180" i="92"/>
  <c r="S170" i="92"/>
  <c r="T170" i="92" s="1"/>
  <c r="W147" i="92"/>
  <c r="X147" i="92" s="1"/>
  <c r="O138" i="92"/>
  <c r="P138" i="92" s="1"/>
  <c r="Q140" i="92"/>
  <c r="V154" i="92"/>
  <c r="R142" i="92"/>
  <c r="U170" i="92"/>
  <c r="U154" i="92"/>
  <c r="J170" i="92"/>
  <c r="J180" i="92"/>
  <c r="O178" i="92"/>
  <c r="Z154" i="92"/>
  <c r="AA154" i="92" s="1"/>
  <c r="W180" i="92"/>
  <c r="S187" i="92"/>
  <c r="T187" i="92" s="1"/>
  <c r="W171" i="92"/>
  <c r="X171" i="92" s="1"/>
  <c r="L151" i="92"/>
  <c r="S148" i="92"/>
  <c r="M180" i="92"/>
  <c r="W169" i="92"/>
  <c r="H176" i="92"/>
  <c r="V181" i="92"/>
  <c r="W181" i="92" s="1"/>
  <c r="H187" i="92"/>
  <c r="Z137" i="92"/>
  <c r="AA135" i="92"/>
  <c r="AA47" i="92"/>
  <c r="N171" i="92"/>
  <c r="W159" i="92"/>
  <c r="X159" i="92" s="1"/>
  <c r="M171" i="92"/>
  <c r="W143" i="92"/>
  <c r="M136" i="92"/>
  <c r="J177" i="92"/>
  <c r="R180" i="92"/>
  <c r="J171" i="92"/>
  <c r="Q180" i="92"/>
  <c r="S180" i="92" s="1"/>
  <c r="O152" i="92"/>
  <c r="P152" i="92" s="1"/>
  <c r="Z176" i="92"/>
  <c r="O179" i="92"/>
  <c r="P179" i="92" s="1"/>
  <c r="S151" i="92"/>
  <c r="T151" i="92" s="1"/>
  <c r="H137" i="92"/>
  <c r="L161" i="92"/>
  <c r="S136" i="92"/>
  <c r="W150" i="92"/>
  <c r="N136" i="92"/>
  <c r="H159" i="92"/>
  <c r="S160" i="92"/>
  <c r="T160" i="92" s="1"/>
  <c r="H161" i="92"/>
  <c r="O184" i="92"/>
  <c r="J160" i="92"/>
  <c r="Q159" i="92"/>
  <c r="S159" i="92" s="1"/>
  <c r="T159" i="92" s="1"/>
  <c r="W160" i="92"/>
  <c r="X160" i="92" s="1"/>
  <c r="H142" i="92"/>
  <c r="L136" i="92"/>
  <c r="L168" i="92"/>
  <c r="S142" i="92"/>
  <c r="W177" i="92"/>
  <c r="W153" i="92"/>
  <c r="O162" i="92"/>
  <c r="O146" i="92"/>
  <c r="P146" i="92" s="1"/>
  <c r="Q137" i="92"/>
  <c r="R137" i="92"/>
  <c r="W144" i="92"/>
  <c r="X144" i="92" s="1"/>
  <c r="W187" i="92"/>
  <c r="X187" i="92" s="1"/>
  <c r="S162" i="92"/>
  <c r="T162" i="92" s="1"/>
  <c r="O154" i="92"/>
  <c r="O149" i="92"/>
  <c r="P149" i="92" s="1"/>
  <c r="W184" i="92"/>
  <c r="X184" i="92" s="1"/>
  <c r="Z145" i="92"/>
  <c r="L160" i="92"/>
  <c r="S147" i="92"/>
  <c r="Z187" i="92"/>
  <c r="W142" i="92"/>
  <c r="X142" i="92" s="1"/>
  <c r="Y146" i="92"/>
  <c r="S178" i="92"/>
  <c r="T178" i="92" s="1"/>
  <c r="Z172" i="92"/>
  <c r="AA172" i="92" s="1"/>
  <c r="O159" i="92"/>
  <c r="P159" i="92" s="1"/>
  <c r="O167" i="92"/>
  <c r="P167" i="92" s="1"/>
  <c r="O156" i="92"/>
  <c r="Z180" i="92"/>
  <c r="V138" i="92"/>
  <c r="J138" i="92"/>
  <c r="U138" i="92"/>
  <c r="Y162" i="92"/>
  <c r="AA162" i="92" s="1"/>
  <c r="Z162" i="92"/>
  <c r="U157" i="92"/>
  <c r="J157" i="92"/>
  <c r="V157" i="92"/>
  <c r="W146" i="92"/>
  <c r="X146" i="92" s="1"/>
  <c r="Y153" i="92"/>
  <c r="Z153" i="92"/>
  <c r="W175" i="92"/>
  <c r="R135" i="92"/>
  <c r="H135" i="92"/>
  <c r="Q135" i="92"/>
  <c r="Z141" i="92"/>
  <c r="Y141" i="92"/>
  <c r="AA141" i="92" s="1"/>
  <c r="Z184" i="92"/>
  <c r="M147" i="92"/>
  <c r="N147" i="92"/>
  <c r="Q165" i="92"/>
  <c r="H165" i="92"/>
  <c r="R165" i="92"/>
  <c r="L169" i="92"/>
  <c r="J139" i="92"/>
  <c r="U139" i="92"/>
  <c r="V139" i="92"/>
  <c r="M137" i="92"/>
  <c r="N137" i="92"/>
  <c r="Q157" i="92"/>
  <c r="H157" i="92"/>
  <c r="R157" i="92"/>
  <c r="W155" i="92"/>
  <c r="X155" i="92" s="1"/>
  <c r="L187" i="92"/>
  <c r="AA151" i="92"/>
  <c r="X180" i="92"/>
  <c r="W134" i="92"/>
  <c r="P157" i="92"/>
  <c r="V182" i="92"/>
  <c r="U182" i="92"/>
  <c r="J182" i="92"/>
  <c r="R154" i="92"/>
  <c r="Q154" i="92"/>
  <c r="H154" i="92"/>
  <c r="Y159" i="92"/>
  <c r="AA159" i="92" s="1"/>
  <c r="Z159" i="92"/>
  <c r="Z178" i="92"/>
  <c r="Y178" i="92"/>
  <c r="AA178" i="92" s="1"/>
  <c r="J162" i="92"/>
  <c r="V162" i="92"/>
  <c r="U162" i="92"/>
  <c r="J152" i="92"/>
  <c r="V152" i="92"/>
  <c r="U152" i="92"/>
  <c r="Y155" i="92"/>
  <c r="Z155" i="92"/>
  <c r="U176" i="92"/>
  <c r="V176" i="92"/>
  <c r="J176" i="92"/>
  <c r="Q155" i="92"/>
  <c r="H155" i="92"/>
  <c r="R155" i="92"/>
  <c r="T136" i="92"/>
  <c r="H150" i="92"/>
  <c r="R150" i="92"/>
  <c r="Q150" i="92"/>
  <c r="N177" i="92"/>
  <c r="M177" i="92"/>
  <c r="V165" i="92"/>
  <c r="U165" i="92"/>
  <c r="J165" i="92"/>
  <c r="T177" i="92"/>
  <c r="M185" i="92"/>
  <c r="N185" i="92"/>
  <c r="O185" i="92" s="1"/>
  <c r="H145" i="92"/>
  <c r="R145" i="92"/>
  <c r="Q145" i="92"/>
  <c r="M183" i="92"/>
  <c r="N183" i="92"/>
  <c r="U168" i="92"/>
  <c r="V168" i="92"/>
  <c r="J168" i="92"/>
  <c r="N164" i="92"/>
  <c r="M164" i="92"/>
  <c r="U151" i="92"/>
  <c r="J151" i="92"/>
  <c r="V151" i="92"/>
  <c r="W140" i="92"/>
  <c r="X140" i="92" s="1"/>
  <c r="P156" i="92"/>
  <c r="W156" i="92"/>
  <c r="Y149" i="92"/>
  <c r="AA149" i="92" s="1"/>
  <c r="Z149" i="92"/>
  <c r="Y173" i="92"/>
  <c r="AA173" i="92" s="1"/>
  <c r="Z173" i="92"/>
  <c r="M165" i="92"/>
  <c r="N165" i="92"/>
  <c r="U174" i="92"/>
  <c r="J174" i="92"/>
  <c r="V174" i="92"/>
  <c r="Y136" i="92"/>
  <c r="AA136" i="92" s="1"/>
  <c r="Z136" i="92"/>
  <c r="W148" i="92"/>
  <c r="H183" i="92"/>
  <c r="R183" i="92"/>
  <c r="Q183" i="92"/>
  <c r="J181" i="92"/>
  <c r="H168" i="92"/>
  <c r="Q168" i="92"/>
  <c r="R168" i="92"/>
  <c r="Z150" i="92"/>
  <c r="Y150" i="92"/>
  <c r="U167" i="92"/>
  <c r="J167" i="92"/>
  <c r="V167" i="92"/>
  <c r="R144" i="92"/>
  <c r="H144" i="92"/>
  <c r="Q144" i="92"/>
  <c r="Q185" i="92"/>
  <c r="H185" i="92"/>
  <c r="R185" i="92"/>
  <c r="S185" i="92" s="1"/>
  <c r="M158" i="92"/>
  <c r="N158" i="92"/>
  <c r="N166" i="92"/>
  <c r="M166" i="92"/>
  <c r="R163" i="92"/>
  <c r="Q163" i="92"/>
  <c r="H163" i="92"/>
  <c r="U163" i="92"/>
  <c r="J163" i="92"/>
  <c r="V163" i="92"/>
  <c r="X175" i="92"/>
  <c r="O135" i="92"/>
  <c r="P135" i="92" s="1"/>
  <c r="O170" i="92"/>
  <c r="P170" i="92" s="1"/>
  <c r="Z134" i="92"/>
  <c r="Y134" i="92"/>
  <c r="AA134" i="92" s="1"/>
  <c r="N173" i="92"/>
  <c r="M173" i="92"/>
  <c r="R174" i="92"/>
  <c r="Q174" i="92"/>
  <c r="H174" i="92"/>
  <c r="M188" i="92"/>
  <c r="P188" i="92" s="1"/>
  <c r="N188" i="92"/>
  <c r="R149" i="92"/>
  <c r="H149" i="92"/>
  <c r="Q149" i="92"/>
  <c r="Z188" i="92"/>
  <c r="Y188" i="92"/>
  <c r="AA188" i="92" s="1"/>
  <c r="U158" i="92"/>
  <c r="J158" i="92"/>
  <c r="V158" i="92"/>
  <c r="S182" i="92"/>
  <c r="T182" i="92" s="1"/>
  <c r="O139" i="92"/>
  <c r="L141" i="92"/>
  <c r="N169" i="92"/>
  <c r="M169" i="92"/>
  <c r="Y182" i="92"/>
  <c r="AA182" i="92" s="1"/>
  <c r="Z182" i="92"/>
  <c r="R169" i="92"/>
  <c r="H169" i="92"/>
  <c r="Q169" i="92"/>
  <c r="N153" i="92"/>
  <c r="M153" i="92"/>
  <c r="J136" i="92"/>
  <c r="U136" i="92"/>
  <c r="V136" i="92"/>
  <c r="Y183" i="92"/>
  <c r="AA183" i="92" s="1"/>
  <c r="Z183" i="92"/>
  <c r="S167" i="92"/>
  <c r="S139" i="92"/>
  <c r="S181" i="92"/>
  <c r="T181" i="92" s="1"/>
  <c r="W145" i="92"/>
  <c r="S158" i="92"/>
  <c r="Q143" i="92"/>
  <c r="R143" i="92"/>
  <c r="H143" i="92"/>
  <c r="U178" i="92"/>
  <c r="V178" i="92"/>
  <c r="J178" i="92"/>
  <c r="Q179" i="92"/>
  <c r="H179" i="92"/>
  <c r="R179" i="92"/>
  <c r="Z177" i="92"/>
  <c r="Y177" i="92"/>
  <c r="AA177" i="92" s="1"/>
  <c r="M174" i="92"/>
  <c r="N174" i="92"/>
  <c r="V173" i="92"/>
  <c r="J173" i="92"/>
  <c r="U173" i="92"/>
  <c r="L142" i="92"/>
  <c r="M148" i="92"/>
  <c r="N148" i="92"/>
  <c r="L165" i="92"/>
  <c r="M140" i="92"/>
  <c r="N140" i="92"/>
  <c r="J188" i="92"/>
  <c r="Z161" i="92"/>
  <c r="Y161" i="92"/>
  <c r="H141" i="92"/>
  <c r="Q141" i="92"/>
  <c r="R141" i="92"/>
  <c r="Z138" i="92"/>
  <c r="Y138" i="92"/>
  <c r="AA138" i="92" s="1"/>
  <c r="L155" i="92"/>
  <c r="M182" i="92"/>
  <c r="N182" i="92"/>
  <c r="H186" i="92"/>
  <c r="Q186" i="92"/>
  <c r="R186" i="92"/>
  <c r="P184" i="92"/>
  <c r="Y179" i="92"/>
  <c r="AA179" i="92" s="1"/>
  <c r="Z179" i="92"/>
  <c r="Z167" i="92"/>
  <c r="Y167" i="92"/>
  <c r="AA167" i="92" s="1"/>
  <c r="N150" i="92"/>
  <c r="M150" i="92"/>
  <c r="Q146" i="92"/>
  <c r="H146" i="92"/>
  <c r="R146" i="92"/>
  <c r="X181" i="92"/>
  <c r="U166" i="92"/>
  <c r="J166" i="92"/>
  <c r="V166" i="92"/>
  <c r="M155" i="92"/>
  <c r="N155" i="92"/>
  <c r="J150" i="92"/>
  <c r="M186" i="92"/>
  <c r="N186" i="92"/>
  <c r="O144" i="92"/>
  <c r="P144" i="92" s="1"/>
  <c r="H182" i="92"/>
  <c r="Z158" i="92"/>
  <c r="Y158" i="92"/>
  <c r="AA158" i="92" s="1"/>
  <c r="L148" i="92"/>
  <c r="N163" i="92"/>
  <c r="M163" i="92"/>
  <c r="Y147" i="92"/>
  <c r="Z147" i="92"/>
  <c r="M176" i="92"/>
  <c r="N176" i="92"/>
  <c r="N143" i="92"/>
  <c r="M143" i="92"/>
  <c r="V186" i="92"/>
  <c r="J186" i="92"/>
  <c r="U186" i="92"/>
  <c r="V179" i="92"/>
  <c r="U179" i="92"/>
  <c r="J179" i="92"/>
  <c r="R156" i="92"/>
  <c r="H156" i="92"/>
  <c r="Q156" i="92"/>
  <c r="L181" i="92"/>
  <c r="X153" i="92"/>
  <c r="H158" i="92"/>
  <c r="S152" i="92"/>
  <c r="H188" i="92"/>
  <c r="R188" i="92"/>
  <c r="Q188" i="92"/>
  <c r="Y156" i="92"/>
  <c r="AA156" i="92" s="1"/>
  <c r="Z156" i="92"/>
  <c r="AA152" i="92"/>
  <c r="X143" i="92"/>
  <c r="V183" i="92"/>
  <c r="U183" i="92"/>
  <c r="J183" i="92"/>
  <c r="H166" i="92"/>
  <c r="Q166" i="92"/>
  <c r="R166" i="92"/>
  <c r="X150" i="92"/>
  <c r="L140" i="92"/>
  <c r="Z174" i="92"/>
  <c r="M141" i="92"/>
  <c r="N141" i="92"/>
  <c r="H134" i="92"/>
  <c r="Q134" i="92"/>
  <c r="R134" i="92"/>
  <c r="M175" i="92"/>
  <c r="N175" i="92"/>
  <c r="W141" i="92"/>
  <c r="X141" i="92" s="1"/>
  <c r="H148" i="92"/>
  <c r="Z170" i="92"/>
  <c r="Y170" i="92"/>
  <c r="J164" i="92"/>
  <c r="U164" i="92"/>
  <c r="V164" i="92"/>
  <c r="R184" i="92"/>
  <c r="H184" i="92"/>
  <c r="Q184" i="92"/>
  <c r="O180" i="92"/>
  <c r="M181" i="92"/>
  <c r="N181" i="92"/>
  <c r="Z133" i="92"/>
  <c r="Y133" i="92"/>
  <c r="AA133" i="92" s="1"/>
  <c r="Y139" i="92"/>
  <c r="AA139" i="92" s="1"/>
  <c r="Z139" i="92"/>
  <c r="U137" i="92"/>
  <c r="J137" i="92"/>
  <c r="V137" i="92"/>
  <c r="J143" i="92"/>
  <c r="S164" i="92"/>
  <c r="T164" i="92" s="1"/>
  <c r="J135" i="92"/>
  <c r="U135" i="92"/>
  <c r="V135" i="92"/>
  <c r="Q153" i="92"/>
  <c r="R153" i="92"/>
  <c r="H153" i="92"/>
  <c r="T147" i="92"/>
  <c r="L177" i="92"/>
  <c r="X177" i="92"/>
  <c r="W188" i="92"/>
  <c r="X188" i="92" s="1"/>
  <c r="J133" i="92"/>
  <c r="V133" i="92"/>
  <c r="U133" i="92"/>
  <c r="L143" i="92"/>
  <c r="O145" i="92"/>
  <c r="L186" i="92"/>
  <c r="J172" i="92"/>
  <c r="V172" i="92"/>
  <c r="U172" i="92"/>
  <c r="J147" i="92"/>
  <c r="W149" i="92"/>
  <c r="X149" i="92" s="1"/>
  <c r="Q138" i="92"/>
  <c r="H138" i="92"/>
  <c r="R138" i="92"/>
  <c r="H140" i="92"/>
  <c r="O133" i="92"/>
  <c r="P162" i="92"/>
  <c r="M142" i="92"/>
  <c r="N142" i="92"/>
  <c r="Z181" i="92"/>
  <c r="Y181" i="92"/>
  <c r="AA181" i="92" s="1"/>
  <c r="N187" i="92"/>
  <c r="M187" i="92"/>
  <c r="P187" i="92" s="1"/>
  <c r="J161" i="92"/>
  <c r="U161" i="92"/>
  <c r="V161" i="92"/>
  <c r="Q171" i="92"/>
  <c r="R171" i="92"/>
  <c r="H171" i="92"/>
  <c r="T142" i="92"/>
  <c r="H173" i="92"/>
  <c r="R173" i="92"/>
  <c r="Q173" i="92"/>
  <c r="N160" i="92"/>
  <c r="M160" i="92"/>
  <c r="O136" i="92"/>
  <c r="P136" i="92" s="1"/>
  <c r="S176" i="92"/>
  <c r="T176" i="92" s="1"/>
  <c r="L153" i="92"/>
  <c r="H147" i="92"/>
  <c r="S172" i="92"/>
  <c r="O134" i="92"/>
  <c r="N168" i="92"/>
  <c r="M168" i="92"/>
  <c r="L147" i="92"/>
  <c r="N161" i="92"/>
  <c r="M161" i="92"/>
  <c r="X169" i="92"/>
  <c r="W170" i="92"/>
  <c r="V185" i="92"/>
  <c r="J185" i="92"/>
  <c r="U185" i="92"/>
  <c r="N151" i="92"/>
  <c r="M151" i="92"/>
  <c r="O172" i="92"/>
  <c r="P172" i="92" s="1"/>
  <c r="S140" i="92"/>
  <c r="T140" i="92" s="1"/>
  <c r="L185" i="92"/>
  <c r="S161" i="92"/>
  <c r="P154" i="92"/>
  <c r="S133" i="92"/>
  <c r="T133" i="92" s="1"/>
  <c r="P178" i="92"/>
  <c r="T148" i="92"/>
  <c r="M66" i="92"/>
  <c r="O66" i="92" s="1"/>
  <c r="H112" i="92"/>
  <c r="M92" i="92"/>
  <c r="H128" i="92"/>
  <c r="N104" i="92"/>
  <c r="O104" i="92" s="1"/>
  <c r="L51" i="92"/>
  <c r="N51" i="92"/>
  <c r="O51" i="92" s="1"/>
  <c r="M20" i="92"/>
  <c r="O20" i="92" s="1"/>
  <c r="L20" i="92"/>
  <c r="N7" i="92"/>
  <c r="O7" i="92" s="1"/>
  <c r="L66" i="92"/>
  <c r="Y82" i="92"/>
  <c r="Z82" i="92"/>
  <c r="N92" i="92"/>
  <c r="Z23" i="92"/>
  <c r="L92" i="92"/>
  <c r="Z127" i="92"/>
  <c r="Z22" i="92"/>
  <c r="L7" i="92"/>
  <c r="Z24" i="92"/>
  <c r="M84" i="92"/>
  <c r="O84" i="92" s="1"/>
  <c r="Z13" i="92"/>
  <c r="Z89" i="92"/>
  <c r="Z42" i="92"/>
  <c r="Z99" i="92"/>
  <c r="AA99" i="92" s="1"/>
  <c r="Z120" i="92"/>
  <c r="L104" i="92"/>
  <c r="L67" i="92"/>
  <c r="M69" i="92"/>
  <c r="O69" i="92" s="1"/>
  <c r="L69" i="92"/>
  <c r="Z121" i="92"/>
  <c r="AA121" i="92" s="1"/>
  <c r="M78" i="92"/>
  <c r="O78" i="92" s="1"/>
  <c r="L84" i="92"/>
  <c r="L78" i="92"/>
  <c r="M110" i="92"/>
  <c r="O110" i="92" s="1"/>
  <c r="L110" i="92"/>
  <c r="Z36" i="92"/>
  <c r="Z34" i="92"/>
  <c r="Z75" i="92"/>
  <c r="Z118" i="92"/>
  <c r="Z33" i="92"/>
  <c r="Z123" i="92"/>
  <c r="Z67" i="92"/>
  <c r="Z50" i="92"/>
  <c r="Z29" i="92"/>
  <c r="Z52" i="92"/>
  <c r="Z101" i="92"/>
  <c r="Z53" i="92"/>
  <c r="Z112" i="92"/>
  <c r="Z68" i="92"/>
  <c r="Z58" i="92"/>
  <c r="L34" i="92"/>
  <c r="AA51" i="92"/>
  <c r="L45" i="92"/>
  <c r="AA8" i="92"/>
  <c r="C10" i="95"/>
  <c r="AA69" i="92"/>
  <c r="AA76" i="92"/>
  <c r="AA9" i="92"/>
  <c r="AA27" i="92"/>
  <c r="AA15" i="92"/>
  <c r="AA80" i="92"/>
  <c r="AA116" i="92"/>
  <c r="AA88" i="92"/>
  <c r="AA65" i="92"/>
  <c r="AA54" i="92"/>
  <c r="AA126" i="92"/>
  <c r="AA130" i="92"/>
  <c r="AA20" i="92"/>
  <c r="AA104" i="92"/>
  <c r="AA72" i="92"/>
  <c r="AA61" i="92"/>
  <c r="AA18" i="92"/>
  <c r="AA55" i="92"/>
  <c r="M35" i="92"/>
  <c r="Z35" i="92"/>
  <c r="H9" i="95"/>
  <c r="AA91" i="92"/>
  <c r="AA7" i="92"/>
  <c r="AA110" i="92"/>
  <c r="AA26" i="92"/>
  <c r="AA46" i="92"/>
  <c r="AA84" i="92"/>
  <c r="AA59" i="92"/>
  <c r="AA17" i="92"/>
  <c r="AA105" i="92"/>
  <c r="AA129" i="92"/>
  <c r="AA6" i="92"/>
  <c r="Z38" i="92"/>
  <c r="Z77" i="92"/>
  <c r="N68" i="92"/>
  <c r="O68" i="92" s="1"/>
  <c r="Z40" i="92"/>
  <c r="Z87" i="92"/>
  <c r="Z16" i="92"/>
  <c r="Z117" i="92"/>
  <c r="Z10" i="92"/>
  <c r="Z63" i="92"/>
  <c r="Z113" i="92"/>
  <c r="Z95" i="92"/>
  <c r="Z122" i="92"/>
  <c r="AA122" i="92" s="1"/>
  <c r="Z21" i="92"/>
  <c r="Z109" i="92"/>
  <c r="Z111" i="92"/>
  <c r="Z114" i="92"/>
  <c r="Y77" i="92"/>
  <c r="Z100" i="92"/>
  <c r="Z70" i="92"/>
  <c r="Z115" i="92"/>
  <c r="Y22" i="92"/>
  <c r="Z45" i="92"/>
  <c r="AA45" i="92" s="1"/>
  <c r="Z57" i="92"/>
  <c r="AA57" i="92" s="1"/>
  <c r="Z28" i="92"/>
  <c r="AA28" i="92" s="1"/>
  <c r="Z83" i="92"/>
  <c r="Z19" i="92"/>
  <c r="Z93" i="92"/>
  <c r="Z41" i="92"/>
  <c r="Z44" i="92"/>
  <c r="Z85" i="92"/>
  <c r="AA85" i="92" s="1"/>
  <c r="Z125" i="92"/>
  <c r="Z94" i="92"/>
  <c r="AA94" i="92" s="1"/>
  <c r="Z74" i="92"/>
  <c r="Z49" i="92"/>
  <c r="Z71" i="92"/>
  <c r="AA71" i="92" s="1"/>
  <c r="Z81" i="92"/>
  <c r="AA81" i="92" s="1"/>
  <c r="Z90" i="92"/>
  <c r="Z56" i="92"/>
  <c r="Z103" i="92"/>
  <c r="Z11" i="92"/>
  <c r="AA11" i="92" s="1"/>
  <c r="Z78" i="92"/>
  <c r="Z128" i="92"/>
  <c r="AA128" i="92" s="1"/>
  <c r="Z98" i="92"/>
  <c r="Z64" i="92"/>
  <c r="Z12" i="92"/>
  <c r="Z73" i="92"/>
  <c r="Z14" i="92"/>
  <c r="Z108" i="92"/>
  <c r="Z31" i="92"/>
  <c r="AA31" i="92" s="1"/>
  <c r="Z106" i="92"/>
  <c r="AA106" i="92" s="1"/>
  <c r="Z119" i="92"/>
  <c r="Z131" i="92"/>
  <c r="Z97" i="92"/>
  <c r="Z132" i="92"/>
  <c r="AA132" i="92" s="1"/>
  <c r="Z96" i="92"/>
  <c r="Z48" i="92"/>
  <c r="AA48" i="92" s="1"/>
  <c r="Z32" i="92"/>
  <c r="AA32" i="92" s="1"/>
  <c r="Z37" i="92"/>
  <c r="AA37" i="92" s="1"/>
  <c r="Z86" i="92"/>
  <c r="AA86" i="92" s="1"/>
  <c r="Z66" i="92"/>
  <c r="Z102" i="92"/>
  <c r="AA102" i="92" s="1"/>
  <c r="Z107" i="92"/>
  <c r="AA107" i="92" s="1"/>
  <c r="Z39" i="92"/>
  <c r="Z79" i="92"/>
  <c r="Z5" i="92"/>
  <c r="Z30" i="92"/>
  <c r="Z43" i="92"/>
  <c r="AA43" i="92" s="1"/>
  <c r="Z62" i="92"/>
  <c r="Z92" i="92"/>
  <c r="Z25" i="92"/>
  <c r="AA25" i="92" s="1"/>
  <c r="Y13" i="92"/>
  <c r="Y19" i="92"/>
  <c r="Y38" i="92"/>
  <c r="Y63" i="92"/>
  <c r="AA63" i="92" s="1"/>
  <c r="Y52" i="92"/>
  <c r="Y101" i="92"/>
  <c r="Y120" i="92"/>
  <c r="Y53" i="92"/>
  <c r="Y10" i="92"/>
  <c r="Y89" i="92"/>
  <c r="Y74" i="92"/>
  <c r="Y49" i="92"/>
  <c r="Y42" i="92"/>
  <c r="Y114" i="92"/>
  <c r="Y23" i="92"/>
  <c r="Y90" i="92"/>
  <c r="Y56" i="92"/>
  <c r="Y103" i="92"/>
  <c r="Y64" i="92"/>
  <c r="Y12" i="92"/>
  <c r="Y73" i="92"/>
  <c r="Y14" i="92"/>
  <c r="Y112" i="92"/>
  <c r="Y24" i="92"/>
  <c r="Y108" i="92"/>
  <c r="Y29" i="92"/>
  <c r="Y97" i="92"/>
  <c r="Y35" i="92"/>
  <c r="Y40" i="92"/>
  <c r="Y96" i="92"/>
  <c r="Y68" i="92"/>
  <c r="Y58" i="92"/>
  <c r="Y66" i="92"/>
  <c r="Y75" i="92"/>
  <c r="Y118" i="92"/>
  <c r="Y33" i="92"/>
  <c r="Y39" i="92"/>
  <c r="Y123" i="92"/>
  <c r="Y67" i="92"/>
  <c r="Y62" i="92"/>
  <c r="Y50" i="92"/>
  <c r="Y92" i="92"/>
  <c r="Y36" i="92"/>
  <c r="Y127" i="92"/>
  <c r="Y115" i="92"/>
  <c r="Y34" i="92"/>
  <c r="Y87" i="92"/>
  <c r="Y83" i="92"/>
  <c r="AA83" i="92" s="1"/>
  <c r="Y16" i="92"/>
  <c r="Y117" i="92"/>
  <c r="M25" i="92"/>
  <c r="O25" i="92" s="1"/>
  <c r="N67" i="92"/>
  <c r="O67" i="92" s="1"/>
  <c r="L24" i="92"/>
  <c r="L5" i="92"/>
  <c r="N35" i="92"/>
  <c r="N91" i="92"/>
  <c r="O91" i="92" s="1"/>
  <c r="L25" i="92"/>
  <c r="N5" i="92"/>
  <c r="O5" i="92" s="1"/>
  <c r="M24" i="92"/>
  <c r="O24" i="92" s="1"/>
  <c r="L120" i="92"/>
  <c r="M120" i="92"/>
  <c r="O120" i="92" s="1"/>
  <c r="L35" i="92"/>
  <c r="M45" i="92"/>
  <c r="O45" i="92" s="1"/>
  <c r="L101" i="92"/>
  <c r="L68" i="92"/>
  <c r="N101" i="92"/>
  <c r="O101" i="92" s="1"/>
  <c r="L91" i="92"/>
  <c r="N119" i="92"/>
  <c r="O119" i="92" s="1"/>
  <c r="L33" i="92"/>
  <c r="M26" i="92"/>
  <c r="O26" i="92" s="1"/>
  <c r="M122" i="92"/>
  <c r="O122" i="92" s="1"/>
  <c r="AB9" i="95"/>
  <c r="N33" i="92"/>
  <c r="O33" i="92" s="1"/>
  <c r="L122" i="92"/>
  <c r="M13" i="92"/>
  <c r="O13" i="92" s="1"/>
  <c r="N129" i="92"/>
  <c r="O129" i="92" s="1"/>
  <c r="L129" i="92"/>
  <c r="L13" i="92"/>
  <c r="L119" i="92"/>
  <c r="K8" i="95"/>
  <c r="L26" i="92"/>
  <c r="L62" i="92"/>
  <c r="N100" i="92"/>
  <c r="O100" i="92" s="1"/>
  <c r="L36" i="92"/>
  <c r="N36" i="92"/>
  <c r="O36" i="92" s="1"/>
  <c r="M34" i="92"/>
  <c r="O34" i="92" s="1"/>
  <c r="N58" i="92"/>
  <c r="O58" i="92" s="1"/>
  <c r="M113" i="92"/>
  <c r="O113" i="92" s="1"/>
  <c r="L113" i="92"/>
  <c r="L58" i="92"/>
  <c r="M86" i="92"/>
  <c r="O86" i="92" s="1"/>
  <c r="L86" i="92"/>
  <c r="AD9" i="95"/>
  <c r="AC9" i="95"/>
  <c r="N50" i="92"/>
  <c r="O50" i="92" s="1"/>
  <c r="L50" i="92"/>
  <c r="L100" i="92"/>
  <c r="J43" i="92"/>
  <c r="R56" i="92"/>
  <c r="J79" i="92"/>
  <c r="J113" i="92"/>
  <c r="J33" i="92"/>
  <c r="H85" i="92"/>
  <c r="H99" i="92"/>
  <c r="J108" i="92"/>
  <c r="H20" i="92"/>
  <c r="J58" i="92"/>
  <c r="H104" i="92"/>
  <c r="J68" i="92"/>
  <c r="H19" i="92"/>
  <c r="J10" i="92"/>
  <c r="H109" i="92"/>
  <c r="H122" i="92"/>
  <c r="H16" i="92"/>
  <c r="H84" i="92"/>
  <c r="J74" i="92"/>
  <c r="H57" i="92"/>
  <c r="J126" i="92"/>
  <c r="J125" i="92"/>
  <c r="J93" i="92"/>
  <c r="H39" i="92"/>
  <c r="J98" i="92"/>
  <c r="H110" i="92"/>
  <c r="J121" i="92"/>
  <c r="J95" i="92"/>
  <c r="R88" i="92"/>
  <c r="H73" i="92"/>
  <c r="R19" i="92"/>
  <c r="R46" i="92"/>
  <c r="R128" i="92"/>
  <c r="R48" i="92"/>
  <c r="R112" i="92"/>
  <c r="H25" i="92"/>
  <c r="R70" i="92"/>
  <c r="R104" i="92"/>
  <c r="R20" i="92"/>
  <c r="R25" i="92"/>
  <c r="R57" i="92"/>
  <c r="V117" i="92"/>
  <c r="U117" i="92"/>
  <c r="V131" i="92"/>
  <c r="U131" i="92"/>
  <c r="V80" i="92"/>
  <c r="U80" i="92"/>
  <c r="U62" i="92"/>
  <c r="V62" i="92"/>
  <c r="V69" i="92"/>
  <c r="U69" i="92"/>
  <c r="U89" i="92"/>
  <c r="V89" i="92"/>
  <c r="V100" i="92"/>
  <c r="U100" i="92"/>
  <c r="U54" i="92"/>
  <c r="V54" i="92"/>
  <c r="U73" i="92"/>
  <c r="V73" i="92"/>
  <c r="U78" i="92"/>
  <c r="V78" i="92"/>
  <c r="V102" i="92"/>
  <c r="U102" i="92"/>
  <c r="U76" i="92"/>
  <c r="V76" i="92"/>
  <c r="U118" i="92"/>
  <c r="V118" i="92"/>
  <c r="V86" i="92"/>
  <c r="U86" i="92"/>
  <c r="V121" i="92"/>
  <c r="U121" i="92"/>
  <c r="U8" i="92"/>
  <c r="V8" i="92"/>
  <c r="U95" i="92"/>
  <c r="V95" i="92"/>
  <c r="U59" i="92"/>
  <c r="V59" i="92"/>
  <c r="U32" i="92"/>
  <c r="V32" i="92"/>
  <c r="U96" i="92"/>
  <c r="V96" i="92"/>
  <c r="V92" i="92"/>
  <c r="U92" i="92"/>
  <c r="U19" i="92"/>
  <c r="V19" i="92"/>
  <c r="U16" i="92"/>
  <c r="V16" i="92"/>
  <c r="V85" i="92"/>
  <c r="U85" i="92"/>
  <c r="U65" i="92"/>
  <c r="V65" i="92"/>
  <c r="V55" i="92"/>
  <c r="U55" i="92"/>
  <c r="U63" i="92"/>
  <c r="V63" i="92"/>
  <c r="U58" i="92"/>
  <c r="V58" i="92"/>
  <c r="V68" i="92"/>
  <c r="U68" i="92"/>
  <c r="U111" i="92"/>
  <c r="V111" i="92"/>
  <c r="V52" i="92"/>
  <c r="U52" i="92"/>
  <c r="U23" i="92"/>
  <c r="V23" i="92"/>
  <c r="U45" i="92"/>
  <c r="V45" i="92"/>
  <c r="V51" i="92"/>
  <c r="U51" i="92"/>
  <c r="V115" i="92"/>
  <c r="U115" i="92"/>
  <c r="U66" i="92"/>
  <c r="V66" i="92"/>
  <c r="V46" i="92"/>
  <c r="U46" i="92"/>
  <c r="V48" i="92"/>
  <c r="U48" i="92"/>
  <c r="V83" i="92"/>
  <c r="U83" i="92"/>
  <c r="V130" i="92"/>
  <c r="U130" i="92"/>
  <c r="J131" i="92"/>
  <c r="V110" i="92"/>
  <c r="U110" i="92"/>
  <c r="U97" i="92"/>
  <c r="V97" i="92"/>
  <c r="V13" i="92"/>
  <c r="U13" i="92"/>
  <c r="U77" i="92"/>
  <c r="V77" i="92"/>
  <c r="V84" i="92"/>
  <c r="U84" i="92"/>
  <c r="U14" i="92"/>
  <c r="V14" i="92"/>
  <c r="V64" i="92"/>
  <c r="U64" i="92"/>
  <c r="V56" i="92"/>
  <c r="U56" i="92"/>
  <c r="U108" i="92"/>
  <c r="V108" i="92"/>
  <c r="V126" i="92"/>
  <c r="U126" i="92"/>
  <c r="U125" i="92"/>
  <c r="V125" i="92"/>
  <c r="U99" i="92"/>
  <c r="V99" i="92"/>
  <c r="U29" i="92"/>
  <c r="V29" i="92"/>
  <c r="U81" i="92"/>
  <c r="V81" i="92"/>
  <c r="U119" i="92"/>
  <c r="V119" i="92"/>
  <c r="V112" i="92"/>
  <c r="U112" i="92"/>
  <c r="V21" i="92"/>
  <c r="U21" i="92"/>
  <c r="U47" i="92"/>
  <c r="V47" i="92"/>
  <c r="U107" i="92"/>
  <c r="V107" i="92"/>
  <c r="V50" i="92"/>
  <c r="U50" i="92"/>
  <c r="V116" i="92"/>
  <c r="U116" i="92"/>
  <c r="U30" i="92"/>
  <c r="V30" i="92"/>
  <c r="V15" i="92"/>
  <c r="U15" i="92"/>
  <c r="U60" i="92"/>
  <c r="V60" i="92"/>
  <c r="V43" i="92"/>
  <c r="U43" i="92"/>
  <c r="V10" i="92"/>
  <c r="U10" i="92"/>
  <c r="U74" i="92"/>
  <c r="V74" i="92"/>
  <c r="V93" i="92"/>
  <c r="U93" i="92"/>
  <c r="V123" i="92"/>
  <c r="U123" i="92"/>
  <c r="V98" i="92"/>
  <c r="U98" i="92"/>
  <c r="U40" i="92"/>
  <c r="V40" i="92"/>
  <c r="U35" i="92"/>
  <c r="V35" i="92"/>
  <c r="U91" i="92"/>
  <c r="V91" i="92"/>
  <c r="U127" i="92"/>
  <c r="V127" i="92"/>
  <c r="U105" i="92"/>
  <c r="V105" i="92"/>
  <c r="V94" i="92"/>
  <c r="U94" i="92"/>
  <c r="V34" i="92"/>
  <c r="U34" i="92"/>
  <c r="V72" i="92"/>
  <c r="U72" i="92"/>
  <c r="V87" i="92"/>
  <c r="U87" i="92"/>
  <c r="U27" i="92"/>
  <c r="V27" i="92"/>
  <c r="V101" i="92"/>
  <c r="U101" i="92"/>
  <c r="U31" i="92"/>
  <c r="V31" i="92"/>
  <c r="U17" i="92"/>
  <c r="V17" i="92"/>
  <c r="V39" i="92"/>
  <c r="U39" i="92"/>
  <c r="V44" i="92"/>
  <c r="U44" i="92"/>
  <c r="U37" i="92"/>
  <c r="V37" i="92"/>
  <c r="U61" i="92"/>
  <c r="V61" i="92"/>
  <c r="V70" i="92"/>
  <c r="U70" i="92"/>
  <c r="V22" i="92"/>
  <c r="U22" i="92"/>
  <c r="U132" i="92"/>
  <c r="V132" i="92"/>
  <c r="U41" i="92"/>
  <c r="V41" i="92"/>
  <c r="V20" i="92"/>
  <c r="U20" i="92"/>
  <c r="U122" i="92"/>
  <c r="V122" i="92"/>
  <c r="V6" i="92"/>
  <c r="U6" i="92"/>
  <c r="V79" i="92"/>
  <c r="U79" i="92"/>
  <c r="U82" i="92"/>
  <c r="V82" i="92"/>
  <c r="U129" i="92"/>
  <c r="V129" i="92"/>
  <c r="V26" i="92"/>
  <c r="U26" i="92"/>
  <c r="U106" i="92"/>
  <c r="V106" i="92"/>
  <c r="V120" i="92"/>
  <c r="U120" i="92"/>
  <c r="V109" i="92"/>
  <c r="U109" i="92"/>
  <c r="U18" i="92"/>
  <c r="V18" i="92"/>
  <c r="V88" i="92"/>
  <c r="U88" i="92"/>
  <c r="V124" i="92"/>
  <c r="U124" i="92"/>
  <c r="V53" i="92"/>
  <c r="U53" i="92"/>
  <c r="U75" i="92"/>
  <c r="V75" i="92"/>
  <c r="U5" i="92"/>
  <c r="V5" i="92"/>
  <c r="U38" i="92"/>
  <c r="V38" i="92"/>
  <c r="V57" i="92"/>
  <c r="U57" i="92"/>
  <c r="V12" i="92"/>
  <c r="U12" i="92"/>
  <c r="V24" i="92"/>
  <c r="U24" i="92"/>
  <c r="U71" i="92"/>
  <c r="V71" i="92"/>
  <c r="U25" i="92"/>
  <c r="V25" i="92"/>
  <c r="V11" i="92"/>
  <c r="U11" i="92"/>
  <c r="U103" i="92"/>
  <c r="V103" i="92"/>
  <c r="V33" i="92"/>
  <c r="U33" i="92"/>
  <c r="V113" i="92"/>
  <c r="U113" i="92"/>
  <c r="V9" i="92"/>
  <c r="U9" i="92"/>
  <c r="V7" i="92"/>
  <c r="U7" i="92"/>
  <c r="U42" i="92"/>
  <c r="V42" i="92"/>
  <c r="V90" i="92"/>
  <c r="U90" i="92"/>
  <c r="U28" i="92"/>
  <c r="V28" i="92"/>
  <c r="U104" i="92"/>
  <c r="V104" i="92"/>
  <c r="U67" i="92"/>
  <c r="V67" i="92"/>
  <c r="V49" i="92"/>
  <c r="U49" i="92"/>
  <c r="U128" i="92"/>
  <c r="V128" i="92"/>
  <c r="U36" i="92"/>
  <c r="V36" i="92"/>
  <c r="J96" i="92"/>
  <c r="J92" i="92"/>
  <c r="J19" i="92"/>
  <c r="J16" i="92"/>
  <c r="J85" i="92"/>
  <c r="J32" i="92"/>
  <c r="J23" i="92"/>
  <c r="J117" i="92"/>
  <c r="J35" i="92"/>
  <c r="J5" i="92"/>
  <c r="J45" i="92"/>
  <c r="J83" i="92"/>
  <c r="J115" i="92"/>
  <c r="J97" i="92"/>
  <c r="J56" i="92"/>
  <c r="J86" i="92"/>
  <c r="J110" i="92"/>
  <c r="J77" i="92"/>
  <c r="J14" i="92"/>
  <c r="J99" i="92"/>
  <c r="J69" i="92"/>
  <c r="J100" i="92"/>
  <c r="J73" i="92"/>
  <c r="J78" i="92"/>
  <c r="J102" i="92"/>
  <c r="J91" i="92"/>
  <c r="J87" i="92"/>
  <c r="J13" i="92"/>
  <c r="J64" i="92"/>
  <c r="J112" i="92"/>
  <c r="J107" i="92"/>
  <c r="J26" i="92"/>
  <c r="J101" i="92"/>
  <c r="J31" i="92"/>
  <c r="J63" i="92"/>
  <c r="J51" i="92"/>
  <c r="J129" i="92"/>
  <c r="J81" i="92"/>
  <c r="J84" i="92"/>
  <c r="J119" i="92"/>
  <c r="J50" i="92"/>
  <c r="J39" i="92"/>
  <c r="J44" i="92"/>
  <c r="J132" i="92"/>
  <c r="J41" i="92"/>
  <c r="J20" i="92"/>
  <c r="J122" i="92"/>
  <c r="J106" i="92"/>
  <c r="J120" i="92"/>
  <c r="J109" i="92"/>
  <c r="J38" i="92"/>
  <c r="J57" i="92"/>
  <c r="J12" i="92"/>
  <c r="J24" i="92"/>
  <c r="J71" i="92"/>
  <c r="J25" i="92"/>
  <c r="J103" i="92"/>
  <c r="J90" i="92"/>
  <c r="J28" i="92"/>
  <c r="J104" i="92"/>
  <c r="J67" i="92"/>
  <c r="J49" i="92"/>
  <c r="J128" i="92"/>
  <c r="J7" i="92"/>
  <c r="J40" i="92"/>
  <c r="J34" i="92"/>
  <c r="J62" i="92"/>
  <c r="J66" i="92"/>
  <c r="J36" i="92"/>
  <c r="H102" i="92"/>
  <c r="Q75" i="92"/>
  <c r="Q127" i="92"/>
  <c r="Q91" i="92"/>
  <c r="Q17" i="92"/>
  <c r="Q40" i="92"/>
  <c r="Q13" i="92"/>
  <c r="Q34" i="92"/>
  <c r="Q71" i="92"/>
  <c r="Q93" i="92"/>
  <c r="Q66" i="92"/>
  <c r="Q83" i="92"/>
  <c r="Q87" i="92"/>
  <c r="Q130" i="92"/>
  <c r="Q51" i="92"/>
  <c r="Q18" i="92"/>
  <c r="R99" i="92"/>
  <c r="Q52" i="92"/>
  <c r="Q25" i="92"/>
  <c r="Q61" i="92"/>
  <c r="Q6" i="92"/>
  <c r="Q125" i="92"/>
  <c r="Q80" i="92"/>
  <c r="Q131" i="92"/>
  <c r="Q97" i="92"/>
  <c r="Q98" i="92"/>
  <c r="Q8" i="92"/>
  <c r="Q62" i="92"/>
  <c r="Q106" i="92"/>
  <c r="Q74" i="92"/>
  <c r="Q126" i="92"/>
  <c r="Q86" i="92"/>
  <c r="Q33" i="92"/>
  <c r="Q14" i="92"/>
  <c r="Q36" i="92"/>
  <c r="Q9" i="92"/>
  <c r="R110" i="92"/>
  <c r="Q88" i="92"/>
  <c r="Q22" i="92"/>
  <c r="Q19" i="92"/>
  <c r="Q90" i="92"/>
  <c r="Q11" i="92"/>
  <c r="Q67" i="92"/>
  <c r="Q105" i="92"/>
  <c r="Q63" i="92"/>
  <c r="Q26" i="92"/>
  <c r="Q69" i="92"/>
  <c r="Q72" i="92"/>
  <c r="Q65" i="92"/>
  <c r="Q10" i="92"/>
  <c r="Q58" i="92"/>
  <c r="Q15" i="92"/>
  <c r="Q115" i="92"/>
  <c r="Q54" i="92"/>
  <c r="Q119" i="92"/>
  <c r="Q76" i="92"/>
  <c r="Q64" i="92"/>
  <c r="Q43" i="92"/>
  <c r="Q16" i="92"/>
  <c r="Q109" i="92"/>
  <c r="Q60" i="92"/>
  <c r="Q84" i="92"/>
  <c r="Q28" i="92"/>
  <c r="Q35" i="92"/>
  <c r="Q94" i="92"/>
  <c r="Q42" i="92"/>
  <c r="Q24" i="92"/>
  <c r="Q81" i="92"/>
  <c r="Q95" i="92"/>
  <c r="Q49" i="92"/>
  <c r="Q89" i="92"/>
  <c r="Q5" i="92"/>
  <c r="Q37" i="92"/>
  <c r="Q132" i="92"/>
  <c r="Q120" i="92"/>
  <c r="Q113" i="92"/>
  <c r="Q47" i="92"/>
  <c r="Q39" i="92"/>
  <c r="Q57" i="92"/>
  <c r="Q46" i="92"/>
  <c r="Q70" i="92"/>
  <c r="Q108" i="92"/>
  <c r="Q27" i="92"/>
  <c r="Q107" i="92"/>
  <c r="Q32" i="92"/>
  <c r="Q123" i="92"/>
  <c r="Q45" i="92"/>
  <c r="Q38" i="92"/>
  <c r="Q78" i="92"/>
  <c r="Q29" i="92"/>
  <c r="Q92" i="92"/>
  <c r="Q122" i="92"/>
  <c r="Q128" i="92"/>
  <c r="Q20" i="92"/>
  <c r="Q104" i="92"/>
  <c r="Q48" i="92"/>
  <c r="Q30" i="92"/>
  <c r="Q7" i="92"/>
  <c r="Q101" i="92"/>
  <c r="Q99" i="92"/>
  <c r="Q96" i="92"/>
  <c r="Q55" i="92"/>
  <c r="Q121" i="92"/>
  <c r="Q50" i="92"/>
  <c r="Q44" i="92"/>
  <c r="Q79" i="92"/>
  <c r="Q82" i="92"/>
  <c r="Q41" i="92"/>
  <c r="Q102" i="92"/>
  <c r="Q112" i="92"/>
  <c r="Q124" i="92"/>
  <c r="Q21" i="92"/>
  <c r="Q77" i="92"/>
  <c r="Q53" i="92"/>
  <c r="R102" i="92"/>
  <c r="Q110" i="92"/>
  <c r="Q59" i="92"/>
  <c r="Q118" i="92"/>
  <c r="Q100" i="92"/>
  <c r="Q117" i="92"/>
  <c r="Q111" i="92"/>
  <c r="Q31" i="92"/>
  <c r="Q68" i="92"/>
  <c r="Q129" i="92"/>
  <c r="Q12" i="92"/>
  <c r="Q23" i="92"/>
  <c r="Q85" i="92"/>
  <c r="Q73" i="92"/>
  <c r="Q103" i="92"/>
  <c r="Q56" i="92"/>
  <c r="Q116" i="92"/>
  <c r="R16" i="92"/>
  <c r="R22" i="92"/>
  <c r="R52" i="92"/>
  <c r="H106" i="92"/>
  <c r="R40" i="92"/>
  <c r="H13" i="92"/>
  <c r="R106" i="92"/>
  <c r="H40" i="92"/>
  <c r="R122" i="92"/>
  <c r="R13" i="92"/>
  <c r="R116" i="92"/>
  <c r="H62" i="92"/>
  <c r="H56" i="92"/>
  <c r="R103" i="92"/>
  <c r="H103" i="92"/>
  <c r="R62" i="92"/>
  <c r="R73" i="92"/>
  <c r="R84" i="92"/>
  <c r="R60" i="92"/>
  <c r="R85" i="92"/>
  <c r="R109" i="92"/>
  <c r="R39" i="92"/>
  <c r="R82" i="92"/>
  <c r="R11" i="92"/>
  <c r="R41" i="92"/>
  <c r="R75" i="92"/>
  <c r="H41" i="92"/>
  <c r="R8" i="92"/>
  <c r="R34" i="92"/>
  <c r="R69" i="92"/>
  <c r="R5" i="92"/>
  <c r="R63" i="92"/>
  <c r="R66" i="92"/>
  <c r="R18" i="92"/>
  <c r="R83" i="92"/>
  <c r="R9" i="92"/>
  <c r="R89" i="92"/>
  <c r="R71" i="92"/>
  <c r="R126" i="92"/>
  <c r="R91" i="92"/>
  <c r="R105" i="92"/>
  <c r="R87" i="92"/>
  <c r="R36" i="92"/>
  <c r="R120" i="92"/>
  <c r="R98" i="92"/>
  <c r="R26" i="92"/>
  <c r="R72" i="92"/>
  <c r="R58" i="92"/>
  <c r="R76" i="92"/>
  <c r="R47" i="92"/>
  <c r="R27" i="92"/>
  <c r="R130" i="92"/>
  <c r="R33" i="92"/>
  <c r="R61" i="92"/>
  <c r="R32" i="92"/>
  <c r="R121" i="92"/>
  <c r="R7" i="92"/>
  <c r="R101" i="92"/>
  <c r="R28" i="92"/>
  <c r="R90" i="92"/>
  <c r="R35" i="92"/>
  <c r="R123" i="92"/>
  <c r="R45" i="92"/>
  <c r="R38" i="92"/>
  <c r="R78" i="92"/>
  <c r="R29" i="92"/>
  <c r="R92" i="92"/>
  <c r="R17" i="92"/>
  <c r="R51" i="92"/>
  <c r="R14" i="92"/>
  <c r="R37" i="92"/>
  <c r="R15" i="92"/>
  <c r="R119" i="92"/>
  <c r="R64" i="92"/>
  <c r="R43" i="92"/>
  <c r="R108" i="92"/>
  <c r="R6" i="92"/>
  <c r="R67" i="92"/>
  <c r="R42" i="92"/>
  <c r="R44" i="92"/>
  <c r="R125" i="92"/>
  <c r="R94" i="92"/>
  <c r="R93" i="92"/>
  <c r="R65" i="92"/>
  <c r="R54" i="92"/>
  <c r="R107" i="92"/>
  <c r="R30" i="92"/>
  <c r="R50" i="92"/>
  <c r="R127" i="92"/>
  <c r="R24" i="92"/>
  <c r="R81" i="92"/>
  <c r="R79" i="92"/>
  <c r="R95" i="92"/>
  <c r="R80" i="92"/>
  <c r="R131" i="92"/>
  <c r="R74" i="92"/>
  <c r="R86" i="92"/>
  <c r="R10" i="92"/>
  <c r="R115" i="92"/>
  <c r="R132" i="92"/>
  <c r="R113" i="92"/>
  <c r="R59" i="92"/>
  <c r="R118" i="92"/>
  <c r="R124" i="92"/>
  <c r="R21" i="92"/>
  <c r="R96" i="92"/>
  <c r="R77" i="92"/>
  <c r="R55" i="92"/>
  <c r="R53" i="92"/>
  <c r="R97" i="92"/>
  <c r="R49" i="92"/>
  <c r="R100" i="92"/>
  <c r="R117" i="92"/>
  <c r="R111" i="92"/>
  <c r="R31" i="92"/>
  <c r="R68" i="92"/>
  <c r="R129" i="92"/>
  <c r="R12" i="92"/>
  <c r="R23" i="92"/>
  <c r="O39" i="92"/>
  <c r="O85" i="92"/>
  <c r="O131" i="92"/>
  <c r="O90" i="92"/>
  <c r="H14" i="92"/>
  <c r="H10" i="92"/>
  <c r="H98" i="92"/>
  <c r="H120" i="92"/>
  <c r="H113" i="92"/>
  <c r="H31" i="92"/>
  <c r="H68" i="92"/>
  <c r="H34" i="92"/>
  <c r="H66" i="92"/>
  <c r="H115" i="92"/>
  <c r="H64" i="92"/>
  <c r="H43" i="92"/>
  <c r="H101" i="92"/>
  <c r="H28" i="92"/>
  <c r="H90" i="92"/>
  <c r="H35" i="92"/>
  <c r="H121" i="92"/>
  <c r="H7" i="92"/>
  <c r="H50" i="92"/>
  <c r="H108" i="92"/>
  <c r="H119" i="92"/>
  <c r="H32" i="92"/>
  <c r="H67" i="92"/>
  <c r="H45" i="92"/>
  <c r="H38" i="92"/>
  <c r="H78" i="92"/>
  <c r="H92" i="92"/>
  <c r="H107" i="92"/>
  <c r="H44" i="92"/>
  <c r="H125" i="92"/>
  <c r="H71" i="92"/>
  <c r="H91" i="92"/>
  <c r="H132" i="92"/>
  <c r="H24" i="92"/>
  <c r="H81" i="92"/>
  <c r="H79" i="92"/>
  <c r="H95" i="92"/>
  <c r="H131" i="92"/>
  <c r="H23" i="92"/>
  <c r="H97" i="92"/>
  <c r="H49" i="92"/>
  <c r="H96" i="92"/>
  <c r="H77" i="92"/>
  <c r="O19" i="92"/>
  <c r="O121" i="92"/>
  <c r="H63" i="92"/>
  <c r="H100" i="92"/>
  <c r="H12" i="92"/>
  <c r="H74" i="92"/>
  <c r="H26" i="92"/>
  <c r="H69" i="92"/>
  <c r="H5" i="92"/>
  <c r="H58" i="92"/>
  <c r="H83" i="92"/>
  <c r="H87" i="92"/>
  <c r="H51" i="92"/>
  <c r="O87" i="92"/>
  <c r="O102" i="92"/>
  <c r="O14" i="92"/>
  <c r="O12" i="92"/>
  <c r="H117" i="92"/>
  <c r="H129" i="92"/>
  <c r="H93" i="92"/>
  <c r="H126" i="92"/>
  <c r="H86" i="92"/>
  <c r="H33" i="92"/>
  <c r="H36" i="92"/>
  <c r="O44" i="92"/>
  <c r="O77" i="92"/>
  <c r="O81" i="92"/>
  <c r="O126" i="92"/>
  <c r="O49" i="92"/>
  <c r="O125" i="92"/>
  <c r="O132" i="92"/>
  <c r="O41" i="92"/>
  <c r="O62" i="92"/>
  <c r="J123" i="92"/>
  <c r="N123" i="92"/>
  <c r="M123" i="92"/>
  <c r="N55" i="92"/>
  <c r="M55" i="92"/>
  <c r="J76" i="92"/>
  <c r="N76" i="92"/>
  <c r="M76" i="92"/>
  <c r="O115" i="92"/>
  <c r="O97" i="92"/>
  <c r="O73" i="92"/>
  <c r="O23" i="92"/>
  <c r="O10" i="92"/>
  <c r="N47" i="92"/>
  <c r="M47" i="92"/>
  <c r="H8" i="92"/>
  <c r="N8" i="92"/>
  <c r="M8" i="92"/>
  <c r="O96" i="92"/>
  <c r="O99" i="92"/>
  <c r="N130" i="92"/>
  <c r="M130" i="92"/>
  <c r="L15" i="92"/>
  <c r="M15" i="92"/>
  <c r="N15" i="92"/>
  <c r="L11" i="92"/>
  <c r="M11" i="92"/>
  <c r="N11" i="92"/>
  <c r="N61" i="92"/>
  <c r="M61" i="92"/>
  <c r="M80" i="92"/>
  <c r="N80" i="92"/>
  <c r="O28" i="92"/>
  <c r="O98" i="92"/>
  <c r="O117" i="92"/>
  <c r="O112" i="92"/>
  <c r="O74" i="92"/>
  <c r="O83" i="92"/>
  <c r="O71" i="92"/>
  <c r="O31" i="92"/>
  <c r="O128" i="92"/>
  <c r="N75" i="92"/>
  <c r="M75" i="92"/>
  <c r="M42" i="92"/>
  <c r="N42" i="92"/>
  <c r="N82" i="92"/>
  <c r="M82" i="92"/>
  <c r="M118" i="92"/>
  <c r="N118" i="92"/>
  <c r="N30" i="92"/>
  <c r="M30" i="92"/>
  <c r="J72" i="92"/>
  <c r="M72" i="92"/>
  <c r="N72" i="92"/>
  <c r="L54" i="92"/>
  <c r="N54" i="92"/>
  <c r="M54" i="92"/>
  <c r="M37" i="92"/>
  <c r="N37" i="92"/>
  <c r="J59" i="92"/>
  <c r="N59" i="92"/>
  <c r="M59" i="92"/>
  <c r="O64" i="92"/>
  <c r="O107" i="92"/>
  <c r="O57" i="92"/>
  <c r="O63" i="92"/>
  <c r="O108" i="92"/>
  <c r="J65" i="92"/>
  <c r="M65" i="92"/>
  <c r="N65" i="92"/>
  <c r="M124" i="92"/>
  <c r="N124" i="92"/>
  <c r="N29" i="92"/>
  <c r="M29" i="92"/>
  <c r="L17" i="92"/>
  <c r="N17" i="92"/>
  <c r="M17" i="92"/>
  <c r="H116" i="92"/>
  <c r="N116" i="92"/>
  <c r="M116" i="92"/>
  <c r="N46" i="92"/>
  <c r="M46" i="92"/>
  <c r="J94" i="92"/>
  <c r="M94" i="92"/>
  <c r="N94" i="92"/>
  <c r="J18" i="92"/>
  <c r="N18" i="92"/>
  <c r="M18" i="92"/>
  <c r="N88" i="92"/>
  <c r="M88" i="92"/>
  <c r="J53" i="92"/>
  <c r="N53" i="92"/>
  <c r="M53" i="92"/>
  <c r="L89" i="92"/>
  <c r="M89" i="92"/>
  <c r="N89" i="92"/>
  <c r="N22" i="92"/>
  <c r="M22" i="92"/>
  <c r="O114" i="92"/>
  <c r="O93" i="92"/>
  <c r="O56" i="92"/>
  <c r="O40" i="92"/>
  <c r="O109" i="92"/>
  <c r="O16" i="92"/>
  <c r="O95" i="92"/>
  <c r="N52" i="92"/>
  <c r="M52" i="92"/>
  <c r="N127" i="92"/>
  <c r="M127" i="92"/>
  <c r="H48" i="92"/>
  <c r="N48" i="92"/>
  <c r="M48" i="92"/>
  <c r="H27" i="92"/>
  <c r="N27" i="92"/>
  <c r="M27" i="92"/>
  <c r="J111" i="92"/>
  <c r="M111" i="92"/>
  <c r="N111" i="92"/>
  <c r="N6" i="92"/>
  <c r="M6" i="92"/>
  <c r="J9" i="92"/>
  <c r="N9" i="92"/>
  <c r="M9" i="92"/>
  <c r="M70" i="92"/>
  <c r="N70" i="92"/>
  <c r="N105" i="92"/>
  <c r="M105" i="92"/>
  <c r="M21" i="92"/>
  <c r="N21" i="92"/>
  <c r="N60" i="92"/>
  <c r="M60" i="92"/>
  <c r="O43" i="92"/>
  <c r="O32" i="92"/>
  <c r="O103" i="92"/>
  <c r="O38" i="92"/>
  <c r="O79" i="92"/>
  <c r="O106" i="92"/>
  <c r="L70" i="92"/>
  <c r="J29" i="92"/>
  <c r="L88" i="92"/>
  <c r="L105" i="92"/>
  <c r="H21" i="92"/>
  <c r="H130" i="92"/>
  <c r="J82" i="92"/>
  <c r="J60" i="92"/>
  <c r="J30" i="92"/>
  <c r="H127" i="92"/>
  <c r="J46" i="92"/>
  <c r="H42" i="92"/>
  <c r="H124" i="92"/>
  <c r="H55" i="92"/>
  <c r="J61" i="92"/>
  <c r="J52" i="92"/>
  <c r="H80" i="92"/>
  <c r="J37" i="92"/>
  <c r="J80" i="92"/>
  <c r="L75" i="92"/>
  <c r="L6" i="92"/>
  <c r="J42" i="92"/>
  <c r="J70" i="92"/>
  <c r="H9" i="92"/>
  <c r="J105" i="92"/>
  <c r="J21" i="92"/>
  <c r="H76" i="92"/>
  <c r="J27" i="92"/>
  <c r="J75" i="92"/>
  <c r="H75" i="92"/>
  <c r="L22" i="92"/>
  <c r="J116" i="92"/>
  <c r="L52" i="92"/>
  <c r="H6" i="92"/>
  <c r="L48" i="92"/>
  <c r="L8" i="92"/>
  <c r="J6" i="92"/>
  <c r="H88" i="92"/>
  <c r="L9" i="92"/>
  <c r="L127" i="92"/>
  <c r="H94" i="92"/>
  <c r="L46" i="92"/>
  <c r="H11" i="92"/>
  <c r="L27" i="92"/>
  <c r="J8" i="92"/>
  <c r="J130" i="92"/>
  <c r="H47" i="92"/>
  <c r="H111" i="92"/>
  <c r="H37" i="92"/>
  <c r="L47" i="92"/>
  <c r="H52" i="92"/>
  <c r="L65" i="92"/>
  <c r="J47" i="92"/>
  <c r="J22" i="92"/>
  <c r="L116" i="92"/>
  <c r="J124" i="92"/>
  <c r="J89" i="92"/>
  <c r="H70" i="92"/>
  <c r="L42" i="92"/>
  <c r="L82" i="92"/>
  <c r="H59" i="92"/>
  <c r="J11" i="92"/>
  <c r="H17" i="92"/>
  <c r="J54" i="92"/>
  <c r="J127" i="92"/>
  <c r="H22" i="92"/>
  <c r="L60" i="92"/>
  <c r="H123" i="92"/>
  <c r="L21" i="92"/>
  <c r="H72" i="92"/>
  <c r="L124" i="92"/>
  <c r="H46" i="92"/>
  <c r="H29" i="92"/>
  <c r="J48" i="92"/>
  <c r="L61" i="92"/>
  <c r="L18" i="92"/>
  <c r="L76" i="92"/>
  <c r="L59" i="92"/>
  <c r="H30" i="92"/>
  <c r="L130" i="92"/>
  <c r="L53" i="92"/>
  <c r="J17" i="92"/>
  <c r="H82" i="92"/>
  <c r="H53" i="92"/>
  <c r="J55" i="92"/>
  <c r="L29" i="92"/>
  <c r="H54" i="92"/>
  <c r="H89" i="92"/>
  <c r="H61" i="92"/>
  <c r="H60" i="92"/>
  <c r="L123" i="92"/>
  <c r="L55" i="92"/>
  <c r="L37" i="92"/>
  <c r="H18" i="92"/>
  <c r="L72" i="92"/>
  <c r="J15" i="92"/>
  <c r="H118" i="92"/>
  <c r="L80" i="92"/>
  <c r="H15" i="92"/>
  <c r="L30" i="92"/>
  <c r="H105" i="92"/>
  <c r="L118" i="92"/>
  <c r="H65" i="92"/>
  <c r="L94" i="92"/>
  <c r="J118" i="92"/>
  <c r="J88" i="92"/>
  <c r="L111" i="92"/>
  <c r="W163" i="92" l="1"/>
  <c r="S173" i="92"/>
  <c r="AA146" i="92"/>
  <c r="S143" i="92"/>
  <c r="O171" i="92"/>
  <c r="P171" i="92" s="1"/>
  <c r="W161" i="92"/>
  <c r="S137" i="92"/>
  <c r="T137" i="92" s="1"/>
  <c r="S145" i="92"/>
  <c r="S154" i="92"/>
  <c r="T154" i="92" s="1"/>
  <c r="W186" i="92"/>
  <c r="W168" i="92"/>
  <c r="X168" i="92" s="1"/>
  <c r="W176" i="92"/>
  <c r="X176" i="92" s="1"/>
  <c r="W154" i="92"/>
  <c r="X154" i="92" s="1"/>
  <c r="AA153" i="92"/>
  <c r="AA170" i="92"/>
  <c r="O153" i="92"/>
  <c r="P153" i="92" s="1"/>
  <c r="O182" i="92"/>
  <c r="P182" i="92" s="1"/>
  <c r="O140" i="92"/>
  <c r="O161" i="92"/>
  <c r="P161" i="92" s="1"/>
  <c r="S138" i="92"/>
  <c r="T138" i="92" s="1"/>
  <c r="W166" i="92"/>
  <c r="X166" i="92" s="1"/>
  <c r="W137" i="92"/>
  <c r="W151" i="92"/>
  <c r="W178" i="92"/>
  <c r="X178" i="92" s="1"/>
  <c r="O147" i="92"/>
  <c r="P147" i="92" s="1"/>
  <c r="S146" i="92"/>
  <c r="T146" i="92" s="1"/>
  <c r="W136" i="92"/>
  <c r="X136" i="92" s="1"/>
  <c r="O169" i="92"/>
  <c r="P169" i="92" s="1"/>
  <c r="S157" i="92"/>
  <c r="AA161" i="92"/>
  <c r="W173" i="92"/>
  <c r="X173" i="92" s="1"/>
  <c r="O188" i="92"/>
  <c r="W157" i="92"/>
  <c r="X157" i="92" s="1"/>
  <c r="O160" i="92"/>
  <c r="P160" i="92" s="1"/>
  <c r="W133" i="92"/>
  <c r="X133" i="92" s="1"/>
  <c r="S168" i="92"/>
  <c r="T168" i="92" s="1"/>
  <c r="W152" i="92"/>
  <c r="X152" i="92" s="1"/>
  <c r="S156" i="92"/>
  <c r="T156" i="92" s="1"/>
  <c r="O165" i="92"/>
  <c r="P165" i="92" s="1"/>
  <c r="S174" i="92"/>
  <c r="T174" i="92" s="1"/>
  <c r="S188" i="92"/>
  <c r="T188" i="92" s="1"/>
  <c r="W162" i="92"/>
  <c r="X162" i="92" s="1"/>
  <c r="O163" i="92"/>
  <c r="P163" i="92" s="1"/>
  <c r="O142" i="92"/>
  <c r="P142" i="92" s="1"/>
  <c r="S134" i="92"/>
  <c r="T134" i="92" s="1"/>
  <c r="W179" i="92"/>
  <c r="X179" i="92" s="1"/>
  <c r="O148" i="92"/>
  <c r="P148" i="92" s="1"/>
  <c r="S141" i="92"/>
  <c r="T141" i="92" s="1"/>
  <c r="S163" i="92"/>
  <c r="T163" i="92" s="1"/>
  <c r="W167" i="92"/>
  <c r="X167" i="92" s="1"/>
  <c r="S165" i="92"/>
  <c r="T165" i="92" s="1"/>
  <c r="X145" i="92"/>
  <c r="O168" i="92"/>
  <c r="P168" i="92" s="1"/>
  <c r="S171" i="92"/>
  <c r="O175" i="92"/>
  <c r="P175" i="92" s="1"/>
  <c r="W183" i="92"/>
  <c r="X183" i="92" s="1"/>
  <c r="O150" i="92"/>
  <c r="P150" i="92" s="1"/>
  <c r="T139" i="92"/>
  <c r="O174" i="92"/>
  <c r="P174" i="92" s="1"/>
  <c r="O173" i="92"/>
  <c r="S150" i="92"/>
  <c r="W182" i="92"/>
  <c r="X182" i="92" s="1"/>
  <c r="S169" i="92"/>
  <c r="T169" i="92" s="1"/>
  <c r="S149" i="92"/>
  <c r="W174" i="92"/>
  <c r="X174" i="92" s="1"/>
  <c r="P185" i="92"/>
  <c r="T173" i="92"/>
  <c r="O143" i="92"/>
  <c r="P143" i="92" s="1"/>
  <c r="P140" i="92"/>
  <c r="W158" i="92"/>
  <c r="O166" i="92"/>
  <c r="P166" i="92" s="1"/>
  <c r="S144" i="92"/>
  <c r="T144" i="92" s="1"/>
  <c r="O183" i="92"/>
  <c r="AA155" i="92"/>
  <c r="P134" i="92"/>
  <c r="S153" i="92"/>
  <c r="P180" i="92"/>
  <c r="O176" i="92"/>
  <c r="P176" i="92" s="1"/>
  <c r="O158" i="92"/>
  <c r="P158" i="92" s="1"/>
  <c r="P139" i="92"/>
  <c r="S135" i="92"/>
  <c r="W185" i="92"/>
  <c r="X137" i="92"/>
  <c r="O186" i="92"/>
  <c r="P186" i="92" s="1"/>
  <c r="X148" i="92"/>
  <c r="S155" i="92"/>
  <c r="X156" i="92"/>
  <c r="T157" i="92"/>
  <c r="T161" i="92"/>
  <c r="X161" i="92"/>
  <c r="W135" i="92"/>
  <c r="S184" i="92"/>
  <c r="S166" i="92"/>
  <c r="T166" i="92" s="1"/>
  <c r="AA147" i="92"/>
  <c r="S186" i="92"/>
  <c r="T186" i="92" s="1"/>
  <c r="X163" i="92"/>
  <c r="T145" i="92"/>
  <c r="W165" i="92"/>
  <c r="O137" i="92"/>
  <c r="P137" i="92" s="1"/>
  <c r="X170" i="92"/>
  <c r="O155" i="92"/>
  <c r="P155" i="92" s="1"/>
  <c r="S179" i="92"/>
  <c r="T143" i="92"/>
  <c r="X134" i="92"/>
  <c r="S183" i="92"/>
  <c r="T183" i="92" s="1"/>
  <c r="X151" i="92"/>
  <c r="P133" i="92"/>
  <c r="P145" i="92"/>
  <c r="W139" i="92"/>
  <c r="W138" i="92"/>
  <c r="O151" i="92"/>
  <c r="O187" i="92"/>
  <c r="W172" i="92"/>
  <c r="X172" i="92" s="1"/>
  <c r="O181" i="92"/>
  <c r="W164" i="92"/>
  <c r="T167" i="92"/>
  <c r="O141" i="92"/>
  <c r="X186" i="92"/>
  <c r="T152" i="92"/>
  <c r="T180" i="92"/>
  <c r="T158" i="92"/>
  <c r="T185" i="92"/>
  <c r="AA150" i="92"/>
  <c r="O164" i="92"/>
  <c r="O177" i="92"/>
  <c r="P177" i="92" s="1"/>
  <c r="T172" i="92"/>
  <c r="AA5" i="92"/>
  <c r="AA131" i="92"/>
  <c r="AA119" i="92"/>
  <c r="AA21" i="92"/>
  <c r="A22" i="95"/>
  <c r="AA19" i="92"/>
  <c r="O35" i="92"/>
  <c r="P35" i="92" s="1"/>
  <c r="O92" i="92"/>
  <c r="AA82" i="92"/>
  <c r="AA66" i="92"/>
  <c r="AA108" i="92"/>
  <c r="AA87" i="92"/>
  <c r="AA39" i="92"/>
  <c r="AA49" i="92"/>
  <c r="AA115" i="92"/>
  <c r="AA14" i="92"/>
  <c r="AA10" i="92"/>
  <c r="AA12" i="92"/>
  <c r="AA92" i="92"/>
  <c r="AA64" i="92"/>
  <c r="AA103" i="92"/>
  <c r="AA62" i="92"/>
  <c r="AA56" i="92"/>
  <c r="AA90" i="92"/>
  <c r="AA74" i="92"/>
  <c r="AA68" i="92"/>
  <c r="AA120" i="92"/>
  <c r="AA70" i="92"/>
  <c r="AA50" i="92"/>
  <c r="AA96" i="92"/>
  <c r="AA101" i="92"/>
  <c r="AA40" i="92"/>
  <c r="AA52" i="92"/>
  <c r="AA77" i="92"/>
  <c r="AA67" i="92"/>
  <c r="AA35" i="92"/>
  <c r="C29" i="95"/>
  <c r="AA117" i="92"/>
  <c r="AA97" i="92"/>
  <c r="AA23" i="92"/>
  <c r="AA38" i="92"/>
  <c r="AA93" i="92"/>
  <c r="AA16" i="92"/>
  <c r="AA123" i="92"/>
  <c r="AA29" i="92"/>
  <c r="AA114" i="92"/>
  <c r="AA30" i="92"/>
  <c r="AA42" i="92"/>
  <c r="AA13" i="92"/>
  <c r="AA113" i="92"/>
  <c r="AA33" i="92"/>
  <c r="AA24" i="92"/>
  <c r="AA125" i="92"/>
  <c r="AA34" i="92"/>
  <c r="AA118" i="92"/>
  <c r="AA112" i="92"/>
  <c r="AA78" i="92"/>
  <c r="AA95" i="92"/>
  <c r="AA75" i="92"/>
  <c r="AA89" i="92"/>
  <c r="C30" i="95"/>
  <c r="AA98" i="92"/>
  <c r="AA127" i="92"/>
  <c r="AA73" i="92"/>
  <c r="AA22" i="92"/>
  <c r="AA41" i="92"/>
  <c r="AA109" i="92"/>
  <c r="AA79" i="92"/>
  <c r="AA36" i="92"/>
  <c r="AA58" i="92"/>
  <c r="AA53" i="92"/>
  <c r="AA100" i="92"/>
  <c r="AA44" i="92"/>
  <c r="AA111" i="92"/>
  <c r="P40" i="92"/>
  <c r="P78" i="92"/>
  <c r="P66" i="92"/>
  <c r="P73" i="92"/>
  <c r="P132" i="92"/>
  <c r="P33" i="92"/>
  <c r="P121" i="92"/>
  <c r="P5" i="92"/>
  <c r="P32" i="92"/>
  <c r="P125" i="92"/>
  <c r="P77" i="92"/>
  <c r="P19" i="92"/>
  <c r="P39" i="92"/>
  <c r="P83" i="92"/>
  <c r="P24" i="92"/>
  <c r="P122" i="92"/>
  <c r="P7" i="92"/>
  <c r="P108" i="92"/>
  <c r="P117" i="92"/>
  <c r="P97" i="92"/>
  <c r="P106" i="92"/>
  <c r="P43" i="92"/>
  <c r="P98" i="92"/>
  <c r="P115" i="92"/>
  <c r="P114" i="92"/>
  <c r="P63" i="92"/>
  <c r="P28" i="92"/>
  <c r="P51" i="92"/>
  <c r="P13" i="92"/>
  <c r="P101" i="92"/>
  <c r="P12" i="92"/>
  <c r="P90" i="92"/>
  <c r="P104" i="92"/>
  <c r="P103" i="92"/>
  <c r="P56" i="92"/>
  <c r="P93" i="92"/>
  <c r="P44" i="92"/>
  <c r="P129" i="92"/>
  <c r="P50" i="92"/>
  <c r="P57" i="92"/>
  <c r="P128" i="92"/>
  <c r="P26" i="92"/>
  <c r="P10" i="92"/>
  <c r="P36" i="92"/>
  <c r="P131" i="92"/>
  <c r="P86" i="92"/>
  <c r="P96" i="92"/>
  <c r="P38" i="92"/>
  <c r="P84" i="92"/>
  <c r="P31" i="92"/>
  <c r="P62" i="92"/>
  <c r="P49" i="92"/>
  <c r="P58" i="92"/>
  <c r="P68" i="92"/>
  <c r="P120" i="92"/>
  <c r="P79" i="92"/>
  <c r="P95" i="92"/>
  <c r="P107" i="92"/>
  <c r="P45" i="92"/>
  <c r="P41" i="92"/>
  <c r="P14" i="92"/>
  <c r="P87" i="92"/>
  <c r="P16" i="92"/>
  <c r="P20" i="92"/>
  <c r="P71" i="92"/>
  <c r="P34" i="92"/>
  <c r="P126" i="92"/>
  <c r="P102" i="92"/>
  <c r="P85" i="92"/>
  <c r="P112" i="92"/>
  <c r="P81" i="92"/>
  <c r="P64" i="92"/>
  <c r="P109" i="92"/>
  <c r="P69" i="92"/>
  <c r="P99" i="92"/>
  <c r="P113" i="92"/>
  <c r="P25" i="92"/>
  <c r="P110" i="92"/>
  <c r="P100" i="92"/>
  <c r="P74" i="92"/>
  <c r="P23" i="92"/>
  <c r="P91" i="92"/>
  <c r="P119" i="92"/>
  <c r="P67" i="92"/>
  <c r="S56" i="92"/>
  <c r="S57" i="92"/>
  <c r="S106" i="92"/>
  <c r="W20" i="92"/>
  <c r="W70" i="92"/>
  <c r="W25" i="92"/>
  <c r="S19" i="92"/>
  <c r="S128" i="92"/>
  <c r="W84" i="92"/>
  <c r="S112" i="92"/>
  <c r="S46" i="92"/>
  <c r="W19" i="92"/>
  <c r="W73" i="92"/>
  <c r="W48" i="92"/>
  <c r="S70" i="92"/>
  <c r="S48" i="92"/>
  <c r="S88" i="92"/>
  <c r="S25" i="92"/>
  <c r="S22" i="92"/>
  <c r="S20" i="92"/>
  <c r="W104" i="92"/>
  <c r="W22" i="92"/>
  <c r="W85" i="92"/>
  <c r="W82" i="92"/>
  <c r="W52" i="92"/>
  <c r="W13" i="92"/>
  <c r="W110" i="92"/>
  <c r="S103" i="92"/>
  <c r="S104" i="92"/>
  <c r="W99" i="92"/>
  <c r="W46" i="92"/>
  <c r="W128" i="92"/>
  <c r="W57" i="92"/>
  <c r="W41" i="92"/>
  <c r="S102" i="92"/>
  <c r="T102" i="92" s="1"/>
  <c r="S62" i="92"/>
  <c r="S75" i="92"/>
  <c r="S11" i="92"/>
  <c r="T11" i="92" s="1"/>
  <c r="S84" i="92"/>
  <c r="S110" i="92"/>
  <c r="S40" i="92"/>
  <c r="S85" i="92"/>
  <c r="T85" i="92" s="1"/>
  <c r="S122" i="92"/>
  <c r="T122" i="92" s="1"/>
  <c r="S82" i="92"/>
  <c r="W109" i="92"/>
  <c r="S109" i="92"/>
  <c r="T109" i="92" s="1"/>
  <c r="S52" i="92"/>
  <c r="T52" i="92" s="1"/>
  <c r="S39" i="92"/>
  <c r="T39" i="92" s="1"/>
  <c r="S99" i="92"/>
  <c r="S116" i="92"/>
  <c r="T116" i="92" s="1"/>
  <c r="S41" i="92"/>
  <c r="W60" i="92"/>
  <c r="W39" i="92"/>
  <c r="W56" i="92"/>
  <c r="S73" i="92"/>
  <c r="T73" i="92" s="1"/>
  <c r="W106" i="92"/>
  <c r="X106" i="92" s="1"/>
  <c r="W103" i="92"/>
  <c r="W112" i="92"/>
  <c r="S13" i="92"/>
  <c r="T13" i="92" s="1"/>
  <c r="S16" i="92"/>
  <c r="T16" i="92" s="1"/>
  <c r="W102" i="92"/>
  <c r="S60" i="92"/>
  <c r="T60" i="92" s="1"/>
  <c r="W88" i="92"/>
  <c r="W16" i="92"/>
  <c r="W122" i="92"/>
  <c r="W116" i="92"/>
  <c r="W40" i="92"/>
  <c r="W62" i="92"/>
  <c r="W11" i="92"/>
  <c r="W75" i="92"/>
  <c r="O89" i="92"/>
  <c r="O72" i="92"/>
  <c r="W92" i="92"/>
  <c r="W32" i="92"/>
  <c r="W42" i="92"/>
  <c r="W107" i="92"/>
  <c r="W49" i="92"/>
  <c r="W98" i="92"/>
  <c r="W68" i="92"/>
  <c r="S18" i="92"/>
  <c r="W15" i="92"/>
  <c r="S54" i="92"/>
  <c r="W45" i="92"/>
  <c r="W53" i="92"/>
  <c r="W81" i="92"/>
  <c r="S74" i="92"/>
  <c r="S79" i="92"/>
  <c r="S125" i="92"/>
  <c r="S7" i="92"/>
  <c r="S31" i="92"/>
  <c r="W72" i="92"/>
  <c r="W131" i="92"/>
  <c r="W90" i="92"/>
  <c r="W121" i="92"/>
  <c r="W74" i="92"/>
  <c r="W115" i="92"/>
  <c r="W5" i="92"/>
  <c r="W34" i="92"/>
  <c r="W17" i="92"/>
  <c r="W124" i="92"/>
  <c r="W21" i="92"/>
  <c r="W113" i="92"/>
  <c r="W119" i="92"/>
  <c r="W36" i="92"/>
  <c r="W86" i="92"/>
  <c r="W51" i="92"/>
  <c r="W79" i="92"/>
  <c r="S80" i="92"/>
  <c r="S123" i="92"/>
  <c r="W28" i="92"/>
  <c r="W120" i="92"/>
  <c r="W43" i="92"/>
  <c r="W10" i="92"/>
  <c r="W69" i="92"/>
  <c r="W118" i="92"/>
  <c r="W105" i="92"/>
  <c r="W63" i="92"/>
  <c r="W127" i="92"/>
  <c r="W55" i="92"/>
  <c r="S130" i="92"/>
  <c r="W101" i="92"/>
  <c r="W61" i="92"/>
  <c r="W7" i="92"/>
  <c r="W108" i="92"/>
  <c r="W111" i="92"/>
  <c r="W89" i="92"/>
  <c r="W77" i="92"/>
  <c r="O55" i="92"/>
  <c r="W78" i="92"/>
  <c r="W83" i="92"/>
  <c r="W66" i="92"/>
  <c r="W33" i="92"/>
  <c r="W100" i="92"/>
  <c r="W8" i="92"/>
  <c r="W91" i="92"/>
  <c r="W129" i="92"/>
  <c r="S33" i="92"/>
  <c r="S132" i="92"/>
  <c r="S71" i="92"/>
  <c r="W9" i="92"/>
  <c r="S14" i="92"/>
  <c r="S126" i="92"/>
  <c r="S21" i="92"/>
  <c r="W38" i="92"/>
  <c r="W47" i="92"/>
  <c r="W37" i="92"/>
  <c r="W67" i="92"/>
  <c r="W71" i="92"/>
  <c r="W97" i="92"/>
  <c r="W80" i="92"/>
  <c r="W76" i="92"/>
  <c r="W95" i="92"/>
  <c r="W29" i="92"/>
  <c r="W125" i="92"/>
  <c r="W44" i="92"/>
  <c r="S23" i="92"/>
  <c r="W132" i="92"/>
  <c r="W50" i="92"/>
  <c r="W123" i="92"/>
  <c r="W54" i="92"/>
  <c r="W65" i="92"/>
  <c r="W130" i="92"/>
  <c r="W26" i="92"/>
  <c r="W59" i="92"/>
  <c r="W23" i="92"/>
  <c r="W12" i="92"/>
  <c r="W64" i="92"/>
  <c r="W126" i="92"/>
  <c r="W87" i="92"/>
  <c r="W24" i="92"/>
  <c r="S111" i="92"/>
  <c r="S61" i="92"/>
  <c r="W35" i="92"/>
  <c r="W27" i="92"/>
  <c r="W30" i="92"/>
  <c r="W58" i="92"/>
  <c r="W14" i="92"/>
  <c r="W18" i="92"/>
  <c r="W31" i="92"/>
  <c r="W96" i="92"/>
  <c r="W94" i="92"/>
  <c r="O42" i="92"/>
  <c r="O11" i="92"/>
  <c r="S45" i="92"/>
  <c r="S15" i="92"/>
  <c r="S66" i="92"/>
  <c r="W6" i="92"/>
  <c r="W93" i="92"/>
  <c r="W117" i="92"/>
  <c r="S120" i="92"/>
  <c r="S81" i="92"/>
  <c r="S9" i="92"/>
  <c r="S93" i="92"/>
  <c r="O111" i="92"/>
  <c r="S117" i="92"/>
  <c r="S94" i="92"/>
  <c r="S44" i="92"/>
  <c r="S89" i="92"/>
  <c r="S98" i="92"/>
  <c r="S90" i="92"/>
  <c r="S28" i="92"/>
  <c r="S113" i="92"/>
  <c r="S30" i="92"/>
  <c r="S36" i="92"/>
  <c r="S86" i="92"/>
  <c r="S26" i="92"/>
  <c r="S96" i="92"/>
  <c r="S97" i="92"/>
  <c r="S95" i="92"/>
  <c r="S127" i="92"/>
  <c r="S42" i="92"/>
  <c r="S50" i="92"/>
  <c r="S121" i="92"/>
  <c r="S68" i="92"/>
  <c r="S55" i="92"/>
  <c r="S87" i="92"/>
  <c r="S29" i="92"/>
  <c r="S38" i="92"/>
  <c r="S119" i="92"/>
  <c r="S43" i="92"/>
  <c r="S63" i="92"/>
  <c r="S10" i="92"/>
  <c r="S65" i="92"/>
  <c r="S59" i="92"/>
  <c r="S35" i="92"/>
  <c r="S105" i="92"/>
  <c r="S34" i="92"/>
  <c r="S124" i="92"/>
  <c r="S72" i="92"/>
  <c r="S83" i="92"/>
  <c r="S100" i="92"/>
  <c r="S53" i="92"/>
  <c r="S91" i="92"/>
  <c r="S67" i="92"/>
  <c r="S64" i="92"/>
  <c r="S5" i="92"/>
  <c r="S118" i="92"/>
  <c r="S107" i="92"/>
  <c r="S108" i="92"/>
  <c r="S101" i="92"/>
  <c r="S58" i="92"/>
  <c r="S32" i="92"/>
  <c r="S37" i="92"/>
  <c r="S51" i="92"/>
  <c r="S78" i="92"/>
  <c r="S27" i="92"/>
  <c r="T27" i="92" s="1"/>
  <c r="S17" i="92"/>
  <c r="S47" i="92"/>
  <c r="S129" i="92"/>
  <c r="S69" i="92"/>
  <c r="S12" i="92"/>
  <c r="S77" i="92"/>
  <c r="S49" i="92"/>
  <c r="S24" i="92"/>
  <c r="S92" i="92"/>
  <c r="S6" i="92"/>
  <c r="S76" i="92"/>
  <c r="S8" i="92"/>
  <c r="S131" i="92"/>
  <c r="O30" i="92"/>
  <c r="S115" i="92"/>
  <c r="O6" i="92"/>
  <c r="O59" i="92"/>
  <c r="O130" i="92"/>
  <c r="O116" i="92"/>
  <c r="O47" i="92"/>
  <c r="O48" i="92"/>
  <c r="O105" i="92"/>
  <c r="O123" i="92"/>
  <c r="O27" i="92"/>
  <c r="O17" i="92"/>
  <c r="O70" i="92"/>
  <c r="O127" i="92"/>
  <c r="O46" i="92"/>
  <c r="O29" i="92"/>
  <c r="O52" i="92"/>
  <c r="O54" i="92"/>
  <c r="O22" i="92"/>
  <c r="O94" i="92"/>
  <c r="O82" i="92"/>
  <c r="O75" i="92"/>
  <c r="O15" i="92"/>
  <c r="O18" i="92"/>
  <c r="O9" i="92"/>
  <c r="O60" i="92"/>
  <c r="O124" i="92"/>
  <c r="O80" i="92"/>
  <c r="O76" i="92"/>
  <c r="O8" i="92"/>
  <c r="O53" i="92"/>
  <c r="O65" i="92"/>
  <c r="O21" i="92"/>
  <c r="O37" i="92"/>
  <c r="O118" i="92"/>
  <c r="O88" i="92"/>
  <c r="O61" i="92"/>
  <c r="T135" i="92" l="1"/>
  <c r="T184" i="92"/>
  <c r="T155" i="92"/>
  <c r="X139" i="92"/>
  <c r="P173" i="92"/>
  <c r="T179" i="92"/>
  <c r="X158" i="92"/>
  <c r="T150" i="92"/>
  <c r="P164" i="92"/>
  <c r="T171" i="92"/>
  <c r="P141" i="92"/>
  <c r="X164" i="92"/>
  <c r="X138" i="92"/>
  <c r="X165" i="92"/>
  <c r="X185" i="92"/>
  <c r="T149" i="92"/>
  <c r="P151" i="92"/>
  <c r="X135" i="92"/>
  <c r="T153" i="92"/>
  <c r="P183" i="92"/>
  <c r="P181" i="92"/>
  <c r="P92" i="92"/>
  <c r="C31" i="95"/>
  <c r="T62" i="92"/>
  <c r="P8" i="92"/>
  <c r="P48" i="92"/>
  <c r="P75" i="92"/>
  <c r="P88" i="92"/>
  <c r="P94" i="92"/>
  <c r="P116" i="92"/>
  <c r="P42" i="92"/>
  <c r="P29" i="92"/>
  <c r="P82" i="92"/>
  <c r="P11" i="92"/>
  <c r="P22" i="92"/>
  <c r="P72" i="92"/>
  <c r="P15" i="92"/>
  <c r="P46" i="92"/>
  <c r="P118" i="92"/>
  <c r="P76" i="92"/>
  <c r="P127" i="92"/>
  <c r="P130" i="92"/>
  <c r="P37" i="92"/>
  <c r="P80" i="92"/>
  <c r="P70" i="92"/>
  <c r="P59" i="92"/>
  <c r="P55" i="92"/>
  <c r="P89" i="92"/>
  <c r="P47" i="92"/>
  <c r="P21" i="92"/>
  <c r="P124" i="92"/>
  <c r="P54" i="92"/>
  <c r="P60" i="92"/>
  <c r="P61" i="92"/>
  <c r="P9" i="92"/>
  <c r="P123" i="92"/>
  <c r="P65" i="92"/>
  <c r="P52" i="92"/>
  <c r="P30" i="92"/>
  <c r="P111" i="92"/>
  <c r="P17" i="92"/>
  <c r="P6" i="92"/>
  <c r="P18" i="92"/>
  <c r="P53" i="92"/>
  <c r="P105" i="92"/>
  <c r="X70" i="92"/>
  <c r="X37" i="92"/>
  <c r="X107" i="92"/>
  <c r="T9" i="92"/>
  <c r="T129" i="92"/>
  <c r="X122" i="92"/>
  <c r="X64" i="92"/>
  <c r="T110" i="92"/>
  <c r="X25" i="92"/>
  <c r="X67" i="92"/>
  <c r="X58" i="92"/>
  <c r="X7" i="92"/>
  <c r="X29" i="92"/>
  <c r="X36" i="92"/>
  <c r="X53" i="92"/>
  <c r="T132" i="92"/>
  <c r="T101" i="92"/>
  <c r="X104" i="92"/>
  <c r="X56" i="92"/>
  <c r="T14" i="92"/>
  <c r="T64" i="92"/>
  <c r="T58" i="92"/>
  <c r="X46" i="92"/>
  <c r="X89" i="92"/>
  <c r="X32" i="92"/>
  <c r="X66" i="92"/>
  <c r="X119" i="92"/>
  <c r="T121" i="92"/>
  <c r="X50" i="92"/>
  <c r="X99" i="92"/>
  <c r="X16" i="92"/>
  <c r="X10" i="92"/>
  <c r="T40" i="92"/>
  <c r="T25" i="92"/>
  <c r="X101" i="92"/>
  <c r="T106" i="92"/>
  <c r="T75" i="92"/>
  <c r="X40" i="92"/>
  <c r="T57" i="92"/>
  <c r="T92" i="92"/>
  <c r="T34" i="92"/>
  <c r="T22" i="92"/>
  <c r="T61" i="92"/>
  <c r="T127" i="92"/>
  <c r="X132" i="92"/>
  <c r="X90" i="92"/>
  <c r="T63" i="92"/>
  <c r="T45" i="92"/>
  <c r="X120" i="92"/>
  <c r="T96" i="92"/>
  <c r="T65" i="92"/>
  <c r="T10" i="92"/>
  <c r="T67" i="92"/>
  <c r="T97" i="92"/>
  <c r="T76" i="92"/>
  <c r="T124" i="92"/>
  <c r="T54" i="92"/>
  <c r="X117" i="92"/>
  <c r="X121" i="92"/>
  <c r="T31" i="92"/>
  <c r="X43" i="92"/>
  <c r="T84" i="92"/>
  <c r="T12" i="92"/>
  <c r="T82" i="92"/>
  <c r="X68" i="92"/>
  <c r="X55" i="92"/>
  <c r="X39" i="92"/>
  <c r="X102" i="92"/>
  <c r="T126" i="92"/>
  <c r="T89" i="92"/>
  <c r="T18" i="92"/>
  <c r="X123" i="92"/>
  <c r="T100" i="92"/>
  <c r="T112" i="92"/>
  <c r="T87" i="92"/>
  <c r="X88" i="92"/>
  <c r="T83" i="92"/>
  <c r="X20" i="92"/>
  <c r="X35" i="92"/>
  <c r="X12" i="92"/>
  <c r="X65" i="92"/>
  <c r="T20" i="92"/>
  <c r="T43" i="92"/>
  <c r="T70" i="92"/>
  <c r="X18" i="92"/>
  <c r="X124" i="92"/>
  <c r="T29" i="92"/>
  <c r="X49" i="92"/>
  <c r="X26" i="92"/>
  <c r="X92" i="92"/>
  <c r="X5" i="92"/>
  <c r="X59" i="92"/>
  <c r="T118" i="92"/>
  <c r="X125" i="92"/>
  <c r="X9" i="92"/>
  <c r="T81" i="92"/>
  <c r="X33" i="92"/>
  <c r="T7" i="92"/>
  <c r="X63" i="92"/>
  <c r="T91" i="92"/>
  <c r="X128" i="92"/>
  <c r="T123" i="92"/>
  <c r="X19" i="92"/>
  <c r="X30" i="92"/>
  <c r="T46" i="92"/>
  <c r="T17" i="92"/>
  <c r="X23" i="92"/>
  <c r="X45" i="92"/>
  <c r="X108" i="92"/>
  <c r="T38" i="92"/>
  <c r="T113" i="92"/>
  <c r="T49" i="92"/>
  <c r="T50" i="92"/>
  <c r="X112" i="92"/>
  <c r="T117" i="92"/>
  <c r="X31" i="92"/>
  <c r="X13" i="92"/>
  <c r="T55" i="92"/>
  <c r="T66" i="92"/>
  <c r="T53" i="92"/>
  <c r="T80" i="92"/>
  <c r="T130" i="92"/>
  <c r="X110" i="92"/>
  <c r="X14" i="92"/>
  <c r="T59" i="92"/>
  <c r="X126" i="92"/>
  <c r="T26" i="92"/>
  <c r="X129" i="92"/>
  <c r="X61" i="92"/>
  <c r="X34" i="92"/>
  <c r="T48" i="92"/>
  <c r="X57" i="92"/>
  <c r="X93" i="92"/>
  <c r="T8" i="92"/>
  <c r="X82" i="92"/>
  <c r="T78" i="92"/>
  <c r="X21" i="92"/>
  <c r="T71" i="92"/>
  <c r="T21" i="92"/>
  <c r="X115" i="92"/>
  <c r="T108" i="92"/>
  <c r="X8" i="92"/>
  <c r="T6" i="92"/>
  <c r="T86" i="92"/>
  <c r="T131" i="92"/>
  <c r="X84" i="92"/>
  <c r="T79" i="92"/>
  <c r="T23" i="92"/>
  <c r="X116" i="92"/>
  <c r="T15" i="92"/>
  <c r="X94" i="92"/>
  <c r="X77" i="92"/>
  <c r="X71" i="92"/>
  <c r="T104" i="92"/>
  <c r="X15" i="92"/>
  <c r="T111" i="92"/>
  <c r="X130" i="92"/>
  <c r="X96" i="92"/>
  <c r="T74" i="92"/>
  <c r="T103" i="92"/>
  <c r="X87" i="92"/>
  <c r="T33" i="92"/>
  <c r="X38" i="92"/>
  <c r="T51" i="92"/>
  <c r="X74" i="92"/>
  <c r="T36" i="92"/>
  <c r="X80" i="92"/>
  <c r="T94" i="92"/>
  <c r="T56" i="92"/>
  <c r="X28" i="92"/>
  <c r="X52" i="92"/>
  <c r="X105" i="92"/>
  <c r="T30" i="92"/>
  <c r="T24" i="92"/>
  <c r="X86" i="92"/>
  <c r="T107" i="92"/>
  <c r="X47" i="92"/>
  <c r="T93" i="92"/>
  <c r="T77" i="92"/>
  <c r="X6" i="92"/>
  <c r="T5" i="92"/>
  <c r="T105" i="92"/>
  <c r="T90" i="92"/>
  <c r="X27" i="92"/>
  <c r="T35" i="92"/>
  <c r="X85" i="92"/>
  <c r="T98" i="92"/>
  <c r="T115" i="92"/>
  <c r="X111" i="92"/>
  <c r="X60" i="92"/>
  <c r="X98" i="92"/>
  <c r="T68" i="92"/>
  <c r="T37" i="92"/>
  <c r="X113" i="92"/>
  <c r="T69" i="92"/>
  <c r="X78" i="92"/>
  <c r="X51" i="92"/>
  <c r="T88" i="92"/>
  <c r="X109" i="92"/>
  <c r="T95" i="92"/>
  <c r="X100" i="92"/>
  <c r="X91" i="92"/>
  <c r="X72" i="92"/>
  <c r="T47" i="92"/>
  <c r="X76" i="92"/>
  <c r="X11" i="92"/>
  <c r="X75" i="92"/>
  <c r="X54" i="92"/>
  <c r="X44" i="92"/>
  <c r="T28" i="92"/>
  <c r="X69" i="92"/>
  <c r="X41" i="92"/>
  <c r="X73" i="92"/>
  <c r="T99" i="92"/>
  <c r="X48" i="92"/>
  <c r="T125" i="92"/>
  <c r="T120" i="92"/>
  <c r="X131" i="92"/>
  <c r="X62" i="92"/>
  <c r="T119" i="92"/>
  <c r="T128" i="92"/>
  <c r="X127" i="92"/>
  <c r="X24" i="92"/>
  <c r="X83" i="92"/>
  <c r="T72" i="92"/>
  <c r="X42" i="92"/>
  <c r="X17" i="92"/>
  <c r="T19" i="92"/>
  <c r="X81" i="92"/>
  <c r="X22" i="92"/>
  <c r="X103" i="92"/>
  <c r="T32" i="92"/>
  <c r="X95" i="92"/>
  <c r="X79" i="92"/>
  <c r="X118" i="92"/>
  <c r="T41" i="92"/>
  <c r="X97" i="92"/>
  <c r="T42" i="92"/>
  <c r="T44" i="92"/>
  <c r="P27" i="92"/>
  <c r="B22" i="95"/>
  <c r="C22" i="95" l="1"/>
  <c r="K114" i="92" l="1"/>
  <c r="I114" i="92"/>
  <c r="G114" i="92"/>
  <c r="R114" i="92" l="1"/>
  <c r="C15" i="95"/>
  <c r="L114" i="92"/>
  <c r="H114" i="92"/>
  <c r="Q114" i="92"/>
  <c r="C11" i="95"/>
  <c r="C13" i="95"/>
  <c r="V114" i="92"/>
  <c r="U114" i="92"/>
  <c r="J114" i="92"/>
  <c r="C16" i="95" l="1"/>
  <c r="A21" i="95"/>
  <c r="W114" i="92"/>
  <c r="C14" i="95"/>
  <c r="A20" i="95"/>
  <c r="C12" i="95"/>
  <c r="S114" i="92"/>
  <c r="T114" i="92" l="1"/>
  <c r="X114" i="92"/>
  <c r="B20" i="95"/>
  <c r="B21" i="95"/>
  <c r="C20" i="95" l="1"/>
  <c r="C21" i="9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<sst xmlns="http://schemas.openxmlformats.org/spreadsheetml/2006/main" count="11165" uniqueCount="1434">
  <si>
    <t>Category</t>
  </si>
  <si>
    <t>Unit</t>
  </si>
  <si>
    <t>OriginalBudget</t>
  </si>
  <si>
    <t>RevisedBudget</t>
  </si>
  <si>
    <t>Actual</t>
  </si>
  <si>
    <t>Variance</t>
  </si>
  <si>
    <t>Public safety and justice</t>
  </si>
  <si>
    <t>Public Education System</t>
  </si>
  <si>
    <t>Human Support Services</t>
  </si>
  <si>
    <t>Operations and infrastructure</t>
  </si>
  <si>
    <t>Other</t>
  </si>
  <si>
    <t>Governmental direction and support</t>
  </si>
  <si>
    <t>Business improvement districts transfer</t>
  </si>
  <si>
    <t>Department of Employment Services</t>
  </si>
  <si>
    <t>Human support services</t>
  </si>
  <si>
    <t>D.C. health benefit exchange subsidy</t>
  </si>
  <si>
    <t>Operations and Infrastructure</t>
  </si>
  <si>
    <t>Washington metropolitan area transit authority</t>
  </si>
  <si>
    <t>Repayment of loans and interest</t>
  </si>
  <si>
    <t>Government direction and support</t>
  </si>
  <si>
    <t>Commission on the arts and humanities</t>
  </si>
  <si>
    <t>Department of housing and community development</t>
  </si>
  <si>
    <t>Department of small and local business development</t>
  </si>
  <si>
    <t>Housing authority subsidy</t>
  </si>
  <si>
    <t>Housing production trust fund subsidy</t>
  </si>
  <si>
    <t>Office of cable television, film, music and entertainment</t>
  </si>
  <si>
    <t>Office of planning</t>
  </si>
  <si>
    <t>Office of the deputy mayor for planning and economic development</t>
  </si>
  <si>
    <t>Office of the tenant advocate</t>
  </si>
  <si>
    <t>Office of zoning</t>
  </si>
  <si>
    <t>Real property tax appeals commission</t>
  </si>
  <si>
    <t>Rental housing commission</t>
  </si>
  <si>
    <t>Commission on judicial disabilities and tenure</t>
  </si>
  <si>
    <t>Corrections information council</t>
  </si>
  <si>
    <t>Criminal code reform commission</t>
  </si>
  <si>
    <t>Criminal justice coordinating council</t>
  </si>
  <si>
    <t>Department of corrections</t>
  </si>
  <si>
    <t>Department of forensic sciences</t>
  </si>
  <si>
    <t>Department of youth rehabilitation services</t>
  </si>
  <si>
    <t>Distnct of Columbia national guard</t>
  </si>
  <si>
    <t>District of Columbia sentencing commission</t>
  </si>
  <si>
    <t>Fire and emergency medical services department</t>
  </si>
  <si>
    <t>Homeland security and emergency management agency</t>
  </si>
  <si>
    <t>Judicial nomination commission</t>
  </si>
  <si>
    <t>Metropolitan police department</t>
  </si>
  <si>
    <t>Office of administrative heanngs</t>
  </si>
  <si>
    <t>Office of human rights</t>
  </si>
  <si>
    <t>Office of neighborhood safety and engagement</t>
  </si>
  <si>
    <t>Office of police complaints</t>
  </si>
  <si>
    <t>Office on returning citizen affairs</t>
  </si>
  <si>
    <t>Office of the chief medical examiner</t>
  </si>
  <si>
    <t>Office of the deputy mayor for public safety and justice</t>
  </si>
  <si>
    <t>Office of unified communications</t>
  </si>
  <si>
    <t>Office of victim services and justice grants</t>
  </si>
  <si>
    <t>Police officers' and fire fighters' retirement system</t>
  </si>
  <si>
    <t>Department of employment services</t>
  </si>
  <si>
    <t>Department of parks and recreation</t>
  </si>
  <si>
    <t>Distnct of Columbia public charter school board</t>
  </si>
  <si>
    <t>District of Columbia public charter schools</t>
  </si>
  <si>
    <t>AY23 public charter school advance appropriations</t>
  </si>
  <si>
    <t>District of Columbia public schools</t>
  </si>
  <si>
    <t>AY23 public school advance appropnations</t>
  </si>
  <si>
    <t>District of Columbia public library</t>
  </si>
  <si>
    <t>District of Columbia state athletics commission</t>
  </si>
  <si>
    <t>Non-public tuition</t>
  </si>
  <si>
    <t>Office of the deputy mayor for education</t>
  </si>
  <si>
    <t>Office of the state supenntendent of education</t>
  </si>
  <si>
    <t>Special education commission</t>
  </si>
  <si>
    <t>State board of education</t>
  </si>
  <si>
    <t>Teachers' retirement system</t>
  </si>
  <si>
    <t>Unemployment compensation fund</t>
  </si>
  <si>
    <t>University of the Distnct of Columbia subsidy account</t>
  </si>
  <si>
    <t>Alcoholic beverage regulation administration</t>
  </si>
  <si>
    <t>Department of consumer and regulatory affairs</t>
  </si>
  <si>
    <t>Department of energy and environment</t>
  </si>
  <si>
    <t>Department of for-hire vehicles</t>
  </si>
  <si>
    <t>Department of insurance, securities and banking</t>
  </si>
  <si>
    <t>Department of motor vehicles</t>
  </si>
  <si>
    <t>Department of public works</t>
  </si>
  <si>
    <t>District department of transportation</t>
  </si>
  <si>
    <t>Office of the deputy mayor for operations and Infrastructure</t>
  </si>
  <si>
    <t>Office of the people's counsel</t>
  </si>
  <si>
    <t>Public service commission</t>
  </si>
  <si>
    <t>Commercial paper program</t>
  </si>
  <si>
    <t>Settlements and judgments fund</t>
  </si>
  <si>
    <t>Wilson building</t>
  </si>
  <si>
    <t>D.C. retiree health contribution</t>
  </si>
  <si>
    <t>Repayment of revenue bonds</t>
  </si>
  <si>
    <t>Convention center transfer</t>
  </si>
  <si>
    <t>Highway transportation fund</t>
  </si>
  <si>
    <t>Emergency planning and security fund</t>
  </si>
  <si>
    <t>Workforce investments</t>
  </si>
  <si>
    <t>Emergency and contingency reserve funds</t>
  </si>
  <si>
    <t>Pay-as-you-go capital fund</t>
  </si>
  <si>
    <t>Unemployment insurance trust and transfer</t>
  </si>
  <si>
    <t>Non-departmental</t>
  </si>
  <si>
    <t>Council of the District of Columbia</t>
  </si>
  <si>
    <t>Governmental  direction and support</t>
  </si>
  <si>
    <t>Office of the District of Columbia auditor</t>
  </si>
  <si>
    <t>Statehood initiatives</t>
  </si>
  <si>
    <t>Office of advisory neighborhood commissions</t>
  </si>
  <si>
    <t>Executive office of the mayor</t>
  </si>
  <si>
    <t>Mayor's office of legal counsel</t>
  </si>
  <si>
    <t>Office of the senior advisor</t>
  </si>
  <si>
    <t>Office of the secretary</t>
  </si>
  <si>
    <t>Office of the inspector general</t>
  </si>
  <si>
    <t>Captive insurance agency</t>
  </si>
  <si>
    <t>Office of the city administrator</t>
  </si>
  <si>
    <t>D.C. department of human resources</t>
  </si>
  <si>
    <t>Office of finance and resource management</t>
  </si>
  <si>
    <t>Department of general services</t>
  </si>
  <si>
    <t>Office of contracting and procurement</t>
  </si>
  <si>
    <t>Contract appeals board</t>
  </si>
  <si>
    <t>Office of the chief financial officer</t>
  </si>
  <si>
    <t>Office of the attorney general for the District of Columbia</t>
  </si>
  <si>
    <t>Office of risk management</t>
  </si>
  <si>
    <t>Office of disability rights</t>
  </si>
  <si>
    <t>Uniform law commission</t>
  </si>
  <si>
    <t>Office of the chief technology officer</t>
  </si>
  <si>
    <t>Board of elections</t>
  </si>
  <si>
    <t>Office of campaign finance</t>
  </si>
  <si>
    <t>Office on asian and pacific islander affairs</t>
  </si>
  <si>
    <t>Employees' compensation fund</t>
  </si>
  <si>
    <t>Office on latino affairs</t>
  </si>
  <si>
    <t>Office of veterans' affairs</t>
  </si>
  <si>
    <t>Public employee relations board</t>
  </si>
  <si>
    <t>Office of employee appeals</t>
  </si>
  <si>
    <t>Metropolitan washington council of governments</t>
  </si>
  <si>
    <t>Board of ethics and government accountability</t>
  </si>
  <si>
    <t>Economic development and regulation</t>
  </si>
  <si>
    <t>D.C. commission on the arts and humanities</t>
  </si>
  <si>
    <t>Fire and emergency medical services</t>
  </si>
  <si>
    <t>Police officers' and firefighters' retirement system</t>
  </si>
  <si>
    <t>Office of administrative hearings</t>
  </si>
  <si>
    <t>District of Columbia national guard</t>
  </si>
  <si>
    <t>Office of returning citizen affairs</t>
  </si>
  <si>
    <t>Public education system</t>
  </si>
  <si>
    <t>AY22 public school advance appropriations</t>
  </si>
  <si>
    <t>AY22 public charter school advance appropriations</t>
  </si>
  <si>
    <t>Teachers' retirement fund</t>
  </si>
  <si>
    <t>University of the District of Columbia subsidy</t>
  </si>
  <si>
    <t>Office of the state superintendent of education</t>
  </si>
  <si>
    <t>District of Columbia public charter school board</t>
  </si>
  <si>
    <t>Special education transportation</t>
  </si>
  <si>
    <t>Department of human services</t>
  </si>
  <si>
    <t>Department of health</t>
  </si>
  <si>
    <t>Department of aging and community living</t>
  </si>
  <si>
    <t>Child and family services agency</t>
  </si>
  <si>
    <t>Department of behavioral health</t>
  </si>
  <si>
    <t>Department on disability services</t>
  </si>
  <si>
    <t>Department of health care finance</t>
  </si>
  <si>
    <t>Office of the deputy mayor for health and human services</t>
  </si>
  <si>
    <t>Not-for-profit hospital corporation subsidy</t>
  </si>
  <si>
    <t>Medicaid reserve</t>
  </si>
  <si>
    <t>Deputy mayor for operations and infrastructure</t>
  </si>
  <si>
    <t>Department of transportation</t>
  </si>
  <si>
    <t>Washington metro area transit commission</t>
  </si>
  <si>
    <t>Mass transit subsidies</t>
  </si>
  <si>
    <t>Debt service - issuance costs</t>
  </si>
  <si>
    <t>Inaugural expenses</t>
  </si>
  <si>
    <t>Office of the D.C. auditor</t>
  </si>
  <si>
    <t>Statehood initiative agency</t>
  </si>
  <si>
    <t>Advisory neighborhood commissions</t>
  </si>
  <si>
    <t>Office of the mayor</t>
  </si>
  <si>
    <t>City administrator</t>
  </si>
  <si>
    <t>D.C. board of ethics and government accountability</t>
  </si>
  <si>
    <t>Expenditure commission</t>
  </si>
  <si>
    <t>Deputy mayor for planning and economic development</t>
  </si>
  <si>
    <t>Commission on arts and humanities</t>
  </si>
  <si>
    <t>D.C. national guard</t>
  </si>
  <si>
    <t>D.C. sentencing and criminal code revision commission</t>
  </si>
  <si>
    <t>Neighborhood safety and engagement</t>
  </si>
  <si>
    <t>AY21 public school advance appropriations</t>
  </si>
  <si>
    <t>Public charter schools</t>
  </si>
  <si>
    <t>AY21 public charter school advance appropriations</t>
  </si>
  <si>
    <t>D.C. state athletics commission</t>
  </si>
  <si>
    <t>D.C. state board of education</t>
  </si>
  <si>
    <t>D.C. public library</t>
  </si>
  <si>
    <t>D.C. public charter school board</t>
  </si>
  <si>
    <t>Section 103 - public education system</t>
  </si>
  <si>
    <t>Office of veterans affairs</t>
  </si>
  <si>
    <t>Deputy mayor for health and human services</t>
  </si>
  <si>
    <t>Public works</t>
  </si>
  <si>
    <t>Deputy mayor operations and infrastructure</t>
  </si>
  <si>
    <t>Office of finance &amp; resource management</t>
  </si>
  <si>
    <t>Deputy mayor for greater economic opportunity</t>
  </si>
  <si>
    <t>Section 103 judgments - governmental direction and support</t>
  </si>
  <si>
    <t>Deputy mayor for planning &amp; economic development</t>
  </si>
  <si>
    <t>Office of film, television and entertainment</t>
  </si>
  <si>
    <t>Department of consumer &amp; regulatory affairs</t>
  </si>
  <si>
    <t>Commission on arts &amp; humanities</t>
  </si>
  <si>
    <t>Office of people's counsel</t>
  </si>
  <si>
    <t>Section 103 - economic development &amp; regulation</t>
  </si>
  <si>
    <t>Police officers' &amp; firefighters' retirement system</t>
  </si>
  <si>
    <t>Office of justice grant administration</t>
  </si>
  <si>
    <t>AY20 public school advance appropriations</t>
  </si>
  <si>
    <t>AY20 public charter school advance appropriations</t>
  </si>
  <si>
    <t>D.C. office on aging</t>
  </si>
  <si>
    <t>D.C. retiree health contlibution</t>
  </si>
  <si>
    <t>Workforce investment council</t>
  </si>
  <si>
    <t>Operating lease-equipment</t>
  </si>
  <si>
    <t>D.C.board of ethics and accountability</t>
  </si>
  <si>
    <t>Section 103 judgments</t>
  </si>
  <si>
    <t>AY19 public school advance appropriations</t>
  </si>
  <si>
    <t>AY19 public charter school advance appropriations</t>
  </si>
  <si>
    <t>Section 103 - human support services</t>
  </si>
  <si>
    <t>Taxi cab commission</t>
  </si>
  <si>
    <t>D.C. department of the  environment</t>
  </si>
  <si>
    <t>Section 103 - public works</t>
  </si>
  <si>
    <t>Council of the District of Cciumbia</t>
  </si>
  <si>
    <t>Office of senior advisor</t>
  </si>
  <si>
    <t>D. C. department of human resources</t>
  </si>
  <si>
    <t>D.C. board of ethics and accountability</t>
  </si>
  <si>
    <t>Homeland security and emergency  management agency</t>
  </si>
  <si>
    <t>Section 103 judgments - public safety and justice</t>
  </si>
  <si>
    <t>Dstrict of Columbia public schools</t>
  </si>
  <si>
    <t>AY18 public school advance appropriations</t>
  </si>
  <si>
    <t>AY18 public charter school advance appropriations</t>
  </si>
  <si>
    <t>Section 103 -public education system</t>
  </si>
  <si>
    <t>Children investment trust</t>
  </si>
  <si>
    <t>Not-for.profit hospital corporation subsidy</t>
  </si>
  <si>
    <t>D.C. department of the environment</t>
  </si>
  <si>
    <t>Interest expense on short-term borrowing</t>
  </si>
  <si>
    <t>Schools modernization fund</t>
  </si>
  <si>
    <t>Office of the D.C  auditor</t>
  </si>
  <si>
    <t>Statehood Initiative Agency</t>
  </si>
  <si>
    <t>DC.  department of human resources</t>
  </si>
  <si>
    <t>Metropolitan wash council of governments</t>
  </si>
  <si>
    <t>D.C. Board of ethics and accountability</t>
  </si>
  <si>
    <t>Economic development and regulation:</t>
  </si>
  <si>
    <t>Dept. of housing and community development</t>
  </si>
  <si>
    <t>Dept  of consumer &amp; regulator,  affairs</t>
  </si>
  <si>
    <t>Office of the deputy mayor for public safety and Justice</t>
  </si>
  <si>
    <t>AY17 public school advance appropriations</t>
  </si>
  <si>
    <t>AY17  public charter school advance appropriations</t>
  </si>
  <si>
    <t>D.C  state board of education</t>
  </si>
  <si>
    <t>DC   health benefit exchange subsidy</t>
  </si>
  <si>
    <t>Not for profit hospital corporation subsidy</t>
  </si>
  <si>
    <t>Settlements and Judgments fund</t>
  </si>
  <si>
    <t>Pay-as.you-go capital fund</t>
  </si>
  <si>
    <t>Office of the Inspector general</t>
  </si>
  <si>
    <t>City Admlnistrator</t>
  </si>
  <si>
    <t>D.C.department of human resources</t>
  </si>
  <si>
    <t>Office of finance &amp; resource market</t>
  </si>
  <si>
    <t>Office of the Chief Financial Officer</t>
  </si>
  <si>
    <t>Office of the attorney general for the district of columbia</t>
  </si>
  <si>
    <t>Officeof disability rights</t>
  </si>
  <si>
    <t>Officeof the Chief technology officer</t>
  </si>
  <si>
    <t>Office of Campaign Finance</t>
  </si>
  <si>
    <t>Metropolitan Wash council of governments</t>
  </si>
  <si>
    <t>DC Board of ethics and accountability</t>
  </si>
  <si>
    <t>Economic development ond regulation</t>
  </si>
  <si>
    <t>Dept.of consumer &amp; regulatory affairs</t>
  </si>
  <si>
    <t>Public service commissiou</t>
  </si>
  <si>
    <t>Dept. of  securities and banking</t>
  </si>
  <si>
    <t>Public Safety and justice</t>
  </si>
  <si>
    <t>DC National guard</t>
  </si>
  <si>
    <t>Homeland secuirty and emergency management agency</t>
  </si>
  <si>
    <t>Commission on judicial disbalilities and tenure</t>
  </si>
  <si>
    <t>DC sentencing and criminal code revision commission</t>
  </si>
  <si>
    <t>Public charter school</t>
  </si>
  <si>
    <t>AY16 public charter school advance apprpriations</t>
  </si>
  <si>
    <t>Teachers retirement fund</t>
  </si>
  <si>
    <t>DC state board of education</t>
  </si>
  <si>
    <t>DC public library</t>
  </si>
  <si>
    <t>DC public charter school board</t>
  </si>
  <si>
    <t>NON - public tuition</t>
  </si>
  <si>
    <t>Office of the deputy  for eduation</t>
  </si>
  <si>
    <t>DC office of aging</t>
  </si>
  <si>
    <t>Employees compensation fund</t>
  </si>
  <si>
    <t>Office of latino affairs</t>
  </si>
  <si>
    <t>DC health benefit exchange subsidy</t>
  </si>
  <si>
    <t>Offcie of asian and pacific islander affairs</t>
  </si>
  <si>
    <t>Offie of veterans affairs</t>
  </si>
  <si>
    <t>Washington metro area tansit commission</t>
  </si>
  <si>
    <t>DC department of the enviroment</t>
  </si>
  <si>
    <t>Debt services-issuance costs</t>
  </si>
  <si>
    <t>Interest expense on short term borrowing</t>
  </si>
  <si>
    <t>Settlements and judgements fund</t>
  </si>
  <si>
    <t>Sectin 103- financing and othe funds</t>
  </si>
  <si>
    <t>Certificates of participation</t>
  </si>
  <si>
    <t>TIF and PILOT transfer</t>
  </si>
  <si>
    <t>Emergency and contigency reserve funds</t>
  </si>
  <si>
    <t>The innovation fund</t>
  </si>
  <si>
    <t>Office of finance &amp; resource mgmt</t>
  </si>
  <si>
    <t>Section 103</t>
  </si>
  <si>
    <t>Economic development ond regulation:</t>
  </si>
  <si>
    <t>Office of tenant advocate</t>
  </si>
  <si>
    <t>Insurance regulations</t>
  </si>
  <si>
    <t>Section 103 judgements</t>
  </si>
  <si>
    <t>Advisory commission on sentencing</t>
  </si>
  <si>
    <t>AY15 public charter school advance appropriations</t>
  </si>
  <si>
    <t>Office of the deputy mayor for eduation</t>
  </si>
  <si>
    <t>Department of youth and rehabilitation services</t>
  </si>
  <si>
    <t>Bond fiscal charges paid from bond proceeds</t>
  </si>
  <si>
    <t>Repayment Interest on short term borrowing</t>
  </si>
  <si>
    <t>Convention center transfer dedicated taxes</t>
  </si>
  <si>
    <t>Highway trust fund transfer</t>
  </si>
  <si>
    <t>DC retirement board</t>
  </si>
  <si>
    <t>Housing finance agency</t>
  </si>
  <si>
    <t>Office of the d.c. auditor</t>
  </si>
  <si>
    <t>Advisory  neighborhood  commissions</t>
  </si>
  <si>
    <t>Medical  liability  captive</t>
  </si>
  <si>
    <t>City administrator   deputy  mayor</t>
  </si>
  <si>
    <t>Department  of general  services</t>
  </si>
  <si>
    <t>Office of contracting &amp; procurement</t>
  </si>
  <si>
    <t>Contract  appeals  board</t>
  </si>
  <si>
    <t>Office of the attorney  general</t>
  </si>
  <si>
    <t>Office of disability  rights</t>
  </si>
  <si>
    <t>Office of chief technology  officer</t>
  </si>
  <si>
    <t>Board of elections and ethics</t>
  </si>
  <si>
    <t>Public  employee  relations  board</t>
  </si>
  <si>
    <t>Metropolitan  wash council of governments</t>
  </si>
  <si>
    <t>Tax revision commission</t>
  </si>
  <si>
    <t>District of Columbia Office of Open Government</t>
  </si>
  <si>
    <t>Business services and economic development</t>
  </si>
  <si>
    <t>Office of local business development</t>
  </si>
  <si>
    <t>Office of municipal  planning</t>
  </si>
  <si>
    <t>Dept of housing and community  development</t>
  </si>
  <si>
    <t>Department  of employment services</t>
  </si>
  <si>
    <t>Board of real property  assess &amp; appeals</t>
  </si>
  <si>
    <t>Dept of consumer and regulatory affairs</t>
  </si>
  <si>
    <t>Alcoholic beverage  regulation administration</t>
  </si>
  <si>
    <t>Housing  authority  subsidy</t>
  </si>
  <si>
    <t>Insurance  regulation</t>
  </si>
  <si>
    <t>Public Safety and Justice</t>
  </si>
  <si>
    <t>Metropolitan  police department</t>
  </si>
  <si>
    <t>Fire and emergency  medical services</t>
  </si>
  <si>
    <t>Police and firefighter  retirement system</t>
  </si>
  <si>
    <t>Office  of administrative hearings</t>
  </si>
  <si>
    <t>Criminal  justice  coordinating  council</t>
  </si>
  <si>
    <t>Chief medical officer</t>
  </si>
  <si>
    <t>DC national  guard</t>
  </si>
  <si>
    <t>Emergency  management  agency</t>
  </si>
  <si>
    <t>Commission  on judicial disabilities  and tenure</t>
  </si>
  <si>
    <t>Judicial  nomination  commission</t>
  </si>
  <si>
    <t>Citizen  complaint review board</t>
  </si>
  <si>
    <t>Office of unified oomrnunications</t>
  </si>
  <si>
    <t>Section  I03 judgments</t>
  </si>
  <si>
    <t>Advisory  commission  on sentencing</t>
  </si>
  <si>
    <t>Office of deputy  mayor for  public safety and justice                 11,144</t>
  </si>
  <si>
    <t>Dept of forensic sciences</t>
  </si>
  <si>
    <t>AY14 public charter school advance appropriations</t>
  </si>
  <si>
    <t>Not-for.profit hospital  corp</t>
  </si>
  <si>
    <t>Presidential  inauguration</t>
  </si>
  <si>
    <t>Emergency  planning and  security  costs</t>
  </si>
  <si>
    <t>Workforce  investments</t>
  </si>
  <si>
    <t>Governmental direction support</t>
  </si>
  <si>
    <t>Section  103</t>
  </si>
  <si>
    <t>Business  improvement  districts  transfer</t>
  </si>
  <si>
    <t>Fire and emergency  medical  services</t>
  </si>
  <si>
    <t>Police and firefighter  retirement  system</t>
  </si>
  <si>
    <t>Criminal  justice coordinating  council</t>
  </si>
  <si>
    <t>Chief  medical officer</t>
  </si>
  <si>
    <t>Forensic health &amp; science lab</t>
  </si>
  <si>
    <t>DC national guard</t>
  </si>
  <si>
    <t>Commission on judicial  disabilities  and  tenure</t>
  </si>
  <si>
    <t>Citizen complaint  review  board</t>
  </si>
  <si>
    <t>Office of victim services</t>
  </si>
  <si>
    <t>AYI3 public school advance appropriations</t>
  </si>
  <si>
    <t>AYl3 public charter school advance appropriations</t>
  </si>
  <si>
    <t>Not-for-profit  hospital  corp</t>
  </si>
  <si>
    <t>Pay-go capital</t>
  </si>
  <si>
    <t>Office  of  the  dc  auditor</t>
  </si>
  <si>
    <t>Advisory   neighborhood    commissions</t>
  </si>
  <si>
    <t>Office  of  the  mayor</t>
  </si>
  <si>
    <t>Office  of  the  secretary</t>
  </si>
  <si>
    <t>Office  of  the  inspector  general</t>
  </si>
  <si>
    <t>Medical   liability   captive</t>
  </si>
  <si>
    <t>City  achninistrator  /   deputy  mayor</t>
  </si>
  <si>
    <t>DC  office  of  personnel</t>
  </si>
  <si>
    <t>Office  of  finance  &amp;  resource  mgrnt</t>
  </si>
  <si>
    <t>Department   of  property   management</t>
  </si>
  <si>
    <t>Office  of contracting   &amp;  procurement</t>
  </si>
  <si>
    <t>Contract   appeals   board</t>
  </si>
  <si>
    <t>Office  of  the  chief  financial  officer</t>
  </si>
  <si>
    <t>Office  of  the  attorney   general</t>
  </si>
  <si>
    <t>Office  of  risk  management</t>
  </si>
  <si>
    <t>Office  of  disability  rights</t>
  </si>
  <si>
    <t>Office  of  chief  technology   officer</t>
  </si>
  <si>
    <t>Board  of  elections   and   ethics</t>
  </si>
  <si>
    <t>Office  of  campaign  finance</t>
  </si>
  <si>
    <t>Public   employee   relations   board</t>
  </si>
  <si>
    <t>Office  of  employee  appeals</t>
  </si>
  <si>
    <t>Metropolitan   wash  council   of   governments</t>
  </si>
  <si>
    <t>Municipal   facilities:   non-capital</t>
  </si>
  <si>
    <t>Access   to  justice</t>
  </si>
  <si>
    <t>District  of columbia  office  of  open  government</t>
  </si>
  <si>
    <t>Section   103</t>
  </si>
  <si>
    <t>Office  of  local  business  development</t>
  </si>
  <si>
    <t>Office  of  municipal   planning</t>
  </si>
  <si>
    <t>Office  of  zoning</t>
  </si>
  <si>
    <t>Dept  of  housing  and  community  development</t>
  </si>
  <si>
    <t>Office  of  motion  picture  and   television  development</t>
  </si>
  <si>
    <t>Department of employment   services</t>
  </si>
  <si>
    <t>Board  of  real  property  assess  &amp;  appeals</t>
  </si>
  <si>
    <t>Dept  of  consumer  and  regulatory  affairs</t>
  </si>
  <si>
    <t>Alcoholic   beverage   regulation   achninistration</t>
  </si>
  <si>
    <t>Office  of  cable  tv</t>
  </si>
  <si>
    <t>Commission  on  arts  &amp;  humanities</t>
  </si>
  <si>
    <t>Housing   authority   subsidy</t>
  </si>
  <si>
    <t>Business   improvement   districts   transfer</t>
  </si>
  <si>
    <t>Housing   production   trust   fund   subsidy</t>
  </si>
  <si>
    <t>Insurance   regulation</t>
  </si>
  <si>
    <t>Office of people counsel</t>
  </si>
  <si>
    <t>Metropolitan   police   department</t>
  </si>
  <si>
    <t>Fire  and  emergency   medical  setvices</t>
  </si>
  <si>
    <t>Police   and  firefighter   retirement   system</t>
  </si>
  <si>
    <t>Office  of  administrative  hearings</t>
  </si>
  <si>
    <t>Criminal   justice   coordinating   council</t>
  </si>
  <si>
    <t>Department   of  corrections</t>
  </si>
  <si>
    <t>Chief  medical   officer</t>
  </si>
  <si>
    <t>Forensic   health   &amp;  science   lab</t>
  </si>
  <si>
    <t>DC  national  guard</t>
  </si>
  <si>
    <t>Emergency   manageinent   agency</t>
  </si>
  <si>
    <t>Commission   on  judicial   disabilities   and   tenure</t>
  </si>
  <si>
    <t>Judicial   nomination commission</t>
  </si>
  <si>
    <t>Citizen   complaint   review  board</t>
  </si>
  <si>
    <t>Office  of  unified  cormnunications</t>
  </si>
  <si>
    <t>Motor  vehicle  theft  prevention   commission</t>
  </si>
  <si>
    <t>Office  of  victim  services</t>
  </si>
  <si>
    <t>Office  of  justice  grant  administration</t>
  </si>
  <si>
    <t>Section   103  judgments</t>
  </si>
  <si>
    <t>Office  of  deputy  mayor  for  public  safety  and  justice</t>
  </si>
  <si>
    <t>District  of   columbia   public  schools</t>
  </si>
  <si>
    <t>AY12   public  school  advance   appropriations</t>
  </si>
  <si>
    <t>Public   charter  schools</t>
  </si>
  <si>
    <t>AY12  public  charter  school   advance   appropriations</t>
  </si>
  <si>
    <t>Teacher's   retirement   system</t>
  </si>
  <si>
    <t>University  of   the  district  of   columbia</t>
  </si>
  <si>
    <t>State  education  office</t>
  </si>
  <si>
    <t>DC  public  library</t>
  </si>
  <si>
    <t>Office  of   public   education   facilities  modernization</t>
  </si>
  <si>
    <t>DC   public  charter  school   board</t>
  </si>
  <si>
    <t>Section   103  judgements</t>
  </si>
  <si>
    <t>Special   education   tran</t>
  </si>
  <si>
    <t>Non-public   tuition</t>
  </si>
  <si>
    <t>Human support service</t>
  </si>
  <si>
    <t>Department   of   human   services</t>
  </si>
  <si>
    <t>Department   of  health</t>
  </si>
  <si>
    <t>Department  of   parks  and   recreation</t>
  </si>
  <si>
    <t>DC  office  on  aging</t>
  </si>
  <si>
    <t>Unemployment    compensation    fund</t>
  </si>
  <si>
    <t>Disability   compensation   fund</t>
  </si>
  <si>
    <t>Office  of  human  rights</t>
  </si>
  <si>
    <t>Office  on  latino  affairs</t>
  </si>
  <si>
    <t>Children   investment   trust</t>
  </si>
  <si>
    <t>Child  and  family  services</t>
  </si>
  <si>
    <t>Dept  of  mental  health</t>
  </si>
  <si>
    <t>Asian  and  pacific   islander  affairs</t>
  </si>
  <si>
    <t>Office  of  veteran  affairs</t>
  </si>
  <si>
    <t>Depart  of  youth   rehab  services</t>
  </si>
  <si>
    <t>Department   on   disability   services</t>
  </si>
  <si>
    <t>Department  of  health   care  finace</t>
  </si>
  <si>
    <t>Department   of  public  works</t>
  </si>
  <si>
    <t>Department   of  transportation</t>
  </si>
  <si>
    <t>Department   of motor  vehicles</t>
  </si>
  <si>
    <t>Washington   metro   area   transit   commission</t>
  </si>
  <si>
    <t>Mass  transit   subsidies</t>
  </si>
  <si>
    <t>District  depart.  of  environment</t>
  </si>
  <si>
    <t>Repayment   of  loans  and  interest</t>
  </si>
  <si>
    <t>Bond  fiscal  charge  paid  from  bond  proceeds</t>
  </si>
  <si>
    <t>Repayment   of  interest   on   short-term   borrowing</t>
  </si>
  <si>
    <t>Settlements   and  judgments   fund</t>
  </si>
  <si>
    <t>Wilson  building</t>
  </si>
  <si>
    <t>Schools   modernization   fund</t>
  </si>
  <si>
    <t>District  retiree   health   contribution</t>
  </si>
  <si>
    <t>Repayment   of  revenue   bonds</t>
  </si>
  <si>
    <t>Certificate   of participation</t>
  </si>
  <si>
    <t>Convention center   transfer-dedicated   taxes</t>
  </si>
  <si>
    <t>Highway   trust  fund  transfer</t>
  </si>
  <si>
    <t>Baseball  dedicated   tax  transfer</t>
  </si>
  <si>
    <t>Cash  reserve</t>
  </si>
  <si>
    <t>Equipment   lease  operating</t>
  </si>
  <si>
    <t>Emergency   and  contingency   reserve   funds</t>
  </si>
  <si>
    <t>DC  retirement   board</t>
  </si>
  <si>
    <t>Housing   finance  agency</t>
  </si>
  <si>
    <t>Council  of  the  district  of  columhia</t>
  </si>
  <si>
    <t>Office of the dc auditor</t>
  </si>
  <si>
    <t>Advisory Neighborhood Commissions</t>
  </si>
  <si>
    <t>Medical liability captive</t>
  </si>
  <si>
    <t>City administrator/deputy mayor</t>
  </si>
  <si>
    <t>DC office of personnel</t>
  </si>
  <si>
    <t>Office of finance &amp; resources mgmt</t>
  </si>
  <si>
    <t>Department of Property Management</t>
  </si>
  <si>
    <t>Office of contracting &amp; procurment</t>
  </si>
  <si>
    <t>Contract appeals &amp; board</t>
  </si>
  <si>
    <t>Office of the attorney</t>
  </si>
  <si>
    <t>Office of community affairs</t>
  </si>
  <si>
    <t>Serve  dc</t>
  </si>
  <si>
    <t>Office of partnership and grant services</t>
  </si>
  <si>
    <t>Office of chief technology officer</t>
  </si>
  <si>
    <t>Board  of  elections  and  ethics</t>
  </si>
  <si>
    <t>Not  for  profit  hospital</t>
  </si>
  <si>
    <t>Office  of   local  Business  development</t>
  </si>
  <si>
    <t>Office  of  municipal  planning</t>
  </si>
  <si>
    <t>Office of Zoning</t>
  </si>
  <si>
    <t>Dept  of   housing  and  community  development</t>
  </si>
  <si>
    <t>Office  of  motion  picture  and  television  development</t>
  </si>
  <si>
    <t>Department  of employment  services</t>
  </si>
  <si>
    <t>Alcoholic  beverage  regulation  administration</t>
  </si>
  <si>
    <t>Housing  production  trust and subsidy</t>
  </si>
  <si>
    <t>Office of tennat advocate</t>
  </si>
  <si>
    <t>Office  of  people's  counsel</t>
  </si>
  <si>
    <t>Metropolitan   police  department</t>
  </si>
  <si>
    <t>Police  and    firefighter  retirement  system</t>
  </si>
  <si>
    <t>Department  of  corrections</t>
  </si>
  <si>
    <t>Chief  medical  officer</t>
  </si>
  <si>
    <t>Emergencyent   agency</t>
  </si>
  <si>
    <t>Office  of  unified  communications</t>
  </si>
  <si>
    <t>Motor vehicle theft prevention commission</t>
  </si>
  <si>
    <t>Office Justice grant administrations</t>
  </si>
  <si>
    <t>Section  103  judgments</t>
  </si>
  <si>
    <t>AY 11 public  school  advance  appropriations</t>
  </si>
  <si>
    <t>AY 11  public charter school  advance  appropriations</t>
  </si>
  <si>
    <t>University  of  the  district  of  columbia</t>
  </si>
  <si>
    <t>Department  of  education</t>
  </si>
  <si>
    <t>Department of  human services</t>
  </si>
  <si>
    <t>Department of  health</t>
  </si>
  <si>
    <t>Department of  parks  and  recreation</t>
  </si>
  <si>
    <t>DC  office  on aging</t>
  </si>
  <si>
    <t>Unemployment  compensation  fund</t>
  </si>
  <si>
    <t>Disability  compensation   fund</t>
  </si>
  <si>
    <t>Office  of  human rights</t>
  </si>
  <si>
    <t>Office  on   latino affairs</t>
  </si>
  <si>
    <t>Children investment  trust</t>
  </si>
  <si>
    <t>Child and family  services</t>
  </si>
  <si>
    <t>Asian  and pacific  islander  affairs</t>
  </si>
  <si>
    <t>Department of   youth rehab   services</t>
  </si>
  <si>
    <t>Department  on  disabilily  services</t>
  </si>
  <si>
    <t>Public Works</t>
  </si>
  <si>
    <t>Department  of public   works</t>
  </si>
  <si>
    <t>Department of  transportation</t>
  </si>
  <si>
    <t>Department  of  motor  vehicles</t>
  </si>
  <si>
    <t>Washington  metro  area  transit  commission</t>
  </si>
  <si>
    <t>District  depart of  environment</t>
  </si>
  <si>
    <t>Repayment  of  loans  and  interest</t>
  </si>
  <si>
    <t>Bond  fiscal charge paid from bond proceeds</t>
  </si>
  <si>
    <t>Repayment  of  interest  on  short term borrowing</t>
  </si>
  <si>
    <t>Schools  modernization    fund</t>
  </si>
  <si>
    <t>District  retiree  health contribution</t>
  </si>
  <si>
    <t>Repayment  of  revenue  bonds</t>
  </si>
  <si>
    <t>Certificate of  participation</t>
  </si>
  <si>
    <t>Baseball dedicated  tax   transfer</t>
  </si>
  <si>
    <t>Emergency planning   and  security  cost</t>
  </si>
  <si>
    <t>Cash reserve</t>
  </si>
  <si>
    <t>Equipment  lease operating</t>
  </si>
  <si>
    <t>Emergency   and  contingency  reserve  funds</t>
  </si>
  <si>
    <t>DC retirement  board</t>
  </si>
  <si>
    <t>City Council</t>
  </si>
  <si>
    <t>DC auditor</t>
  </si>
  <si>
    <t>Advisory neighborhood  Commission</t>
  </si>
  <si>
    <t>Mayor</t>
  </si>
  <si>
    <t>Executive secretary</t>
  </si>
  <si>
    <t>Risk management</t>
  </si>
  <si>
    <t>Personnel</t>
  </si>
  <si>
    <t>Finance and resource management</t>
  </si>
  <si>
    <t>Contracts and procurement</t>
  </si>
  <si>
    <t>Chief technology officer</t>
  </si>
  <si>
    <t>Property management</t>
  </si>
  <si>
    <t>Contract  appeals</t>
  </si>
  <si>
    <t>Elections and ethics</t>
  </si>
  <si>
    <t>Campaign  finance</t>
  </si>
  <si>
    <t>Public employee relations</t>
  </si>
  <si>
    <t>Employee appeals</t>
  </si>
  <si>
    <t>Council of governments</t>
  </si>
  <si>
    <t>Office of partnership und grant services</t>
  </si>
  <si>
    <t>Office or community affair</t>
  </si>
  <si>
    <t>Serve DC</t>
  </si>
  <si>
    <t>Office of disability right</t>
  </si>
  <si>
    <t>Inspector general</t>
  </si>
  <si>
    <t>Chief financial officer</t>
  </si>
  <si>
    <t>Local business development</t>
  </si>
  <si>
    <t>Motion picture and television development</t>
  </si>
  <si>
    <t>Oflice of zoning</t>
  </si>
  <si>
    <t>Housing and community development</t>
  </si>
  <si>
    <t>DC sports commission subsidy</t>
  </si>
  <si>
    <t>Real property assessment  and appeals</t>
  </si>
  <si>
    <t>Consumer and regulatory affairs</t>
  </si>
  <si>
    <t>Commission  on art &amp; humanities</t>
  </si>
  <si>
    <t>Public Services  commission</t>
  </si>
  <si>
    <t>Insurance regulation</t>
  </si>
  <si>
    <t>Housing production  trusl  fund subsidy</t>
  </si>
  <si>
    <t>Office of cable TV</t>
  </si>
  <si>
    <t>Police</t>
  </si>
  <si>
    <t>Fire and emergency medical service</t>
  </si>
  <si>
    <t>Police and firefighter retirement contribution</t>
  </si>
  <si>
    <t>Corrections</t>
  </si>
  <si>
    <t>National guard</t>
  </si>
  <si>
    <t>Emergency preparedness</t>
  </si>
  <si>
    <t>Judicial disabilities  and tenure</t>
  </si>
  <si>
    <t>Judicial  nomination</t>
  </si>
  <si>
    <t>Corrections  information council</t>
  </si>
  <si>
    <t>Criminal judicial coordinating council</t>
  </si>
  <si>
    <t>Forensic health and science laboratory</t>
  </si>
  <si>
    <t>Public schools</t>
  </si>
  <si>
    <t>AY I0 public school expenditure</t>
  </si>
  <si>
    <t>Teachers' retirerment contribution</t>
  </si>
  <si>
    <t>State education office</t>
  </si>
  <si>
    <t>AY10  public charter school expenditure</t>
  </si>
  <si>
    <t>Public education facilities modernization</t>
  </si>
  <si>
    <t>University</t>
  </si>
  <si>
    <t>Public library</t>
  </si>
  <si>
    <t>DC public charter school  board</t>
  </si>
  <si>
    <t>Special education  transportation</t>
  </si>
  <si>
    <t>Depart of education</t>
  </si>
  <si>
    <t>Human development</t>
  </si>
  <si>
    <t>Child and family services</t>
  </si>
  <si>
    <t>Child &amp; family services medicaid  write off</t>
  </si>
  <si>
    <t>Dept of mental  health</t>
  </si>
  <si>
    <t>Health</t>
  </si>
  <si>
    <t>Recreation and parks</t>
  </si>
  <si>
    <t>Aging</t>
  </si>
  <si>
    <t>Unemployrment compensation contribution</t>
  </si>
  <si>
    <t>Employee disability compensation</t>
  </si>
  <si>
    <t>Human rights</t>
  </si>
  <si>
    <t>Latino affairs</t>
  </si>
  <si>
    <t>Asian and pacific islander affairs</t>
  </si>
  <si>
    <t>Veterans' affairs</t>
  </si>
  <si>
    <t>Depart of youth rehabilitation services</t>
  </si>
  <si>
    <t>Depart on diasbility Services</t>
  </si>
  <si>
    <t>Department  of health  care finance</t>
  </si>
  <si>
    <t>Department  of transportation</t>
  </si>
  <si>
    <t>Washington metropolitan  area transit commis;;ion</t>
  </si>
  <si>
    <t>Washington metropolitan  area transit authority</t>
  </si>
  <si>
    <t>Department of enviroment</t>
  </si>
  <si>
    <t>School transit subsidy</t>
  </si>
  <si>
    <t>Repay revenue bonds  and interest</t>
  </si>
  <si>
    <t>Repayment  of bonds and interest</t>
  </si>
  <si>
    <t>Bond fiscal charge paid from bond proceeds</t>
  </si>
  <si>
    <t>Interest  on short  term borrowing</t>
  </si>
  <si>
    <t>Emergency planning  and security costs</t>
  </si>
  <si>
    <t>Wilson  Building</t>
  </si>
  <si>
    <t>Account  receivable write off</t>
  </si>
  <si>
    <t>Workforce investment</t>
  </si>
  <si>
    <t>Community health fund transfer</t>
  </si>
  <si>
    <t>Baseball dedicated  tax transfer</t>
  </si>
  <si>
    <t>Pay- go capital</t>
  </si>
  <si>
    <t>District retiree health contribution</t>
  </si>
  <si>
    <t>Non-departmental agency</t>
  </si>
  <si>
    <t>Retirement  board administration</t>
  </si>
  <si>
    <t>Governmental directon and support</t>
  </si>
  <si>
    <t>Advisory neighborhood commission</t>
  </si>
  <si>
    <t>City administator</t>
  </si>
  <si>
    <t>Contract appeals</t>
  </si>
  <si>
    <t>Campaign finance</t>
  </si>
  <si>
    <t>Corporation counsel</t>
  </si>
  <si>
    <t>Section 103 expenditures</t>
  </si>
  <si>
    <t>Employment services</t>
  </si>
  <si>
    <t>Real property assesment and appeals</t>
  </si>
  <si>
    <t>Office of peoples counsel</t>
  </si>
  <si>
    <t>Police and firefighter retirment contribution</t>
  </si>
  <si>
    <t>Emergency prepardness</t>
  </si>
  <si>
    <t>Judicial disabilities and tenure</t>
  </si>
  <si>
    <t>Judicial nominations</t>
  </si>
  <si>
    <t>Citizen complaint review board</t>
  </si>
  <si>
    <t>Office of the Chief medical examiner</t>
  </si>
  <si>
    <t>Office of administrative hearing</t>
  </si>
  <si>
    <t>Criminal justice cooordinating council</t>
  </si>
  <si>
    <t>Section 103 expenses</t>
  </si>
  <si>
    <t>AY09 public school expenditure</t>
  </si>
  <si>
    <t>Public schools medicaid write off</t>
  </si>
  <si>
    <t>Teachers retirment contribution</t>
  </si>
  <si>
    <t>AY09 public charter expenditure</t>
  </si>
  <si>
    <t>Section 103 expnses</t>
  </si>
  <si>
    <t>Special education AY09</t>
  </si>
  <si>
    <t>Arts and humanities</t>
  </si>
  <si>
    <t>Child and family services medicaid write off</t>
  </si>
  <si>
    <t>Dept of mental health</t>
  </si>
  <si>
    <t>Unemployment compensation contribution</t>
  </si>
  <si>
    <t>Employee disbility compensation</t>
  </si>
  <si>
    <t>Asian and pacific islandr affairs</t>
  </si>
  <si>
    <t>Veterns' affairs</t>
  </si>
  <si>
    <t>Dept of youth and rehabilitation services</t>
  </si>
  <si>
    <t>Depart of disability services</t>
  </si>
  <si>
    <t>Taxicab commission</t>
  </si>
  <si>
    <t>Washington metropolitan area transit commission</t>
  </si>
  <si>
    <t>Schools modernization  fund</t>
  </si>
  <si>
    <t>Citywide call center</t>
  </si>
  <si>
    <t>Anacostia waterfront corp</t>
  </si>
  <si>
    <t>AY08 public school expenditure</t>
  </si>
  <si>
    <t>AY08 public charter expenditure</t>
  </si>
  <si>
    <t>Energy</t>
  </si>
  <si>
    <t>Medical reserve</t>
  </si>
  <si>
    <t>Write off mental health receiveable</t>
  </si>
  <si>
    <t>One-time expenditures</t>
  </si>
  <si>
    <t>Storm water</t>
  </si>
  <si>
    <t>National capital revitilization corporation</t>
  </si>
  <si>
    <t>Emergency and disaster</t>
  </si>
  <si>
    <t>AY07 public school expenditure</t>
  </si>
  <si>
    <t>AY07 public charter expenditure</t>
  </si>
  <si>
    <t>District educational investment fund</t>
  </si>
  <si>
    <t>District charter school investment fund</t>
  </si>
  <si>
    <t>AY06 public school expenditure</t>
  </si>
  <si>
    <t>AY06 public charter expenditure</t>
  </si>
  <si>
    <t>Arts and Humanities</t>
  </si>
  <si>
    <t>Contigency reserve baseball</t>
  </si>
  <si>
    <t>Repayments of bonds and interest</t>
  </si>
  <si>
    <t>Certificate of participation</t>
  </si>
  <si>
    <t>DL0</t>
  </si>
  <si>
    <t>AG0</t>
  </si>
  <si>
    <t>RJ0</t>
  </si>
  <si>
    <t>AF0</t>
  </si>
  <si>
    <t>AB0</t>
  </si>
  <si>
    <t>BE0</t>
  </si>
  <si>
    <t>AM0</t>
  </si>
  <si>
    <t>BG0</t>
  </si>
  <si>
    <t>AA0</t>
  </si>
  <si>
    <t>AH0</t>
  </si>
  <si>
    <t>EA0</t>
  </si>
  <si>
    <t>JS0</t>
  </si>
  <si>
    <t>DX0</t>
  </si>
  <si>
    <t>CJ0</t>
  </si>
  <si>
    <t>PO0</t>
  </si>
  <si>
    <t>JR0</t>
  </si>
  <si>
    <t>CH0</t>
  </si>
  <si>
    <t>AS0</t>
  </si>
  <si>
    <t>AK0</t>
  </si>
  <si>
    <t>RK0</t>
  </si>
  <si>
    <t>CB0</t>
  </si>
  <si>
    <t>AT0</t>
  </si>
  <si>
    <t>TO0</t>
  </si>
  <si>
    <t>AE0</t>
  </si>
  <si>
    <t>AC0</t>
  </si>
  <si>
    <t>AD0</t>
  </si>
  <si>
    <t>BA0</t>
  </si>
  <si>
    <t>AI0</t>
  </si>
  <si>
    <t>VA0</t>
  </si>
  <si>
    <t>AP0</t>
  </si>
  <si>
    <t>BZ0</t>
  </si>
  <si>
    <t>CG0</t>
  </si>
  <si>
    <t>AR0</t>
  </si>
  <si>
    <t>PM0</t>
  </si>
  <si>
    <t>AL0</t>
  </si>
  <si>
    <t>ID0</t>
  </si>
  <si>
    <t>DR0</t>
  </si>
  <si>
    <t>BX0</t>
  </si>
  <si>
    <t>DB0</t>
  </si>
  <si>
    <t>EN0</t>
  </si>
  <si>
    <t>HY0</t>
  </si>
  <si>
    <t>HP0</t>
  </si>
  <si>
    <t>CI0</t>
  </si>
  <si>
    <t>BD0</t>
  </si>
  <si>
    <t>EB0</t>
  </si>
  <si>
    <t>BJ0</t>
  </si>
  <si>
    <t>DA0</t>
  </si>
  <si>
    <t>DQ0</t>
  </si>
  <si>
    <t>FI0</t>
  </si>
  <si>
    <t>MA0</t>
  </si>
  <si>
    <t>FJ0</t>
  </si>
  <si>
    <t>FL0</t>
  </si>
  <si>
    <t>FR0</t>
  </si>
  <si>
    <t>JZ0</t>
  </si>
  <si>
    <t>FK0</t>
  </si>
  <si>
    <t>FZ0</t>
  </si>
  <si>
    <t>FB0</t>
  </si>
  <si>
    <t>BN0</t>
  </si>
  <si>
    <t>DV0</t>
  </si>
  <si>
    <t>FA0</t>
  </si>
  <si>
    <t>FS0</t>
  </si>
  <si>
    <t>HM0</t>
  </si>
  <si>
    <t>NS0</t>
  </si>
  <si>
    <t>FH0</t>
  </si>
  <si>
    <t>RC0</t>
  </si>
  <si>
    <t>FX0</t>
  </si>
  <si>
    <t>FQ0</t>
  </si>
  <si>
    <t>UC0</t>
  </si>
  <si>
    <t>FC0</t>
  </si>
  <si>
    <t>FD0</t>
  </si>
  <si>
    <t>CF0</t>
  </si>
  <si>
    <t>HA0</t>
  </si>
  <si>
    <t>GB0</t>
  </si>
  <si>
    <t>GC0</t>
  </si>
  <si>
    <t>GA0</t>
  </si>
  <si>
    <t>CE0</t>
  </si>
  <si>
    <t>DS0</t>
  </si>
  <si>
    <t>GL0</t>
  </si>
  <si>
    <t>GN0</t>
  </si>
  <si>
    <t>GW0</t>
  </si>
  <si>
    <t>GD0</t>
  </si>
  <si>
    <t>GO0</t>
  </si>
  <si>
    <t>GE0</t>
  </si>
  <si>
    <t>GX0</t>
  </si>
  <si>
    <t>BH0</t>
  </si>
  <si>
    <t>GG0</t>
  </si>
  <si>
    <t>RL0</t>
  </si>
  <si>
    <t>BY0</t>
  </si>
  <si>
    <t>RM0</t>
  </si>
  <si>
    <t>HC0</t>
  </si>
  <si>
    <t>HT0</t>
  </si>
  <si>
    <t>JA0</t>
  </si>
  <si>
    <t>JM0</t>
  </si>
  <si>
    <t>HX0</t>
  </si>
  <si>
    <t>HG0</t>
  </si>
  <si>
    <t>RO0</t>
  </si>
  <si>
    <t>LQ0</t>
  </si>
  <si>
    <t>CU0</t>
  </si>
  <si>
    <t>CR0</t>
  </si>
  <si>
    <t>KG0</t>
  </si>
  <si>
    <t>TC0</t>
  </si>
  <si>
    <t>SR0</t>
  </si>
  <si>
    <t>KV0</t>
  </si>
  <si>
    <t>KT0</t>
  </si>
  <si>
    <t>KA0</t>
  </si>
  <si>
    <t>KO0</t>
  </si>
  <si>
    <t>DJ0</t>
  </si>
  <si>
    <t>DH0</t>
  </si>
  <si>
    <t>KE0</t>
  </si>
  <si>
    <t>KC0</t>
  </si>
  <si>
    <t>BV0</t>
  </si>
  <si>
    <t>EZ0</t>
  </si>
  <si>
    <t>RH0</t>
  </si>
  <si>
    <t>EP0</t>
  </si>
  <si>
    <t>KZ0</t>
  </si>
  <si>
    <t>ZZ0</t>
  </si>
  <si>
    <t>DO0</t>
  </si>
  <si>
    <t>PA0</t>
  </si>
  <si>
    <t>ZB0</t>
  </si>
  <si>
    <t>ZC0</t>
  </si>
  <si>
    <t>ZH0</t>
  </si>
  <si>
    <t>UJ0</t>
  </si>
  <si>
    <t>UP0</t>
  </si>
  <si>
    <t>SB0</t>
  </si>
  <si>
    <t>HI0</t>
  </si>
  <si>
    <t>HF0</t>
  </si>
  <si>
    <t>DY0</t>
  </si>
  <si>
    <t>Citywide call center/Customer Service Operation</t>
  </si>
  <si>
    <t>AY0</t>
  </si>
  <si>
    <t>JY0</t>
  </si>
  <si>
    <t>DT0</t>
  </si>
  <si>
    <t>ZA0</t>
  </si>
  <si>
    <t>CP0</t>
  </si>
  <si>
    <t>EL0</t>
  </si>
  <si>
    <t>SM0</t>
  </si>
  <si>
    <t>CS0</t>
  </si>
  <si>
    <t>SW0</t>
  </si>
  <si>
    <t>Code</t>
  </si>
  <si>
    <t>GI0</t>
  </si>
  <si>
    <t>GJ0</t>
  </si>
  <si>
    <t>CQ0</t>
  </si>
  <si>
    <t>EM0</t>
  </si>
  <si>
    <t>FO0</t>
  </si>
  <si>
    <t>HE0</t>
  </si>
  <si>
    <t>Business improvement  districts transfer</t>
  </si>
  <si>
    <t>TZ0</t>
  </si>
  <si>
    <t>Housing production  trust fund subsidy</t>
  </si>
  <si>
    <t>Economic development  and  regulation</t>
  </si>
  <si>
    <t>SV0</t>
  </si>
  <si>
    <t>Emergency  planning and security  costs</t>
  </si>
  <si>
    <t>Housing  finance agency</t>
  </si>
  <si>
    <t>BO0</t>
  </si>
  <si>
    <t>ZX0</t>
  </si>
  <si>
    <t>AJ0</t>
  </si>
  <si>
    <t>FW0</t>
  </si>
  <si>
    <t>FE0</t>
  </si>
  <si>
    <t>GM0</t>
  </si>
  <si>
    <t>RP0</t>
  </si>
  <si>
    <t>RS0</t>
  </si>
  <si>
    <t>BU0</t>
  </si>
  <si>
    <t>Commission on arts &amp; humanaities</t>
  </si>
  <si>
    <t>Public  charter schools</t>
  </si>
  <si>
    <t>Special education tran</t>
  </si>
  <si>
    <t>School transit subsidies</t>
  </si>
  <si>
    <t>SY0</t>
  </si>
  <si>
    <t>Forensic  health  &amp;  science  Iab</t>
  </si>
  <si>
    <t>XJG</t>
  </si>
  <si>
    <t>XJE</t>
  </si>
  <si>
    <t>XJP</t>
  </si>
  <si>
    <t>XRF</t>
  </si>
  <si>
    <t>XCH</t>
  </si>
  <si>
    <t>XPS</t>
  </si>
  <si>
    <t>XSE</t>
  </si>
  <si>
    <t>XMR</t>
  </si>
  <si>
    <t>XEC</t>
  </si>
  <si>
    <t>XJS</t>
  </si>
  <si>
    <t>XJH</t>
  </si>
  <si>
    <t>XJW</t>
  </si>
  <si>
    <t>XIR</t>
  </si>
  <si>
    <t>XIF</t>
  </si>
  <si>
    <t>XCR</t>
  </si>
  <si>
    <t>XNP</t>
  </si>
  <si>
    <t>XMW</t>
  </si>
  <si>
    <t>XAR</t>
  </si>
  <si>
    <t>XPM</t>
  </si>
  <si>
    <t>XMH</t>
  </si>
  <si>
    <t>XOT</t>
  </si>
  <si>
    <t>order</t>
  </si>
  <si>
    <t>Department of human resources</t>
  </si>
  <si>
    <t>Office of labor relations and collective bargaining</t>
  </si>
  <si>
    <t>University of the District of Columbia subsidy account</t>
  </si>
  <si>
    <t>Office of the ombudsperson for children</t>
  </si>
  <si>
    <t>Department of buildings</t>
  </si>
  <si>
    <t>Department of licensing and consumer protection</t>
  </si>
  <si>
    <t>Office of the deputy mayor for operations and infrastructure</t>
  </si>
  <si>
    <t>Settlements and judgments</t>
  </si>
  <si>
    <t>John A. Wilson building fund</t>
  </si>
  <si>
    <t>Highway transportation fund - transfers</t>
  </si>
  <si>
    <t>Workforce investments account</t>
  </si>
  <si>
    <t>Unemployment insurance trust fund transfer</t>
  </si>
  <si>
    <t>Non-departmental account</t>
  </si>
  <si>
    <t>Office of asian and pacific islander affairs</t>
  </si>
  <si>
    <t>Economic develpoment and regulation</t>
  </si>
  <si>
    <t>Distnct of Columbia sentencing commission</t>
  </si>
  <si>
    <t>Distnct of Columbia public charter schools</t>
  </si>
  <si>
    <t>AY24 public charter school advance appropnations</t>
  </si>
  <si>
    <t>Distnct of Columbia public schools</t>
  </si>
  <si>
    <t>AY24 public school advance appropriations</t>
  </si>
  <si>
    <t>Distnct of Columbia public library</t>
  </si>
  <si>
    <t>Distnct of Columbia state athletics commission</t>
  </si>
  <si>
    <t>Office for the deaf, deafblind, and hard of heanng</t>
  </si>
  <si>
    <t>Office of the  ombudsperson for children</t>
  </si>
  <si>
    <t>Office for the deaf, deafblind, and hard of healing</t>
  </si>
  <si>
    <t>Washington metropolitan area transit_x000D__x000D_
commission</t>
  </si>
  <si>
    <t>Debt serviceâ€¢ issuance costs</t>
  </si>
  <si>
    <t>Section 103 judgments - governmental direction and support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t>
  </si>
  <si>
    <t>Police officersÂ· &amp; firefighters' retirement system</t>
  </si>
  <si>
    <t xml:space="preserve">Section 103 - economic devlp and regulation_x000D__x000D_
</t>
  </si>
  <si>
    <t>Police officersÂ· &amp; firefightersÂ·retirement system</t>
  </si>
  <si>
    <t>TeachersÂ· retirement fund</t>
  </si>
  <si>
    <t>Office of the DC Auditor</t>
  </si>
  <si>
    <t>Deputy Mayor for planning&amp; economic development</t>
  </si>
  <si>
    <t>Office of motion picture and television development</t>
  </si>
  <si>
    <t>Office of Peoples Counsel</t>
  </si>
  <si>
    <t>Police officers &amp; firefighters retirment system</t>
  </si>
  <si>
    <t>Department of forensic science</t>
  </si>
  <si>
    <t>Public Education system</t>
  </si>
  <si>
    <t>District of Columbia Public Schools</t>
  </si>
  <si>
    <t>AY16 public school advance appropriations</t>
  </si>
  <si>
    <t>University of the district of columbia subsidy</t>
  </si>
  <si>
    <t>Department of behavioral helath</t>
  </si>
  <si>
    <t>Department of disability services</t>
  </si>
  <si>
    <t>Department of helath care finance</t>
  </si>
  <si>
    <t>Deputy mayor of health and human services</t>
  </si>
  <si>
    <t>DC retiree health contribution</t>
  </si>
  <si>
    <t>Non departmental</t>
  </si>
  <si>
    <t>Real property tax appeals</t>
  </si>
  <si>
    <t>Police  &amp; firefighters retirment system</t>
  </si>
  <si>
    <t>AY15 public school advance appropriations</t>
  </si>
  <si>
    <t>Department of mental Health</t>
  </si>
  <si>
    <t>Department of health care Finance</t>
  </si>
  <si>
    <t>Council of the Ditrict of Columbia</t>
  </si>
  <si>
    <t>Public charter  schools</t>
  </si>
  <si>
    <t>Teacher's  retirement  system</t>
  </si>
  <si>
    <t>University  of the district of columbia</t>
  </si>
  <si>
    <t>DC  public library</t>
  </si>
  <si>
    <t>DC  public charter school  board</t>
  </si>
  <si>
    <t>Special  education  tran</t>
  </si>
  <si>
    <t>Department of education</t>
  </si>
  <si>
    <t>_x000D__x000D_
Department  of human services</t>
  </si>
  <si>
    <t>Department  of  health</t>
  </si>
  <si>
    <t>Department of  parks and recreation</t>
  </si>
  <si>
    <t>DC office on aging</t>
  </si>
  <si>
    <t>Disability  compensation  fund</t>
  </si>
  <si>
    <t>Children  investment  trust</t>
  </si>
  <si>
    <t>Office of veteran affairs</t>
  </si>
  <si>
    <t>Depart of youth rehab services</t>
  </si>
  <si>
    <t>Department  on disability  services</t>
  </si>
  <si>
    <t>District depart. of environment</t>
  </si>
  <si>
    <t>_x000D__x000D_
Repayment of loans and interest</t>
  </si>
  <si>
    <t>Bond fiscal charges  paid from  bond proceeds</t>
  </si>
  <si>
    <t>Repayment of interest on short-term  borrowing</t>
  </si>
  <si>
    <t>Settlements  and judgments  fund</t>
  </si>
  <si>
    <t>Schools  modernization  fund</t>
  </si>
  <si>
    <t>District retiree health  contribution</t>
  </si>
  <si>
    <t>Certificate  of participation</t>
  </si>
  <si>
    <t>Convention  center  transfer-dedicated taxes</t>
  </si>
  <si>
    <t>Operating  lease-equipment</t>
  </si>
  <si>
    <t>Emergency  and contingency  reserve funds</t>
  </si>
  <si>
    <t>Council of the district of columbia</t>
  </si>
  <si>
    <t>City administrator / deputy  mayor</t>
  </si>
  <si>
    <t>Office of the attorney general</t>
  </si>
  <si>
    <t>Office of campaign  finance</t>
  </si>
  <si>
    <t>Metropolitan  wash council  of governments</t>
  </si>
  <si>
    <t>District of columbia office of open government</t>
  </si>
  <si>
    <t>Office of local  business development</t>
  </si>
  <si>
    <t>Office of municipaL planning</t>
  </si>
  <si>
    <t>Board of real property assess &amp; appeals</t>
  </si>
  <si>
    <t>Dept of consumer and regulatory  affairs</t>
  </si>
  <si>
    <t>Housing authority  subsidy</t>
  </si>
  <si>
    <t>Office of  people's counsel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t>
  </si>
  <si>
    <t>Office of deputy  mayor for public safety and justice Â Â Â Â Â Â Â Â Â Â Â Â Â Â Â Â Â </t>
  </si>
  <si>
    <t>District of columbia  public schools</t>
  </si>
  <si>
    <t>Teachers  retirement  system</t>
  </si>
  <si>
    <t>Non-public  tuition</t>
  </si>
  <si>
    <t>Department  of health</t>
  </si>
  <si>
    <t>Office of human  rights</t>
  </si>
  <si>
    <t>Depart of  youth rehab services</t>
  </si>
  <si>
    <t>Deputy  mayor for health and human services</t>
  </si>
  <si>
    <t>Department  of public works</t>
  </si>
  <si>
    <t>Department of motor  vehicles</t>
  </si>
  <si>
    <t>District depart.  of environment</t>
  </si>
  <si>
    <t>Repayment  of interest on short-term  borrowing</t>
  </si>
  <si>
    <t>Settlements and  judgments  fund</t>
  </si>
  <si>
    <t>Convention  center  transfer-dedicated  taxes</t>
  </si>
  <si>
    <t>Highway  trust fund  transfer</t>
  </si>
  <si>
    <t>Baseball  dedicated  tax transfer</t>
  </si>
  <si>
    <t xml:space="preserve">TIF and pilot transfer                                                                  _x000D__x000D_
</t>
  </si>
  <si>
    <t>_x000D__x000D_
Council  of  the  district  of  columbia</t>
  </si>
  <si>
    <t>Business Service and economic development</t>
  </si>
  <si>
    <t>Office  of  tenant  advocate</t>
  </si>
  <si>
    <t>TIF   and  pilot  transfer_x000D__x000D_
Emergency   planning  and   security  costs</t>
  </si>
  <si>
    <t>Pay-go  capital</t>
  </si>
  <si>
    <t>Office of disability</t>
  </si>
  <si>
    <t>Office of employees appeals</t>
  </si>
  <si>
    <t>Office of cable tv</t>
  </si>
  <si>
    <t>lnsurance regulation</t>
  </si>
  <si>
    <t>District of Columbia public school</t>
  </si>
  <si>
    <t>Teachers retirement system</t>
  </si>
  <si>
    <t>Office of Public Education facilities modernization</t>
  </si>
  <si>
    <t>AY11 advance  appropriations</t>
  </si>
  <si>
    <t>Attorney general</t>
  </si>
  <si>
    <t>Alcohol beverage regulation administration</t>
  </si>
  <si>
    <t>Employment Services</t>
  </si>
  <si>
    <t>Public Safetyand Justice</t>
  </si>
  <si>
    <t>Settlements and judgement</t>
  </si>
  <si>
    <t>Council of government</t>
  </si>
  <si>
    <t>Advisory commssion on sentencing</t>
  </si>
  <si>
    <t>Human resources development</t>
  </si>
  <si>
    <t>Department of environment</t>
  </si>
  <si>
    <t>Tax increment financing</t>
  </si>
  <si>
    <t>FY2024</t>
  </si>
  <si>
    <t>Year</t>
  </si>
  <si>
    <t>FY2023</t>
  </si>
  <si>
    <t>FY2022</t>
  </si>
  <si>
    <t>FY2021</t>
  </si>
  <si>
    <t>FY2020</t>
  </si>
  <si>
    <t>FY2019</t>
  </si>
  <si>
    <t>FY2018</t>
  </si>
  <si>
    <t>FY2017</t>
  </si>
  <si>
    <t>FY2016</t>
  </si>
  <si>
    <t>FY2015</t>
  </si>
  <si>
    <t>FY2014</t>
  </si>
  <si>
    <t>FY2013</t>
  </si>
  <si>
    <t>FY2012</t>
  </si>
  <si>
    <t>FY2011</t>
  </si>
  <si>
    <t>FY2010</t>
  </si>
  <si>
    <t>XAA</t>
  </si>
  <si>
    <t>FY2009</t>
  </si>
  <si>
    <t>FY2008</t>
  </si>
  <si>
    <t>XSA</t>
  </si>
  <si>
    <t>FY2007</t>
  </si>
  <si>
    <t>XML</t>
  </si>
  <si>
    <t>FY2006</t>
  </si>
  <si>
    <t>FY2005</t>
  </si>
  <si>
    <t>Pay go contingency</t>
  </si>
  <si>
    <t>XPG</t>
  </si>
  <si>
    <t>BK0</t>
  </si>
  <si>
    <t>year2</t>
  </si>
  <si>
    <t>Office of Cable tv</t>
  </si>
  <si>
    <t>Commission on Arts &amp; Humanities</t>
  </si>
  <si>
    <t>District of columbia public schools</t>
  </si>
  <si>
    <t>Non-departmenial</t>
  </si>
  <si>
    <t>TIF and pilot  transfer</t>
  </si>
  <si>
    <t>XCF</t>
  </si>
  <si>
    <t>TX0</t>
  </si>
  <si>
    <t>Count</t>
  </si>
  <si>
    <t>DiffPercent</t>
  </si>
  <si>
    <t>DiffAmount</t>
  </si>
  <si>
    <t># Over</t>
  </si>
  <si>
    <t>% Over</t>
  </si>
  <si>
    <t># Under</t>
  </si>
  <si>
    <t>% Under</t>
  </si>
  <si>
    <t># Equal</t>
  </si>
  <si>
    <t>% Equal</t>
  </si>
  <si>
    <t>AvgBudAmt</t>
  </si>
  <si>
    <t>AvgActAmt</t>
  </si>
  <si>
    <t>OriginalBudget22</t>
  </si>
  <si>
    <t>OriginalBudget23</t>
  </si>
  <si>
    <t>OriginalBudget24</t>
  </si>
  <si>
    <t>Choose Here:</t>
  </si>
  <si>
    <t>Number of Years Overspent</t>
  </si>
  <si>
    <t>Percent of Years Overspent</t>
  </si>
  <si>
    <t>Number of Years Equal</t>
  </si>
  <si>
    <t>Percent of Years Equal</t>
  </si>
  <si>
    <t>Percent of Years Under Budget</t>
  </si>
  <si>
    <t>Number of Years Under Budget</t>
  </si>
  <si>
    <t>06</t>
  </si>
  <si>
    <t>07</t>
  </si>
  <si>
    <t>08</t>
  </si>
  <si>
    <t>09</t>
  </si>
  <si>
    <t>Title</t>
  </si>
  <si>
    <t>Data Formatted for Creating Chart</t>
  </si>
  <si>
    <t>NA-new</t>
  </si>
  <si>
    <t>AvgDiff%</t>
  </si>
  <si>
    <t>AvgDiff#</t>
  </si>
  <si>
    <t>OverAvgBud</t>
  </si>
  <si>
    <t>OverAvgAct</t>
  </si>
  <si>
    <t>OverAvgDiff#</t>
  </si>
  <si>
    <t>OverAvgDiff%</t>
  </si>
  <si>
    <t>UnderAvgBud</t>
  </si>
  <si>
    <t>UnderAvgAct</t>
  </si>
  <si>
    <t>UnderAvgDiff%</t>
  </si>
  <si>
    <t>UnderAvgDiff#</t>
  </si>
  <si>
    <t>maxyear</t>
  </si>
  <si>
    <t>in overspending years</t>
  </si>
  <si>
    <t>DiffAmount24</t>
  </si>
  <si>
    <t>DiffPercent24</t>
  </si>
  <si>
    <t>DiffAmount23</t>
  </si>
  <si>
    <t>DiffPercent23</t>
  </si>
  <si>
    <t>DiffAmount22</t>
  </si>
  <si>
    <t>DiffPercent22</t>
  </si>
  <si>
    <t>OriginalBudget21</t>
  </si>
  <si>
    <t>DiffAmount21</t>
  </si>
  <si>
    <t>DiffPercent21</t>
  </si>
  <si>
    <t>OriginalBudget20</t>
  </si>
  <si>
    <t>DiffAmount20</t>
  </si>
  <si>
    <t>DiffPercent20</t>
  </si>
  <si>
    <t>OriginalBudget19</t>
  </si>
  <si>
    <t>DiffAmount19</t>
  </si>
  <si>
    <t>DiffPercent19</t>
  </si>
  <si>
    <t>OriginalBudget18</t>
  </si>
  <si>
    <t>DiffAmount18</t>
  </si>
  <si>
    <t>DiffPercent18</t>
  </si>
  <si>
    <t>OriginalBudget17</t>
  </si>
  <si>
    <t>DiffAmount17</t>
  </si>
  <si>
    <t>DiffPercent17</t>
  </si>
  <si>
    <t>OriginalBudget16</t>
  </si>
  <si>
    <t>DiffAmount16</t>
  </si>
  <si>
    <t>DiffPercent16</t>
  </si>
  <si>
    <t>OriginalBudget15</t>
  </si>
  <si>
    <t>DiffAmount15</t>
  </si>
  <si>
    <t>DiffPercent15</t>
  </si>
  <si>
    <t>OriginalBudget14</t>
  </si>
  <si>
    <t>DiffAmount14</t>
  </si>
  <si>
    <t>DiffPercent14</t>
  </si>
  <si>
    <t>OriginalBudget13</t>
  </si>
  <si>
    <t>DiffAmount13</t>
  </si>
  <si>
    <t>DiffPercent13</t>
  </si>
  <si>
    <t>OriginalBudget12</t>
  </si>
  <si>
    <t>DiffAmount12</t>
  </si>
  <si>
    <t>DiffPercent12</t>
  </si>
  <si>
    <t>OriginalBudget11</t>
  </si>
  <si>
    <t>DiffAmount11</t>
  </si>
  <si>
    <t>DiffPercent11</t>
  </si>
  <si>
    <t>OriginalBudget10</t>
  </si>
  <si>
    <t>DiffAmount10</t>
  </si>
  <si>
    <t>DiffPercent10</t>
  </si>
  <si>
    <t>OriginalBudget09</t>
  </si>
  <si>
    <t>DiffAmount09</t>
  </si>
  <si>
    <t>DiffPercent09</t>
  </si>
  <si>
    <t>OriginalBudget08</t>
  </si>
  <si>
    <t>DiffAmount08</t>
  </si>
  <si>
    <t>DiffPercent08</t>
  </si>
  <si>
    <t>OriginalBudget07</t>
  </si>
  <si>
    <t>DiffAmount07</t>
  </si>
  <si>
    <t>DiffPercent07</t>
  </si>
  <si>
    <t>OriginalBudget06</t>
  </si>
  <si>
    <t>DiffAmount06</t>
  </si>
  <si>
    <t>DiffPercent06</t>
  </si>
  <si>
    <t>budget</t>
  </si>
  <si>
    <t>in underspending years</t>
  </si>
  <si>
    <t>CodeRepeatBoth</t>
  </si>
  <si>
    <t>across All Years</t>
  </si>
  <si>
    <t>under/over %</t>
  </si>
  <si>
    <t>under/over #</t>
  </si>
  <si>
    <t>Actual24</t>
  </si>
  <si>
    <t>ZeroBudgetWithSpending</t>
  </si>
  <si>
    <t>Named</t>
  </si>
  <si>
    <t>Value</t>
  </si>
  <si>
    <t>Explanation</t>
  </si>
  <si>
    <t>Used when calculating difference percent (diff / budget), with a zero budget, if there is a non-zero difference</t>
  </si>
  <si>
    <t>ZeroBudgetNoSpending</t>
  </si>
  <si>
    <t>Used when calculating difference percent (diff / budget), with a zero budget and a zero difference</t>
  </si>
  <si>
    <t>NotFound</t>
  </si>
  <si>
    <t>Actual22</t>
  </si>
  <si>
    <t>Actual23</t>
  </si>
  <si>
    <t>Actual21</t>
  </si>
  <si>
    <t>Actual10</t>
  </si>
  <si>
    <t>Actual11</t>
  </si>
  <si>
    <t>Actual12</t>
  </si>
  <si>
    <t>Actual13</t>
  </si>
  <si>
    <t>Actual14</t>
  </si>
  <si>
    <t>Actual15</t>
  </si>
  <si>
    <t>Actual16</t>
  </si>
  <si>
    <t>Actual17</t>
  </si>
  <si>
    <t>Actual20</t>
  </si>
  <si>
    <t>Actual19</t>
  </si>
  <si>
    <t>Actual18</t>
  </si>
  <si>
    <t>Actual09</t>
  </si>
  <si>
    <t>Actual08</t>
  </si>
  <si>
    <t>Actual07</t>
  </si>
  <si>
    <t>Actual06</t>
  </si>
  <si>
    <t>Type</t>
  </si>
  <si>
    <t>agency</t>
  </si>
  <si>
    <t>BudgetIncreasePercent</t>
  </si>
  <si>
    <t>BudgetIncreaseAmount24</t>
  </si>
  <si>
    <t>RevisedBudget24</t>
  </si>
  <si>
    <t>BudgetIncreaseAmount23</t>
  </si>
  <si>
    <t>BudgetIncreasePercent23</t>
  </si>
  <si>
    <t>RevisedBudget23</t>
  </si>
  <si>
    <t>BudgetIncreasePercent10</t>
  </si>
  <si>
    <t>BudgetIncreasePercent11</t>
  </si>
  <si>
    <t>BudgetIncreasePercent12</t>
  </si>
  <si>
    <t>BudgetIncreasePercent13</t>
  </si>
  <si>
    <t>BudgetIncreasePercent14</t>
  </si>
  <si>
    <t>BudgetIncreasePercent15</t>
  </si>
  <si>
    <t>BudgetIncreasePercent16</t>
  </si>
  <si>
    <t>BudgetIncreasePercent17</t>
  </si>
  <si>
    <t>BudgetIncreasePercent18</t>
  </si>
  <si>
    <t>BudgetIncreasePercent19</t>
  </si>
  <si>
    <t>BudgetIncreasePercent20</t>
  </si>
  <si>
    <t>RevisedBudget06</t>
  </si>
  <si>
    <t>BudgetIncreasePercent06</t>
  </si>
  <si>
    <t>BudgetIncreaseAmount06</t>
  </si>
  <si>
    <t>RevisedBudget07</t>
  </si>
  <si>
    <t>BudgetIncreasePercent07</t>
  </si>
  <si>
    <t>BudgetIncreaseAmount07</t>
  </si>
  <si>
    <t>RevisedBudget08</t>
  </si>
  <si>
    <t>BudgetIncreasePercent08</t>
  </si>
  <si>
    <t>BudgetIncreaseAmount08</t>
  </si>
  <si>
    <t>BudgetIncreaseAmount09</t>
  </si>
  <si>
    <t>BudgetIncreasePercent09</t>
  </si>
  <si>
    <t>RevisedBudget09</t>
  </si>
  <si>
    <t>RevisedBudget10</t>
  </si>
  <si>
    <t>BudgetIncreaseAmount10</t>
  </si>
  <si>
    <t>RevisedBudget11</t>
  </si>
  <si>
    <t>BudgetIncreaseAmount11</t>
  </si>
  <si>
    <t>BudgetIncreaseAmount12</t>
  </si>
  <si>
    <t>RevisedBudget12</t>
  </si>
  <si>
    <t>BudgetIncreaseAmount13</t>
  </si>
  <si>
    <t>RevisedBudget13</t>
  </si>
  <si>
    <t>BudgetIncreaseAmount14</t>
  </si>
  <si>
    <t>RevisedBudget14</t>
  </si>
  <si>
    <t>BudgetIncreasePercent24</t>
  </si>
  <si>
    <t>BudgetIncreaseAmount22</t>
  </si>
  <si>
    <t>BudgetIncreasePercent22</t>
  </si>
  <si>
    <t>RevisedBudget22</t>
  </si>
  <si>
    <t>BudgetIncreaseAmount21</t>
  </si>
  <si>
    <t>BudgetIncreasePercent21</t>
  </si>
  <si>
    <t>RevisedBudget21</t>
  </si>
  <si>
    <t>BudgetIncreaseAmount20</t>
  </si>
  <si>
    <t>RevisedBudget20</t>
  </si>
  <si>
    <t>BudgetIncreaseAmount19</t>
  </si>
  <si>
    <t>RevisedBudget19</t>
  </si>
  <si>
    <t>BudgetIncreaseAmount18</t>
  </si>
  <si>
    <t>RevisedBudget18</t>
  </si>
  <si>
    <t>BudgetIncreaseAmount17</t>
  </si>
  <si>
    <t>RevisedBudget17</t>
  </si>
  <si>
    <t>BudgetIncreaseAmount16</t>
  </si>
  <si>
    <t>RevisedBudget16</t>
  </si>
  <si>
    <t>BudgetIncreaseAmount15</t>
  </si>
  <si>
    <t>RevisedBudget15</t>
  </si>
  <si>
    <t>IncreaseYears</t>
  </si>
  <si>
    <t>OSinIncreaseYear%</t>
  </si>
  <si>
    <t>OSinIncreaseYear#</t>
  </si>
  <si>
    <t>Spent by agency</t>
  </si>
  <si>
    <t>Not spent by agency</t>
  </si>
  <si>
    <t>"Overspending"</t>
  </si>
  <si>
    <t>of budget increase years had overspending</t>
  </si>
  <si>
    <t>(Criteria can be changed on "Overspending" tab)</t>
  </si>
  <si>
    <t>Section103</t>
  </si>
  <si>
    <t>NotFoundAllYears</t>
  </si>
  <si>
    <t>Used when a year / code combination is not found in the allFYs data. Columns in SummaryTable depend on this being an NA to properly determine where actual years of ACFR data exist.</t>
  </si>
  <si>
    <t>Used when a year / code combination is not found in the allFYs data, by SummaryTableAllYears, used for viewing by type where additional sums need to happen, so error fields (like the #N/A) can't be used</t>
  </si>
  <si>
    <t>Non-departmental Account</t>
  </si>
  <si>
    <t>Child Wealth fund</t>
  </si>
  <si>
    <t>Unemployment Insurance Trust Fund Transfer</t>
  </si>
  <si>
    <t>Pay-as-you-go Capital Fund</t>
  </si>
  <si>
    <t>Emergency and Contingency Reserve Funds</t>
  </si>
  <si>
    <t>Workforce Investments Account</t>
  </si>
  <si>
    <t>Emergency Planning and Security Fund</t>
  </si>
  <si>
    <t>Highway Transportation Fund - Transfers</t>
  </si>
  <si>
    <t>Convention Center Transfer</t>
  </si>
  <si>
    <t>Repayment of Revenue Bonds</t>
  </si>
  <si>
    <t>District Retiree Health Contribution</t>
  </si>
  <si>
    <t>John A. Wilson Building fund</t>
  </si>
  <si>
    <t>Settlements and Judgments</t>
  </si>
  <si>
    <t>Commercial Paper Program</t>
  </si>
  <si>
    <t>Debt Service - Issuance Costs</t>
  </si>
  <si>
    <t>Repayment of Loans and Interest</t>
  </si>
  <si>
    <t>Washington Metropolitan Area Transit Authority</t>
  </si>
  <si>
    <t>Washington Metropolitan Area Transit Commission</t>
  </si>
  <si>
    <t>Office of the People's Counsel</t>
  </si>
  <si>
    <t>Department of For-hire Vehicles</t>
  </si>
  <si>
    <t>Alcoholic Beverage and Cannabis Administration</t>
  </si>
  <si>
    <t>Office of the Ombudsperson for Children</t>
  </si>
  <si>
    <t>Office of the Deputy Mayor for Health and Human Services</t>
  </si>
  <si>
    <t>Not-for-profit Hospital Corporation Subsidy</t>
  </si>
  <si>
    <t>Department of Health Care Finance</t>
  </si>
  <si>
    <t>DC Health</t>
  </si>
  <si>
    <t>Department of Aging and Community Living</t>
  </si>
  <si>
    <t>D.C. Health Benefit Exchange Subsidy</t>
  </si>
  <si>
    <t>University of the District of Columbia Subsidy Account</t>
  </si>
  <si>
    <t>Unemployment Compensation Fund</t>
  </si>
  <si>
    <t>Teachers' Retirement System</t>
  </si>
  <si>
    <t>State Board of Education</t>
  </si>
  <si>
    <t>Special Education Transportation</t>
  </si>
  <si>
    <t>Office of the Deputy Mayor for Education</t>
  </si>
  <si>
    <t>Non-public Tuition</t>
  </si>
  <si>
    <t>District of Columbia State Athletics Commission</t>
  </si>
  <si>
    <t>AYXX Public School Advance Appropriations</t>
  </si>
  <si>
    <t>AYXX Public Charter School Advance Appropriations</t>
  </si>
  <si>
    <t>District of Columbia Public Charter Schools</t>
  </si>
  <si>
    <t>District of Columbia Public Charter School Board</t>
  </si>
  <si>
    <t>Police Officers' and Fire Fighters' Retirement System</t>
  </si>
  <si>
    <t>Office of Victim Services and Justice Grants</t>
  </si>
  <si>
    <t>Office of the Deputy Mayor for Public Safety and Justice</t>
  </si>
  <si>
    <t>Judicial Nomination Commission</t>
  </si>
  <si>
    <t>District of Columbia Sentencing Commission</t>
  </si>
  <si>
    <t>District of Columbia National Guard</t>
  </si>
  <si>
    <t>Corrections Information Council</t>
  </si>
  <si>
    <t>Commission on Judicial Disabilities and Tenure</t>
  </si>
  <si>
    <t>Section 103 - Economic Development and Regulation</t>
  </si>
  <si>
    <t>Rental Housing Commission</t>
  </si>
  <si>
    <t>Real Property Tax Appeals Commission</t>
  </si>
  <si>
    <t>Office of the Tenant Advocate</t>
  </si>
  <si>
    <t>Board of Elections (BOE)</t>
  </si>
  <si>
    <t>Board of Ethics and Government Accountability (BEGA)</t>
  </si>
  <si>
    <t>Captive Insurance Agency</t>
  </si>
  <si>
    <t>Contract Appeals Board (CAB)</t>
  </si>
  <si>
    <t>Department of Human Resources (DCHR)</t>
  </si>
  <si>
    <t>Department of General Services (DGS)</t>
  </si>
  <si>
    <t>Employees' Compensation Fund</t>
  </si>
  <si>
    <t>Executive Office of the Mayor (EOM)</t>
  </si>
  <si>
    <t>Mayor's Office of Legal Counsel</t>
  </si>
  <si>
    <t>Metropolitan Washington Council of Governments</t>
  </si>
  <si>
    <t>Office for the Deaf, Deafblind, and Hard of Hearing</t>
  </si>
  <si>
    <t>Office of Advisory Neighborhood Commissions (OANC)</t>
  </si>
  <si>
    <t>Office of Contracting and Procurement (OCP)</t>
  </si>
  <si>
    <t>Office of Employee Appeals (OEA)</t>
  </si>
  <si>
    <t>Office of Finance and Resource Management (OFRM)</t>
  </si>
  <si>
    <t>Office of Labor Relations and Collective Bargaining</t>
  </si>
  <si>
    <t>Office of Risk Management (ORM)</t>
  </si>
  <si>
    <t>Office of Disability Rights (ODR)</t>
  </si>
  <si>
    <t>Office of the Attorney General for the District of Columbia (OAG)</t>
  </si>
  <si>
    <t>Office of the Chief Financial Officer (OCFO)</t>
  </si>
  <si>
    <t>Office of the Chief Technology Officer (OCTO)</t>
  </si>
  <si>
    <t>Office of the City Administrator (OCA)</t>
  </si>
  <si>
    <t>Office of the District of Columbia Auditor (ODCA)</t>
  </si>
  <si>
    <t>Office of the Inspector General (OIG)</t>
  </si>
  <si>
    <t>Office of the Secretary</t>
  </si>
  <si>
    <t>Office of the Senior Advisor</t>
  </si>
  <si>
    <t>Office of Veterans' Affairs</t>
  </si>
  <si>
    <t>Office on Asian and Pacific Islander Affairs</t>
  </si>
  <si>
    <t>Office on Latino Affairs</t>
  </si>
  <si>
    <t>Public Employee Relations Board (PERB)</t>
  </si>
  <si>
    <t>Statehood Initiatives</t>
  </si>
  <si>
    <t>Tax Revision Commission</t>
  </si>
  <si>
    <t>Uniform Law Commission</t>
  </si>
  <si>
    <t>Section 103 Judgments - Governmental Direction and Support</t>
  </si>
  <si>
    <t>Business Improvement Districts Transfer</t>
  </si>
  <si>
    <t>Commission on the Arts and Humanities</t>
  </si>
  <si>
    <t>Department of Housing and Community Development (DHCD)</t>
  </si>
  <si>
    <t>Department of Small and Local Business Development (DSLBD)</t>
  </si>
  <si>
    <t>Housing Authority Subsidy</t>
  </si>
  <si>
    <t>Housing Production Trust Fund subsidy</t>
  </si>
  <si>
    <t>Office of Cable Television, Film, Music, and Entertainment</t>
  </si>
  <si>
    <t>Office of Planning</t>
  </si>
  <si>
    <t>Office of the Deputy Mayor for Planning and Economic Development (DMPED)</t>
  </si>
  <si>
    <t>Criminal Code Reform Commission (CCRC)</t>
  </si>
  <si>
    <t>Criminal Justice Coordinating Council (CJCC)</t>
  </si>
  <si>
    <t>Department of Corrections (DOC)</t>
  </si>
  <si>
    <t>Department of Forensic Sciences (DFS)</t>
  </si>
  <si>
    <t>Department of Youth Rehabilitation Services (DYRS)</t>
  </si>
  <si>
    <t>Fire and Emergency Medical Services Department (FEMS)</t>
  </si>
  <si>
    <t>Homeland Security and Emergency Management Agency (HSEMA)</t>
  </si>
  <si>
    <t>Metropolitan Police Department (MPD)</t>
  </si>
  <si>
    <t>Office of Administrative Hearings (OAH)</t>
  </si>
  <si>
    <t>Office of Human Rights (OHR)</t>
  </si>
  <si>
    <t>Office of Neighborhood Safety and Engagement (ONSE)</t>
  </si>
  <si>
    <t>Office of Police Complaints (OPC)</t>
  </si>
  <si>
    <t>Office on Returning Citizen Affairs (ORCA)</t>
  </si>
  <si>
    <t>Office of the Chief Medical Examiner (OCME)</t>
  </si>
  <si>
    <t>Office of Unified Communications (OUC)</t>
  </si>
  <si>
    <t>Section 103 Judgments - Public Safety and Justice</t>
  </si>
  <si>
    <t>Department of Employment Services (DOES)</t>
  </si>
  <si>
    <t>Department of Parks and Recreation (DPR)</t>
  </si>
  <si>
    <t>District of Columbia Public Schools (DCPS)</t>
  </si>
  <si>
    <t>District of Columbia Public Library (DCPL)</t>
  </si>
  <si>
    <t>Office of the State Superintendent of Education (OSSE)</t>
  </si>
  <si>
    <t>Child and Family Services Agency (CFSA)</t>
  </si>
  <si>
    <t>Department of Behavioral Health (DBH)</t>
  </si>
  <si>
    <t>Department of Human Services (DHS)</t>
  </si>
  <si>
    <t>Department on Disability Services (DDS)</t>
  </si>
  <si>
    <t>Department of Buildings (DOB)</t>
  </si>
  <si>
    <t>Department of Licensing and Consumer Protection (DLCP)</t>
  </si>
  <si>
    <t>Department of Energy and Environment (DOEE)</t>
  </si>
  <si>
    <t>Department of Insurance, Securities and Banking (DISB)</t>
  </si>
  <si>
    <t>Department of Motor Vehicles (DMV)</t>
  </si>
  <si>
    <t>Department of Public Works (DPW)</t>
  </si>
  <si>
    <t>District Department of Transportation (DDOT)</t>
  </si>
  <si>
    <t xml:space="preserve">Office of the Deputy Mayor for Operations and Infrastructure </t>
  </si>
  <si>
    <t>Public Service Commission (PSC)</t>
  </si>
  <si>
    <t>OCFO Budget Code</t>
  </si>
  <si>
    <t>Number of Years Reported in ACFR</t>
  </si>
  <si>
    <t>Spending Averages</t>
  </si>
  <si>
    <r>
      <rPr>
        <b/>
        <sz val="11"/>
        <color theme="1"/>
        <rFont val="Calibri"/>
        <family val="2"/>
        <scheme val="minor"/>
      </rPr>
      <t>OriginalBudget</t>
    </r>
    <r>
      <rPr>
        <sz val="11"/>
        <color theme="1"/>
        <rFont val="Calibri"/>
        <family val="2"/>
        <scheme val="minor"/>
      </rPr>
      <t xml:space="preserve"> - Annual budget stated in ACFR Tables D-2</t>
    </r>
  </si>
  <si>
    <r>
      <rPr>
        <b/>
        <sz val="11"/>
        <color theme="1"/>
        <rFont val="Calibri"/>
        <family val="2"/>
        <scheme val="minor"/>
      </rPr>
      <t>Actual</t>
    </r>
    <r>
      <rPr>
        <sz val="11"/>
        <color theme="1"/>
        <rFont val="Calibri"/>
        <family val="2"/>
        <scheme val="minor"/>
      </rPr>
      <t xml:space="preserve"> - Actual spending as stated in ACFR Tables D-2.</t>
    </r>
  </si>
  <si>
    <r>
      <rPr>
        <b/>
        <sz val="11"/>
        <color theme="1"/>
        <rFont val="Calibri"/>
        <family val="2"/>
        <scheme val="minor"/>
      </rPr>
      <t xml:space="preserve">DiffAmount </t>
    </r>
    <r>
      <rPr>
        <sz val="11"/>
        <color theme="1"/>
        <rFont val="Calibri"/>
        <family val="2"/>
        <scheme val="minor"/>
      </rPr>
      <t>- Difference between OriginalBudget and Actual in thousands of dollars.</t>
    </r>
  </si>
  <si>
    <r>
      <rPr>
        <u/>
        <sz val="11"/>
        <color theme="1"/>
        <rFont val="Calibri"/>
        <family val="2"/>
        <scheme val="minor"/>
      </rPr>
      <t>Notes:</t>
    </r>
    <r>
      <rPr>
        <sz val="11"/>
        <color theme="1"/>
        <rFont val="Calibri"/>
        <family val="2"/>
        <scheme val="minor"/>
      </rPr>
      <t xml:space="preserve">  All dollar amounts stated in thousands.</t>
    </r>
  </si>
  <si>
    <t>Fiscal Year</t>
  </si>
  <si>
    <t>(Type in yellow field below to search.)</t>
  </si>
  <si>
    <r>
      <t xml:space="preserve">This </t>
    </r>
    <r>
      <rPr>
        <b/>
        <sz val="12"/>
        <color theme="1"/>
        <rFont val="Aptos"/>
        <family val="2"/>
      </rPr>
      <t xml:space="preserve">View By Unit </t>
    </r>
    <r>
      <rPr>
        <sz val="12"/>
        <color theme="1"/>
        <rFont val="Aptos"/>
        <family val="2"/>
      </rPr>
      <t>tab is an interactive way to examine trends for one agency or line item across all 20 fiscal years. Type to search in, or select an agency from, the yellow-highlighted dropdown field. Data matching that item will be displayed in list and chart format.</t>
    </r>
  </si>
  <si>
    <t>FY2025</t>
  </si>
  <si>
    <t>Inaugural Expenses</t>
  </si>
  <si>
    <t>AQ0</t>
  </si>
  <si>
    <t>Office of LGBTQ Affairs</t>
  </si>
  <si>
    <t>Alcoholic Beverage Regulation Administration</t>
  </si>
  <si>
    <t>Transfer out</t>
  </si>
  <si>
    <t>25</t>
  </si>
  <si>
    <t>OriginalBudget25</t>
  </si>
  <si>
    <t>BudgetIncreaseAmount</t>
  </si>
  <si>
    <t>BudgetIncreaseAmount25</t>
  </si>
  <si>
    <t>BudgetIncreasePercent25</t>
  </si>
  <si>
    <t>RevisedBudget25</t>
  </si>
  <si>
    <t>Actual25</t>
  </si>
  <si>
    <t>DiffAmount25</t>
  </si>
  <si>
    <t>DiffPercent25</t>
  </si>
  <si>
    <r>
      <rPr>
        <b/>
        <sz val="11"/>
        <color theme="1"/>
        <rFont val="Calibri"/>
        <family val="2"/>
        <scheme val="minor"/>
      </rPr>
      <t xml:space="preserve">BudgetIncreasePercent </t>
    </r>
    <r>
      <rPr>
        <sz val="11"/>
        <color theme="1"/>
        <rFont val="Calibri"/>
        <family val="2"/>
        <scheme val="minor"/>
      </rPr>
      <t>- percent of budget increase over the previous year's budget. (Not calculated for first FY)</t>
    </r>
  </si>
  <si>
    <t>Automatic Finding of Items in Most Recent Year</t>
  </si>
  <si>
    <t>for FY</t>
  </si>
  <si>
    <t>Alphabetical List of Items:</t>
  </si>
  <si>
    <t>This is used by the "View By Unit" tab to generate a list of drop-down/searchable names in yellow field.</t>
  </si>
  <si>
    <t>Housing production trust fund</t>
  </si>
  <si>
    <t>Office of people’s counsel</t>
  </si>
  <si>
    <t>Teachers’ retirement system</t>
  </si>
  <si>
    <t>Police officers’ and fire fighters’ retirement system</t>
  </si>
  <si>
    <t>Office of veterans’ affairs</t>
  </si>
  <si>
    <t>Mayor’s office of legal counsel</t>
  </si>
  <si>
    <t>Employees’ compensation fund</t>
  </si>
  <si>
    <t>AY26 public school advance appropriations</t>
  </si>
  <si>
    <t>AY26 public charter school advance appropriations</t>
  </si>
  <si>
    <t>Name(s) Original per allFYs</t>
  </si>
  <si>
    <t>Office of cable television, film, music, and entertainment</t>
  </si>
  <si>
    <t>Office for the deaf, deafblind, and hard of hearing</t>
  </si>
  <si>
    <t>Order</t>
  </si>
  <si>
    <t>Most Recent Category per allFYs</t>
  </si>
  <si>
    <t>Codes in FY per allFYs, Display Names from NameCoding</t>
  </si>
  <si>
    <t>Unit Display Name</t>
  </si>
  <si>
    <t xml:space="preserve">Column to the right is an automatically sorted list of column D items (found in the most recent year). </t>
  </si>
  <si>
    <t>Notes</t>
  </si>
  <si>
    <t>untyped</t>
  </si>
  <si>
    <t>xother</t>
  </si>
  <si>
    <r>
      <rPr>
        <b/>
        <sz val="11"/>
        <color theme="1"/>
        <rFont val="Calibri"/>
        <family val="2"/>
        <scheme val="minor"/>
      </rPr>
      <t>DiffPercent</t>
    </r>
    <r>
      <rPr>
        <sz val="11"/>
        <color theme="1"/>
        <rFont val="Calibri"/>
        <family val="2"/>
        <scheme val="minor"/>
      </rPr>
      <t xml:space="preserve"> - Difference between OriginalBudget and Actual as a percentage.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</si>
</sst>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
    <numFmt numFmtId="165" formatCode="0.0"/>
    <numFmt numFmtId="166" formatCode="&quot;$&quot;#,##0"/>
  </numFmts>
  <fonts count="16" x14ac:knownFonts="1">
    <font>
      <sz val="11"/>
      <color theme="1"/>
      <name val="Calibri"/>
      <family val="2"/>
      <scheme val="minor"/>
    </font>
    <font>
      <sz val="11"/>
      <name val="Calibri"/>
      <family val="2"/>
      <scheme val="minor"/>
    </font>
    <font>
      <b/>
      <sz val="11"/>
      <color theme="1"/>
      <name val="Calibri"/>
      <family val="2"/>
      <scheme val="minor"/>
    </font>
    <font>
      <sz val="11"/>
      <color rgb="FF000000"/>
      <name val="Calibri"/>
      <family val="2"/>
    </font>
    <font>
      <b/>
      <sz val="11"/>
      <color theme="0"/>
      <name val="Calibri"/>
      <family val="2"/>
      <scheme val="minor"/>
    </font>
    <font>
      <sz val="11"/>
      <color rgb="FFFF0000"/>
      <name val="Calibri"/>
      <family val="2"/>
      <scheme val="minor"/>
    </font>
    <font>
      <sz val="8"/>
      <name val="Calibri"/>
      <family val="2"/>
      <scheme val="minor"/>
    </font>
    <font>
      <b/>
      <sz val="11"/>
      <color rgb="FF000000"/>
      <name val="Calibri"/>
      <family val="2"/>
    </font>
    <font>
      <sz val="11"/>
      <color rgb="FFC00000"/>
      <name val="Calibri"/>
      <family val="2"/>
      <scheme val="minor"/>
    </font>
    <font>
      <u/>
      <sz val="11"/>
      <color theme="1"/>
      <name val="Calibri"/>
      <family val="2"/>
      <scheme val="minor"/>
    </font>
    <font>
      <sz val="11"/>
      <color theme="0"/>
      <name val="Calibri"/>
      <family val="2"/>
      <scheme val="minor"/>
    </font>
    <font>
      <b/>
      <sz val="12"/>
      <color theme="1"/>
      <name val="Calibri"/>
      <family val="2"/>
      <scheme val="minor"/>
    </font>
    <font>
      <sz val="12"/>
      <color theme="1"/>
      <name val="Aptos"/>
      <family val="2"/>
    </font>
    <font>
      <b/>
      <sz val="12"/>
      <color theme="1"/>
      <name val="Aptos"/>
      <family val="2"/>
    </font>
    <font>
      <sz val="12"/>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3" tint="0.89999084444715716"/>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s>
  <cellStyleXfs count="1">
    <xf numFmtId="0" fontId="0" fillId="0" borderId="0"/>
  </cellStyleXfs>
  <cellXfs count="78">
    <xf numFmtId="0" fontId="0" fillId="0" borderId="0" xfId="0"/>
    <xf numFmtId="0" fontId="0" fillId="0" borderId="0" xfId="0" applyAlignment="1">
      <alignment wrapText="1"/>
    </xf>
    <xf numFmtId="3" fontId="0" fillId="0" borderId="0" xfId="0" applyNumberFormat="1"/>
    <xf numFmtId="0" fontId="1" fillId="0" borderId="0" xfId="0" applyFont="1"/>
    <xf numFmtId="0" fontId="0" fillId="3" borderId="0" xfId="0" applyFill="1"/>
    <xf numFmtId="0" fontId="4" fillId="0" borderId="0" xfId="0" applyFont="1"/>
    <xf numFmtId="164" fontId="0" fillId="0" borderId="0" xfId="0" applyNumberFormat="1"/>
    <xf numFmtId="0" fontId="5" fillId="0" borderId="0" xfId="0" applyFont="1"/>
    <xf numFmtId="0" fontId="0" fillId="0" borderId="1" xfId="0" applyBorder="1"/>
    <xf numFmtId="3" fontId="0" fillId="3" borderId="1" xfId="0" applyNumberFormat="1" applyFill="1" applyBorder="1"/>
    <xf numFmtId="0" fontId="2" fillId="0" borderId="1" xfId="0" applyFont="1" applyBorder="1"/>
    <xf numFmtId="9" fontId="0" fillId="0" borderId="0" xfId="0" applyNumberFormat="1"/>
    <xf numFmtId="0" fontId="8" fillId="0" borderId="0" xfId="0" applyFont="1"/>
    <xf numFmtId="0" fontId="0" fillId="0" borderId="0" xfId="0" applyAlignment="1">
      <alignment horizontal="right"/>
    </xf>
    <xf numFmtId="0" fontId="0" fillId="0" borderId="3" xfId="0" applyBorder="1"/>
    <xf numFmtId="0" fontId="0" fillId="3" borderId="4" xfId="0" applyFill="1" applyBorder="1"/>
    <xf numFmtId="0" fontId="0" fillId="3" borderId="2" xfId="0" applyFill="1" applyBorder="1"/>
    <xf numFmtId="9" fontId="0" fillId="3" borderId="1" xfId="0" applyNumberFormat="1" applyFill="1" applyBorder="1"/>
    <xf numFmtId="3" fontId="2" fillId="0" borderId="0" xfId="0" applyNumberFormat="1" applyFont="1" applyAlignment="1">
      <alignment wrapText="1"/>
    </xf>
    <xf numFmtId="9" fontId="2" fillId="0" borderId="0" xfId="0" applyNumberFormat="1" applyFont="1" applyAlignment="1">
      <alignment wrapText="1"/>
    </xf>
    <xf numFmtId="3" fontId="0" fillId="0" borderId="1" xfId="0" applyNumberFormat="1" applyBorder="1" applyAlignment="1">
      <alignment wrapText="1"/>
    </xf>
    <xf numFmtId="9" fontId="0" fillId="0" borderId="1" xfId="0" applyNumberFormat="1" applyBorder="1" applyAlignment="1">
      <alignment wrapText="1"/>
    </xf>
    <xf numFmtId="3" fontId="2" fillId="3" borderId="1" xfId="0" applyNumberFormat="1" applyFont="1" applyFill="1" applyBorder="1"/>
    <xf numFmtId="9" fontId="2" fillId="3" borderId="1" xfId="0" applyNumberFormat="1" applyFont="1" applyFill="1" applyBorder="1"/>
    <xf numFmtId="3" fontId="0" fillId="0" borderId="1" xfId="0" applyNumberFormat="1" applyBorder="1"/>
    <xf numFmtId="0" fontId="0" fillId="0" borderId="10" xfId="0" applyBorder="1"/>
    <xf numFmtId="0" fontId="2" fillId="0" borderId="5" xfId="0" applyFont="1" applyBorder="1"/>
    <xf numFmtId="0" fontId="2" fillId="0" borderId="7" xfId="0" applyFont="1" applyBorder="1"/>
    <xf numFmtId="0" fontId="0" fillId="0" borderId="5" xfId="0" applyBorder="1"/>
    <xf numFmtId="0" fontId="0" fillId="0" borderId="7" xfId="0" applyBorder="1"/>
    <xf numFmtId="0" fontId="0" fillId="3" borderId="9" xfId="0" applyFill="1" applyBorder="1"/>
    <xf numFmtId="9" fontId="0" fillId="3" borderId="6" xfId="0" applyNumberFormat="1" applyFill="1" applyBorder="1"/>
    <xf numFmtId="0" fontId="2" fillId="3" borderId="4" xfId="0" applyFont="1" applyFill="1" applyBorder="1"/>
    <xf numFmtId="9" fontId="2" fillId="3" borderId="6" xfId="0" applyNumberFormat="1" applyFont="1" applyFill="1" applyBorder="1"/>
    <xf numFmtId="3" fontId="0" fillId="0" borderId="0" xfId="0" applyNumberFormat="1" applyAlignment="1">
      <alignment horizontal="center"/>
    </xf>
    <xf numFmtId="49" fontId="0" fillId="0" borderId="1" xfId="0" applyNumberFormat="1" applyBorder="1"/>
    <xf numFmtId="0" fontId="2" fillId="0" borderId="0" xfId="0" applyFont="1"/>
    <xf numFmtId="0" fontId="0" fillId="0" borderId="11" xfId="0" applyBorder="1"/>
    <xf numFmtId="0" fontId="8" fillId="0" borderId="11" xfId="0" applyFont="1" applyBorder="1"/>
    <xf numFmtId="9" fontId="5" fillId="0" borderId="0" xfId="0" applyNumberFormat="1" applyFont="1"/>
    <xf numFmtId="0" fontId="0" fillId="0" borderId="0" xfId="0" applyProtection="1">
      <protection hidden="1"/>
    </xf>
    <xf numFmtId="0" fontId="0" fillId="3" borderId="0" xfId="0" applyFill="1" applyProtection="1">
      <protection hidden="1"/>
    </xf>
    <xf numFmtId="6" fontId="3" fillId="3" borderId="0" xfId="0" applyNumberFormat="1" applyFont="1" applyFill="1" applyAlignment="1" applyProtection="1">
      <alignment horizontal="center" vertical="center"/>
      <protection hidden="1"/>
    </xf>
    <xf numFmtId="0" fontId="0" fillId="0" borderId="0" xfId="0" applyAlignment="1" applyProtection="1">
      <alignment horizontal="right"/>
      <protection hidden="1"/>
    </xf>
    <xf numFmtId="0" fontId="0" fillId="0" borderId="0" xfId="0" quotePrefix="1" applyProtection="1">
      <protection hidden="1"/>
    </xf>
    <xf numFmtId="0" fontId="2" fillId="0" borderId="1" xfId="0" applyFont="1" applyBorder="1" applyAlignment="1">
      <alignment horizontal="right" wrapText="1"/>
    </xf>
    <xf numFmtId="0" fontId="2" fillId="0" borderId="1" xfId="0" applyFont="1" applyBorder="1" applyAlignment="1">
      <alignment horizontal="right"/>
    </xf>
    <xf numFmtId="166" fontId="0" fillId="3" borderId="1" xfId="0" applyNumberFormat="1" applyFill="1" applyBorder="1"/>
    <xf numFmtId="0" fontId="10" fillId="0" borderId="0" xfId="0" applyFont="1"/>
    <xf numFmtId="0" fontId="12" fillId="0" borderId="0" xfId="0" applyFont="1" applyAlignment="1">
      <alignment horizontal="left" vertical="top" wrapText="1"/>
    </xf>
    <xf numFmtId="0" fontId="14" fillId="0" borderId="0" xfId="0" applyFont="1" applyAlignment="1">
      <alignment horizontal="left" wrapText="1"/>
    </xf>
    <xf numFmtId="0" fontId="14" fillId="0" borderId="0" xfId="0" applyFont="1" applyAlignment="1">
      <alignment horizontal="left"/>
    </xf>
    <xf numFmtId="0" fontId="15" fillId="0" borderId="1" xfId="0" applyFont="1" applyBorder="1"/>
    <xf numFmtId="0" fontId="0" fillId="0" borderId="0" xfId="0" applyProtection="1">
      <protection locked="0" hidden="1"/>
    </xf>
    <xf numFmtId="9" fontId="0" fillId="0" borderId="0" xfId="0" applyNumberFormat="1" applyProtection="1">
      <protection locked="0" hidden="1"/>
    </xf>
    <xf numFmtId="9" fontId="0" fillId="4" borderId="0" xfId="0" applyNumberFormat="1" applyFill="1" applyProtection="1">
      <protection locked="0" hidden="1"/>
    </xf>
    <xf numFmtId="1" fontId="0" fillId="0" borderId="2" xfId="0" applyNumberFormat="1" applyBorder="1" applyProtection="1">
      <protection locked="0" hidden="1"/>
    </xf>
    <xf numFmtId="1" fontId="0" fillId="0" borderId="0" xfId="0" applyNumberFormat="1" applyProtection="1">
      <protection locked="0" hidden="1"/>
    </xf>
    <xf numFmtId="165" fontId="0" fillId="0" borderId="0" xfId="0" applyNumberFormat="1" applyProtection="1">
      <protection locked="0" hidden="1"/>
    </xf>
    <xf numFmtId="1" fontId="0" fillId="0" borderId="3" xfId="0" applyNumberFormat="1" applyBorder="1" applyProtection="1">
      <protection locked="0" hidden="1"/>
    </xf>
    <xf numFmtId="164" fontId="0" fillId="0" borderId="0" xfId="0" applyNumberFormat="1" applyProtection="1">
      <protection locked="0" hidden="1"/>
    </xf>
    <xf numFmtId="3" fontId="0" fillId="0" borderId="0" xfId="0" applyNumberFormat="1" applyProtection="1">
      <protection locked="0" hidden="1"/>
    </xf>
    <xf numFmtId="3" fontId="0" fillId="0" borderId="2" xfId="0" applyNumberFormat="1" applyBorder="1" applyProtection="1">
      <protection locked="0" hidden="1"/>
    </xf>
    <xf numFmtId="164" fontId="0" fillId="0" borderId="3" xfId="0" applyNumberFormat="1" applyBorder="1" applyProtection="1">
      <protection locked="0" hidden="1"/>
    </xf>
    <xf numFmtId="0" fontId="0" fillId="0" borderId="0" xfId="0" applyAlignment="1" applyProtection="1">
      <alignment horizontal="right"/>
      <protection locked="0" hidden="1"/>
    </xf>
    <xf numFmtId="1" fontId="0" fillId="2" borderId="0" xfId="0" applyNumberFormat="1" applyFill="1" applyProtection="1">
      <protection locked="0" hidden="1"/>
    </xf>
    <xf numFmtId="0" fontId="1" fillId="0" borderId="0" xfId="0" applyFont="1" applyAlignment="1">
      <alignment wrapText="1"/>
    </xf>
    <xf numFmtId="0" fontId="10" fillId="0" borderId="0" xfId="0" applyFont="1" applyAlignment="1">
      <alignment wrapText="1"/>
    </xf>
    <xf numFmtId="49" fontId="7" fillId="0" borderId="0" xfId="0" quotePrefix="1" applyNumberFormat="1" applyFont="1" applyAlignment="1" applyProtection="1">
      <alignment horizontal="center" vertical="center"/>
      <protection hidden="1"/>
    </xf>
    <xf numFmtId="0" fontId="11" fillId="2" borderId="0" xfId="0" applyFont="1" applyFill="1" applyAlignment="1">
      <alignment horizontal="center"/>
    </xf>
    <xf numFmtId="0" fontId="0" fillId="0" borderId="0" xfId="0" applyAlignment="1">
      <alignment horizontal="right"/>
    </xf>
    <xf numFmtId="0" fontId="12" fillId="0" borderId="12" xfId="0" applyFont="1" applyBorder="1" applyAlignment="1">
      <alignment horizontal="center" vertical="top" wrapText="1"/>
    </xf>
    <xf numFmtId="0" fontId="14" fillId="0" borderId="13" xfId="0" applyFont="1" applyBorder="1" applyAlignment="1">
      <alignment horizontal="center" wrapText="1"/>
    </xf>
    <xf numFmtId="0" fontId="14" fillId="0" borderId="13" xfId="0" applyFont="1" applyBorder="1" applyAlignment="1">
      <alignment horizontal="center"/>
    </xf>
    <xf numFmtId="0" fontId="14" fillId="0" borderId="14" xfId="0" applyFont="1" applyBorder="1" applyAlignment="1">
      <alignment horizontal="center"/>
    </xf>
    <xf numFmtId="0" fontId="0" fillId="5" borderId="0" xfId="0" applyFill="1" applyAlignment="1">
      <alignment horizontal="center"/>
    </xf>
    <xf numFmtId="0" fontId="0" fillId="0" borderId="0" xfId="0" applyAlignment="1">
      <alignment horizontal="left" wrapText="1"/>
    </xf>
    <xf numFmtId="0" fontId="0" fillId="0" borderId="8" xfId="0" applyBorder="1" applyAlignment="1">
      <alignment horizontal="left"/>
    </xf>
  </cellXfs>
  <cellStyles count="1">
    <cellStyle name="Normal" xfId="0" builtinId="0"/>
  </cellStyles>
  <dxfs count="189">
    <dxf>
      <fill>
        <patternFill>
          <bgColor theme="0" tint="-0.14996795556505021"/>
        </patternFill>
      </fill>
    </dxf>
    <dxf>
      <fill>
        <patternFill>
          <bgColor theme="0" tint="-0.14996795556505021"/>
        </patternFill>
      </fill>
    </dxf>
    <dxf>
      <fill>
        <patternFill>
          <bgColor theme="0" tint="-0.14996795556505021"/>
        </patternFill>
      </fill>
    </dxf>
    <dxf>
      <font>
        <color rgb="FFC00000"/>
      </font>
    </dxf>
    <dxf>
      <font>
        <color rgb="FFC00000"/>
      </font>
    </dxf>
    <dxf>
      <font>
        <color rgb="FFC00000"/>
      </font>
    </dxf>
    <dxf>
      <font>
        <color rgb="FFC00000"/>
      </font>
    </dxf>
    <dxf>
      <font>
        <color rgb="FFC00000"/>
      </font>
    </dxf>
    <dxf>
      <font>
        <color rgb="FFC00000"/>
      </font>
    </dxf>
    <dxf>
      <font>
        <color rgb="FFC00000"/>
      </font>
    </dxf>
    <dxf>
      <numFmt numFmtId="13" formatCode="0%"/>
    </dxf>
    <dxf>
      <numFmt numFmtId="0" formatCode="General"/>
    </dxf>
    <dxf>
      <font>
        <strike val="0"/>
        <outline val="0"/>
        <shadow val="0"/>
        <u val="none"/>
        <vertAlign val="baseline"/>
        <sz val="11"/>
        <color auto="1"/>
        <name val="Calibri"/>
        <family val="2"/>
        <scheme val="minor"/>
      </font>
      <numFmt numFmtId="0" formatCode="General"/>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0" formatCode="Genera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alignment horizontal="general" vertical="bottom" textRotation="0" wrapText="0" indent="0" justifyLastLine="0" shrinkToFit="0" readingOrder="0"/>
    </dxf>
    <dxf>
      <font>
        <strike val="0"/>
        <outline val="0"/>
        <shadow val="0"/>
        <u val="none"/>
        <vertAlign val="baseline"/>
        <sz val="11"/>
        <color auto="1"/>
        <name val="Calibri"/>
        <family val="2"/>
        <scheme val="minor"/>
      </font>
      <numFmt numFmtId="0" formatCode="Genera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theme="0"/>
        <name val="Calibri"/>
        <family val="2"/>
        <scheme val="minor"/>
      </font>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4" formatCode="0.0%"/>
      <border diagonalUp="0" diagonalDown="0">
        <left/>
        <right style="thin">
          <color indexed="64"/>
        </right>
        <top/>
        <bottom/>
      </border>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border diagonalUp="0" diagonalDown="0">
        <left style="thin">
          <color indexed="64"/>
        </left>
        <right/>
        <top/>
        <bottom/>
      </border>
      <protection locked="0" hidden="1"/>
    </dxf>
    <dxf>
      <numFmt numFmtId="165" formatCode="0.0"/>
      <protection locked="0" hidden="1"/>
    </dxf>
    <dxf>
      <numFmt numFmtId="13" formatCode="0%"/>
      <protection locked="0" hidden="1"/>
    </dxf>
    <dxf>
      <numFmt numFmtId="1" formatCode="0"/>
      <protection locked="0" hidden="1"/>
    </dxf>
    <dxf>
      <numFmt numFmtId="1" formatCode="0"/>
      <protection locked="0" hidden="1"/>
    </dxf>
    <dxf>
      <numFmt numFmtId="13" formatCode="0%"/>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3" formatCode="#,##0"/>
      <protection locked="0" hidden="1"/>
    </dxf>
    <dxf>
      <numFmt numFmtId="3" formatCode="#,##0"/>
      <protection locked="0" hidden="1"/>
    </dxf>
    <dxf>
      <numFmt numFmtId="3" formatCode="#,##0"/>
      <protection locked="0" hidden="1"/>
    </dxf>
    <dxf>
      <numFmt numFmtId="13" formatCode="0%"/>
      <protection locked="0" hidden="1"/>
    </dxf>
    <dxf>
      <numFmt numFmtId="0" formatCode="General"/>
      <protection locked="0" hidden="1"/>
    </dxf>
    <dxf>
      <numFmt numFmtId="13" formatCode="0%"/>
      <protection locked="0" hidden="1"/>
    </dxf>
    <dxf>
      <numFmt numFmtId="0" formatCode="General"/>
      <protection locked="0" hidden="1"/>
    </dxf>
    <dxf>
      <numFmt numFmtId="13" formatCode="0%"/>
      <protection locked="0" hidden="1"/>
    </dxf>
    <dxf>
      <numFmt numFmtId="0" formatCode="General"/>
      <protection locked="0" hidden="1"/>
    </dxf>
    <dxf>
      <numFmt numFmtId="0" formatCode="General"/>
      <protection locked="0" hidden="1"/>
    </dxf>
    <dxf>
      <numFmt numFmtId="0" formatCode="General"/>
      <protection locked="1" hidden="0"/>
    </dxf>
    <dxf>
      <numFmt numFmtId="0" formatCode="General"/>
    </dxf>
    <dxf>
      <numFmt numFmtId="0" formatCode="General"/>
    </dxf>
    <dxf>
      <numFmt numFmtId="0" formatCode="General"/>
    </dxf>
  </dxfs>
  <tableStyles count="0" defaultTableStyle="TableStyleMedium2" defaultPivotStyle="PivotStyleLight16"/>
  <colors>
    <mruColors>
      <color rgb="FFFFCCCC"/>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'View By Unit'!$AB$6</c:f>
          <c:strCache>
            <c:ptCount val="1"/>
            <c:pt idx="0">
              <c:v>Council-Approved Local Source Budget
Repayment of Loans and Interest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'View By Unit'!$AB$8</c:f>
              <c:strCache>
                <c:ptCount val="1"/>
                <c:pt idx="0">
                  <c:v>Spent by agency</c:v>
                </c:pt>
              </c:strCache>
            </c:strRef>
          </c:tx>
          <c:spPr>
            <a:pattFill prst="ltUpDiag">
              <a:fgClr>
                <a:schemeClr val="accent1"/>
              </a:fgClr>
              <a:bgClr>
                <a:schemeClr val="bg1"/>
              </a:bgClr>
            </a:pattFill>
            <a:ln>
              <a:solidFill>
                <a:schemeClr val="accent1"/>
              </a:solidFill>
            </a:ln>
            <a:effectLst/>
          </c:spPr>
          <c:invertIfNegative val="0"/>
          <c:errBars>
            <c:errBarType val="both"/>
            <c:errValType val="cust"/>
            <c:noEndCap val="0"/>
            <c:plus>
              <c:numLit>
                <c:formatCode>General</c:formatCode>
                <c:ptCount val="1"/>
                <c:pt idx="0">
                  <c:v>1</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strRef>
              <c:f>'View By Unit'!$AA$9:$AA$28</c:f>
              <c:strCache>
                <c:ptCount val="20"/>
                <c:pt idx="0">
                  <c:v>06</c:v>
                </c:pt>
                <c:pt idx="1">
                  <c:v>07</c:v>
                </c:pt>
                <c:pt idx="2">
                  <c:v>08</c:v>
                </c:pt>
                <c:pt idx="3">
                  <c:v>09</c:v>
                </c:pt>
                <c:pt idx="4">
                  <c:v>10</c:v>
                </c:pt>
                <c:pt idx="5">
                  <c:v>11</c:v>
                </c:pt>
                <c:pt idx="6">
                  <c:v>12</c:v>
                </c:pt>
                <c:pt idx="7">
                  <c:v>13</c:v>
                </c:pt>
                <c:pt idx="8">
                  <c:v>14</c:v>
                </c:pt>
                <c:pt idx="9">
                  <c:v>15</c:v>
                </c:pt>
                <c:pt idx="10">
                  <c:v>16</c:v>
                </c:pt>
                <c:pt idx="11">
                  <c:v>17</c:v>
                </c:pt>
                <c:pt idx="12">
                  <c:v>18</c:v>
                </c:pt>
                <c:pt idx="13">
                  <c:v>19</c:v>
                </c:pt>
                <c:pt idx="14">
                  <c:v>20</c:v>
                </c:pt>
                <c:pt idx="15">
                  <c:v>21</c:v>
                </c:pt>
                <c:pt idx="16">
                  <c:v>22</c:v>
                </c:pt>
                <c:pt idx="17">
                  <c:v>23</c:v>
                </c:pt>
                <c:pt idx="18">
                  <c:v>24</c:v>
                </c:pt>
                <c:pt idx="19">
                  <c:v>25</c:v>
                </c:pt>
              </c:strCache>
            </c:strRef>
          </c:cat>
          <c:val>
            <c:numRef>
              <c:f>'View By Unit'!$AB$9:$AB$28</c:f>
              <c:numCache>
                <c:formatCode>"$"#,##0_);[Red]\("$"#,##0\)</c:formatCode>
                <c:ptCount val="20"/>
                <c:pt idx="0">
                  <c:v>370128</c:v>
                </c:pt>
                <c:pt idx="1">
                  <c:v>386245</c:v>
                </c:pt>
                <c:pt idx="2">
                  <c:v>420827</c:v>
                </c:pt>
                <c:pt idx="3">
                  <c:v>435286</c:v>
                </c:pt>
                <c:pt idx="4">
                  <c:v>348351</c:v>
                </c:pt>
                <c:pt idx="5">
                  <c:v>400564</c:v>
                </c:pt>
                <c:pt idx="6">
                  <c:v>409855</c:v>
                </c:pt>
                <c:pt idx="7">
                  <c:v>455081</c:v>
                </c:pt>
                <c:pt idx="8">
                  <c:v>497173</c:v>
                </c:pt>
                <c:pt idx="9">
                  <c:v>538213</c:v>
                </c:pt>
                <c:pt idx="10">
                  <c:v>555097</c:v>
                </c:pt>
                <c:pt idx="11">
                  <c:v>616832</c:v>
                </c:pt>
                <c:pt idx="12">
                  <c:v>679528</c:v>
                </c:pt>
                <c:pt idx="13">
                  <c:v>698043</c:v>
                </c:pt>
                <c:pt idx="14">
                  <c:v>781731</c:v>
                </c:pt>
                <c:pt idx="15">
                  <c:v>781209</c:v>
                </c:pt>
                <c:pt idx="16">
                  <c:v>809491</c:v>
                </c:pt>
                <c:pt idx="17">
                  <c:v>959183</c:v>
                </c:pt>
                <c:pt idx="18">
                  <c:v>1006399</c:v>
                </c:pt>
                <c:pt idx="19">
                  <c:v>1052598</c:v>
                </c:pt>
              </c:numCache>
            </c:numRef>
          </c:val>
          <c:extLst>
            <c:ext xmlns:c16="http://schemas.microsoft.com/office/drawing/2014/chart" uri="{C3380CC4-5D6E-409C-BE32-E72D297353CC}">
              <c16:uniqueId val="{00000000-BADC-4742-894C-9F37260C41B2}"/>
            </c:ext>
          </c:extLst>
        </c:ser>
        <c:ser>
          <c:idx val="2"/>
          <c:order val="1"/>
          <c:tx>
            <c:strRef>
              <c:f>'View By Unit'!$AD$8</c:f>
              <c:strCache>
                <c:ptCount val="1"/>
                <c:pt idx="0">
                  <c:v>Not spent by agency</c:v>
                </c:pt>
              </c:strCache>
            </c:strRef>
          </c:tx>
          <c:spPr>
            <a:solidFill>
              <a:schemeClr val="accent1"/>
            </a:solidFill>
            <a:ln>
              <a:solidFill>
                <a:schemeClr val="accent1"/>
              </a:solidFill>
            </a:ln>
            <a:effectLst/>
          </c:spPr>
          <c:invertIfNegative val="0"/>
          <c:val>
            <c:numRef>
              <c:f>'View By Unit'!$AD$9:$AD$28</c:f>
              <c:numCache>
                <c:formatCode>"$"#,##0_);[Red]\("$"#,##0\)</c:formatCode>
                <c:ptCount val="20"/>
                <c:pt idx="0">
                  <c:v>650</c:v>
                </c:pt>
                <c:pt idx="1">
                  <c:v>18869</c:v>
                </c:pt>
                <c:pt idx="2">
                  <c:v>19880</c:v>
                </c:pt>
                <c:pt idx="3">
                  <c:v>21344</c:v>
                </c:pt>
                <c:pt idx="4">
                  <c:v>120245</c:v>
                </c:pt>
                <c:pt idx="5">
                  <c:v>6141</c:v>
                </c:pt>
                <c:pt idx="6">
                  <c:v>28217</c:v>
                </c:pt>
                <c:pt idx="7">
                  <c:v>7796</c:v>
                </c:pt>
                <c:pt idx="8">
                  <c:v>22181</c:v>
                </c:pt>
                <c:pt idx="9">
                  <c:v>32563</c:v>
                </c:pt>
                <c:pt idx="10">
                  <c:v>36530</c:v>
                </c:pt>
                <c:pt idx="11">
                  <c:v>2268</c:v>
                </c:pt>
                <c:pt idx="12">
                  <c:v>7441</c:v>
                </c:pt>
                <c:pt idx="13">
                  <c:v>37567</c:v>
                </c:pt>
                <c:pt idx="14">
                  <c:v>12053</c:v>
                </c:pt>
                <c:pt idx="15">
                  <c:v>3691</c:v>
                </c:pt>
                <c:pt idx="16">
                  <c:v>29725</c:v>
                </c:pt>
                <c:pt idx="17">
                  <c:v>43133</c:v>
                </c:pt>
                <c:pt idx="18">
                  <c:v>104530</c:v>
                </c:pt>
                <c:pt idx="19">
                  <c:v>176766</c:v>
                </c:pt>
              </c:numCache>
            </c:numRef>
          </c:val>
          <c:extLst>
            <c:ext xmlns:c16="http://schemas.microsoft.com/office/drawing/2014/chart" uri="{C3380CC4-5D6E-409C-BE32-E72D297353CC}">
              <c16:uniqueId val="{00000002-BADC-4742-894C-9F37260C41B2}"/>
            </c:ext>
          </c:extLst>
        </c:ser>
        <c:ser>
          <c:idx val="1"/>
          <c:order val="2"/>
          <c:tx>
            <c:strRef>
              <c:f>'View By Unit'!$AC$8</c:f>
              <c:strCache>
                <c:ptCount val="1"/>
                <c:pt idx="0">
                  <c:v>"Overspending"</c:v>
                </c:pt>
              </c:strCache>
            </c:strRef>
          </c:tx>
          <c:spPr>
            <a:solidFill>
              <a:srgbClr val="C00000"/>
            </a:solidFill>
            <a:ln>
              <a:solidFill>
                <a:srgbClr val="C00000"/>
              </a:solidFill>
            </a:ln>
            <a:effectLst/>
          </c:spPr>
          <c:invertIfNegative val="0"/>
          <c:cat>
            <c:strRef>
              <c:f>'View By Unit'!$AA$9:$AA$28</c:f>
              <c:strCache>
                <c:ptCount val="20"/>
                <c:pt idx="0">
                  <c:v>06</c:v>
                </c:pt>
                <c:pt idx="1">
                  <c:v>07</c:v>
                </c:pt>
                <c:pt idx="2">
                  <c:v>08</c:v>
                </c:pt>
                <c:pt idx="3">
                  <c:v>09</c:v>
                </c:pt>
                <c:pt idx="4">
                  <c:v>10</c:v>
                </c:pt>
                <c:pt idx="5">
                  <c:v>11</c:v>
                </c:pt>
                <c:pt idx="6">
                  <c:v>12</c:v>
                </c:pt>
                <c:pt idx="7">
                  <c:v>13</c:v>
                </c:pt>
                <c:pt idx="8">
                  <c:v>14</c:v>
                </c:pt>
                <c:pt idx="9">
                  <c:v>15</c:v>
                </c:pt>
                <c:pt idx="10">
                  <c:v>16</c:v>
                </c:pt>
                <c:pt idx="11">
                  <c:v>17</c:v>
                </c:pt>
                <c:pt idx="12">
                  <c:v>18</c:v>
                </c:pt>
                <c:pt idx="13">
                  <c:v>19</c:v>
                </c:pt>
                <c:pt idx="14">
                  <c:v>20</c:v>
                </c:pt>
                <c:pt idx="15">
                  <c:v>21</c:v>
                </c:pt>
                <c:pt idx="16">
                  <c:v>22</c:v>
                </c:pt>
                <c:pt idx="17">
                  <c:v>23</c:v>
                </c:pt>
                <c:pt idx="18">
                  <c:v>24</c:v>
                </c:pt>
                <c:pt idx="19">
                  <c:v>25</c:v>
                </c:pt>
              </c:strCache>
            </c:strRef>
          </c:cat>
          <c:val>
            <c:numRef>
              <c:f>'View By Unit'!$AC$9:$AC$28</c:f>
              <c:numCache>
                <c:formatCode>"$"#,##0_);[Red]\("$"#,##0\)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1-BADC-4742-894C-9F37260C41B2}"/>
            </c:ext>
          </c:extLst>
        </c:ser>
        <c:dLbls>
          <c:showLegendKey val="0"/>
          <c:showVal val="0"/>
          <c:showCatName val="0"/>
          <c:showSerName val="0"/>
          <c:showPercent val="0"/>
          <c:showBubbleSize val="0"/>
        </c:dLbls>
        <c:gapWidth val="150"/>
        <c:overlap val="100"/>
        <c:axId val="1148209807"/>
        <c:axId val="223801455"/>
      </c:barChart>
      <c:catAx>
        <c:axId val="1148209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Fiscal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3801455"/>
        <c:crosses val="autoZero"/>
        <c:auto val="1"/>
        <c:lblAlgn val="ctr"/>
        <c:lblOffset val="100"/>
        <c:noMultiLvlLbl val="0"/>
      </c:catAx>
      <c:valAx>
        <c:axId val="2238014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Amount</a:t>
                </a:r>
                <a:r>
                  <a:rPr lang="en-US" baseline="0"/>
                  <a:t> (in thousands of dollars)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820980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11905</xdr:colOff>
      <xdr:row>2</xdr:row>
      <xdr:rowOff>0</xdr:rowOff>
    </xdr:from>
    <xdr:to>
      <xdr:col>25</xdr:col>
      <xdr:colOff>-1</xdr:colOff>
      <xdr:row>27</xdr:row>
      <xdr:rowOff>11905</xdr:rowOff>
    </xdr:to>
    <xdr:graphicFrame macro="">
      <xdr:nvGraphicFramePr>
        <xdr:cNvPr id="3" name="Chart 2">
          <a:extLst>
            <a:ext uri="{FF2B5EF4-FFF2-40B4-BE49-F238E27FC236}">
              <a16:creationId xmlns:a16="http://schemas.microsoft.com/office/drawing/2014/main" id="{E11F47E9-4180-45AB-B5EA-F5F96FB141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cgovict-my.sharepoint.com/personal/krin_irvine_dc_gov/Documents/Documents/overspending/_FY25%20update/TestHide2.xlsx" TargetMode="External"/><Relationship Id="rId1" Type="http://schemas.openxmlformats.org/officeDocument/2006/relationships/externalLinkPath" Target="TestHid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C"/>
      <sheetName val="TabDetails"/>
      <sheetName val="Overspending"/>
      <sheetName val="Sheet2"/>
      <sheetName val="Underspending"/>
      <sheetName val="View By Unit"/>
      <sheetName val="ViewByType"/>
      <sheetName val="SummaryInfoCurrent"/>
      <sheetName val="SummaryInfoAgencies"/>
      <sheetName val="SummaryInfoAllYears"/>
      <sheetName val="SummaryByType"/>
      <sheetName val="Budget Lines 2024 (132)"/>
      <sheetName val="Budget Lines All Years (182) "/>
      <sheetName val="NamedFields"/>
      <sheetName val="allF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3">
          <cell r="C3">
            <v>99.99</v>
          </cell>
        </row>
        <row r="4">
          <cell r="C4">
            <v>0</v>
          </cell>
        </row>
        <row r="5">
          <cell r="C5" t="e">
            <v>#N/A</v>
          </cell>
        </row>
        <row r="6">
          <cell r="C6" t="str">
            <v>.</v>
          </cell>
        </row>
      </sheetData>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26EA430-302A-4880-B8B2-5327C4E3F91C}" name="SummaryTable" displayName="SummaryTable" ref="A4:FL188" totalsRowShown="0">
  <autoFilter ref="A4:FL188" xr:uid="{226EA430-302A-4880-B8B2-5327C4E3F91C}"/>
  <sortState xmlns:xlrd2="http://schemas.microsoft.com/office/spreadsheetml/2017/richdata2" ref="A5:FL188">
    <sortCondition descending="1" ref="B4:B188"/>
  </sortState>
  <tableColumns count="168">
    <tableColumn id="1" xr3:uid="{2BB38259-C507-4B47-B5EB-D267159468FA}" name="Code"/>
    <tableColumn id="97" xr3:uid="{58B89992-4D66-422F-B7F3-95214872F735}" name="maxyear" dataDxfId="188">
      <calculatedColumnFormula>_xlfn.MAXIFS(allFYsTable[year2], allFYsTable[Code], SummaryTable[[#This Row],[Code]])</calculatedColumnFormula>
    </tableColumn>
    <tableColumn id="17" xr3:uid="{85320A7F-A208-466C-8307-C1749C132661}" name="Category" dataDxfId="187">
      <calculatedColumnFormula>_xlfn.XLOOKUP(SummaryTable[[#This Row],[Code]], NameCodingTable[Code], NameCodingTable[Most Recent Category per allFYs])</calculatedColumnFormula>
    </tableColumn>
    <tableColumn id="2" xr3:uid="{A0FDBF62-C0AA-4442-8D41-D75F79A21A36}" name="Unit" dataDxfId="186">
      <calculatedColumnFormula>_xlfn.XLOOKUP(SummaryTable[[#This Row],[Code]], NameCodingTable[Code], NameCodingTable[Unit Display Name])</calculatedColumnFormula>
    </tableColumn>
    <tableColumn id="133" xr3:uid="{C64E8B09-AA05-4178-A030-649BBE4D7D3A}" name="Type" dataDxfId="185">
      <calculatedColumnFormula>_xlfn.XLOOKUP(SummaryTable[[#This Row],[Code]], NameCodingTable[Code], NameCodingTable[Type])</calculatedColumnFormula>
    </tableColumn>
    <tableColumn id="80" xr3:uid="{DCA3B4F7-21C1-40F8-BAAE-71895C9899CF}" name="Count" dataDxfId="184">
      <calculatedColumnFormula>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calculatedColumnFormula>
    </tableColumn>
    <tableColumn id="84" xr3:uid="{F5808ABC-6930-4096-96BE-689A2CBC69BC}" name="# Over" dataDxfId="183">
      <calculatedColumnFormula>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calculatedColumnFormula>
    </tableColumn>
    <tableColumn id="85" xr3:uid="{1B32B5AE-0456-4A69-BE04-DE3AF3BC6B80}" name="% Over" dataDxfId="182">
      <calculatedColumnFormula>SummaryTable[[#This Row],['# Over]]/SummaryTable[[#This Row],[Count]]</calculatedColumnFormula>
    </tableColumn>
    <tableColumn id="82" xr3:uid="{D2FA07D9-319A-42F8-AE08-ED9DB598C4B6}" name="# Under" dataDxfId="181">
      <calculatedColumnFormula>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calculatedColumnFormula>
    </tableColumn>
    <tableColumn id="83" xr3:uid="{04DEE768-B7B2-4331-A5AF-79C60CD5289B}" name="% Under" dataDxfId="180">
      <calculatedColumnFormula>SummaryTable[[#This Row],['# Under]]/SummaryTable[[#This Row],[Count]]</calculatedColumnFormula>
    </tableColumn>
    <tableColumn id="81" xr3:uid="{2C912B32-5E16-4191-845C-F5CBC6E87ACB}" name="# Equal" dataDxfId="179">
      <calculatedColumnFormula>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calculatedColumnFormula>
    </tableColumn>
    <tableColumn id="79" xr3:uid="{0D097E77-3F54-4646-B692-4FC63E6FA177}" name="% Equal" dataDxfId="178">
      <calculatedColumnFormula>SummaryTable[[#This Row],['# Equal]]/SummaryTable[[#This Row],[Count]]</calculatedColumnFormula>
    </tableColumn>
    <tableColumn id="10" xr3:uid="{B04F8FDE-546F-4329-BB41-CC400D24E6DB}" name="AvgBudAmt" dataDxfId="177">
      <calculatedColumnFormula>SUMIFS(allFYsTable[OriginalBudget],allFYsTable[Code],SummaryTable[[#This Row],[Code]])/SummaryTable[[#This Row],[Count]]</calculatedColumnFormula>
    </tableColumn>
    <tableColumn id="11" xr3:uid="{410860E5-B498-4B6A-94AF-B738DDFBF2DB}" name="AvgActAmt" dataDxfId="176">
      <calculatedColumnFormula>SUMIFS(allFYsTable[Actual],allFYsTable[Code],SummaryTable[[#This Row],[Code]])/SummaryTable[[#This Row],[Count]]</calculatedColumnFormula>
    </tableColumn>
    <tableColumn id="6" xr3:uid="{F542564A-0EA2-4C4B-84B0-C463F431FD2A}" name="AvgDiff#" dataDxfId="175">
      <calculatedColumnFormula>SummaryTable[[#This Row],[AvgActAmt]]-SummaryTable[[#This Row],[AvgBudAmt]]</calculatedColumnFormula>
    </tableColumn>
    <tableColumn id="7" xr3:uid="{501D6DF5-EA38-4066-8235-043292301539}" name="AvgDiff%" dataDxfId="174">
      <calculatedColumnFormula>IF(SummaryTable[[#This Row],[AvgBudAmt]]=0, IF(SummaryTable[[#This Row],[AvgDiff'#]]=0, 0, NamedFields!$C$3), SummaryTable[[#This Row],[AvgDiff'#]]/SummaryTable[[#This Row],[AvgBudAmt]])</calculatedColumnFormula>
    </tableColumn>
    <tableColumn id="8" xr3:uid="{F040C9DA-82E4-4DF9-A7C4-7559F5EACB07}" name="OverAvgBud" dataDxfId="173">
      <calculatedColumnFormula>IFERROR(SUMIFS(allFYsTable[OriginalBudget],allFYsTable[Code],SummaryTable[[#This Row],[Code]],allFYsTable[DiffAmount], "&gt;0")/SummaryTable[[#This Row],['# Over]], 0)</calculatedColumnFormula>
    </tableColumn>
    <tableColumn id="3" xr3:uid="{C974A9A8-0F17-4E28-AA04-2462AB186D26}" name="OverAvgAct" dataDxfId="172">
      <calculatedColumnFormula>IFERROR(SUMIFS(allFYsTable[Actual],allFYsTable[Code],SummaryTable[[#This Row],[Code]],allFYsTable[DiffAmount], "&gt;0")/SummaryTable[[#This Row],['# Over]], 0)</calculatedColumnFormula>
    </tableColumn>
    <tableColumn id="4" xr3:uid="{2FC95776-4E49-47BF-83F0-E48D9F01F494}" name="OverAvgDiff#" dataDxfId="171">
      <calculatedColumnFormula>SummaryTable[[#This Row],[OverAvgAct]]-SummaryTable[[#This Row],[OverAvgBud]]</calculatedColumnFormula>
    </tableColumn>
    <tableColumn id="5" xr3:uid="{18D8A728-E47B-4CFF-B8ED-E3B8DE9912AE}" name="OverAvgDiff%" dataDxfId="170">
      <calculatedColumnFormula>IF(SummaryTable[[#This Row],[OverAvgBud]]=0, IF(SummaryTable[[#This Row],[OverAvgDiff'#]]=0, ZeroBudgetNoSpending, ZeroBudgetWithSpending), SummaryTable[[#This Row],[OverAvgDiff'#]]/SummaryTable[[#This Row],[OverAvgBud]])</calculatedColumnFormula>
    </tableColumn>
    <tableColumn id="78" xr3:uid="{3F0AA794-D3F9-472D-8F6C-AC3C7DEF0732}" name="UnderAvgBud" dataDxfId="169">
      <calculatedColumnFormula>IFERROR(SUMIFS(allFYsTable[OriginalBudget],allFYsTable[Code],SummaryTable[[#This Row],[Code]],allFYsTable[DiffAmount], "&lt;0")/SummaryTable[[#This Row],['# Under]], 0)</calculatedColumnFormula>
    </tableColumn>
    <tableColumn id="89" xr3:uid="{7E8A167B-58C2-4FCD-B9C9-849FA3C034A3}" name="UnderAvgAct" dataDxfId="168">
      <calculatedColumnFormula>IFERROR( SUMIFS(allFYsTable[Actual],allFYsTable[Code],SummaryTable[[#This Row],[Code]],allFYsTable[DiffAmount], "&lt;0")/SummaryTable[[#This Row],['# Under]], 0)</calculatedColumnFormula>
    </tableColumn>
    <tableColumn id="86" xr3:uid="{7573198F-AEA8-4733-9B08-519A9ECA1416}" name="UnderAvgDiff#" dataDxfId="167">
      <calculatedColumnFormula>SummaryTable[[#This Row],[UnderAvgAct]]-SummaryTable[[#This Row],[UnderAvgBud]]</calculatedColumnFormula>
    </tableColumn>
    <tableColumn id="87" xr3:uid="{86FF6CFB-17BC-4991-BE68-9D6243378638}" name="UnderAvgDiff%" dataDxfId="166">
      <calculatedColumnFormula>IF(SummaryTable[[#This Row],[UnderAvgBud]]=0, IF(SummaryTable[[#This Row],[UnderAvgDiff'#]]=0, ZeroBudgetNoSpending, NamedFields!$C$3), SummaryTable[[#This Row],[UnderAvgDiff'#]]/SummaryTable[[#This Row],[UnderAvgBud]])</calculatedColumnFormula>
    </tableColumn>
    <tableColumn id="196" xr3:uid="{857F46DA-8E27-44CA-BD91-DFF60D72BD87}" name="IncreaseYears" dataDxfId="165">
      <calculatedColumnFormula>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calculatedColumnFormula>
    </tableColumn>
    <tableColumn id="195" xr3:uid="{0803A5B9-1951-4DEE-81A1-13BBAF6C308C}" name="OSinIncreaseYear#" dataDxfId="164">
      <calculatedColumnFormula>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calculatedColumnFormula>
    </tableColumn>
    <tableColumn id="197" xr3:uid="{89A2EC39-FF5C-47F8-BC97-A63548DC709F}" name="OSinIncreaseYear%" dataDxfId="163">
      <calculatedColumnFormula>IF(SummaryTable[[#This Row],[IncreaseYears]]=0, ZeroBudgetNoSpending, SummaryTable[[#This Row],[OSinIncreaseYear'#]]/SummaryTable[[#This Row],[IncreaseYears]])</calculatedColumnFormula>
    </tableColumn>
    <tableColumn id="98" xr3:uid="{B763FDCB-CE08-47C7-9C93-926744892F24}" name="CodeRepeatBoth" dataDxfId="162">
      <calculatedColumnFormula>SummaryTable[[#This Row],[Code]]</calculatedColumnFormula>
    </tableColumn>
    <tableColumn id="34" xr3:uid="{6D343B2D-B0A3-4329-869D-7DA4AFDB6304}" name="OriginalBudget25" dataDxfId="161">
      <calculatedColumnFormula>IF(COUNTIFS(allFYsTable[Code], SummaryTable[[#This Row],[Code]], allFYsTable[year2], AC$3)=0, NotFound, SUMIFS(allFYsTable[OriginalBudget], allFYsTable[Code], SummaryTable[[#This Row],[Code]], allFYsTable[year2], AC$3))</calculatedColumnFormula>
    </tableColumn>
    <tableColumn id="134" xr3:uid="{80F11DA0-A31D-4A8A-A84E-C429E7C365AD}" name="BudgetIncreaseAmount25" dataDxfId="160">
      <calculatedColumnFormula>SummaryTable[[#This Row],[OriginalBudget25]]-SummaryTable[[#This Row],[OriginalBudget24]]</calculatedColumnFormula>
    </tableColumn>
    <tableColumn id="135" xr3:uid="{C721324A-36F2-412B-9EFC-F3D04DE0D06D}" name="BudgetIncreasePercent25" dataDxfId="159">
      <calculatedColumnFormula>SummaryTable[[#This Row],[BudgetIncreaseAmount25]]/SummaryTable[[#This Row],[OriginalBudget24]]</calculatedColumnFormula>
    </tableColumn>
    <tableColumn id="136" xr3:uid="{BA1BA1E2-BC19-4ADF-84F2-3B440C08EDEA}" name="RevisedBudget25" dataDxfId="158">
      <calculatedColumnFormula>IF(COUNTIFS(allFYsTable[Code], SummaryTable[[#This Row],[Code]], allFYsTable[year2], AC$3)=0, NotFound, SUMIFS(allFYsTable[RevisedBudget], allFYsTable[Code], SummaryTable[[#This Row],[Code]], allFYsTable[year2], AC$3))</calculatedColumnFormula>
    </tableColumn>
    <tableColumn id="102" xr3:uid="{88595043-1AAA-4A6F-8FDC-780ED2877A79}" name="Actual25" dataDxfId="157">
      <calculatedColumnFormula>IF(COUNTIFS(allFYsTable[Code], SummaryTable[[#This Row],[Code]], allFYsTable[year2], AC$3)=0, NotFound, SUMIFS(allFYsTable[Actual], allFYsTable[Code], SummaryTable[[#This Row],[Code]], allFYsTable[year2], AC$3))</calculatedColumnFormula>
    </tableColumn>
    <tableColumn id="35" xr3:uid="{D81728D3-E831-4BD2-B9C0-F00FBD20E63E}" name="DiffAmount25" dataDxfId="156">
      <calculatedColumnFormula>IF(COUNTIFS(allFYsTable[Code], SummaryTable[[#This Row],[Code]], allFYsTable[year2], AC$3)=0, NotFound, SUMIFS(allFYsTable[DiffAmount], allFYsTable[Code], SummaryTable[[#This Row],[Code]], allFYsTable[year2], AC$3))</calculatedColumnFormula>
    </tableColumn>
    <tableColumn id="36" xr3:uid="{6754D2C4-AE3E-4207-88B3-125B4011767F}" name="DiffPercent25" dataDxfId="155">
      <calculatedColumnFormula>IF(SummaryTable[[#This Row],[OriginalBudget25]]=0, IF(SummaryTable[[#This Row],[DiffAmount25]]=0, ZeroBudgetNoSpending, ZeroBudgetWithSpending), SummaryTable[[#This Row],[DiffAmount25]]/SummaryTable[[#This Row],[OriginalBudget25]])</calculatedColumnFormula>
    </tableColumn>
    <tableColumn id="37" xr3:uid="{F2E833D4-A101-433E-849A-24110E1A8567}" name="OriginalBudget24" dataDxfId="154">
      <calculatedColumnFormula>IF(COUNTIFS(allFYsTable[Code], SummaryTable[[#This Row],[Code]], allFYsTable[year2], AJ$3)=0, NotFound, SUMIFS(allFYsTable[OriginalBudget], allFYsTable[Code], SummaryTable[[#This Row],[Code]], allFYsTable[year2], AJ$3))</calculatedColumnFormula>
    </tableColumn>
    <tableColumn id="137" xr3:uid="{1E17BE46-E891-442C-B253-F4E3CE653117}" name="BudgetIncreaseAmount24" dataDxfId="153">
      <calculatedColumnFormula>SummaryTable[[#This Row],[OriginalBudget24]]-SummaryTable[[#This Row],[OriginalBudget23]]</calculatedColumnFormula>
    </tableColumn>
    <tableColumn id="138" xr3:uid="{98F315F7-6311-4E87-A013-67CA74EF9A87}" name="BudgetIncreasePercent24" dataDxfId="152">
      <calculatedColumnFormula>SummaryTable[[#This Row],[BudgetIncreaseAmount24]]/SummaryTable[[#This Row],[OriginalBudget23]]</calculatedColumnFormula>
    </tableColumn>
    <tableColumn id="139" xr3:uid="{BCF3508F-84EA-423C-AC69-0CDD392BE61F}" name="RevisedBudget24" dataDxfId="151">
      <calculatedColumnFormula>IF(COUNTIFS(allFYsTable[Code], SummaryTable[[#This Row],[Code]], allFYsTable[year2], AK$3)=0, NotFound, SUMIFS(allFYsTable[RevisedBudget], allFYsTable[Code], SummaryTable[[#This Row],[Code]], allFYsTable[year2], AJ$3))</calculatedColumnFormula>
    </tableColumn>
    <tableColumn id="107" xr3:uid="{0D88B8CF-1D16-45D1-B3E6-0BAAC25769B7}" name="Actual24" dataDxfId="150">
      <calculatedColumnFormula>IF(COUNTIFS(allFYsTable[Code], SummaryTable[[#This Row],[Code]], allFYsTable[year2], AJ$3)=0, NotFound, SUMIFS(allFYsTable[Actual], allFYsTable[Code], SummaryTable[[#This Row],[Code]], allFYsTable[year2], AJ$3))</calculatedColumnFormula>
    </tableColumn>
    <tableColumn id="30" xr3:uid="{AB62B13F-0C23-4C41-8C23-20D8ED24F806}" name="DiffAmount24" dataDxfId="149">
      <calculatedColumnFormula>IF(COUNTIFS(allFYsTable[Code], SummaryTable[[#This Row],[Code]], allFYsTable[year2], AJ$3)=0, NotFound, SUMIFS(allFYsTable[DiffAmount], allFYsTable[Code], SummaryTable[[#This Row],[Code]], allFYsTable[year2], AJ$3))</calculatedColumnFormula>
    </tableColumn>
    <tableColumn id="31" xr3:uid="{EF3AC225-FAE7-40AA-AC8E-C26D0EBD1FF3}" name="DiffPercent24" dataDxfId="148">
      <calculatedColumnFormula>IF(SummaryTable[[#This Row],[OriginalBudget24]]=0, IF(SummaryTable[[#This Row],[DiffAmount24]]=0, ZeroBudgetNoSpending, ZeroBudgetWithSpending), SummaryTable[[#This Row],[DiffAmount24]]/SummaryTable[[#This Row],[OriginalBudget24]])</calculatedColumnFormula>
    </tableColumn>
    <tableColumn id="32" xr3:uid="{3D06D817-3916-44ED-A2E9-B6DFA072010C}" name="OriginalBudget23" dataDxfId="147">
      <calculatedColumnFormula>IF(COUNTIFS(allFYsTable[Code], SummaryTable[[#This Row],[Code]], allFYsTable[year2], AQ$3)=0, NotFound, SUMIFS(allFYsTable[OriginalBudget], allFYsTable[Code], SummaryTable[[#This Row],[Code]], allFYsTable[year2], AQ$3))</calculatedColumnFormula>
    </tableColumn>
    <tableColumn id="140" xr3:uid="{1805E134-6EF5-43C7-BF40-2A1F900E450A}" name="BudgetIncreaseAmount23" dataDxfId="146">
      <calculatedColumnFormula>SummaryTable[[#This Row],[OriginalBudget23]]-SummaryTable[[#This Row],[OriginalBudget22]]</calculatedColumnFormula>
    </tableColumn>
    <tableColumn id="141" xr3:uid="{D11697E0-2BE8-498D-8FEF-94159C10079C}" name="BudgetIncreasePercent23" dataDxfId="145">
      <calculatedColumnFormula>SummaryTable[[#This Row],[BudgetIncreaseAmount23]]/SummaryTable[[#This Row],[OriginalBudget22]]</calculatedColumnFormula>
    </tableColumn>
    <tableColumn id="142" xr3:uid="{7BEE920C-64B9-4F57-9ED9-A3B64225D8BD}" name="RevisedBudget23" dataDxfId="144">
      <calculatedColumnFormula>IF(COUNTIFS(allFYsTable[Code], SummaryTable[[#This Row],[Code]], allFYsTable[year2], AQ$3)=0, NotFound, SUMIFS(allFYsTable[RevisedBudget], allFYsTable[Code], SummaryTable[[#This Row],[Code]], allFYsTable[year2], AQ$3))</calculatedColumnFormula>
    </tableColumn>
    <tableColumn id="108" xr3:uid="{FC807826-B496-4ED2-85BB-16D131FBD620}" name="Actual23" dataDxfId="143">
      <calculatedColumnFormula>IF(COUNTIFS(allFYsTable[Code], SummaryTable[[#This Row],[Code]], allFYsTable[year2], AQ$3)=0, NotFound, SUMIFS(allFYsTable[Actual], allFYsTable[Code], SummaryTable[[#This Row],[Code]], allFYsTable[year2], AQ$3))</calculatedColumnFormula>
    </tableColumn>
    <tableColumn id="33" xr3:uid="{13F57A33-FE9B-4FA2-94F1-05C39A3EB56E}" name="DiffAmount23" dataDxfId="142">
      <calculatedColumnFormula>IF(COUNTIFS(allFYsTable[Code], SummaryTable[[#This Row],[Code]], allFYsTable[year2], AQ$3)=0, NotFound, SUMIFS(allFYsTable[DiffAmount], allFYsTable[Code], SummaryTable[[#This Row],[Code]], allFYsTable[year2], AQ$3))</calculatedColumnFormula>
    </tableColumn>
    <tableColumn id="26" xr3:uid="{C1E8058F-FC88-4D00-832E-A1DC82385941}" name="DiffPercent23" dataDxfId="141">
      <calculatedColumnFormula>IF(SummaryTable[[#This Row],[OriginalBudget23]]=0, IF(SummaryTable[[#This Row],[DiffAmount23]]=0, ZeroBudgetNoSpending, ZeroBudgetWithSpending), SummaryTable[[#This Row],[DiffAmount23]]/SummaryTable[[#This Row],[OriginalBudget23]])</calculatedColumnFormula>
    </tableColumn>
    <tableColumn id="27" xr3:uid="{0B22B821-5E2B-454E-A62B-2243187100BE}" name="OriginalBudget22" dataDxfId="140">
      <calculatedColumnFormula>IF(COUNTIFS(allFYsTable[Code], SummaryTable[[#This Row],[Code]], allFYsTable[year2], AX$3)=0, NotFound, SUMIFS(allFYsTable[OriginalBudget], allFYsTable[Code], SummaryTable[[#This Row],[Code]], allFYsTable[year2], AX$3))</calculatedColumnFormula>
    </tableColumn>
    <tableColumn id="143" xr3:uid="{C44AC59B-7D24-4643-8321-E7B3F266CD7B}" name="BudgetIncreaseAmount22" dataDxfId="139">
      <calculatedColumnFormula>SummaryTable[[#This Row],[OriginalBudget22]]-SummaryTable[[#This Row],[OriginalBudget21]]</calculatedColumnFormula>
    </tableColumn>
    <tableColumn id="144" xr3:uid="{21FCD7B9-EAD6-4A7B-92BA-08E95BCF3815}" name="BudgetIncreasePercent22" dataDxfId="138">
      <calculatedColumnFormula>SummaryTable[[#This Row],[BudgetIncreaseAmount22]]/SummaryTable[[#This Row],[OriginalBudget21]]</calculatedColumnFormula>
    </tableColumn>
    <tableColumn id="145" xr3:uid="{45426E9A-6066-45E5-966A-6931D0767498}" name="RevisedBudget22" dataDxfId="137">
      <calculatedColumnFormula>IF(COUNTIFS(allFYsTable[Code], SummaryTable[[#This Row],[Code]], allFYsTable[year2], AX$3)=0, NotFound, SUMIFS(allFYsTable[RevisedBudget], allFYsTable[Code], SummaryTable[[#This Row],[Code]], allFYsTable[year2], AX$3))</calculatedColumnFormula>
    </tableColumn>
    <tableColumn id="109" xr3:uid="{9C594827-7339-4D41-9003-87142A638205}" name="Actual22" dataDxfId="136">
      <calculatedColumnFormula>IF(COUNTIFS(allFYsTable[Code], SummaryTable[[#This Row],[Code]], allFYsTable[year2], AX$3)=0, NotFound, SUMIFS(allFYsTable[Actual], allFYsTable[Code], SummaryTable[[#This Row],[Code]], allFYsTable[year2], AX$3))</calculatedColumnFormula>
    </tableColumn>
    <tableColumn id="28" xr3:uid="{2EF8A282-9B3B-4FF4-B3D8-94CAB3E67456}" name="DiffAmount22" dataDxfId="135">
      <calculatedColumnFormula>IF(COUNTIFS(allFYsTable[Code], SummaryTable[[#This Row],[Code]], allFYsTable[year2], AX$3)=0, NotFound, SUMIFS(allFYsTable[DiffAmount], allFYsTable[Code], SummaryTable[[#This Row],[Code]], allFYsTable[year2], AX$3))</calculatedColumnFormula>
    </tableColumn>
    <tableColumn id="29" xr3:uid="{6D7E2E01-7F1A-4D53-9905-FF92C1A3EB47}" name="DiffPercent22" dataDxfId="134">
      <calculatedColumnFormula>IF(SummaryTable[[#This Row],[OriginalBudget22]]=0, IF(SummaryTable[[#This Row],[DiffAmount22]]=0, ZeroBudgetNoSpending, ZeroBudgetWithSpending), SummaryTable[[#This Row],[DiffAmount22]]/SummaryTable[[#This Row],[OriginalBudget22]])</calculatedColumnFormula>
    </tableColumn>
    <tableColumn id="22" xr3:uid="{3909F14C-F338-4C91-B377-2BB46059CEB7}" name="OriginalBudget21" dataDxfId="133">
      <calculatedColumnFormula>IF(COUNTIFS(allFYsTable[Code], SummaryTable[[#This Row],[Code]], allFYsTable[year2], BE$3)=0, NotFound, SUMIFS(allFYsTable[OriginalBudget], allFYsTable[Code], SummaryTable[[#This Row],[Code]], allFYsTable[year2], BE$3))</calculatedColumnFormula>
    </tableColumn>
    <tableColumn id="146" xr3:uid="{218BF818-ED33-4E21-BBFE-93D1BC46D1EB}" name="BudgetIncreaseAmount21" dataDxfId="132">
      <calculatedColumnFormula>SummaryTable[[#This Row],[OriginalBudget21]]-SummaryTable[[#This Row],[OriginalBudget20]]</calculatedColumnFormula>
    </tableColumn>
    <tableColumn id="147" xr3:uid="{E03496BE-422C-47D3-932A-40E04E5D03AD}" name="BudgetIncreasePercent21" dataDxfId="131">
      <calculatedColumnFormula>SummaryTable[[#This Row],[BudgetIncreaseAmount21]]/SummaryTable[[#This Row],[OriginalBudget20]]</calculatedColumnFormula>
    </tableColumn>
    <tableColumn id="148" xr3:uid="{F0DA4B50-9062-4A67-A4C2-68514FEB5619}" name="RevisedBudget21" dataDxfId="130">
      <calculatedColumnFormula>IF(COUNTIFS(allFYsTable[Code], SummaryTable[[#This Row],[Code]], allFYsTable[year2], BE$3)=0, NotFound, SUMIFS(allFYsTable[RevisedBudget], allFYsTable[Code], SummaryTable[[#This Row],[Code]], allFYsTable[year2], BE$3))</calculatedColumnFormula>
    </tableColumn>
    <tableColumn id="110" xr3:uid="{0066AD50-6FB5-4C28-AFB4-6AE31157F586}" name="Actual21" dataDxfId="129">
      <calculatedColumnFormula>IF(COUNTIFS(allFYsTable[Code], SummaryTable[[#This Row],[Code]], allFYsTable[year2], BE$3)=0, NotFound, SUMIFS(allFYsTable[Actual], allFYsTable[Code], SummaryTable[[#This Row],[Code]], allFYsTable[year2], BE$3))</calculatedColumnFormula>
    </tableColumn>
    <tableColumn id="23" xr3:uid="{2DF88FC3-59E5-45CF-A463-D86F9A3754DD}" name="DiffAmount21" dataDxfId="128">
      <calculatedColumnFormula>IF(COUNTIFS(allFYsTable[Code], SummaryTable[[#This Row],[Code]], allFYsTable[year2], BE$3)=0, NotFound, SUMIFS(allFYsTable[DiffAmount], allFYsTable[Code], SummaryTable[[#This Row],[Code]], allFYsTable[year2], BE$3))</calculatedColumnFormula>
    </tableColumn>
    <tableColumn id="24" xr3:uid="{5AD0089D-3360-41FD-8BA4-4EC52946611C}" name="DiffPercent21" dataDxfId="127">
      <calculatedColumnFormula>IF(SummaryTable[[#This Row],[OriginalBudget21]]=0, IF(SummaryTable[[#This Row],[DiffAmount21]]=0, ZeroBudgetNoSpending, ZeroBudgetWithSpending), SummaryTable[[#This Row],[DiffAmount21]]/SummaryTable[[#This Row],[OriginalBudget21]])</calculatedColumnFormula>
    </tableColumn>
    <tableColumn id="25" xr3:uid="{2B02B516-24DA-426B-8CD1-DF97A79DBB02}" name="OriginalBudget20" dataDxfId="126">
      <calculatedColumnFormula>IF(COUNTIFS(allFYsTable[Code], SummaryTable[[#This Row],[Code]], allFYsTable[year2], BL$3)=0, NotFound, SUMIFS(allFYsTable[OriginalBudget], allFYsTable[Code], SummaryTable[[#This Row],[Code]], allFYsTable[year2], BL$3))</calculatedColumnFormula>
    </tableColumn>
    <tableColumn id="149" xr3:uid="{569F589D-35C0-4666-9954-06A982C11FEB}" name="BudgetIncreaseAmount20" dataDxfId="125">
      <calculatedColumnFormula>SummaryTable[[#This Row],[OriginalBudget20]]-SummaryTable[[#This Row],[OriginalBudget19]]</calculatedColumnFormula>
    </tableColumn>
    <tableColumn id="150" xr3:uid="{DC268753-1EAC-4FD6-B888-119EB16C91FA}" name="BudgetIncreasePercent20" dataDxfId="124">
      <calculatedColumnFormula>SummaryTable[[#This Row],[BudgetIncreaseAmount20]]/SummaryTable[[#This Row],[OriginalBudget19]]</calculatedColumnFormula>
    </tableColumn>
    <tableColumn id="151" xr3:uid="{78439513-E2C4-4869-9927-DCDF3DE76732}" name="RevisedBudget20" dataDxfId="123">
      <calculatedColumnFormula>IF(COUNTIFS(allFYsTable[Code], SummaryTable[[#This Row],[Code]], allFYsTable[year2], BL$3)=0, NotFound, SUMIFS(allFYsTable[RevisedBudget], allFYsTable[Code], SummaryTable[[#This Row],[Code]], allFYsTable[year2], BL$3))</calculatedColumnFormula>
    </tableColumn>
    <tableColumn id="111" xr3:uid="{71A95260-5456-4821-BDAB-09EF078ECE8A}" name="Actual20" dataDxfId="122">
      <calculatedColumnFormula>IF(COUNTIFS(allFYsTable[Code], SummaryTable[[#This Row],[Code]], allFYsTable[year2], BL$3)=0, NotFound, SUMIFS(allFYsTable[Actual], allFYsTable[Code], SummaryTable[[#This Row],[Code]], allFYsTable[year2], BL$3))</calculatedColumnFormula>
    </tableColumn>
    <tableColumn id="18" xr3:uid="{3ED1EFD0-9BF7-4B5D-BDB8-9CD18CC5CFE8}" name="DiffAmount20" dataDxfId="121">
      <calculatedColumnFormula>IF(COUNTIFS(allFYsTable[Code], SummaryTable[[#This Row],[Code]], allFYsTable[year2], BL$3)=0, NotFound, SUMIFS(allFYsTable[DiffAmount], allFYsTable[Code], SummaryTable[[#This Row],[Code]], allFYsTable[year2], BL$3))</calculatedColumnFormula>
    </tableColumn>
    <tableColumn id="19" xr3:uid="{7C336F9C-0C67-45FA-95B3-B965B7B42FF6}" name="DiffPercent20" dataDxfId="120">
      <calculatedColumnFormula>IF(SummaryTable[[#This Row],[OriginalBudget20]]=0, IF(SummaryTable[[#This Row],[DiffAmount20]]=0, ZeroBudgetNoSpending, ZeroBudgetWithSpending), SummaryTable[[#This Row],[DiffAmount20]]/SummaryTable[[#This Row],[OriginalBudget20]])</calculatedColumnFormula>
    </tableColumn>
    <tableColumn id="20" xr3:uid="{3FF185E6-C390-404F-933E-95F93C66FB19}" name="OriginalBudget19" dataDxfId="119">
      <calculatedColumnFormula>IF(COUNTIFS(allFYsTable[Code], SummaryTable[[#This Row],[Code]], allFYsTable[year2], BS$3)=0, NotFound, SUMIFS(allFYsTable[OriginalBudget], allFYsTable[Code], SummaryTable[[#This Row],[Code]], allFYsTable[year2], BS$3))</calculatedColumnFormula>
    </tableColumn>
    <tableColumn id="152" xr3:uid="{AF40F39D-EF90-48A6-8937-5FC184EE9E81}" name="BudgetIncreaseAmount19" dataDxfId="118">
      <calculatedColumnFormula>SummaryTable[[#This Row],[OriginalBudget19]]-SummaryTable[[#This Row],[OriginalBudget18]]</calculatedColumnFormula>
    </tableColumn>
    <tableColumn id="153" xr3:uid="{40DB3CE0-590D-4406-946D-684E00B33841}" name="BudgetIncreasePercent19" dataDxfId="117">
      <calculatedColumnFormula>SummaryTable[[#This Row],[BudgetIncreaseAmount19]]/SummaryTable[[#This Row],[OriginalBudget18]]</calculatedColumnFormula>
    </tableColumn>
    <tableColumn id="154" xr3:uid="{14B24F84-3F1C-4029-9D59-7E2B9D172A36}" name="RevisedBudget19" dataDxfId="116">
      <calculatedColumnFormula>IF(COUNTIFS(allFYsTable[Code], SummaryTable[[#This Row],[Code]], allFYsTable[year2], BS$3)=0, NotFound, SUMIFS(allFYsTable[RevisedBudget], allFYsTable[Code], SummaryTable[[#This Row],[Code]], allFYsTable[year2], BS$3))</calculatedColumnFormula>
    </tableColumn>
    <tableColumn id="112" xr3:uid="{70AE8A5E-E873-4975-9047-05190CFC660F}" name="Actual19" dataDxfId="115">
      <calculatedColumnFormula>IF(COUNTIFS(allFYsTable[Code], SummaryTable[[#This Row],[Code]], allFYsTable[year2], BS$3)=0, NotFound, SUMIFS(allFYsTable[Actual], allFYsTable[Code], SummaryTable[[#This Row],[Code]], allFYsTable[year2], BS$3))</calculatedColumnFormula>
    </tableColumn>
    <tableColumn id="21" xr3:uid="{C97CF0D6-440D-4E22-87F7-A43368C4A903}" name="DiffAmount19" dataDxfId="114">
      <calculatedColumnFormula>IF(COUNTIFS(allFYsTable[Code], SummaryTable[[#This Row],[Code]], allFYsTable[year2], BS$3)=0, NotFound, SUMIFS(allFYsTable[DiffAmount], allFYsTable[Code], SummaryTable[[#This Row],[Code]], allFYsTable[year2], BS$3))</calculatedColumnFormula>
    </tableColumn>
    <tableColumn id="12" xr3:uid="{33AEA400-3538-4531-B2B4-C7E3191E5990}" name="DiffPercent19" dataDxfId="113">
      <calculatedColumnFormula>IF(SummaryTable[[#This Row],[OriginalBudget19]]=0, IF(SummaryTable[[#This Row],[DiffAmount19]]=0, ZeroBudgetNoSpending, ZeroBudgetWithSpending), SummaryTable[[#This Row],[DiffAmount19]]/SummaryTable[[#This Row],[OriginalBudget19]])</calculatedColumnFormula>
    </tableColumn>
    <tableColumn id="13" xr3:uid="{579E83A1-9B3A-4160-9B14-24C3CC9F9F4B}" name="OriginalBudget18" dataDxfId="112">
      <calculatedColumnFormula>IF(COUNTIFS(allFYsTable[Code], SummaryTable[[#This Row],[Code]], allFYsTable[year2], BZ$3)=0, NotFound, SUMIFS(allFYsTable[OriginalBudget], allFYsTable[Code], SummaryTable[[#This Row],[Code]], allFYsTable[year2], BZ$3))</calculatedColumnFormula>
    </tableColumn>
    <tableColumn id="155" xr3:uid="{5A2E2ECE-BA93-4840-9FB9-3F1059718BF5}" name="BudgetIncreaseAmount18" dataDxfId="111">
      <calculatedColumnFormula>SummaryTable[[#This Row],[OriginalBudget18]]-SummaryTable[[#This Row],[OriginalBudget17]]</calculatedColumnFormula>
    </tableColumn>
    <tableColumn id="156" xr3:uid="{C814FA8F-9449-4898-9638-0739C3AE7723}" name="BudgetIncreasePercent18" dataDxfId="110">
      <calculatedColumnFormula>SummaryTable[[#This Row],[BudgetIncreaseAmount18]]/SummaryTable[[#This Row],[OriginalBudget17]]</calculatedColumnFormula>
    </tableColumn>
    <tableColumn id="157" xr3:uid="{1B301C14-CD28-44B6-BFFD-7698E262826D}" name="RevisedBudget18" dataDxfId="109">
      <calculatedColumnFormula>IF(COUNTIFS(allFYsTable[Code], SummaryTable[[#This Row],[Code]], allFYsTable[year2], BZ$3)=0, NotFound, SUMIFS(allFYsTable[RevisedBudget], allFYsTable[Code], SummaryTable[[#This Row],[Code]], allFYsTable[year2], BZ$3))</calculatedColumnFormula>
    </tableColumn>
    <tableColumn id="113" xr3:uid="{7424656F-1A42-4F7B-8121-8AD8F553AFD7}" name="Actual18" dataDxfId="108">
      <calculatedColumnFormula>IF(COUNTIFS(allFYsTable[Code], SummaryTable[[#This Row],[Code]], allFYsTable[year2], BZ$3)=0, NotFound, SUMIFS(allFYsTable[Actual], allFYsTable[Code], SummaryTable[[#This Row],[Code]], allFYsTable[year2], BZ$3))</calculatedColumnFormula>
    </tableColumn>
    <tableColumn id="14" xr3:uid="{AB019916-54F4-4D1F-809C-D278D5835E53}" name="DiffAmount18" dataDxfId="107">
      <calculatedColumnFormula>IF(COUNTIFS(allFYsTable[Code], SummaryTable[[#This Row],[Code]], allFYsTable[year2], BZ$3)=0, NotFound, SUMIFS(allFYsTable[DiffAmount], allFYsTable[Code], SummaryTable[[#This Row],[Code]], allFYsTable[year2], BZ$3))</calculatedColumnFormula>
    </tableColumn>
    <tableColumn id="15" xr3:uid="{B1CBB35A-AA92-4940-8CE4-F0B8374C0AA8}" name="DiffPercent18" dataDxfId="106">
      <calculatedColumnFormula>IF(SummaryTable[[#This Row],[OriginalBudget18]]=0, IF(SummaryTable[[#This Row],[DiffAmount18]]=0, ZeroBudgetNoSpending, ZeroBudgetWithSpending), SummaryTable[[#This Row],[DiffAmount18]]/SummaryTable[[#This Row],[OriginalBudget18]])</calculatedColumnFormula>
    </tableColumn>
    <tableColumn id="38" xr3:uid="{1E11A3F7-1E74-47E5-AF47-FE0829A4A35D}" name="OriginalBudget17" dataDxfId="105">
      <calculatedColumnFormula>IF(COUNTIFS(allFYsTable[Code], SummaryTable[[#This Row],[Code]], allFYsTable[year2], CG$3)=0, NotFound, SUMIFS(allFYsTable[OriginalBudget], allFYsTable[Code], SummaryTable[[#This Row],[Code]], allFYsTable[year2], CG$3))</calculatedColumnFormula>
    </tableColumn>
    <tableColumn id="158" xr3:uid="{6EC17CE9-57F1-4033-BF27-5868BCDD6F11}" name="BudgetIncreaseAmount17" dataDxfId="104">
      <calculatedColumnFormula>SummaryTable[[#This Row],[OriginalBudget17]]-SummaryTable[[#This Row],[OriginalBudget16]]</calculatedColumnFormula>
    </tableColumn>
    <tableColumn id="159" xr3:uid="{33AE3B25-198B-4677-8FF0-4C6F571266B6}" name="BudgetIncreasePercent17" dataDxfId="103">
      <calculatedColumnFormula>SummaryTable[[#This Row],[BudgetIncreaseAmount17]]/SummaryTable[[#This Row],[OriginalBudget16]]</calculatedColumnFormula>
    </tableColumn>
    <tableColumn id="160" xr3:uid="{1043BC66-CE80-4F27-B047-A09EBF83EF82}" name="RevisedBudget17" dataDxfId="102">
      <calculatedColumnFormula>IF(COUNTIFS(allFYsTable[Code], SummaryTable[[#This Row],[Code]], allFYsTable[year2], CG$3)=0, NotFound, SUMIFS(allFYsTable[RevisedBudget], allFYsTable[Code], SummaryTable[[#This Row],[Code]], allFYsTable[year2], CG$3))</calculatedColumnFormula>
    </tableColumn>
    <tableColumn id="114" xr3:uid="{1EF209D9-FCA8-4E9A-811B-738834707FF7}" name="Actual17" dataDxfId="101">
      <calculatedColumnFormula>IF(COUNTIFS(allFYsTable[Code], SummaryTable[[#This Row],[Code]], allFYsTable[year2], CG$3)=0, NotFound, SUMIFS(allFYsTable[Actual], allFYsTable[Code], SummaryTable[[#This Row],[Code]], allFYsTable[year2], CG$3))</calculatedColumnFormula>
    </tableColumn>
    <tableColumn id="39" xr3:uid="{3F73E60F-500F-4772-B4AB-E3C3C4351BCA}" name="DiffAmount17" dataDxfId="100">
      <calculatedColumnFormula>IF(COUNTIFS(allFYsTable[Code], SummaryTable[[#This Row],[Code]], allFYsTable[year2], CG$3)=0, NotFound, SUMIFS(allFYsTable[DiffAmount], allFYsTable[Code], SummaryTable[[#This Row],[Code]], allFYsTable[year2], CG$3))</calculatedColumnFormula>
    </tableColumn>
    <tableColumn id="40" xr3:uid="{9E34DFEC-6E20-4E36-972B-4D21050452A6}" name="DiffPercent17" dataDxfId="99">
      <calculatedColumnFormula>IF(SummaryTable[[#This Row],[OriginalBudget17]]=0, IF(SummaryTable[[#This Row],[DiffAmount17]]=0, ZeroBudgetNoSpending, ZeroBudgetWithSpending), SummaryTable[[#This Row],[DiffAmount17]]/SummaryTable[[#This Row],[OriginalBudget17]])</calculatedColumnFormula>
    </tableColumn>
    <tableColumn id="41" xr3:uid="{B86E41C3-02D3-45B0-B7E5-5672881A5A78}" name="OriginalBudget16" dataDxfId="98">
      <calculatedColumnFormula>IF(COUNTIFS(allFYsTable[Code], SummaryTable[[#This Row],[Code]], allFYsTable[year2], CN$3)=0, NotFound, SUMIFS(allFYsTable[OriginalBudget], allFYsTable[Code], SummaryTable[[#This Row],[Code]], allFYsTable[year2], CN$3))</calculatedColumnFormula>
    </tableColumn>
    <tableColumn id="161" xr3:uid="{60445E49-FC13-4423-AA1D-003909FFD17D}" name="BudgetIncreaseAmount16" dataDxfId="97">
      <calculatedColumnFormula>SummaryTable[[#This Row],[OriginalBudget16]]-SummaryTable[[#This Row],[OriginalBudget15]]</calculatedColumnFormula>
    </tableColumn>
    <tableColumn id="162" xr3:uid="{70331B2B-EAED-4C48-B128-7A83878104EB}" name="BudgetIncreasePercent16" dataDxfId="96">
      <calculatedColumnFormula>SummaryTable[[#This Row],[BudgetIncreaseAmount16]]/SummaryTable[[#This Row],[OriginalBudget15]]</calculatedColumnFormula>
    </tableColumn>
    <tableColumn id="163" xr3:uid="{1F310A44-6E8B-4C77-B9EC-D1687F33FF4D}" name="RevisedBudget16" dataDxfId="95">
      <calculatedColumnFormula>IF(COUNTIFS(allFYsTable[Code], SummaryTable[[#This Row],[Code]], allFYsTable[year2], CN$3)=0, NotFound, SUMIFS(allFYsTable[RevisedBudget], allFYsTable[Code], SummaryTable[[#This Row],[Code]], allFYsTable[year2], CN$3))</calculatedColumnFormula>
    </tableColumn>
    <tableColumn id="115" xr3:uid="{B6ECEA06-A784-44BD-A3E6-E733301E497D}" name="Actual16" dataDxfId="94">
      <calculatedColumnFormula>IF(COUNTIFS(allFYsTable[Code], SummaryTable[[#This Row],[Code]], allFYsTable[year2], CN$3)=0, NotFound, SUMIFS(allFYsTable[Actual], allFYsTable[Code], SummaryTable[[#This Row],[Code]], allFYsTable[year2], CN$3))</calculatedColumnFormula>
    </tableColumn>
    <tableColumn id="42" xr3:uid="{B794ED84-34E3-45B7-9AD0-2AC7ED2D714B}" name="DiffAmount16" dataDxfId="93">
      <calculatedColumnFormula>IF(COUNTIFS(allFYsTable[Code], SummaryTable[[#This Row],[Code]], allFYsTable[year2], CN$3)=0, NotFound, SUMIFS(allFYsTable[DiffAmount], allFYsTable[Code], SummaryTable[[#This Row],[Code]], allFYsTable[year2], CN$3))</calculatedColumnFormula>
    </tableColumn>
    <tableColumn id="43" xr3:uid="{4C0358D0-7B5E-4020-8DD2-68BAF4FD47D0}" name="DiffPercent16" dataDxfId="92">
      <calculatedColumnFormula>IF(SummaryTable[[#This Row],[OriginalBudget16]]=0, IF(SummaryTable[[#This Row],[DiffAmount16]]=0, ZeroBudgetNoSpending, ZeroBudgetWithSpending), SummaryTable[[#This Row],[DiffAmount16]]/SummaryTable[[#This Row],[OriginalBudget16]])</calculatedColumnFormula>
    </tableColumn>
    <tableColumn id="44" xr3:uid="{B5C3437A-2007-4CB9-8969-F44707B15E94}" name="OriginalBudget15" dataDxfId="91">
      <calculatedColumnFormula>IF(COUNTIFS(allFYsTable[Code], SummaryTable[[#This Row],[Code]], allFYsTable[year2], CU$3)=0, NotFound, SUMIFS(allFYsTable[OriginalBudget], allFYsTable[Code], SummaryTable[[#This Row],[Code]], allFYsTable[year2], CU$3))</calculatedColumnFormula>
    </tableColumn>
    <tableColumn id="164" xr3:uid="{69D9B50C-E715-41E8-9B2F-AD9F809F34D2}" name="BudgetIncreaseAmount15" dataDxfId="90">
      <calculatedColumnFormula>SummaryTable[[#This Row],[OriginalBudget15]]-SummaryTable[[#This Row],[OriginalBudget14]]</calculatedColumnFormula>
    </tableColumn>
    <tableColumn id="165" xr3:uid="{1AFAF14B-0892-4F84-AFA6-B6E41D8C93F6}" name="BudgetIncreasePercent15" dataDxfId="89">
      <calculatedColumnFormula>SummaryTable[[#This Row],[BudgetIncreaseAmount15]]/SummaryTable[[#This Row],[OriginalBudget14]]</calculatedColumnFormula>
    </tableColumn>
    <tableColumn id="166" xr3:uid="{24212CF6-6D33-4FC5-83A4-34B9961D5C87}" name="RevisedBudget15" dataDxfId="88">
      <calculatedColumnFormula>IF(COUNTIFS(allFYsTable[Code], SummaryTable[[#This Row],[Code]], allFYsTable[year2], CU$3)=0, NotFound, SUMIFS(allFYsTable[RevisedBudget], allFYsTable[Code], SummaryTable[[#This Row],[Code]], allFYsTable[year2], CU$3))</calculatedColumnFormula>
    </tableColumn>
    <tableColumn id="116" xr3:uid="{08FABB4D-6FD3-4281-AB5F-90FF5825292B}" name="Actual15" dataDxfId="87">
      <calculatedColumnFormula>IF(COUNTIFS(allFYsTable[Code], SummaryTable[[#This Row],[Code]], allFYsTable[year2], CU$3)=0, NotFound, SUMIFS(allFYsTable[Actual], allFYsTable[Code], SummaryTable[[#This Row],[Code]], allFYsTable[year2], CU$3))</calculatedColumnFormula>
    </tableColumn>
    <tableColumn id="45" xr3:uid="{66B71FA6-204B-460B-A7C2-461AF1D93C96}" name="DiffAmount15" dataDxfId="86">
      <calculatedColumnFormula>IF(COUNTIFS(allFYsTable[Code], SummaryTable[[#This Row],[Code]], allFYsTable[year2], CU$3)=0, NotFound, SUMIFS(allFYsTable[DiffAmount], allFYsTable[Code], SummaryTable[[#This Row],[Code]], allFYsTable[year2], CU$3))</calculatedColumnFormula>
    </tableColumn>
    <tableColumn id="46" xr3:uid="{9EE7A8C8-9ADA-43F9-92AE-6C75A712A7E0}" name="DiffPercent15" dataDxfId="85">
      <calculatedColumnFormula>IF(SummaryTable[[#This Row],[OriginalBudget15]]=0, IF(SummaryTable[[#This Row],[DiffAmount15]]=0, ZeroBudgetNoSpending, ZeroBudgetWithSpending), SummaryTable[[#This Row],[DiffAmount15]]/SummaryTable[[#This Row],[OriginalBudget15]])</calculatedColumnFormula>
    </tableColumn>
    <tableColumn id="47" xr3:uid="{ACB4AA23-0433-4768-85FF-902F19906EE4}" name="OriginalBudget14" dataDxfId="84">
      <calculatedColumnFormula>IF(COUNTIFS(allFYsTable[Code], SummaryTable[[#This Row],[Code]], allFYsTable[year2], DB$3)=0, NotFound, SUMIFS(allFYsTable[OriginalBudget], allFYsTable[Code], SummaryTable[[#This Row],[Code]], allFYsTable[year2], DB$3))</calculatedColumnFormula>
    </tableColumn>
    <tableColumn id="167" xr3:uid="{5EFE949D-7390-4AF5-8007-2E45D828BB8E}" name="BudgetIncreaseAmount14" dataDxfId="83">
      <calculatedColumnFormula>SummaryTable[[#This Row],[OriginalBudget14]]-SummaryTable[[#This Row],[OriginalBudget13]]</calculatedColumnFormula>
    </tableColumn>
    <tableColumn id="168" xr3:uid="{01A73BFA-8CF8-4AA5-A4BB-1D8D63D023B8}" name="BudgetIncreasePercent14" dataDxfId="82">
      <calculatedColumnFormula>SummaryTable[[#This Row],[BudgetIncreaseAmount14]]/SummaryTable[[#This Row],[OriginalBudget13]]</calculatedColumnFormula>
    </tableColumn>
    <tableColumn id="169" xr3:uid="{E518F315-766A-45B6-8768-C53F2BF31697}" name="RevisedBudget14" dataDxfId="81">
      <calculatedColumnFormula>IF(COUNTIFS(allFYsTable[Code], SummaryTable[[#This Row],[Code]], allFYsTable[year2], DB$3)=0, NotFound, SUMIFS(allFYsTable[RevisedBudget], allFYsTable[Code], SummaryTable[[#This Row],[Code]], allFYsTable[year2], DB$3))</calculatedColumnFormula>
    </tableColumn>
    <tableColumn id="117" xr3:uid="{47A972B1-031A-4C08-B0E0-99C79BEA3DE4}" name="Actual14" dataDxfId="80">
      <calculatedColumnFormula>IF(COUNTIFS(allFYsTable[Code], SummaryTable[[#This Row],[Code]], allFYsTable[year2], DB$3)=0, NotFound, SUMIFS(allFYsTable[Actual], allFYsTable[Code], SummaryTable[[#This Row],[Code]], allFYsTable[year2], DB$3))</calculatedColumnFormula>
    </tableColumn>
    <tableColumn id="48" xr3:uid="{6D64C116-DA99-4173-91DE-3D45A75AA317}" name="DiffAmount14" dataDxfId="79">
      <calculatedColumnFormula>IF(COUNTIFS(allFYsTable[Code], SummaryTable[[#This Row],[Code]], allFYsTable[year2], DB$3)=0, NotFound, SUMIFS(allFYsTable[DiffAmount], allFYsTable[Code], SummaryTable[[#This Row],[Code]], allFYsTable[year2], DB$3))</calculatedColumnFormula>
    </tableColumn>
    <tableColumn id="49" xr3:uid="{6FBBCC8A-3B97-4A70-9C71-7F006A13F254}" name="DiffPercent14" dataDxfId="78">
      <calculatedColumnFormula>IF(SummaryTable[[#This Row],[OriginalBudget14]]=0, IF(SummaryTable[[#This Row],[DiffAmount14]]=0, ZeroBudgetNoSpending, ZeroBudgetWithSpending), SummaryTable[[#This Row],[DiffAmount14]]/SummaryTable[[#This Row],[OriginalBudget14]])</calculatedColumnFormula>
    </tableColumn>
    <tableColumn id="50" xr3:uid="{57A7E027-6D3E-45D6-87B3-3ED242FE27F4}" name="OriginalBudget13" dataDxfId="77">
      <calculatedColumnFormula>IF(COUNTIFS(allFYsTable[Code], SummaryTable[[#This Row],[Code]], allFYsTable[year2], DI$3)=0, NotFound, SUMIFS(allFYsTable[OriginalBudget], allFYsTable[Code], SummaryTable[[#This Row],[Code]], allFYsTable[year2], DI$3))</calculatedColumnFormula>
    </tableColumn>
    <tableColumn id="170" xr3:uid="{88F0FD38-9280-45FA-9EF0-5FE929BD1500}" name="BudgetIncreaseAmount13" dataDxfId="76">
      <calculatedColumnFormula>SummaryTable[[#This Row],[OriginalBudget13]]-SummaryTable[[#This Row],[OriginalBudget12]]</calculatedColumnFormula>
    </tableColumn>
    <tableColumn id="171" xr3:uid="{FFF3D5D4-E678-4BBC-9C8A-648CA95AB89C}" name="BudgetIncreasePercent13" dataDxfId="75">
      <calculatedColumnFormula>SummaryTable[[#This Row],[BudgetIncreaseAmount13]]/SummaryTable[[#This Row],[OriginalBudget12]]</calculatedColumnFormula>
    </tableColumn>
    <tableColumn id="172" xr3:uid="{270397EB-EACE-49BD-88FF-485B7507A98B}" name="RevisedBudget13" dataDxfId="74">
      <calculatedColumnFormula>IF(COUNTIFS(allFYsTable[Code], SummaryTable[[#This Row],[Code]], allFYsTable[year2], DI$3)=0, NotFound, SUMIFS(allFYsTable[RevisedBudget], allFYsTable[Code], SummaryTable[[#This Row],[Code]], allFYsTable[year2], DI$3))</calculatedColumnFormula>
    </tableColumn>
    <tableColumn id="118" xr3:uid="{184A397F-5B6D-4A33-8551-9B575B56045A}" name="Actual13" dataDxfId="73">
      <calculatedColumnFormula>IF(COUNTIFS(allFYsTable[Code], SummaryTable[[#This Row],[Code]], allFYsTable[year2], DI$3)=0, NotFound, SUMIFS(allFYsTable[Actual], allFYsTable[Code], SummaryTable[[#This Row],[Code]], allFYsTable[year2], DI$3))</calculatedColumnFormula>
    </tableColumn>
    <tableColumn id="51" xr3:uid="{FFF3D3B8-D401-46B0-A9D4-E8F34269EE63}" name="DiffAmount13" dataDxfId="72">
      <calculatedColumnFormula>IF(COUNTIFS(allFYsTable[Code], SummaryTable[[#This Row],[Code]], allFYsTable[year2], DI$3)=0, NotFound, SUMIFS(allFYsTable[DiffAmount], allFYsTable[Code], SummaryTable[[#This Row],[Code]], allFYsTable[year2], DI$3))</calculatedColumnFormula>
    </tableColumn>
    <tableColumn id="52" xr3:uid="{ED0D9A78-2872-4B40-990D-5202A5ED9F7A}" name="DiffPercent13" dataDxfId="71">
      <calculatedColumnFormula>IF(SummaryTable[[#This Row],[OriginalBudget13]]=0, IF(SummaryTable[[#This Row],[DiffAmount13]]=0, ZeroBudgetNoSpending, ZeroBudgetWithSpending), SummaryTable[[#This Row],[DiffAmount13]]/SummaryTable[[#This Row],[OriginalBudget13]])</calculatedColumnFormula>
    </tableColumn>
    <tableColumn id="53" xr3:uid="{B1B4B233-9541-4E8E-8C65-01FA3FE7F350}" name="OriginalBudget12" dataDxfId="70">
      <calculatedColumnFormula>IF(COUNTIFS(allFYsTable[Code], SummaryTable[[#This Row],[Code]], allFYsTable[year2], DP$3)=0, NotFound, SUMIFS(allFYsTable[OriginalBudget], allFYsTable[Code], SummaryTable[[#This Row],[Code]], allFYsTable[year2], DP$3))</calculatedColumnFormula>
    </tableColumn>
    <tableColumn id="173" xr3:uid="{693E8487-8383-4DD4-BC09-B4F7B05AFD73}" name="BudgetIncreaseAmount12" dataDxfId="69">
      <calculatedColumnFormula>SummaryTable[[#This Row],[OriginalBudget12]]-SummaryTable[[#This Row],[OriginalBudget11]]</calculatedColumnFormula>
    </tableColumn>
    <tableColumn id="174" xr3:uid="{ED41AB8A-AC32-419C-8179-BE1AC81A45B3}" name="BudgetIncreasePercent12" dataDxfId="68">
      <calculatedColumnFormula>SummaryTable[[#This Row],[BudgetIncreaseAmount12]]/SummaryTable[[#This Row],[OriginalBudget11]]</calculatedColumnFormula>
    </tableColumn>
    <tableColumn id="175" xr3:uid="{61B078F3-2424-4844-9357-619F15C927BE}" name="RevisedBudget12" dataDxfId="67">
      <calculatedColumnFormula>IF(COUNTIFS(allFYsTable[Code], SummaryTable[[#This Row],[Code]], allFYsTable[year2], DP$3)=0, NotFound, SUMIFS(allFYsTable[RevisedBudget], allFYsTable[Code], SummaryTable[[#This Row],[Code]], allFYsTable[year2], DP$3))</calculatedColumnFormula>
    </tableColumn>
    <tableColumn id="119" xr3:uid="{D965A2BD-D0C7-4E4F-B983-0B163C65ADF0}" name="Actual12" dataDxfId="66">
      <calculatedColumnFormula>IF(COUNTIFS(allFYsTable[Code], SummaryTable[[#This Row],[Code]], allFYsTable[year2], DP$3)=0, NotFound, SUMIFS(allFYsTable[Actual], allFYsTable[Code], SummaryTable[[#This Row],[Code]], allFYsTable[year2], DP$3))</calculatedColumnFormula>
    </tableColumn>
    <tableColumn id="54" xr3:uid="{8600DFFF-1B2B-40A5-8659-509F039BB1DE}" name="DiffAmount12" dataDxfId="65">
      <calculatedColumnFormula>IF(COUNTIFS(allFYsTable[Code], SummaryTable[[#This Row],[Code]], allFYsTable[year2], DP$3)=0, NotFound, SUMIFS(allFYsTable[DiffAmount], allFYsTable[Code], SummaryTable[[#This Row],[Code]], allFYsTable[year2], DP$3))</calculatedColumnFormula>
    </tableColumn>
    <tableColumn id="55" xr3:uid="{E0321239-1293-4D29-8AA3-061B58C11A60}" name="DiffPercent12" dataDxfId="64">
      <calculatedColumnFormula>IF(SummaryTable[[#This Row],[OriginalBudget12]]=0, IF(SummaryTable[[#This Row],[DiffAmount12]]=0, ZeroBudgetNoSpending, ZeroBudgetWithSpending), SummaryTable[[#This Row],[DiffAmount12]]/SummaryTable[[#This Row],[OriginalBudget12]])</calculatedColumnFormula>
    </tableColumn>
    <tableColumn id="56" xr3:uid="{68D4A6B3-00E3-4D40-A597-F2E7D35A3118}" name="OriginalBudget11" dataDxfId="63">
      <calculatedColumnFormula>IF(COUNTIFS(allFYsTable[Code], SummaryTable[[#This Row],[Code]], allFYsTable[year2], DW$3)=0, NotFound, SUMIFS(allFYsTable[OriginalBudget], allFYsTable[Code], SummaryTable[[#This Row],[Code]], allFYsTable[year2], DW$3))</calculatedColumnFormula>
    </tableColumn>
    <tableColumn id="176" xr3:uid="{D6459747-ED3F-42F6-B869-8AF1EF1CC347}" name="BudgetIncreaseAmount11" dataDxfId="62">
      <calculatedColumnFormula>SummaryTable[[#This Row],[OriginalBudget11]]-SummaryTable[[#This Row],[OriginalBudget10]]</calculatedColumnFormula>
    </tableColumn>
    <tableColumn id="177" xr3:uid="{6B4FBEDD-FE21-4D3E-B546-04CC4E935E74}" name="BudgetIncreasePercent11" dataDxfId="61">
      <calculatedColumnFormula>SummaryTable[[#This Row],[BudgetIncreaseAmount11]]/SummaryTable[[#This Row],[OriginalBudget10]]</calculatedColumnFormula>
    </tableColumn>
    <tableColumn id="178" xr3:uid="{4CAE2CAA-5BE9-446F-9081-FEA57B8AFE21}" name="RevisedBudget11" dataDxfId="60">
      <calculatedColumnFormula>IF(COUNTIFS(allFYsTable[Code], SummaryTable[[#This Row],[Code]], allFYsTable[year2], DW$3)=0, NotFound, SUMIFS(allFYsTable[RevisedBudget], allFYsTable[Code], SummaryTable[[#This Row],[Code]], allFYsTable[year2], DW$3))</calculatedColumnFormula>
    </tableColumn>
    <tableColumn id="120" xr3:uid="{0F404085-2774-45F0-93B1-E2278D94D844}" name="Actual11" dataDxfId="59">
      <calculatedColumnFormula>IF(COUNTIFS(allFYsTable[Code], SummaryTable[[#This Row],[Code]], allFYsTable[year2], DW$3)=0, NotFound, SUMIFS(allFYsTable[Actual], allFYsTable[Code], SummaryTable[[#This Row],[Code]], allFYsTable[year2], DW$3))</calculatedColumnFormula>
    </tableColumn>
    <tableColumn id="57" xr3:uid="{5BB71D38-D83E-42FA-9860-4BC726EBCD87}" name="DiffAmount11" dataDxfId="58">
      <calculatedColumnFormula>IF(COUNTIFS(allFYsTable[Code], SummaryTable[[#This Row],[Code]], allFYsTable[year2], DW$3)=0, NotFound, SUMIFS(allFYsTable[DiffAmount], allFYsTable[Code], SummaryTable[[#This Row],[Code]], allFYsTable[year2], DW$3))</calculatedColumnFormula>
    </tableColumn>
    <tableColumn id="58" xr3:uid="{BEA0B933-A1DC-4C91-A0D9-876B6E0C078E}" name="DiffPercent11" dataDxfId="57">
      <calculatedColumnFormula>IF(SummaryTable[[#This Row],[OriginalBudget11]]=0, IF(SummaryTable[[#This Row],[DiffAmount11]]=0, ZeroBudgetNoSpending, ZeroBudgetWithSpending), SummaryTable[[#This Row],[DiffAmount11]]/SummaryTable[[#This Row],[OriginalBudget11]])</calculatedColumnFormula>
    </tableColumn>
    <tableColumn id="59" xr3:uid="{CC82230E-4905-4697-B7C9-5858F218F8E9}" name="OriginalBudget10" dataDxfId="56">
      <calculatedColumnFormula>IF(COUNTIFS(allFYsTable[Code], SummaryTable[[#This Row],[Code]], allFYsTable[year2], ED$3)=0, NotFound, SUMIFS(allFYsTable[OriginalBudget], allFYsTable[Code], SummaryTable[[#This Row],[Code]], allFYsTable[year2], ED$3))</calculatedColumnFormula>
    </tableColumn>
    <tableColumn id="179" xr3:uid="{C4D2A5A2-AC54-411F-A941-BB51DB201F42}" name="BudgetIncreaseAmount10" dataDxfId="55">
      <calculatedColumnFormula>SummaryTable[[#This Row],[OriginalBudget10]]-SummaryTable[[#This Row],[OriginalBudget09]]</calculatedColumnFormula>
    </tableColumn>
    <tableColumn id="180" xr3:uid="{A0078742-BD04-456A-AE1E-C3DDD493703C}" name="BudgetIncreasePercent10" dataDxfId="54">
      <calculatedColumnFormula>SummaryTable[[#This Row],[BudgetIncreaseAmount10]]/SummaryTable[[#This Row],[OriginalBudget09]]</calculatedColumnFormula>
    </tableColumn>
    <tableColumn id="181" xr3:uid="{06B5C784-A808-4F12-8438-C2004642831C}" name="RevisedBudget10" dataDxfId="53">
      <calculatedColumnFormula>IF(COUNTIFS(allFYsTable[Code], SummaryTable[[#This Row],[Code]], allFYsTable[year2], ED$3)=0, NotFound, SUMIFS(allFYsTable[RevisedBudget], allFYsTable[Code], SummaryTable[[#This Row],[Code]], allFYsTable[year2], ED$3))</calculatedColumnFormula>
    </tableColumn>
    <tableColumn id="121" xr3:uid="{00B25BAC-7596-417E-8F30-A85D456E45B0}" name="Actual10" dataDxfId="52">
      <calculatedColumnFormula>IF(COUNTIFS(allFYsTable[Code], SummaryTable[[#This Row],[Code]], allFYsTable[year2], ED$3)=0, NotFound, SUMIFS(allFYsTable[Actual], allFYsTable[Code], SummaryTable[[#This Row],[Code]], allFYsTable[year2], ED$3))</calculatedColumnFormula>
    </tableColumn>
    <tableColumn id="60" xr3:uid="{69DA27FB-3162-4353-A9FA-EA832B833AA5}" name="DiffAmount10" dataDxfId="51">
      <calculatedColumnFormula>IF(COUNTIFS(allFYsTable[Code], SummaryTable[[#This Row],[Code]], allFYsTable[year2], ED$3)=0, NotFound, SUMIFS(allFYsTable[DiffAmount], allFYsTable[Code], SummaryTable[[#This Row],[Code]], allFYsTable[year2], ED$3))</calculatedColumnFormula>
    </tableColumn>
    <tableColumn id="61" xr3:uid="{B1EC42FB-6FFC-4ACF-954C-5EFFA7C1490C}" name="DiffPercent10" dataDxfId="50">
      <calculatedColumnFormula>IF(SummaryTable[[#This Row],[OriginalBudget10]]=0, IF(SummaryTable[[#This Row],[DiffAmount10]]=0, ZeroBudgetNoSpending, ZeroBudgetWithSpending), SummaryTable[[#This Row],[DiffAmount10]]/SummaryTable[[#This Row],[OriginalBudget10]])</calculatedColumnFormula>
    </tableColumn>
    <tableColumn id="62" xr3:uid="{14A750E2-2DF8-45ED-A711-CF3FF1FA65CD}" name="OriginalBudget09" dataDxfId="49">
      <calculatedColumnFormula>IF(COUNTIFS(allFYsTable[Code], SummaryTable[[#This Row],[Code]], allFYsTable[year2], EK$3)=0, NotFound, SUMIFS(allFYsTable[OriginalBudget], allFYsTable[Code], SummaryTable[[#This Row],[Code]], allFYsTable[year2], EK$3))</calculatedColumnFormula>
    </tableColumn>
    <tableColumn id="182" xr3:uid="{60D315E1-2F35-41A7-B760-DD6E6C59BCDA}" name="BudgetIncreaseAmount09" dataDxfId="48">
      <calculatedColumnFormula>SummaryTable[[#This Row],[OriginalBudget09]]-SummaryTable[[#This Row],[OriginalBudget08]]</calculatedColumnFormula>
    </tableColumn>
    <tableColumn id="183" xr3:uid="{41B9CB1C-66CF-4FB2-A5DE-721948FCF384}" name="BudgetIncreasePercent09" dataDxfId="47">
      <calculatedColumnFormula>SummaryTable[[#This Row],[BudgetIncreaseAmount09]]/SummaryTable[[#This Row],[OriginalBudget08]]</calculatedColumnFormula>
    </tableColumn>
    <tableColumn id="184" xr3:uid="{5A6CCA20-64AD-47FD-9FDE-B8C7F2572B41}" name="RevisedBudget09" dataDxfId="46">
      <calculatedColumnFormula>IF(COUNTIFS(allFYsTable[Code], SummaryTable[[#This Row],[Code]], allFYsTable[year2], EK$3)=0, NotFound, SUMIFS(allFYsTable[RevisedBudget], allFYsTable[Code], SummaryTable[[#This Row],[Code]], allFYsTable[year2], EK$3))</calculatedColumnFormula>
    </tableColumn>
    <tableColumn id="122" xr3:uid="{0EAC34D7-ACF5-41DB-B18B-814663D21796}" name="Actual09" dataDxfId="45">
      <calculatedColumnFormula>IF(COUNTIFS(allFYsTable[Code], SummaryTable[[#This Row],[Code]], allFYsTable[year2], EK$3)=0, NotFound, SUMIFS(allFYsTable[Actual], allFYsTable[Code], SummaryTable[[#This Row],[Code]], allFYsTable[year2], EK$3))</calculatedColumnFormula>
    </tableColumn>
    <tableColumn id="63" xr3:uid="{C7455DA7-6FDB-4DC1-9A17-FAD5E191A6E7}" name="DiffAmount09" dataDxfId="44">
      <calculatedColumnFormula>IF(COUNTIFS(allFYsTable[Code], SummaryTable[[#This Row],[Code]], allFYsTable[year2], EK$3)=0, NotFound, SUMIFS(allFYsTable[DiffAmount], allFYsTable[Code], SummaryTable[[#This Row],[Code]], allFYsTable[year2], EK$3))</calculatedColumnFormula>
    </tableColumn>
    <tableColumn id="64" xr3:uid="{253C4518-4C99-4DB9-810A-C05C9B254E1E}" name="DiffPercent09" dataDxfId="43">
      <calculatedColumnFormula>IF(SummaryTable[[#This Row],[OriginalBudget09]]=0, IF(SummaryTable[[#This Row],[DiffAmount09]]=0, ZeroBudgetNoSpending, ZeroBudgetWithSpending), SummaryTable[[#This Row],[DiffAmount09]]/SummaryTable[[#This Row],[OriginalBudget09]])</calculatedColumnFormula>
    </tableColumn>
    <tableColumn id="65" xr3:uid="{C75E0FFF-BE03-4844-AA69-3CFD4187F4D8}" name="OriginalBudget08" dataDxfId="42">
      <calculatedColumnFormula>IF(COUNTIFS(allFYsTable[Code], SummaryTable[[#This Row],[Code]], allFYsTable[year2], ER$3)=0, NotFound, SUMIFS(allFYsTable[OriginalBudget], allFYsTable[Code], SummaryTable[[#This Row],[Code]], allFYsTable[year2], ER$3))</calculatedColumnFormula>
    </tableColumn>
    <tableColumn id="185" xr3:uid="{C38785A3-A88A-406B-BE8F-6867B6EC40D4}" name="BudgetIncreaseAmount08" dataDxfId="41">
      <calculatedColumnFormula>SummaryTable[[#This Row],[OriginalBudget08]]-SummaryTable[[#This Row],[OriginalBudget07]]</calculatedColumnFormula>
    </tableColumn>
    <tableColumn id="186" xr3:uid="{59D11D3C-D291-4205-8B97-EB6AD31DEB50}" name="BudgetIncreasePercent08" dataDxfId="40">
      <calculatedColumnFormula>SummaryTable[[#This Row],[BudgetIncreaseAmount08]]/SummaryTable[[#This Row],[OriginalBudget07]]</calculatedColumnFormula>
    </tableColumn>
    <tableColumn id="187" xr3:uid="{FA756DA1-EDB3-4D62-9045-23E55A35B284}" name="RevisedBudget08" dataDxfId="39">
      <calculatedColumnFormula>IF(COUNTIFS(allFYsTable[Code], SummaryTable[[#This Row],[Code]], allFYsTable[year2], ER$3)=0, NotFound, SUMIFS(allFYsTable[RevisedBudget], allFYsTable[Code], SummaryTable[[#This Row],[Code]], allFYsTable[year2], ER$3))</calculatedColumnFormula>
    </tableColumn>
    <tableColumn id="123" xr3:uid="{E37E0540-9355-40D8-8653-E092A1D17294}" name="Actual08" dataDxfId="38">
      <calculatedColumnFormula>IF(COUNTIFS(allFYsTable[Code], SummaryTable[[#This Row],[Code]], allFYsTable[year2], ER$3)=0, NotFound, SUMIFS(allFYsTable[Actual], allFYsTable[Code], SummaryTable[[#This Row],[Code]], allFYsTable[year2], ER$3))</calculatedColumnFormula>
    </tableColumn>
    <tableColumn id="66" xr3:uid="{A12C78E4-6726-4D87-AB13-B9E4A210C99E}" name="DiffAmount08" dataDxfId="37">
      <calculatedColumnFormula>IF(COUNTIFS(allFYsTable[Code], SummaryTable[[#This Row],[Code]], allFYsTable[year2], ER$3)=0, NotFound, SUMIFS(allFYsTable[DiffAmount], allFYsTable[Code], SummaryTable[[#This Row],[Code]], allFYsTable[year2], ER$3))</calculatedColumnFormula>
    </tableColumn>
    <tableColumn id="67" xr3:uid="{AAD72844-2F05-4095-9ECB-216AEE4F3F49}" name="DiffPercent08" dataDxfId="36">
      <calculatedColumnFormula>IF(SummaryTable[[#This Row],[OriginalBudget08]]=0, IF(SummaryTable[[#This Row],[DiffAmount08]]=0, ZeroBudgetNoSpending, ZeroBudgetWithSpending), SummaryTable[[#This Row],[DiffAmount08]]/SummaryTable[[#This Row],[OriginalBudget08]])</calculatedColumnFormula>
    </tableColumn>
    <tableColumn id="68" xr3:uid="{9A78D537-A878-41ED-82A0-0DFD6DA941EE}" name="OriginalBudget07" dataDxfId="35">
      <calculatedColumnFormula>IF(COUNTIFS(allFYsTable[Code], SummaryTable[[#This Row],[Code]], allFYsTable[year2], EY$3)=0, NotFound, SUMIFS(allFYsTable[OriginalBudget], allFYsTable[Code], SummaryTable[[#This Row],[Code]], allFYsTable[year2], EY$3))</calculatedColumnFormula>
    </tableColumn>
    <tableColumn id="188" xr3:uid="{B98F0915-8589-4ACA-A706-A62C51F9F420}" name="BudgetIncreaseAmount07" dataDxfId="34">
      <calculatedColumnFormula>SummaryTable[[#This Row],[OriginalBudget07]]-SummaryTable[[#This Row],[OriginalBudget06]]</calculatedColumnFormula>
    </tableColumn>
    <tableColumn id="189" xr3:uid="{32276DCD-B7A7-4DD5-81E5-24AA25442607}" name="BudgetIncreasePercent07" dataDxfId="33">
      <calculatedColumnFormula>SummaryTable[[#This Row],[BudgetIncreaseAmount07]]/SummaryTable[[#This Row],[OriginalBudget06]]</calculatedColumnFormula>
    </tableColumn>
    <tableColumn id="190" xr3:uid="{A7720300-BBA8-462D-BE50-4A99CB8B555D}" name="RevisedBudget07" dataDxfId="32">
      <calculatedColumnFormula>IF(COUNTIFS(allFYsTable[Code], SummaryTable[[#This Row],[Code]], allFYsTable[year2], EY$3)=0, NotFound, SUMIFS(allFYsTable[RevisedBudget], allFYsTable[Code], SummaryTable[[#This Row],[Code]], allFYsTable[year2], EY$3))</calculatedColumnFormula>
    </tableColumn>
    <tableColumn id="124" xr3:uid="{3E750B9A-A2BB-45C6-8CC9-580FCE2EAB43}" name="Actual07" dataDxfId="31">
      <calculatedColumnFormula>IF(COUNTIFS(allFYsTable[Code], SummaryTable[[#This Row],[Code]], allFYsTable[year2], EY$3)=0, NotFound, SUMIFS(allFYsTable[Actual], allFYsTable[Code], SummaryTable[[#This Row],[Code]], allFYsTable[year2], EY$3))</calculatedColumnFormula>
    </tableColumn>
    <tableColumn id="69" xr3:uid="{232F9A36-6F80-40A8-A0E6-373BC47FF3AD}" name="DiffAmount07" dataDxfId="30">
      <calculatedColumnFormula>IF(COUNTIFS(allFYsTable[Code], SummaryTable[[#This Row],[Code]], allFYsTable[year2], EY$3)=0, NotFound, SUMIFS(allFYsTable[DiffAmount], allFYsTable[Code], SummaryTable[[#This Row],[Code]], allFYsTable[year2], EY$3))</calculatedColumnFormula>
    </tableColumn>
    <tableColumn id="70" xr3:uid="{AD5D0D0C-0EBD-42BD-802D-4D3950BD30E7}" name="DiffPercent07" dataDxfId="29">
      <calculatedColumnFormula>IF(SummaryTable[[#This Row],[OriginalBudget07]]=0, IF(SummaryTable[[#This Row],[DiffAmount07]]=0, ZeroBudgetNoSpending, ZeroBudgetWithSpending), SummaryTable[[#This Row],[DiffAmount07]]/SummaryTable[[#This Row],[OriginalBudget07]])</calculatedColumnFormula>
    </tableColumn>
    <tableColumn id="71" xr3:uid="{79772032-141D-4D3E-B057-9EEA5D2BBFF8}" name="OriginalBudget06" dataDxfId="28">
      <calculatedColumnFormula>IF(COUNTIFS(allFYsTable[Code], SummaryTable[[#This Row],[Code]], allFYsTable[year2], FF$3)=0, NotFound, SUMIFS(allFYsTable[OriginalBudget], allFYsTable[Code], SummaryTable[[#This Row],[Code]], allFYsTable[year2], FF$3))</calculatedColumnFormula>
    </tableColumn>
    <tableColumn id="191" xr3:uid="{39C2F684-08BF-4F0D-8724-329328631689}" name="BudgetIncreaseAmount06" dataDxfId="27"/>
    <tableColumn id="192" xr3:uid="{9A7D58BB-F7ED-4891-87D1-7DFFAC6A9DCA}" name="BudgetIncreasePercent06" dataDxfId="26"/>
    <tableColumn id="193" xr3:uid="{BAA77182-69AA-4744-851B-91D712B934FC}" name="RevisedBudget06" dataDxfId="25">
      <calculatedColumnFormula>IF(COUNTIFS(allFYsTable[Code], SummaryTable[[#This Row],[Code]], allFYsTable[year2], FF$3)=0, NotFound, SUMIFS(allFYsTable[RevisedBudget], allFYsTable[Code], SummaryTable[[#This Row],[Code]], allFYsTable[year2], FF$3))</calculatedColumnFormula>
    </tableColumn>
    <tableColumn id="125" xr3:uid="{2854A9C7-D6A6-45E3-B7F7-B66509414558}" name="Actual06" dataDxfId="24">
      <calculatedColumnFormula>IF(COUNTIFS(allFYsTable[Code], SummaryTable[[#This Row],[Code]], allFYsTable[year2], FF$3)=0, NotFound, SUMIFS(allFYsTable[Actual], allFYsTable[Code], SummaryTable[[#This Row],[Code]], allFYsTable[year2], FF$3))</calculatedColumnFormula>
    </tableColumn>
    <tableColumn id="72" xr3:uid="{A0F4AB35-3758-4A09-A069-B1B3382BF4B1}" name="DiffAmount06" dataDxfId="23">
      <calculatedColumnFormula>IF(COUNTIFS(allFYsTable[Code], SummaryTable[[#This Row],[Code]], allFYsTable[year2], FF$3)=0, NotFound, SUMIFS(allFYsTable[DiffAmount], allFYsTable[Code], SummaryTable[[#This Row],[Code]], allFYsTable[year2], FF$3))</calculatedColumnFormula>
    </tableColumn>
    <tableColumn id="73" xr3:uid="{296E6198-2016-496B-B490-576A3556CE91}" name="DiffPercent06" dataDxfId="22">
      <calculatedColumnFormula>IF(SummaryTable[[#This Row],[OriginalBudget06]]=0, IF(SummaryTable[[#This Row],[DiffAmount06]]=0, ZeroBudgetNoSpending, ZeroBudgetWithSpending), SummaryTable[[#This Row],[DiffAmount06]]/SummaryTable[[#This Row],[OriginalBudget06]])</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FD99EBE-B55C-4618-806B-3956CE6E9896}" name="NameCodingTable" displayName="NameCodingTable" ref="A1:H184" totalsRowShown="0" headerRowDxfId="21" dataDxfId="20">
  <autoFilter ref="A1:H184" xr:uid="{7DAA8A69-CDCB-4AB3-B9B5-23B8EAFDF0EA}"/>
  <sortState xmlns:xlrd2="http://schemas.microsoft.com/office/spreadsheetml/2017/richdata2" ref="A2:H184">
    <sortCondition ref="G1:G184"/>
  </sortState>
  <tableColumns count="8">
    <tableColumn id="1" xr3:uid="{C2F5A729-0DC9-47D3-ADDA-4C2D9AA4C596}" name="Order" dataDxfId="19"/>
    <tableColumn id="6" xr3:uid="{DFCFE973-E203-4AC9-AE8C-7D95F4F539C4}" name="Code" dataDxfId="18"/>
    <tableColumn id="8" xr3:uid="{A38C225B-DE38-4B11-8D14-9FA0D592A850}" name="maxyear" dataDxfId="17">
      <calculatedColumnFormula>_xlfn.MAXIFS(allFYsTable[year2], allFYsTable[Code], NameCodingTable[[#This Row],[Code]])</calculatedColumnFormula>
    </tableColumn>
    <tableColumn id="4" xr3:uid="{76E1DA9E-3F4E-4376-953D-657B6E4E4620}" name="Most Recent Category per allFYs" dataDxfId="16">
      <calculatedColumnFormula array="1">_xlfn.IFNA(_xlfn.XLOOKUP(NameCodingTable[[#This Row],[Code]]&amp;NameCodingTable[[#This Row],[maxyear]],allFYsTable[Code]&amp;allFYsTable[year2], allFYsTable[Category]), "")</calculatedColumnFormula>
    </tableColumn>
    <tableColumn id="3" xr3:uid="{B25912A9-8EB0-4531-9248-15D9B6D43204}" name="Name(s) Original per allFYs" dataDxfId="15">
      <calculatedColumnFormula array="1">_xlfn.TEXTJOIN(", ", TRUE, _xlfn.UNIQUE(IF(allFYsTable[Code] = NameCodingTable[[#This Row],[Code]], allFYsTable[Unit], "")))</calculatedColumnFormula>
    </tableColumn>
    <tableColumn id="13" xr3:uid="{B12D60AB-36F8-4AD4-BA45-328CD847C70E}" name="Unit Display Name" dataDxfId="14"/>
    <tableColumn id="7" xr3:uid="{6552C5DA-4BCF-4CCE-BF79-BCC4D27A910C}" name="Type" dataDxfId="13"/>
    <tableColumn id="9" xr3:uid="{A77C2FF5-586A-4519-B45C-07CC34D6B8CB}" name="Notes"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AA8A69-CDCB-4AB3-B9B5-23B8EAFDF0EA}" name="allFYsTable" displayName="allFYsTable" ref="A1:L2545" totalsRowShown="0">
  <autoFilter ref="A1:L2545" xr:uid="{7DAA8A69-CDCB-4AB3-B9B5-23B8EAFDF0EA}"/>
  <sortState xmlns:xlrd2="http://schemas.microsoft.com/office/spreadsheetml/2017/richdata2" ref="A2:K2417">
    <sortCondition ref="I1:I2417"/>
  </sortState>
  <tableColumns count="12">
    <tableColumn id="1" xr3:uid="{C5CAEA8F-930B-4B12-B204-846A0FE0F153}" name="Year"/>
    <tableColumn id="2" xr3:uid="{BB961D75-3E49-4B91-8849-2B9D76F364B7}" name="Category"/>
    <tableColumn id="3" xr3:uid="{5F3E6BD1-A817-477A-A664-D40703BE71E8}" name="Code"/>
    <tableColumn id="4" xr3:uid="{9A54710D-2EB3-4C05-903F-AEF0325135CC}" name="Unit"/>
    <tableColumn id="6" xr3:uid="{88EC9BEA-D4DA-4398-AAEE-D3A46786BFB7}" name="OriginalBudget"/>
    <tableColumn id="7" xr3:uid="{0010ADF6-0524-4C00-ABE3-68A542E9E11E}" name="RevisedBudget"/>
    <tableColumn id="8" xr3:uid="{AC539E9C-571B-41A6-9F0B-B99E76F536CA}" name="Actual"/>
    <tableColumn id="9" xr3:uid="{E4427069-B140-4660-B28F-99D13F584C2B}" name="Variance"/>
    <tableColumn id="10" xr3:uid="{D0B0734B-A3C9-4BB7-B28B-3214FB9ED9C6}" name="year2"/>
    <tableColumn id="11" xr3:uid="{36E099F8-A8B6-42DB-B547-4980D8481FBC}" name="order"/>
    <tableColumn id="12" xr3:uid="{F8BC659C-175D-4A3F-84D7-4EB68D724214}" name="DiffAmount" dataDxfId="11">
      <calculatedColumnFormula>allFYsTable[[#This Row],[Actual]]-allFYsTable[[#This Row],[OriginalBudget]]</calculatedColumnFormula>
    </tableColumn>
    <tableColumn id="5" xr3:uid="{E9C36537-3B60-4551-A874-C53071BCEFC1}" name="DiffPercent" dataDxfId="10">
      <calculatedColumnFormula>allFYsTable[[#This Row],[DiffAmount]]/allFYsTable[[#This Row],[OriginalBudget]]</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DCA">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1289D-F2A3-4C9D-AC51-23C9E9B5853F}">
  <sheetPr codeName="Sheet6">
    <tabColor rgb="FF00B050"/>
  </sheetPr>
  <dimension ref="A1:AG38"/>
  <sheetViews>
    <sheetView tabSelected="1" topLeftCell="C1" zoomScale="80" zoomScaleNormal="80" workbookViewId="0">
      <selection activeCell="C5" sqref="C5:D5"/>
    </sheetView>
  </sheetViews>
  <sheetFormatPr defaultRowHeight="14.25" x14ac:dyDescent="0.45"/>
  <cols>
    <col min="1" max="1" width="10.59765625" hidden="1" customWidth="1"/>
    <col min="2" max="2" width="11.86328125" hidden="1" customWidth="1"/>
    <col min="3" max="3" width="14.86328125" customWidth="1"/>
    <col min="4" max="4" width="34" customWidth="1"/>
    <col min="5" max="5" width="5.3984375" hidden="1" customWidth="1"/>
    <col min="6" max="6" width="10.86328125" customWidth="1"/>
    <col min="7" max="7" width="20.265625" customWidth="1"/>
    <col min="8" max="8" width="22.265625" customWidth="1"/>
    <col min="9" max="9" width="11.1328125" customWidth="1"/>
    <col min="10" max="10" width="11.3984375" customWidth="1"/>
    <col min="11" max="11" width="11.86328125" customWidth="1"/>
    <col min="12" max="12" width="2.3984375" customWidth="1"/>
    <col min="27" max="27" width="0" hidden="1" customWidth="1"/>
    <col min="28" max="28" width="18.265625" hidden="1" customWidth="1"/>
    <col min="29" max="29" width="0" hidden="1" customWidth="1"/>
    <col min="30" max="30" width="11.265625" hidden="1" customWidth="1"/>
  </cols>
  <sheetData>
    <row r="1" spans="2:33" ht="14.65" thickBot="1" x14ac:dyDescent="0.5"/>
    <row r="2" spans="2:33" ht="48.4" customHeight="1" thickTop="1" thickBot="1" x14ac:dyDescent="0.55000000000000004">
      <c r="C2" s="71" t="s">
        <v>1392</v>
      </c>
      <c r="D2" s="72"/>
      <c r="E2" s="72"/>
      <c r="F2" s="72"/>
      <c r="G2" s="72"/>
      <c r="H2" s="73"/>
      <c r="I2" s="73"/>
      <c r="J2" s="73"/>
      <c r="K2" s="74"/>
    </row>
    <row r="3" spans="2:33" ht="15.4" customHeight="1" thickTop="1" x14ac:dyDescent="0.5">
      <c r="C3" s="49"/>
      <c r="D3" s="50"/>
      <c r="E3" s="50"/>
      <c r="F3" s="50"/>
      <c r="G3" s="50"/>
      <c r="H3" s="51"/>
      <c r="I3" s="51"/>
      <c r="J3" s="51"/>
      <c r="K3" s="51"/>
    </row>
    <row r="4" spans="2:33" x14ac:dyDescent="0.45">
      <c r="C4" s="70" t="s">
        <v>1391</v>
      </c>
      <c r="D4" s="70"/>
      <c r="K4" s="6"/>
      <c r="AA4" s="40" t="s">
        <v>1081</v>
      </c>
      <c r="AB4" s="40"/>
      <c r="AC4" s="40"/>
      <c r="AD4" s="40"/>
      <c r="AE4" s="40"/>
      <c r="AF4" s="40"/>
      <c r="AG4" s="40"/>
    </row>
    <row r="5" spans="2:33" ht="15.75" x14ac:dyDescent="0.5">
      <c r="B5" t="s">
        <v>1069</v>
      </c>
      <c r="C5" s="69" t="s">
        <v>1269</v>
      </c>
      <c r="D5" s="69"/>
      <c r="G5" t="s">
        <v>1383</v>
      </c>
      <c r="H5" s="4" t="str">
        <f>_xlfn.XLOOKUP(C5, SummaryTable[Unit], SummaryTable[Code])</f>
        <v>DS0</v>
      </c>
      <c r="AA5" s="40"/>
      <c r="AB5" s="40"/>
      <c r="AC5" s="40"/>
      <c r="AD5" s="40"/>
      <c r="AE5" s="40"/>
      <c r="AF5" s="40"/>
      <c r="AG5" s="40"/>
    </row>
    <row r="6" spans="2:33" x14ac:dyDescent="0.45">
      <c r="AA6" s="40" t="s">
        <v>1080</v>
      </c>
      <c r="AB6" s="41" t="str">
        <f>"Council-Approved Local Source Budget" &amp;CHAR(10)&amp;C5</f>
        <v>Council-Approved Local Source Budget
Repayment of Loans and Interest</v>
      </c>
      <c r="AC6" s="40"/>
      <c r="AD6" s="40"/>
      <c r="AE6" s="40"/>
      <c r="AF6" s="40"/>
      <c r="AG6" s="40"/>
    </row>
    <row r="7" spans="2:33" ht="28.9" customHeight="1" x14ac:dyDescent="0.45">
      <c r="F7" s="10" t="s">
        <v>1390</v>
      </c>
      <c r="G7" s="45" t="s">
        <v>2</v>
      </c>
      <c r="H7" s="46" t="s">
        <v>1184</v>
      </c>
      <c r="I7" s="46" t="s">
        <v>4</v>
      </c>
      <c r="J7" s="46" t="s">
        <v>1057</v>
      </c>
      <c r="K7" s="46" t="s">
        <v>1056</v>
      </c>
      <c r="AA7" s="40"/>
      <c r="AB7" s="40"/>
      <c r="AC7" s="40"/>
      <c r="AD7" s="40"/>
      <c r="AE7" s="40"/>
      <c r="AF7" s="40"/>
      <c r="AG7" s="40"/>
    </row>
    <row r="8" spans="2:33" x14ac:dyDescent="0.45">
      <c r="F8" s="35" t="s">
        <v>1076</v>
      </c>
      <c r="G8" s="47">
        <f>INDEX(SummaryTable[],MATCH($H$5, SummaryTable[Code],0),MATCH(G$7&amp;$F8,SummaryTable[#Headers],0))</f>
        <v>370778</v>
      </c>
      <c r="H8" s="17">
        <f>INDEX(SummaryTable[],MATCH($H$5, SummaryTable[Code],0),MATCH(H$7&amp;$F8,SummaryTable[#Headers],0))</f>
        <v>0</v>
      </c>
      <c r="I8" s="47">
        <f>INDEX(SummaryTable[],MATCH($H$5, SummaryTable[Code],0),MATCH(I$7&amp;$F8,SummaryTable[#Headers],0))</f>
        <v>370128</v>
      </c>
      <c r="J8" s="47">
        <f>INDEX(SummaryTable[],MATCH($H$5, SummaryTable[Code],0),MATCH(J$7&amp;$F8,SummaryTable[#Headers],0))</f>
        <v>-650</v>
      </c>
      <c r="K8" s="17">
        <f>INDEX(SummaryTable[],MATCH($H$5, SummaryTable[Code],0),MATCH(K$7&amp;$F8,SummaryTable[#Headers],0))</f>
        <v>-1.7530705705300746E-3</v>
      </c>
      <c r="AA8" s="40"/>
      <c r="AB8" s="40" t="s">
        <v>1245</v>
      </c>
      <c r="AC8" s="40" t="s">
        <v>1247</v>
      </c>
      <c r="AD8" s="40" t="s">
        <v>1246</v>
      </c>
      <c r="AE8" s="40"/>
      <c r="AF8" s="40"/>
      <c r="AG8" s="40"/>
    </row>
    <row r="9" spans="2:33" x14ac:dyDescent="0.45">
      <c r="F9" s="35" t="s">
        <v>1077</v>
      </c>
      <c r="G9" s="47">
        <f>INDEX(SummaryTable[],MATCH($H$5, SummaryTable[Code],0),MATCH(G$7&amp;$F9,SummaryTable[#Headers],0))</f>
        <v>405114</v>
      </c>
      <c r="H9" s="17">
        <f>INDEX(SummaryTable[],MATCH($H$5, SummaryTable[Code],0),MATCH(H$7&amp;$F9,SummaryTable[#Headers],0))</f>
        <v>9.2605278630339447E-2</v>
      </c>
      <c r="I9" s="47">
        <f>INDEX(SummaryTable[],MATCH($H$5, SummaryTable[Code],0),MATCH(I$7&amp;$F9,SummaryTable[#Headers],0))</f>
        <v>386245</v>
      </c>
      <c r="J9" s="47">
        <f>INDEX(SummaryTable[],MATCH($H$5, SummaryTable[Code],0),MATCH(J$7&amp;$F9,SummaryTable[#Headers],0))</f>
        <v>-18869</v>
      </c>
      <c r="K9" s="17">
        <f>INDEX(SummaryTable[],MATCH($H$5, SummaryTable[Code],0),MATCH(K$7&amp;$F9,SummaryTable[#Headers],0))</f>
        <v>-4.6577012890198811E-2</v>
      </c>
      <c r="AA9" s="68" t="str">
        <f>F8</f>
        <v>06</v>
      </c>
      <c r="AB9" s="42">
        <f>IF(I8&lt;G8, I8, G8)</f>
        <v>370128</v>
      </c>
      <c r="AC9" s="42" t="str">
        <f>IF(J8&gt;0, J8, "")</f>
        <v/>
      </c>
      <c r="AD9" s="42">
        <f t="shared" ref="AD9:AD28" si="0">IF(J8&lt;0, -J8, "")</f>
        <v>650</v>
      </c>
      <c r="AE9" s="40"/>
      <c r="AF9" s="40"/>
      <c r="AG9" s="40"/>
    </row>
    <row r="10" spans="2:33" x14ac:dyDescent="0.45">
      <c r="C10" s="30">
        <f>_xlfn.XLOOKUP(H5,SummaryTable[Code],SummaryTable[Count])</f>
        <v>20</v>
      </c>
      <c r="D10" s="25" t="s">
        <v>1384</v>
      </c>
      <c r="F10" s="35" t="s">
        <v>1078</v>
      </c>
      <c r="G10" s="47">
        <f>INDEX(SummaryTable[],MATCH($H$5, SummaryTable[Code],0),MATCH(G$7&amp;$F10,SummaryTable[#Headers],0))</f>
        <v>440707</v>
      </c>
      <c r="H10" s="17">
        <f>INDEX(SummaryTable[],MATCH($H$5, SummaryTable[Code],0),MATCH(H$7&amp;$F10,SummaryTable[#Headers],0))</f>
        <v>8.7859219873912028E-2</v>
      </c>
      <c r="I10" s="47">
        <f>INDEX(SummaryTable[],MATCH($H$5, SummaryTable[Code],0),MATCH(I$7&amp;$F10,SummaryTable[#Headers],0))</f>
        <v>420827</v>
      </c>
      <c r="J10" s="47">
        <f>INDEX(SummaryTable[],MATCH($H$5, SummaryTable[Code],0),MATCH(J$7&amp;$F10,SummaryTable[#Headers],0))</f>
        <v>-19880</v>
      </c>
      <c r="K10" s="17">
        <f>INDEX(SummaryTable[],MATCH($H$5, SummaryTable[Code],0),MATCH(K$7&amp;$F10,SummaryTable[#Headers],0))</f>
        <v>-4.5109335681076092E-2</v>
      </c>
      <c r="AA10" s="68" t="str">
        <f t="shared" ref="AA10:AA28" si="1">F9</f>
        <v>07</v>
      </c>
      <c r="AB10" s="42">
        <f t="shared" ref="AB10:AB28" si="2">IF(I9&lt;G9, I9, G9)</f>
        <v>386245</v>
      </c>
      <c r="AC10" s="42" t="str">
        <f t="shared" ref="AC10:AC28" si="3">IF(J9&gt;0, J9, "")</f>
        <v/>
      </c>
      <c r="AD10" s="42">
        <f t="shared" si="0"/>
        <v>18869</v>
      </c>
      <c r="AE10" s="40"/>
      <c r="AF10" s="40"/>
      <c r="AG10" s="40"/>
    </row>
    <row r="11" spans="2:33" x14ac:dyDescent="0.45">
      <c r="C11" s="32">
        <f>_xlfn.XLOOKUP(H5, SummaryTable[Code], SummaryTable['# Over])</f>
        <v>0</v>
      </c>
      <c r="D11" s="26" t="s">
        <v>1070</v>
      </c>
      <c r="F11" s="35" t="s">
        <v>1079</v>
      </c>
      <c r="G11" s="47">
        <f>INDEX(SummaryTable[],MATCH($H$5, SummaryTable[Code],0),MATCH(G$7&amp;$F11,SummaryTable[#Headers],0))</f>
        <v>456630</v>
      </c>
      <c r="H11" s="17">
        <f>INDEX(SummaryTable[],MATCH($H$5, SummaryTable[Code],0),MATCH(H$7&amp;$F11,SummaryTable[#Headers],0))</f>
        <v>3.6130581089022867E-2</v>
      </c>
      <c r="I11" s="47">
        <f>INDEX(SummaryTable[],MATCH($H$5, SummaryTable[Code],0),MATCH(I$7&amp;$F11,SummaryTable[#Headers],0))</f>
        <v>435286</v>
      </c>
      <c r="J11" s="47">
        <f>INDEX(SummaryTable[],MATCH($H$5, SummaryTable[Code],0),MATCH(J$7&amp;$F11,SummaryTable[#Headers],0))</f>
        <v>-21344</v>
      </c>
      <c r="K11" s="17">
        <f>INDEX(SummaryTable[],MATCH($H$5, SummaryTable[Code],0),MATCH(K$7&amp;$F11,SummaryTable[#Headers],0))</f>
        <v>-4.6742439173948276E-2</v>
      </c>
      <c r="AA11" s="68" t="str">
        <f t="shared" si="1"/>
        <v>08</v>
      </c>
      <c r="AB11" s="42">
        <f t="shared" si="2"/>
        <v>420827</v>
      </c>
      <c r="AC11" s="42" t="str">
        <f t="shared" si="3"/>
        <v/>
      </c>
      <c r="AD11" s="42">
        <f t="shared" si="0"/>
        <v>19880</v>
      </c>
      <c r="AE11" s="40"/>
      <c r="AF11" s="40"/>
      <c r="AG11" s="40"/>
    </row>
    <row r="12" spans="2:33" x14ac:dyDescent="0.45">
      <c r="C12" s="33">
        <f>_xlfn.XLOOKUP(H5, SummaryTable[Code], SummaryTable[% Over])</f>
        <v>0</v>
      </c>
      <c r="D12" s="27" t="s">
        <v>1071</v>
      </c>
      <c r="F12" s="35">
        <v>10</v>
      </c>
      <c r="G12" s="47">
        <f>INDEX(SummaryTable[],MATCH($H$5, SummaryTable[Code],0),MATCH(G$7&amp;$F12,SummaryTable[#Headers],0))</f>
        <v>468596</v>
      </c>
      <c r="H12" s="17">
        <f>INDEX(SummaryTable[],MATCH($H$5, SummaryTable[Code],0),MATCH(H$7&amp;$F12,SummaryTable[#Headers],0))</f>
        <v>2.6205023761031909E-2</v>
      </c>
      <c r="I12" s="47">
        <f>INDEX(SummaryTable[],MATCH($H$5, SummaryTable[Code],0),MATCH(I$7&amp;$F12,SummaryTable[#Headers],0))</f>
        <v>348351</v>
      </c>
      <c r="J12" s="47">
        <f>INDEX(SummaryTable[],MATCH($H$5, SummaryTable[Code],0),MATCH(J$7&amp;$F12,SummaryTable[#Headers],0))</f>
        <v>-120245</v>
      </c>
      <c r="K12" s="17">
        <f>INDEX(SummaryTable[],MATCH($H$5, SummaryTable[Code],0),MATCH(K$7&amp;$F12,SummaryTable[#Headers],0))</f>
        <v>-0.25660697061007776</v>
      </c>
      <c r="AA12" s="68" t="str">
        <f t="shared" si="1"/>
        <v>09</v>
      </c>
      <c r="AB12" s="42">
        <f t="shared" si="2"/>
        <v>435286</v>
      </c>
      <c r="AC12" s="42" t="str">
        <f t="shared" si="3"/>
        <v/>
      </c>
      <c r="AD12" s="42">
        <f t="shared" si="0"/>
        <v>21344</v>
      </c>
      <c r="AE12" s="40"/>
      <c r="AF12" s="40"/>
      <c r="AG12" s="40"/>
    </row>
    <row r="13" spans="2:33" x14ac:dyDescent="0.45">
      <c r="C13" s="15">
        <f>_xlfn.XLOOKUP(H5, SummaryTable[Code], SummaryTable['# Under])</f>
        <v>20</v>
      </c>
      <c r="D13" s="28" t="s">
        <v>1075</v>
      </c>
      <c r="F13" s="35">
        <v>11</v>
      </c>
      <c r="G13" s="47">
        <f>INDEX(SummaryTable[],MATCH($H$5, SummaryTable[Code],0),MATCH(G$7&amp;$F13,SummaryTable[#Headers],0))</f>
        <v>406705</v>
      </c>
      <c r="H13" s="17">
        <f>INDEX(SummaryTable[],MATCH($H$5, SummaryTable[Code],0),MATCH(H$7&amp;$F13,SummaryTable[#Headers],0))</f>
        <v>-0.13207752520294669</v>
      </c>
      <c r="I13" s="47">
        <f>INDEX(SummaryTable[],MATCH($H$5, SummaryTable[Code],0),MATCH(I$7&amp;$F13,SummaryTable[#Headers],0))</f>
        <v>400564</v>
      </c>
      <c r="J13" s="47">
        <f>INDEX(SummaryTable[],MATCH($H$5, SummaryTable[Code],0),MATCH(J$7&amp;$F13,SummaryTable[#Headers],0))</f>
        <v>-6141</v>
      </c>
      <c r="K13" s="17">
        <f>INDEX(SummaryTable[],MATCH($H$5, SummaryTable[Code],0),MATCH(K$7&amp;$F13,SummaryTable[#Headers],0))</f>
        <v>-1.5099396368375113E-2</v>
      </c>
      <c r="AA13" s="68">
        <f t="shared" si="1"/>
        <v>10</v>
      </c>
      <c r="AB13" s="42">
        <f t="shared" si="2"/>
        <v>348351</v>
      </c>
      <c r="AC13" s="42" t="str">
        <f t="shared" si="3"/>
        <v/>
      </c>
      <c r="AD13" s="42">
        <f t="shared" si="0"/>
        <v>120245</v>
      </c>
      <c r="AE13" s="40"/>
      <c r="AF13" s="40"/>
      <c r="AG13" s="40"/>
    </row>
    <row r="14" spans="2:33" x14ac:dyDescent="0.45">
      <c r="C14" s="31">
        <f>_xlfn.XLOOKUP(H5, SummaryTable[Code], SummaryTable[% Under])</f>
        <v>1</v>
      </c>
      <c r="D14" s="29" t="s">
        <v>1074</v>
      </c>
      <c r="F14" s="35">
        <v>12</v>
      </c>
      <c r="G14" s="47">
        <f>INDEX(SummaryTable[],MATCH($H$5, SummaryTable[Code],0),MATCH(G$7&amp;$F14,SummaryTable[#Headers],0))</f>
        <v>438072</v>
      </c>
      <c r="H14" s="17">
        <f>INDEX(SummaryTable[],MATCH($H$5, SummaryTable[Code],0),MATCH(H$7&amp;$F14,SummaryTable[#Headers],0))</f>
        <v>7.7124697262143327E-2</v>
      </c>
      <c r="I14" s="47">
        <f>INDEX(SummaryTable[],MATCH($H$5, SummaryTable[Code],0),MATCH(I$7&amp;$F14,SummaryTable[#Headers],0))</f>
        <v>409855</v>
      </c>
      <c r="J14" s="47">
        <f>INDEX(SummaryTable[],MATCH($H$5, SummaryTable[Code],0),MATCH(J$7&amp;$F14,SummaryTable[#Headers],0))</f>
        <v>-28217</v>
      </c>
      <c r="K14" s="17">
        <f>INDEX(SummaryTable[],MATCH($H$5, SummaryTable[Code],0),MATCH(K$7&amp;$F14,SummaryTable[#Headers],0))</f>
        <v>-6.4411786190397932E-2</v>
      </c>
      <c r="AA14" s="68">
        <f t="shared" si="1"/>
        <v>11</v>
      </c>
      <c r="AB14" s="42">
        <f t="shared" si="2"/>
        <v>400564</v>
      </c>
      <c r="AC14" s="42" t="str">
        <f t="shared" si="3"/>
        <v/>
      </c>
      <c r="AD14" s="42">
        <f t="shared" si="0"/>
        <v>6141</v>
      </c>
      <c r="AE14" s="40"/>
      <c r="AF14" s="40"/>
      <c r="AG14" s="40"/>
    </row>
    <row r="15" spans="2:33" x14ac:dyDescent="0.45">
      <c r="C15" s="15">
        <f>_xlfn.XLOOKUP(H5, SummaryTable[Code], SummaryTable['# Equal])</f>
        <v>0</v>
      </c>
      <c r="D15" s="28" t="s">
        <v>1072</v>
      </c>
      <c r="F15" s="35">
        <v>13</v>
      </c>
      <c r="G15" s="47">
        <f>INDEX(SummaryTable[],MATCH($H$5, SummaryTable[Code],0),MATCH(G$7&amp;$F15,SummaryTable[#Headers],0))</f>
        <v>462877</v>
      </c>
      <c r="H15" s="17">
        <f>INDEX(SummaryTable[],MATCH($H$5, SummaryTable[Code],0),MATCH(H$7&amp;$F15,SummaryTable[#Headers],0))</f>
        <v>5.662311218247229E-2</v>
      </c>
      <c r="I15" s="47">
        <f>INDEX(SummaryTable[],MATCH($H$5, SummaryTable[Code],0),MATCH(I$7&amp;$F15,SummaryTable[#Headers],0))</f>
        <v>455081</v>
      </c>
      <c r="J15" s="47">
        <f>INDEX(SummaryTable[],MATCH($H$5, SummaryTable[Code],0),MATCH(J$7&amp;$F15,SummaryTable[#Headers],0))</f>
        <v>-7796</v>
      </c>
      <c r="K15" s="17">
        <f>INDEX(SummaryTable[],MATCH($H$5, SummaryTable[Code],0),MATCH(K$7&amp;$F15,SummaryTable[#Headers],0))</f>
        <v>-1.6842487313044285E-2</v>
      </c>
      <c r="AA15" s="68">
        <f t="shared" si="1"/>
        <v>12</v>
      </c>
      <c r="AB15" s="42">
        <f t="shared" si="2"/>
        <v>409855</v>
      </c>
      <c r="AC15" s="42" t="str">
        <f t="shared" si="3"/>
        <v/>
      </c>
      <c r="AD15" s="42">
        <f t="shared" si="0"/>
        <v>28217</v>
      </c>
      <c r="AE15" s="40"/>
      <c r="AF15" s="40"/>
      <c r="AG15" s="40"/>
    </row>
    <row r="16" spans="2:33" x14ac:dyDescent="0.45">
      <c r="C16" s="31">
        <f>_xlfn.XLOOKUP(H5, SummaryTable[Code], SummaryTable[% Equal])</f>
        <v>0</v>
      </c>
      <c r="D16" s="29" t="s">
        <v>1073</v>
      </c>
      <c r="F16" s="35">
        <v>14</v>
      </c>
      <c r="G16" s="47">
        <f>INDEX(SummaryTable[],MATCH($H$5, SummaryTable[Code],0),MATCH(G$7&amp;$F16,SummaryTable[#Headers],0))</f>
        <v>519354</v>
      </c>
      <c r="H16" s="17">
        <f>INDEX(SummaryTable[],MATCH($H$5, SummaryTable[Code],0),MATCH(H$7&amp;$F16,SummaryTable[#Headers],0))</f>
        <v>0.12201297536926657</v>
      </c>
      <c r="I16" s="47">
        <f>INDEX(SummaryTable[],MATCH($H$5, SummaryTable[Code],0),MATCH(I$7&amp;$F16,SummaryTable[#Headers],0))</f>
        <v>497173</v>
      </c>
      <c r="J16" s="47">
        <f>INDEX(SummaryTable[],MATCH($H$5, SummaryTable[Code],0),MATCH(J$7&amp;$F16,SummaryTable[#Headers],0))</f>
        <v>-22181</v>
      </c>
      <c r="K16" s="17">
        <f>INDEX(SummaryTable[],MATCH($H$5, SummaryTable[Code],0),MATCH(K$7&amp;$F16,SummaryTable[#Headers],0))</f>
        <v>-4.2708826734751251E-2</v>
      </c>
      <c r="AA16" s="68">
        <f t="shared" si="1"/>
        <v>13</v>
      </c>
      <c r="AB16" s="42">
        <f t="shared" si="2"/>
        <v>455081</v>
      </c>
      <c r="AC16" s="42" t="str">
        <f t="shared" si="3"/>
        <v/>
      </c>
      <c r="AD16" s="42">
        <f t="shared" si="0"/>
        <v>7796</v>
      </c>
      <c r="AE16" s="40"/>
      <c r="AF16" s="40"/>
      <c r="AG16" s="40"/>
    </row>
    <row r="17" spans="1:33" x14ac:dyDescent="0.45">
      <c r="F17" s="35">
        <v>15</v>
      </c>
      <c r="G17" s="47">
        <f>INDEX(SummaryTable[],MATCH($H$5, SummaryTable[Code],0),MATCH(G$7&amp;$F17,SummaryTable[#Headers],0))</f>
        <v>570776</v>
      </c>
      <c r="H17" s="17">
        <f>INDEX(SummaryTable[],MATCH($H$5, SummaryTable[Code],0),MATCH(H$7&amp;$F17,SummaryTable[#Headers],0))</f>
        <v>9.9011464242116168E-2</v>
      </c>
      <c r="I17" s="47">
        <f>INDEX(SummaryTable[],MATCH($H$5, SummaryTable[Code],0),MATCH(I$7&amp;$F17,SummaryTable[#Headers],0))</f>
        <v>538213</v>
      </c>
      <c r="J17" s="47">
        <f>INDEX(SummaryTable[],MATCH($H$5, SummaryTable[Code],0),MATCH(J$7&amp;$F17,SummaryTable[#Headers],0))</f>
        <v>-32563</v>
      </c>
      <c r="K17" s="17">
        <f>INDEX(SummaryTable[],MATCH($H$5, SummaryTable[Code],0),MATCH(K$7&amp;$F17,SummaryTable[#Headers],0))</f>
        <v>-5.7050401558579898E-2</v>
      </c>
      <c r="AA17" s="68">
        <f t="shared" si="1"/>
        <v>14</v>
      </c>
      <c r="AB17" s="42">
        <f t="shared" si="2"/>
        <v>497173</v>
      </c>
      <c r="AC17" s="42" t="str">
        <f t="shared" si="3"/>
        <v/>
      </c>
      <c r="AD17" s="42">
        <f t="shared" si="0"/>
        <v>22181</v>
      </c>
      <c r="AE17" s="40"/>
      <c r="AF17" s="40"/>
      <c r="AG17" s="40"/>
    </row>
    <row r="18" spans="1:33" x14ac:dyDescent="0.45">
      <c r="F18" s="35">
        <v>16</v>
      </c>
      <c r="G18" s="47">
        <f>INDEX(SummaryTable[],MATCH($H$5, SummaryTable[Code],0),MATCH(G$7&amp;$F18,SummaryTable[#Headers],0))</f>
        <v>591627</v>
      </c>
      <c r="H18" s="17">
        <f>INDEX(SummaryTable[],MATCH($H$5, SummaryTable[Code],0),MATCH(H$7&amp;$F18,SummaryTable[#Headers],0))</f>
        <v>3.6530968365873828E-2</v>
      </c>
      <c r="I18" s="47">
        <f>INDEX(SummaryTable[],MATCH($H$5, SummaryTable[Code],0),MATCH(I$7&amp;$F18,SummaryTable[#Headers],0))</f>
        <v>555097</v>
      </c>
      <c r="J18" s="47">
        <f>INDEX(SummaryTable[],MATCH($H$5, SummaryTable[Code],0),MATCH(J$7&amp;$F18,SummaryTable[#Headers],0))</f>
        <v>-36530</v>
      </c>
      <c r="K18" s="17">
        <f>INDEX(SummaryTable[],MATCH($H$5, SummaryTable[Code],0),MATCH(K$7&amp;$F18,SummaryTable[#Headers],0))</f>
        <v>-6.1744984593333302E-2</v>
      </c>
      <c r="AA18" s="68">
        <f t="shared" si="1"/>
        <v>15</v>
      </c>
      <c r="AB18" s="42">
        <f t="shared" si="2"/>
        <v>538213</v>
      </c>
      <c r="AC18" s="42" t="str">
        <f t="shared" si="3"/>
        <v/>
      </c>
      <c r="AD18" s="42">
        <f t="shared" si="0"/>
        <v>32563</v>
      </c>
      <c r="AE18" s="40"/>
      <c r="AF18" s="40"/>
      <c r="AG18" s="40"/>
    </row>
    <row r="19" spans="1:33" ht="18" customHeight="1" x14ac:dyDescent="0.45">
      <c r="A19" s="20" t="s">
        <v>1149</v>
      </c>
      <c r="B19" s="20" t="s">
        <v>1154</v>
      </c>
      <c r="C19" s="21" t="s">
        <v>1153</v>
      </c>
      <c r="D19" s="52" t="s">
        <v>1385</v>
      </c>
      <c r="F19" s="35">
        <v>17</v>
      </c>
      <c r="G19" s="47">
        <f>INDEX(SummaryTable[],MATCH($H$5, SummaryTable[Code],0),MATCH(G$7&amp;$F19,SummaryTable[#Headers],0))</f>
        <v>619100</v>
      </c>
      <c r="H19" s="17">
        <f>INDEX(SummaryTable[],MATCH($H$5, SummaryTable[Code],0),MATCH(H$7&amp;$F19,SummaryTable[#Headers],0))</f>
        <v>4.6436352634345625E-2</v>
      </c>
      <c r="I19" s="47">
        <f>INDEX(SummaryTable[],MATCH($H$5, SummaryTable[Code],0),MATCH(I$7&amp;$F19,SummaryTable[#Headers],0))</f>
        <v>616832</v>
      </c>
      <c r="J19" s="47">
        <f>INDEX(SummaryTable[],MATCH($H$5, SummaryTable[Code],0),MATCH(J$7&amp;$F19,SummaryTable[#Headers],0))</f>
        <v>-2268</v>
      </c>
      <c r="K19" s="17">
        <f>INDEX(SummaryTable[],MATCH($H$5, SummaryTable[Code],0),MATCH(K$7&amp;$F19,SummaryTable[#Headers],0))</f>
        <v>-3.6633823291875303E-3</v>
      </c>
      <c r="AA19" s="68">
        <f t="shared" si="1"/>
        <v>16</v>
      </c>
      <c r="AB19" s="42">
        <f t="shared" si="2"/>
        <v>555097</v>
      </c>
      <c r="AC19" s="42" t="str">
        <f t="shared" si="3"/>
        <v/>
      </c>
      <c r="AD19" s="42">
        <f t="shared" si="0"/>
        <v>36530</v>
      </c>
      <c r="AE19" s="40"/>
      <c r="AF19" s="40"/>
      <c r="AG19" s="40"/>
    </row>
    <row r="20" spans="1:33" x14ac:dyDescent="0.45">
      <c r="A20" s="9">
        <f>_xlfn.XLOOKUP(H5, SummaryTable[Code], SummaryTable[OverAvgBud])</f>
        <v>0</v>
      </c>
      <c r="B20" s="22">
        <f>_xlfn.XLOOKUP(H5, SummaryTable[Code], SummaryTable[OverAvgDiff'#])</f>
        <v>0</v>
      </c>
      <c r="C20" s="23">
        <f>_xlfn.XLOOKUP(H5, SummaryTable[Code], SummaryTable[OverAvgDiff%])</f>
        <v>0</v>
      </c>
      <c r="D20" s="10" t="s">
        <v>1094</v>
      </c>
      <c r="F20" s="35">
        <v>18</v>
      </c>
      <c r="G20" s="47">
        <f>INDEX(SummaryTable[],MATCH($H$5, SummaryTable[Code],0),MATCH(G$7&amp;$F20,SummaryTable[#Headers],0))</f>
        <v>686969</v>
      </c>
      <c r="H20" s="17">
        <f>INDEX(SummaryTable[],MATCH($H$5, SummaryTable[Code],0),MATCH(H$7&amp;$F20,SummaryTable[#Headers],0))</f>
        <v>0.10962526247779034</v>
      </c>
      <c r="I20" s="47">
        <f>INDEX(SummaryTable[],MATCH($H$5, SummaryTable[Code],0),MATCH(I$7&amp;$F20,SummaryTable[#Headers],0))</f>
        <v>679528</v>
      </c>
      <c r="J20" s="47">
        <f>INDEX(SummaryTable[],MATCH($H$5, SummaryTable[Code],0),MATCH(J$7&amp;$F20,SummaryTable[#Headers],0))</f>
        <v>-7441</v>
      </c>
      <c r="K20" s="17">
        <f>INDEX(SummaryTable[],MATCH($H$5, SummaryTable[Code],0),MATCH(K$7&amp;$F20,SummaryTable[#Headers],0))</f>
        <v>-1.0831638691119978E-2</v>
      </c>
      <c r="AA20" s="68">
        <f t="shared" si="1"/>
        <v>17</v>
      </c>
      <c r="AB20" s="42">
        <f t="shared" si="2"/>
        <v>616832</v>
      </c>
      <c r="AC20" s="42" t="str">
        <f t="shared" si="3"/>
        <v/>
      </c>
      <c r="AD20" s="42">
        <f t="shared" si="0"/>
        <v>2268</v>
      </c>
      <c r="AE20" s="40"/>
      <c r="AF20" s="40"/>
      <c r="AG20" s="40"/>
    </row>
    <row r="21" spans="1:33" x14ac:dyDescent="0.45">
      <c r="A21" s="9">
        <f>_xlfn.XLOOKUP(H5, SummaryTable[Code], SummaryTable[UnderAvgBud])</f>
        <v>664056.19999999995</v>
      </c>
      <c r="B21" s="9">
        <f>_xlfn.XLOOKUP(H5, SummaryTable[Code], SummaryTable[UnderAvgDiff'#])</f>
        <v>-36830.349999999977</v>
      </c>
      <c r="C21" s="17">
        <f>_xlfn.XLOOKUP(H5, SummaryTable[Code], SummaryTable[UnderAvgDiff%])</f>
        <v>-5.5462700295547243E-2</v>
      </c>
      <c r="D21" s="8" t="s">
        <v>1150</v>
      </c>
      <c r="F21" s="35">
        <v>19</v>
      </c>
      <c r="G21" s="47">
        <f>INDEX(SummaryTable[],MATCH($H$5, SummaryTable[Code],0),MATCH(G$7&amp;$F21,SummaryTable[#Headers],0))</f>
        <v>735610</v>
      </c>
      <c r="H21" s="17">
        <f>INDEX(SummaryTable[],MATCH($H$5, SummaryTable[Code],0),MATCH(H$7&amp;$F21,SummaryTable[#Headers],0))</f>
        <v>7.0805232841656615E-2</v>
      </c>
      <c r="I21" s="47">
        <f>INDEX(SummaryTable[],MATCH($H$5, SummaryTable[Code],0),MATCH(I$7&amp;$F21,SummaryTable[#Headers],0))</f>
        <v>698043</v>
      </c>
      <c r="J21" s="47">
        <f>INDEX(SummaryTable[],MATCH($H$5, SummaryTable[Code],0),MATCH(J$7&amp;$F21,SummaryTable[#Headers],0))</f>
        <v>-37567</v>
      </c>
      <c r="K21" s="17">
        <f>INDEX(SummaryTable[],MATCH($H$5, SummaryTable[Code],0),MATCH(K$7&amp;$F21,SummaryTable[#Headers],0))</f>
        <v>-5.1069180679979884E-2</v>
      </c>
      <c r="AA21" s="68">
        <f t="shared" si="1"/>
        <v>18</v>
      </c>
      <c r="AB21" s="42">
        <f t="shared" si="2"/>
        <v>679528</v>
      </c>
      <c r="AC21" s="42" t="str">
        <f t="shared" si="3"/>
        <v/>
      </c>
      <c r="AD21" s="42">
        <f t="shared" si="0"/>
        <v>7441</v>
      </c>
      <c r="AE21" s="40"/>
      <c r="AF21" s="40"/>
      <c r="AG21" s="40"/>
    </row>
    <row r="22" spans="1:33" x14ac:dyDescent="0.45">
      <c r="A22" s="9">
        <f>_xlfn.XLOOKUP(H5, SummaryTable[Code], SummaryTable[AvgBudAmt])</f>
        <v>664056.19999999995</v>
      </c>
      <c r="B22" s="9">
        <f>_xlfn.XLOOKUP(H5, SummaryTable[Code], SummaryTable[AvgDiff'#])</f>
        <v>-36830.349999999977</v>
      </c>
      <c r="C22" s="17">
        <f>_xlfn.XLOOKUP(H5,SummaryTable[Code],SummaryTable[AvgDiff%])</f>
        <v>-5.5462700295547243E-2</v>
      </c>
      <c r="D22" s="24" t="s">
        <v>1152</v>
      </c>
      <c r="F22" s="35">
        <v>20</v>
      </c>
      <c r="G22" s="47">
        <f>INDEX(SummaryTable[],MATCH($H$5, SummaryTable[Code],0),MATCH(G$7&amp;$F22,SummaryTable[#Headers],0))</f>
        <v>793784</v>
      </c>
      <c r="H22" s="17">
        <f>INDEX(SummaryTable[],MATCH($H$5, SummaryTable[Code],0),MATCH(H$7&amp;$F22,SummaryTable[#Headers],0))</f>
        <v>7.908266608664917E-2</v>
      </c>
      <c r="I22" s="47">
        <f>INDEX(SummaryTable[],MATCH($H$5, SummaryTable[Code],0),MATCH(I$7&amp;$F22,SummaryTable[#Headers],0))</f>
        <v>781731</v>
      </c>
      <c r="J22" s="47">
        <f>INDEX(SummaryTable[],MATCH($H$5, SummaryTable[Code],0),MATCH(J$7&amp;$F22,SummaryTable[#Headers],0))</f>
        <v>-12053</v>
      </c>
      <c r="K22" s="17">
        <f>INDEX(SummaryTable[],MATCH($H$5, SummaryTable[Code],0),MATCH(K$7&amp;$F22,SummaryTable[#Headers],0))</f>
        <v>-1.5184231478588633E-2</v>
      </c>
      <c r="AA22" s="68">
        <f t="shared" si="1"/>
        <v>19</v>
      </c>
      <c r="AB22" s="42">
        <f t="shared" si="2"/>
        <v>698043</v>
      </c>
      <c r="AC22" s="42" t="str">
        <f t="shared" si="3"/>
        <v/>
      </c>
      <c r="AD22" s="42">
        <f t="shared" si="0"/>
        <v>37567</v>
      </c>
      <c r="AE22" s="40"/>
      <c r="AF22" s="40"/>
      <c r="AG22" s="40"/>
    </row>
    <row r="23" spans="1:33" x14ac:dyDescent="0.45">
      <c r="F23" s="35">
        <v>21</v>
      </c>
      <c r="G23" s="47">
        <f>INDEX(SummaryTable[],MATCH($H$5, SummaryTable[Code],0),MATCH(G$7&amp;$F23,SummaryTable[#Headers],0))</f>
        <v>784900</v>
      </c>
      <c r="H23" s="17">
        <f>INDEX(SummaryTable[],MATCH($H$5, SummaryTable[Code],0),MATCH(H$7&amp;$F23,SummaryTable[#Headers],0))</f>
        <v>-1.119196154117493E-2</v>
      </c>
      <c r="I23" s="47">
        <f>INDEX(SummaryTable[],MATCH($H$5, SummaryTable[Code],0),MATCH(I$7&amp;$F23,SummaryTable[#Headers],0))</f>
        <v>781209</v>
      </c>
      <c r="J23" s="47">
        <f>INDEX(SummaryTable[],MATCH($H$5, SummaryTable[Code],0),MATCH(J$7&amp;$F23,SummaryTable[#Headers],0))</f>
        <v>-3691</v>
      </c>
      <c r="K23" s="17">
        <f>INDEX(SummaryTable[],MATCH($H$5, SummaryTable[Code],0),MATCH(K$7&amp;$F23,SummaryTable[#Headers],0))</f>
        <v>-4.702509873869283E-3</v>
      </c>
      <c r="AA23" s="68">
        <f t="shared" si="1"/>
        <v>20</v>
      </c>
      <c r="AB23" s="42">
        <f t="shared" si="2"/>
        <v>781731</v>
      </c>
      <c r="AC23" s="42" t="str">
        <f t="shared" si="3"/>
        <v/>
      </c>
      <c r="AD23" s="42">
        <f t="shared" si="0"/>
        <v>12053</v>
      </c>
      <c r="AE23" s="40"/>
      <c r="AF23" s="40"/>
      <c r="AG23" s="40"/>
    </row>
    <row r="24" spans="1:33" x14ac:dyDescent="0.45">
      <c r="F24" s="35">
        <v>22</v>
      </c>
      <c r="G24" s="47">
        <f>INDEX(SummaryTable[],MATCH($H$5, SummaryTable[Code],0),MATCH(G$7&amp;$F24,SummaryTable[#Headers],0))</f>
        <v>839216</v>
      </c>
      <c r="H24" s="17">
        <f>INDEX(SummaryTable[],MATCH($H$5, SummaryTable[Code],0),MATCH(H$7&amp;$F24,SummaryTable[#Headers],0))</f>
        <v>6.9201172123837432E-2</v>
      </c>
      <c r="I24" s="47">
        <f>INDEX(SummaryTable[],MATCH($H$5, SummaryTable[Code],0),MATCH(I$7&amp;$F24,SummaryTable[#Headers],0))</f>
        <v>809491</v>
      </c>
      <c r="J24" s="47">
        <f>INDEX(SummaryTable[],MATCH($H$5, SummaryTable[Code],0),MATCH(J$7&amp;$F24,SummaryTable[#Headers],0))</f>
        <v>-29725</v>
      </c>
      <c r="K24" s="17">
        <f>INDEX(SummaryTable[],MATCH($H$5, SummaryTable[Code],0),MATCH(K$7&amp;$F24,SummaryTable[#Headers],0))</f>
        <v>-3.5419963394406208E-2</v>
      </c>
      <c r="AA24" s="68">
        <f t="shared" si="1"/>
        <v>21</v>
      </c>
      <c r="AB24" s="42">
        <f t="shared" si="2"/>
        <v>781209</v>
      </c>
      <c r="AC24" s="42" t="str">
        <f t="shared" si="3"/>
        <v/>
      </c>
      <c r="AD24" s="42">
        <f t="shared" si="0"/>
        <v>3691</v>
      </c>
      <c r="AE24" s="40"/>
      <c r="AF24" s="40"/>
      <c r="AG24" s="40"/>
    </row>
    <row r="25" spans="1:33" x14ac:dyDescent="0.45">
      <c r="F25" s="35">
        <v>23</v>
      </c>
      <c r="G25" s="47">
        <f>INDEX(SummaryTable[],MATCH($H$5, SummaryTable[Code],0),MATCH(G$7&amp;$F25,SummaryTable[#Headers],0))</f>
        <v>1002316</v>
      </c>
      <c r="H25" s="17">
        <f>INDEX(SummaryTable[],MATCH($H$5, SummaryTable[Code],0),MATCH(H$7&amp;$F25,SummaryTable[#Headers],0))</f>
        <v>0.19434805818764181</v>
      </c>
      <c r="I25" s="47">
        <f>INDEX(SummaryTable[],MATCH($H$5, SummaryTable[Code],0),MATCH(I$7&amp;$F25,SummaryTable[#Headers],0))</f>
        <v>959183</v>
      </c>
      <c r="J25" s="47">
        <f>INDEX(SummaryTable[],MATCH($H$5, SummaryTable[Code],0),MATCH(J$7&amp;$F25,SummaryTable[#Headers],0))</f>
        <v>-43133</v>
      </c>
      <c r="K25" s="17">
        <f>INDEX(SummaryTable[],MATCH($H$5, SummaryTable[Code],0),MATCH(K$7&amp;$F25,SummaryTable[#Headers],0))</f>
        <v>-4.3033334796611047E-2</v>
      </c>
      <c r="AA25" s="68">
        <f t="shared" si="1"/>
        <v>22</v>
      </c>
      <c r="AB25" s="42">
        <f t="shared" si="2"/>
        <v>809491</v>
      </c>
      <c r="AC25" s="42" t="str">
        <f t="shared" si="3"/>
        <v/>
      </c>
      <c r="AD25" s="42">
        <f t="shared" si="0"/>
        <v>29725</v>
      </c>
      <c r="AE25" s="40"/>
      <c r="AF25" s="40"/>
      <c r="AG25" s="40"/>
    </row>
    <row r="26" spans="1:33" x14ac:dyDescent="0.45">
      <c r="F26" s="35">
        <v>24</v>
      </c>
      <c r="G26" s="47">
        <f>INDEX(SummaryTable[],MATCH($H$5, SummaryTable[Code],0),MATCH(G$7&amp;$F26,SummaryTable[#Headers],0))</f>
        <v>1110929</v>
      </c>
      <c r="H26" s="17">
        <f>INDEX(SummaryTable[],MATCH($H$5, SummaryTable[Code],0),MATCH(H$7&amp;$F26,SummaryTable[#Headers],0))</f>
        <v>0.10836203353034372</v>
      </c>
      <c r="I26" s="47">
        <f>INDEX(SummaryTable[],MATCH($H$5, SummaryTable[Code],0),MATCH(I$7&amp;$F26,SummaryTable[#Headers],0))</f>
        <v>1006399</v>
      </c>
      <c r="J26" s="47">
        <f>INDEX(SummaryTable[],MATCH($H$5, SummaryTable[Code],0),MATCH(J$7&amp;$F26,SummaryTable[#Headers],0))</f>
        <v>-104530</v>
      </c>
      <c r="K26" s="17">
        <f>INDEX(SummaryTable[],MATCH($H$5, SummaryTable[Code],0),MATCH(K$7&amp;$F26,SummaryTable[#Headers],0))</f>
        <v>-9.4092421747924482E-2</v>
      </c>
      <c r="AA26" s="68">
        <f t="shared" si="1"/>
        <v>23</v>
      </c>
      <c r="AB26" s="42">
        <f t="shared" si="2"/>
        <v>959183</v>
      </c>
      <c r="AC26" s="42" t="str">
        <f t="shared" si="3"/>
        <v/>
      </c>
      <c r="AD26" s="42">
        <f t="shared" si="0"/>
        <v>43133</v>
      </c>
      <c r="AE26" s="40"/>
      <c r="AF26" s="40"/>
      <c r="AG26" s="40"/>
    </row>
    <row r="27" spans="1:33" x14ac:dyDescent="0.45">
      <c r="F27" s="35" t="s">
        <v>1399</v>
      </c>
      <c r="G27" s="47">
        <f>INDEX(SummaryTable[],MATCH($H$5, SummaryTable[Code],0),MATCH(G$7&amp;$F27,SummaryTable[#Headers],0))</f>
        <v>1229364</v>
      </c>
      <c r="H27" s="17">
        <f>INDEX(SummaryTable[],MATCH($H$5, SummaryTable[Code],0),MATCH(H$7&amp;$F27,SummaryTable[#Headers],0))</f>
        <v>0.10660897321070924</v>
      </c>
      <c r="I27" s="47">
        <f>INDEX(SummaryTable[],MATCH($H$5, SummaryTable[Code],0),MATCH(I$7&amp;$F27,SummaryTable[#Headers],0))</f>
        <v>1052598</v>
      </c>
      <c r="J27" s="47">
        <f>INDEX(SummaryTable[],MATCH($H$5, SummaryTable[Code],0),MATCH(J$7&amp;$F27,SummaryTable[#Headers],0))</f>
        <v>-176766</v>
      </c>
      <c r="K27" s="17">
        <f>INDEX(SummaryTable[],MATCH($H$5, SummaryTable[Code],0),MATCH(K$7&amp;$F27,SummaryTable[#Headers],0))</f>
        <v>-0.14378654328579657</v>
      </c>
      <c r="AA27" s="68">
        <f t="shared" si="1"/>
        <v>24</v>
      </c>
      <c r="AB27" s="42">
        <f t="shared" si="2"/>
        <v>1006399</v>
      </c>
      <c r="AC27" s="42" t="str">
        <f t="shared" si="3"/>
        <v/>
      </c>
      <c r="AD27" s="42">
        <f t="shared" si="0"/>
        <v>104530</v>
      </c>
      <c r="AE27" s="40"/>
      <c r="AF27" s="40"/>
      <c r="AG27" s="40"/>
    </row>
    <row r="28" spans="1:33" x14ac:dyDescent="0.45">
      <c r="AA28" s="68" t="str">
        <f t="shared" si="1"/>
        <v>25</v>
      </c>
      <c r="AB28" s="42">
        <f t="shared" si="2"/>
        <v>1052598</v>
      </c>
      <c r="AC28" s="42" t="str">
        <f t="shared" si="3"/>
        <v/>
      </c>
      <c r="AD28" s="42">
        <f t="shared" si="0"/>
        <v>176766</v>
      </c>
      <c r="AE28" s="40"/>
      <c r="AF28" s="40"/>
      <c r="AG28" s="40"/>
    </row>
    <row r="29" spans="1:33" x14ac:dyDescent="0.45">
      <c r="C29" s="15">
        <f>_xlfn.XLOOKUP(H5,SummaryTable[Code],SummaryTable[IncreaseYears])</f>
        <v>5</v>
      </c>
      <c r="D29" s="28" t="str">
        <f>"years with budget % increase &gt; 10%"</f>
        <v>years with budget % increase &gt; 10%</v>
      </c>
      <c r="G29" t="s">
        <v>1389</v>
      </c>
      <c r="AA29" s="40"/>
      <c r="AB29" s="40"/>
      <c r="AC29" s="40"/>
      <c r="AD29" s="40"/>
      <c r="AE29" s="40"/>
      <c r="AF29" s="40"/>
      <c r="AG29" s="40"/>
    </row>
    <row r="30" spans="1:33" x14ac:dyDescent="0.45">
      <c r="C30" s="16">
        <f>_xlfn.XLOOKUP(H5,SummaryTable[Code],SummaryTable[OSinIncreaseYear'#])</f>
        <v>0</v>
      </c>
      <c r="D30" s="14" t="str">
        <f>"of those years had overspending % &gt; 10%"</f>
        <v>of those years had overspending % &gt; 10%</v>
      </c>
      <c r="AA30" s="40"/>
      <c r="AB30" s="40"/>
      <c r="AC30" s="40"/>
      <c r="AD30" s="40"/>
      <c r="AE30" s="40"/>
      <c r="AF30" s="40"/>
      <c r="AG30" s="40"/>
    </row>
    <row r="31" spans="1:33" ht="14.25" customHeight="1" x14ac:dyDescent="0.45">
      <c r="C31" s="31">
        <f>_xlfn.XLOOKUP(H5,SummaryTable[Code],SummaryTable[OSinIncreaseYear%])</f>
        <v>0</v>
      </c>
      <c r="D31" s="29" t="s">
        <v>1248</v>
      </c>
      <c r="G31" t="s">
        <v>1386</v>
      </c>
      <c r="AA31" s="40"/>
      <c r="AB31" s="43"/>
      <c r="AC31" s="44"/>
      <c r="AD31" s="40"/>
      <c r="AE31" s="40"/>
      <c r="AF31" s="40"/>
      <c r="AG31" s="40"/>
    </row>
    <row r="32" spans="1:33" x14ac:dyDescent="0.45">
      <c r="D32" s="48" t="s">
        <v>1249</v>
      </c>
      <c r="G32" t="s">
        <v>1408</v>
      </c>
    </row>
    <row r="33" spans="2:7" x14ac:dyDescent="0.45">
      <c r="G33" t="s">
        <v>1387</v>
      </c>
    </row>
    <row r="34" spans="2:7" x14ac:dyDescent="0.45">
      <c r="G34" t="s">
        <v>1388</v>
      </c>
    </row>
    <row r="35" spans="2:7" x14ac:dyDescent="0.45">
      <c r="G35" t="s">
        <v>1433</v>
      </c>
    </row>
    <row r="37" spans="2:7" x14ac:dyDescent="0.45">
      <c r="B37" s="18"/>
      <c r="C37" s="18"/>
      <c r="D37" s="2"/>
    </row>
    <row r="38" spans="2:7" x14ac:dyDescent="0.45">
      <c r="B38" s="19"/>
      <c r="C38" s="19"/>
      <c r="D38" s="11"/>
    </row>
  </sheetData>
  <sheetProtection algorithmName="SHA-512" hashValue="RB8GNOiaWUH6Lg6VNyR3fkhX5hMVpTUj21yXWwz3f1RJiKI7PkZch9TpDIBFFYzCWZ5M+zES9Qzs60d6uzev9A==" saltValue="gGZPHRPwN3T5BUviBZwm1g==" spinCount="100000" sheet="1"/>
  <protectedRanges>
    <protectedRange sqref="C5" name="Range1"/>
  </protectedRanges>
  <mergeCells count="3">
    <mergeCell ref="C5:D5"/>
    <mergeCell ref="C4:D4"/>
    <mergeCell ref="C2:K2"/>
  </mergeCells>
  <conditionalFormatting sqref="B20">
    <cfRule type="cellIs" dxfId="9" priority="126" operator="greaterThan">
      <formula>#REF!</formula>
    </cfRule>
  </conditionalFormatting>
  <conditionalFormatting sqref="B21:B22">
    <cfRule type="cellIs" dxfId="8" priority="7" operator="lessThan">
      <formula>#REF!</formula>
    </cfRule>
  </conditionalFormatting>
  <conditionalFormatting sqref="B22">
    <cfRule type="cellIs" dxfId="7" priority="26" operator="greaterThan">
      <formula>#REF!</formula>
    </cfRule>
  </conditionalFormatting>
  <conditionalFormatting sqref="H27">
    <cfRule type="cellIs" dxfId="6" priority="1" operator="lessThan">
      <formula>#REF!</formula>
    </cfRule>
    <cfRule type="cellIs" dxfId="5" priority="2" operator="greaterThan">
      <formula>#REF!</formula>
    </cfRule>
  </conditionalFormatting>
  <conditionalFormatting sqref="J27:K27">
    <cfRule type="cellIs" dxfId="4" priority="8" operator="lessThan">
      <formula>#REF!</formula>
    </cfRule>
    <cfRule type="cellIs" dxfId="3" priority="9" operator="greaterThan">
      <formula>#REF!</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56E205-C54C-485A-9D75-6E1102CC01D5}">
          <x14:formula1>
            <xm:f>DropDownNameList!$G:$G</xm:f>
          </x14:formula1>
          <xm:sqref>C5:D5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C25A8-0B93-4A3E-9552-3E69390E91D4}">
  <sheetPr codeName="Sheet16"/>
  <dimension ref="A1:G304"/>
  <sheetViews>
    <sheetView workbookViewId="0">
      <selection activeCell="F14" sqref="F14"/>
    </sheetView>
  </sheetViews>
  <sheetFormatPr defaultRowHeight="14.25" x14ac:dyDescent="0.45"/>
  <cols>
    <col min="1" max="1" width="5.6640625" customWidth="1"/>
    <col min="2" max="2" width="5" customWidth="1"/>
    <col min="3" max="3" width="8.9296875" customWidth="1"/>
    <col min="4" max="4" width="45.33203125" customWidth="1"/>
    <col min="6" max="6" width="29.19921875" customWidth="1"/>
    <col min="7" max="7" width="50.6640625" style="36" customWidth="1"/>
  </cols>
  <sheetData>
    <row r="1" spans="1:7" x14ac:dyDescent="0.45">
      <c r="A1" s="75" t="s">
        <v>1409</v>
      </c>
      <c r="B1" s="75"/>
      <c r="C1" s="75"/>
      <c r="D1" s="75"/>
      <c r="F1" s="13" t="s">
        <v>1411</v>
      </c>
      <c r="G1" s="36" t="str" cm="1">
        <f t="array" ref="G1:G127">_xlfn._xlws.SORT(_xlfn._xlws.FILTER(D:D, D:D&lt;&gt;""))</f>
        <v>Alcoholic Beverage Regulation Administration</v>
      </c>
    </row>
    <row r="2" spans="1:7" x14ac:dyDescent="0.45">
      <c r="A2" t="s">
        <v>1410</v>
      </c>
      <c r="B2">
        <f>MAX(allFYsTable[year2])</f>
        <v>2025</v>
      </c>
      <c r="C2" s="77" t="s">
        <v>1427</v>
      </c>
      <c r="D2" s="77"/>
      <c r="G2" s="36" t="str">
        <v>AYXX Public Charter School Advance Appropriations</v>
      </c>
    </row>
    <row r="3" spans="1:7" ht="14.25" customHeight="1" x14ac:dyDescent="0.45">
      <c r="C3" t="str" cm="1">
        <f t="array" ref="C3:C129">_xlfn.UNIQUE(_xlfn._xlws.FILTER(allFYsTable[Code],allFYsTable[year2]=B2))</f>
        <v>DL0</v>
      </c>
      <c r="D3" t="str">
        <f>_xlfn.IFNA(_xlfn.XLOOKUP(C3,NameCodingTable[Code], NameCodingTable[Unit Display Name]), "")</f>
        <v>Board of Elections (BOE)</v>
      </c>
      <c r="F3" s="76" t="s">
        <v>1429</v>
      </c>
      <c r="G3" s="36" t="str">
        <v>AYXX Public School Advance Appropriations</v>
      </c>
    </row>
    <row r="4" spans="1:7" x14ac:dyDescent="0.45">
      <c r="C4" t="str">
        <v>AG0</v>
      </c>
      <c r="D4" t="str">
        <f>_xlfn.IFNA(_xlfn.XLOOKUP(C4,NameCodingTable[Code], NameCodingTable[Unit Display Name]), "")</f>
        <v>Board of Ethics and Government Accountability (BEGA)</v>
      </c>
      <c r="F4" s="76"/>
      <c r="G4" s="36" t="str">
        <v>Board of Elections (BOE)</v>
      </c>
    </row>
    <row r="5" spans="1:7" x14ac:dyDescent="0.45">
      <c r="C5" t="str">
        <v>RJ0</v>
      </c>
      <c r="D5" t="str">
        <f>_xlfn.IFNA(_xlfn.XLOOKUP(C5,NameCodingTable[Code], NameCodingTable[Unit Display Name]), "")</f>
        <v>Captive Insurance Agency</v>
      </c>
      <c r="F5" s="76"/>
      <c r="G5" s="36" t="str">
        <v>Board of Ethics and Government Accountability (BEGA)</v>
      </c>
    </row>
    <row r="6" spans="1:7" x14ac:dyDescent="0.45">
      <c r="C6" t="str">
        <v>AF0</v>
      </c>
      <c r="D6" t="str">
        <f>_xlfn.IFNA(_xlfn.XLOOKUP(C6,NameCodingTable[Code], NameCodingTable[Unit Display Name]), "")</f>
        <v>Contract Appeals Board (CAB)</v>
      </c>
      <c r="F6" s="76"/>
      <c r="G6" s="36" t="str">
        <v>Business Improvement Districts Transfer</v>
      </c>
    </row>
    <row r="7" spans="1:7" x14ac:dyDescent="0.45">
      <c r="C7" t="str">
        <v>AB0</v>
      </c>
      <c r="D7" t="str">
        <f>_xlfn.IFNA(_xlfn.XLOOKUP(C7,NameCodingTable[Code], NameCodingTable[Unit Display Name]), "")</f>
        <v>Council of the District of Columbia</v>
      </c>
      <c r="F7" s="1"/>
      <c r="G7" s="36" t="str">
        <v>Captive Insurance Agency</v>
      </c>
    </row>
    <row r="8" spans="1:7" x14ac:dyDescent="0.45">
      <c r="C8" t="str">
        <v>BE0</v>
      </c>
      <c r="D8" t="str">
        <f>_xlfn.IFNA(_xlfn.XLOOKUP(C8,NameCodingTable[Code], NameCodingTable[Unit Display Name]), "")</f>
        <v>Department of Human Resources (DCHR)</v>
      </c>
      <c r="F8" s="76" t="s">
        <v>1412</v>
      </c>
      <c r="G8" s="36" t="str">
        <v>Child and Family Services Agency (CFSA)</v>
      </c>
    </row>
    <row r="9" spans="1:7" x14ac:dyDescent="0.45">
      <c r="C9" t="str">
        <v>AM0</v>
      </c>
      <c r="D9" t="str">
        <f>_xlfn.IFNA(_xlfn.XLOOKUP(C9,NameCodingTable[Code], NameCodingTable[Unit Display Name]), "")</f>
        <v>Department of General Services (DGS)</v>
      </c>
      <c r="F9" s="76"/>
      <c r="G9" s="36" t="str">
        <v>Commercial Paper Program</v>
      </c>
    </row>
    <row r="10" spans="1:7" x14ac:dyDescent="0.45">
      <c r="C10" t="str">
        <v>BG0</v>
      </c>
      <c r="D10" t="str">
        <f>_xlfn.IFNA(_xlfn.XLOOKUP(C10,NameCodingTable[Code], NameCodingTable[Unit Display Name]), "")</f>
        <v>Employees' Compensation Fund</v>
      </c>
      <c r="F10" s="76"/>
      <c r="G10" s="36" t="str">
        <v>Commission on Judicial Disabilities and Tenure</v>
      </c>
    </row>
    <row r="11" spans="1:7" x14ac:dyDescent="0.45">
      <c r="C11" t="str">
        <v>AA0</v>
      </c>
      <c r="D11" t="str">
        <f>_xlfn.IFNA(_xlfn.XLOOKUP(C11,NameCodingTable[Code], NameCodingTable[Unit Display Name]), "")</f>
        <v>Executive Office of the Mayor (EOM)</v>
      </c>
      <c r="F11" s="76"/>
      <c r="G11" s="36" t="str">
        <v>Commission on the Arts and Humanities</v>
      </c>
    </row>
    <row r="12" spans="1:7" x14ac:dyDescent="0.45">
      <c r="C12" t="str">
        <v>SB0</v>
      </c>
      <c r="D12" t="str">
        <f>_xlfn.IFNA(_xlfn.XLOOKUP(C12,NameCodingTable[Code], NameCodingTable[Unit Display Name]), "")</f>
        <v>Inaugural Expenses</v>
      </c>
      <c r="G12" s="36" t="str">
        <v>Contract Appeals Board (CAB)</v>
      </c>
    </row>
    <row r="13" spans="1:7" x14ac:dyDescent="0.45">
      <c r="C13" t="str">
        <v>AH0</v>
      </c>
      <c r="D13" t="str">
        <f>_xlfn.IFNA(_xlfn.XLOOKUP(C13,NameCodingTable[Code], NameCodingTable[Unit Display Name]), "")</f>
        <v>Mayor's Office of Legal Counsel</v>
      </c>
      <c r="G13" s="36" t="str">
        <v>Convention Center Transfer</v>
      </c>
    </row>
    <row r="14" spans="1:7" x14ac:dyDescent="0.45">
      <c r="C14" t="str">
        <v>EA0</v>
      </c>
      <c r="D14" t="str">
        <f>_xlfn.IFNA(_xlfn.XLOOKUP(C14,NameCodingTable[Code], NameCodingTable[Unit Display Name]), "")</f>
        <v>Metropolitan Washington Council of Governments</v>
      </c>
      <c r="G14" s="36" t="str">
        <v>Corrections Information Council</v>
      </c>
    </row>
    <row r="15" spans="1:7" x14ac:dyDescent="0.45">
      <c r="C15" t="str">
        <v>DX0</v>
      </c>
      <c r="D15" t="str">
        <f>_xlfn.IFNA(_xlfn.XLOOKUP(C15,NameCodingTable[Code], NameCodingTable[Unit Display Name]), "")</f>
        <v>Office of Advisory Neighborhood Commissions (OANC)</v>
      </c>
      <c r="G15" s="36" t="str">
        <v>Council of the District of Columbia</v>
      </c>
    </row>
    <row r="16" spans="1:7" x14ac:dyDescent="0.45">
      <c r="C16" t="str">
        <v>CJ0</v>
      </c>
      <c r="D16" t="str">
        <f>_xlfn.IFNA(_xlfn.XLOOKUP(C16,NameCodingTable[Code], NameCodingTable[Unit Display Name]), "")</f>
        <v>Office of Campaign Finance</v>
      </c>
      <c r="G16" s="36" t="str">
        <v>Criminal Code Reform Commission (CCRC)</v>
      </c>
    </row>
    <row r="17" spans="3:7" x14ac:dyDescent="0.45">
      <c r="C17" t="str">
        <v>PO0</v>
      </c>
      <c r="D17" t="str">
        <f>_xlfn.IFNA(_xlfn.XLOOKUP(C17,NameCodingTable[Code], NameCodingTable[Unit Display Name]), "")</f>
        <v>Office of Contracting and Procurement (OCP)</v>
      </c>
      <c r="G17" s="36" t="str">
        <v>Criminal Justice Coordinating Council (CJCC)</v>
      </c>
    </row>
    <row r="18" spans="3:7" x14ac:dyDescent="0.45">
      <c r="C18" t="str">
        <v>JR0</v>
      </c>
      <c r="D18" t="str">
        <f>_xlfn.IFNA(_xlfn.XLOOKUP(C18,NameCodingTable[Code], NameCodingTable[Unit Display Name]), "")</f>
        <v>Office of Disability Rights (ODR)</v>
      </c>
      <c r="G18" s="36" t="str">
        <v>DC Health</v>
      </c>
    </row>
    <row r="19" spans="3:7" x14ac:dyDescent="0.45">
      <c r="C19" t="str">
        <v>CH0</v>
      </c>
      <c r="D19" t="str">
        <f>_xlfn.IFNA(_xlfn.XLOOKUP(C19,NameCodingTable[Code], NameCodingTable[Unit Display Name]), "")</f>
        <v>Office of Employee Appeals (OEA)</v>
      </c>
      <c r="G19" s="36" t="str">
        <v>Debt Service - Issuance Costs</v>
      </c>
    </row>
    <row r="20" spans="3:7" x14ac:dyDescent="0.45">
      <c r="C20" t="str">
        <v>AS0</v>
      </c>
      <c r="D20" t="str">
        <f>_xlfn.IFNA(_xlfn.XLOOKUP(C20,NameCodingTable[Code], NameCodingTable[Unit Display Name]), "")</f>
        <v>Office of Finance and Resource Management (OFRM)</v>
      </c>
      <c r="G20" s="36" t="str">
        <v>Department of Aging and Community Living</v>
      </c>
    </row>
    <row r="21" spans="3:7" x14ac:dyDescent="0.45">
      <c r="C21" t="str">
        <v>AK0</v>
      </c>
      <c r="D21" t="str">
        <f>_xlfn.IFNA(_xlfn.XLOOKUP(C21,NameCodingTable[Code], NameCodingTable[Unit Display Name]), "")</f>
        <v>Office of Labor Relations and Collective Bargaining</v>
      </c>
      <c r="G21" s="36" t="str">
        <v>Department of Behavioral Health (DBH)</v>
      </c>
    </row>
    <row r="22" spans="3:7" x14ac:dyDescent="0.45">
      <c r="C22" t="str">
        <v>AQ0</v>
      </c>
      <c r="D22" t="str">
        <f>_xlfn.IFNA(_xlfn.XLOOKUP(C22,NameCodingTable[Code], NameCodingTable[Unit Display Name]), "")</f>
        <v>Office of LGBTQ Affairs</v>
      </c>
      <c r="G22" s="36" t="str">
        <v>Department of Buildings (DOB)</v>
      </c>
    </row>
    <row r="23" spans="3:7" x14ac:dyDescent="0.45">
      <c r="C23" t="str">
        <v>RK0</v>
      </c>
      <c r="D23" t="str">
        <f>_xlfn.IFNA(_xlfn.XLOOKUP(C23,NameCodingTable[Code], NameCodingTable[Unit Display Name]), "")</f>
        <v>Office of Risk Management (ORM)</v>
      </c>
      <c r="G23" s="36" t="str">
        <v>Department of Corrections (DOC)</v>
      </c>
    </row>
    <row r="24" spans="3:7" x14ac:dyDescent="0.45">
      <c r="C24" t="str">
        <v>CB0</v>
      </c>
      <c r="D24" t="str">
        <f>_xlfn.IFNA(_xlfn.XLOOKUP(C24,NameCodingTable[Code], NameCodingTable[Unit Display Name]), "")</f>
        <v>Office of the Attorney General for the District of Columbia (OAG)</v>
      </c>
      <c r="G24" s="36" t="str">
        <v>Department of Employment Services (DOES)</v>
      </c>
    </row>
    <row r="25" spans="3:7" x14ac:dyDescent="0.45">
      <c r="C25" t="str">
        <v>AT0</v>
      </c>
      <c r="D25" t="str">
        <f>_xlfn.IFNA(_xlfn.XLOOKUP(C25,NameCodingTable[Code], NameCodingTable[Unit Display Name]), "")</f>
        <v>Office of the Chief Financial Officer (OCFO)</v>
      </c>
      <c r="G25" s="36" t="str">
        <v>Department of Energy and Environment (DOEE)</v>
      </c>
    </row>
    <row r="26" spans="3:7" x14ac:dyDescent="0.45">
      <c r="C26" t="str">
        <v>TO0</v>
      </c>
      <c r="D26" t="str">
        <f>_xlfn.IFNA(_xlfn.XLOOKUP(C26,NameCodingTable[Code], NameCodingTable[Unit Display Name]), "")</f>
        <v>Office of the Chief Technology Officer (OCTO)</v>
      </c>
      <c r="G26" s="36" t="str">
        <v>Department of Forensic Sciences (DFS)</v>
      </c>
    </row>
    <row r="27" spans="3:7" x14ac:dyDescent="0.45">
      <c r="C27" t="str">
        <v>AE0</v>
      </c>
      <c r="D27" t="str">
        <f>_xlfn.IFNA(_xlfn.XLOOKUP(C27,NameCodingTable[Code], NameCodingTable[Unit Display Name]), "")</f>
        <v>Office of the City Administrator (OCA)</v>
      </c>
      <c r="G27" s="36" t="str">
        <v>Department of For-hire Vehicles</v>
      </c>
    </row>
    <row r="28" spans="3:7" x14ac:dyDescent="0.45">
      <c r="C28" t="str">
        <v>AC0</v>
      </c>
      <c r="D28" t="str">
        <f>_xlfn.IFNA(_xlfn.XLOOKUP(C28,NameCodingTable[Code], NameCodingTable[Unit Display Name]), "")</f>
        <v>Office of the District of Columbia Auditor (ODCA)</v>
      </c>
      <c r="G28" s="36" t="str">
        <v>Department of General Services (DGS)</v>
      </c>
    </row>
    <row r="29" spans="3:7" x14ac:dyDescent="0.45">
      <c r="C29" t="str">
        <v>AD0</v>
      </c>
      <c r="D29" t="str">
        <f>_xlfn.IFNA(_xlfn.XLOOKUP(C29,NameCodingTable[Code], NameCodingTable[Unit Display Name]), "")</f>
        <v>Office of the Inspector General (OIG)</v>
      </c>
      <c r="G29" s="36" t="str">
        <v>Department of Health Care Finance</v>
      </c>
    </row>
    <row r="30" spans="3:7" x14ac:dyDescent="0.45">
      <c r="C30" t="str">
        <v>BA0</v>
      </c>
      <c r="D30" t="str">
        <f>_xlfn.IFNA(_xlfn.XLOOKUP(C30,NameCodingTable[Code], NameCodingTable[Unit Display Name]), "")</f>
        <v>Office of the Secretary</v>
      </c>
      <c r="G30" s="36" t="str">
        <v>Department of Housing and Community Development (DHCD)</v>
      </c>
    </row>
    <row r="31" spans="3:7" x14ac:dyDescent="0.45">
      <c r="C31" t="str">
        <v>AI0</v>
      </c>
      <c r="D31" t="str">
        <f>_xlfn.IFNA(_xlfn.XLOOKUP(C31,NameCodingTable[Code], NameCodingTable[Unit Display Name]), "")</f>
        <v>Office of the Senior Advisor</v>
      </c>
      <c r="G31" s="36" t="str">
        <v>Department of Human Resources (DCHR)</v>
      </c>
    </row>
    <row r="32" spans="3:7" x14ac:dyDescent="0.45">
      <c r="C32" t="str">
        <v>VA0</v>
      </c>
      <c r="D32" t="str">
        <f>_xlfn.IFNA(_xlfn.XLOOKUP(C32,NameCodingTable[Code], NameCodingTable[Unit Display Name]), "")</f>
        <v>Office of Veterans' Affairs</v>
      </c>
      <c r="G32" s="36" t="str">
        <v>Department of Human Services (DHS)</v>
      </c>
    </row>
    <row r="33" spans="3:7" x14ac:dyDescent="0.45">
      <c r="C33" t="str">
        <v>AP0</v>
      </c>
      <c r="D33" t="str">
        <f>_xlfn.IFNA(_xlfn.XLOOKUP(C33,NameCodingTable[Code], NameCodingTable[Unit Display Name]), "")</f>
        <v>Office on Asian and Pacific Islander Affairs</v>
      </c>
      <c r="G33" s="36" t="str">
        <v>Department of Insurance, Securities and Banking (DISB)</v>
      </c>
    </row>
    <row r="34" spans="3:7" x14ac:dyDescent="0.45">
      <c r="C34" t="str">
        <v>BZ0</v>
      </c>
      <c r="D34" t="str">
        <f>_xlfn.IFNA(_xlfn.XLOOKUP(C34,NameCodingTable[Code], NameCodingTable[Unit Display Name]), "")</f>
        <v>Office on Latino Affairs</v>
      </c>
      <c r="G34" s="36" t="str">
        <v>Department of Licensing and Consumer Protection (DLCP)</v>
      </c>
    </row>
    <row r="35" spans="3:7" x14ac:dyDescent="0.45">
      <c r="C35" t="str">
        <v>CG0</v>
      </c>
      <c r="D35" t="str">
        <f>_xlfn.IFNA(_xlfn.XLOOKUP(C35,NameCodingTable[Code], NameCodingTable[Unit Display Name]), "")</f>
        <v>Public Employee Relations Board (PERB)</v>
      </c>
      <c r="G35" s="36" t="str">
        <v>Department of Motor Vehicles (DMV)</v>
      </c>
    </row>
    <row r="36" spans="3:7" x14ac:dyDescent="0.45">
      <c r="C36" t="str">
        <v>AR0</v>
      </c>
      <c r="D36" t="str">
        <f>_xlfn.IFNA(_xlfn.XLOOKUP(C36,NameCodingTable[Code], NameCodingTable[Unit Display Name]), "")</f>
        <v>Statehood Initiatives</v>
      </c>
      <c r="G36" s="36" t="str">
        <v>Department of Parks and Recreation (DPR)</v>
      </c>
    </row>
    <row r="37" spans="3:7" x14ac:dyDescent="0.45">
      <c r="C37" t="str">
        <v>PM0</v>
      </c>
      <c r="D37" t="str">
        <f>_xlfn.IFNA(_xlfn.XLOOKUP(C37,NameCodingTable[Code], NameCodingTable[Unit Display Name]), "")</f>
        <v>Tax Revision Commission</v>
      </c>
      <c r="G37" s="36" t="str">
        <v>Department of Public Works (DPW)</v>
      </c>
    </row>
    <row r="38" spans="3:7" x14ac:dyDescent="0.45">
      <c r="C38" t="str">
        <v>AL0</v>
      </c>
      <c r="D38" t="str">
        <f>_xlfn.IFNA(_xlfn.XLOOKUP(C38,NameCodingTable[Code], NameCodingTable[Unit Display Name]), "")</f>
        <v>Uniform Law Commission</v>
      </c>
      <c r="G38" s="36" t="str">
        <v>Department of Small and Local Business Development (DSLBD)</v>
      </c>
    </row>
    <row r="39" spans="3:7" x14ac:dyDescent="0.45">
      <c r="C39" t="str">
        <v>ZH0</v>
      </c>
      <c r="D39" t="str">
        <f>_xlfn.IFNA(_xlfn.XLOOKUP(C39,NameCodingTable[Code], NameCodingTable[Unit Display Name]), "")</f>
        <v>Settlements and Judgments</v>
      </c>
      <c r="G39" s="36" t="str">
        <v>Department of Youth Rehabilitation Services (DYRS)</v>
      </c>
    </row>
    <row r="40" spans="3:7" x14ac:dyDescent="0.45">
      <c r="C40" t="str">
        <v>ZZ0</v>
      </c>
      <c r="D40" t="str">
        <f>_xlfn.IFNA(_xlfn.XLOOKUP(C40,NameCodingTable[Code], NameCodingTable[Unit Display Name]), "")</f>
        <v>John A. Wilson Building fund</v>
      </c>
      <c r="G40" s="36" t="str">
        <v>Department on Disability Services (DDS)</v>
      </c>
    </row>
    <row r="41" spans="3:7" x14ac:dyDescent="0.45">
      <c r="C41" t="str">
        <v>EZ0</v>
      </c>
      <c r="D41" t="str">
        <f>_xlfn.IFNA(_xlfn.XLOOKUP(C41,NameCodingTable[Code], NameCodingTable[Unit Display Name]), "")</f>
        <v>Convention Center Transfer</v>
      </c>
      <c r="G41" s="36" t="str">
        <v>District Department of Transportation (DDOT)</v>
      </c>
    </row>
    <row r="42" spans="3:7" x14ac:dyDescent="0.45">
      <c r="C42" t="str">
        <v>EP0</v>
      </c>
      <c r="D42" t="str">
        <f>_xlfn.IFNA(_xlfn.XLOOKUP(C42,NameCodingTable[Code], NameCodingTable[Unit Display Name]), "")</f>
        <v>Emergency Planning and Security Fund</v>
      </c>
      <c r="G42" s="36" t="str">
        <v>District of Columbia National Guard</v>
      </c>
    </row>
    <row r="43" spans="3:7" x14ac:dyDescent="0.45">
      <c r="C43" t="str">
        <v>UP0</v>
      </c>
      <c r="D43" t="str">
        <f>_xlfn.IFNA(_xlfn.XLOOKUP(C43,NameCodingTable[Code], NameCodingTable[Unit Display Name]), "")</f>
        <v>Workforce Investments Account</v>
      </c>
      <c r="G43" s="36" t="str">
        <v>District of Columbia Public Charter School Board</v>
      </c>
    </row>
    <row r="44" spans="3:7" x14ac:dyDescent="0.45">
      <c r="C44" t="str">
        <v>DO0</v>
      </c>
      <c r="D44" t="str">
        <f>_xlfn.IFNA(_xlfn.XLOOKUP(C44,NameCodingTable[Code], NameCodingTable[Unit Display Name]), "")</f>
        <v>Non-departmental Account</v>
      </c>
      <c r="G44" s="36" t="str">
        <v>District of Columbia Public Charter Schools</v>
      </c>
    </row>
    <row r="45" spans="3:7" x14ac:dyDescent="0.45">
      <c r="C45" t="str">
        <v>ID0</v>
      </c>
      <c r="D45" t="str">
        <f>_xlfn.IFNA(_xlfn.XLOOKUP(C45,NameCodingTable[Code], NameCodingTable[Unit Display Name]), "")</f>
        <v>Business Improvement Districts Transfer</v>
      </c>
      <c r="G45" s="36" t="str">
        <v>District of Columbia Public Library (DCPL)</v>
      </c>
    </row>
    <row r="46" spans="3:7" x14ac:dyDescent="0.45">
      <c r="C46" t="str">
        <v>BX0</v>
      </c>
      <c r="D46" t="str">
        <f>_xlfn.IFNA(_xlfn.XLOOKUP(C46,NameCodingTable[Code], NameCodingTable[Unit Display Name]), "")</f>
        <v>Commission on the Arts and Humanities</v>
      </c>
      <c r="G46" s="36" t="str">
        <v>District of Columbia Public Schools (DCPS)</v>
      </c>
    </row>
    <row r="47" spans="3:7" x14ac:dyDescent="0.45">
      <c r="C47" t="str">
        <v>DB0</v>
      </c>
      <c r="D47" t="str">
        <f>_xlfn.IFNA(_xlfn.XLOOKUP(C47,NameCodingTable[Code], NameCodingTable[Unit Display Name]), "")</f>
        <v>Department of Housing and Community Development (DHCD)</v>
      </c>
      <c r="G47" s="36" t="str">
        <v>District of Columbia Sentencing Commission</v>
      </c>
    </row>
    <row r="48" spans="3:7" x14ac:dyDescent="0.45">
      <c r="C48" t="str">
        <v>EN0</v>
      </c>
      <c r="D48" t="str">
        <f>_xlfn.IFNA(_xlfn.XLOOKUP(C48,NameCodingTable[Code], NameCodingTable[Unit Display Name]), "")</f>
        <v>Department of Small and Local Business Development (DSLBD)</v>
      </c>
      <c r="G48" s="36" t="str">
        <v>District of Columbia State Athletics Commission</v>
      </c>
    </row>
    <row r="49" spans="3:7" x14ac:dyDescent="0.45">
      <c r="C49" t="str">
        <v>HY0</v>
      </c>
      <c r="D49" t="str">
        <f>_xlfn.IFNA(_xlfn.XLOOKUP(C49,NameCodingTable[Code], NameCodingTable[Unit Display Name]), "")</f>
        <v>Housing Authority Subsidy</v>
      </c>
      <c r="G49" s="36" t="str">
        <v>District Retiree Health Contribution</v>
      </c>
    </row>
    <row r="50" spans="3:7" x14ac:dyDescent="0.45">
      <c r="C50" t="str">
        <v>HP0</v>
      </c>
      <c r="D50" t="str">
        <f>_xlfn.IFNA(_xlfn.XLOOKUP(C50,NameCodingTable[Code], NameCodingTable[Unit Display Name]), "")</f>
        <v>Housing Production Trust Fund subsidy</v>
      </c>
      <c r="G50" s="36" t="str">
        <v>Emergency Planning and Security Fund</v>
      </c>
    </row>
    <row r="51" spans="3:7" x14ac:dyDescent="0.45">
      <c r="C51" t="str">
        <v>CI0</v>
      </c>
      <c r="D51" t="str">
        <f>_xlfn.IFNA(_xlfn.XLOOKUP(C51,NameCodingTable[Code], NameCodingTable[Unit Display Name]), "")</f>
        <v>Office of Cable Television, Film, Music, and Entertainment</v>
      </c>
      <c r="G51" s="36" t="str">
        <v>Employees' Compensation Fund</v>
      </c>
    </row>
    <row r="52" spans="3:7" x14ac:dyDescent="0.45">
      <c r="C52" t="str">
        <v>BD0</v>
      </c>
      <c r="D52" t="str">
        <f>_xlfn.IFNA(_xlfn.XLOOKUP(C52,NameCodingTable[Code], NameCodingTable[Unit Display Name]), "")</f>
        <v>Office of Planning</v>
      </c>
      <c r="G52" s="36" t="str">
        <v>Executive Office of the Mayor (EOM)</v>
      </c>
    </row>
    <row r="53" spans="3:7" x14ac:dyDescent="0.45">
      <c r="C53" t="str">
        <v>EB0</v>
      </c>
      <c r="D53" t="str">
        <f>_xlfn.IFNA(_xlfn.XLOOKUP(C53,NameCodingTable[Code], NameCodingTable[Unit Display Name]), "")</f>
        <v>Office of the Deputy Mayor for Planning and Economic Development (DMPED)</v>
      </c>
      <c r="G53" s="36" t="str">
        <v>Fire and Emergency Medical Services Department (FEMS)</v>
      </c>
    </row>
    <row r="54" spans="3:7" x14ac:dyDescent="0.45">
      <c r="C54" t="str">
        <v>CQ0</v>
      </c>
      <c r="D54" t="str">
        <f>_xlfn.IFNA(_xlfn.XLOOKUP(C54,NameCodingTable[Code], NameCodingTable[Unit Display Name]), "")</f>
        <v>Office of the Tenant Advocate</v>
      </c>
      <c r="G54" s="36" t="str">
        <v>Highway Transportation Fund - Transfers</v>
      </c>
    </row>
    <row r="55" spans="3:7" x14ac:dyDescent="0.45">
      <c r="C55" t="str">
        <v>BJ0</v>
      </c>
      <c r="D55" t="str">
        <f>_xlfn.IFNA(_xlfn.XLOOKUP(C55,NameCodingTable[Code], NameCodingTable[Unit Display Name]), "")</f>
        <v>Office of Zoning</v>
      </c>
      <c r="G55" s="36" t="str">
        <v>Homeland Security and Emergency Management Agency (HSEMA)</v>
      </c>
    </row>
    <row r="56" spans="3:7" x14ac:dyDescent="0.45">
      <c r="C56" t="str">
        <v>DA0</v>
      </c>
      <c r="D56" t="str">
        <f>_xlfn.IFNA(_xlfn.XLOOKUP(C56,NameCodingTable[Code], NameCodingTable[Unit Display Name]), "")</f>
        <v>Real Property Tax Appeals Commission</v>
      </c>
      <c r="G56" s="36" t="str">
        <v>Housing Authority Subsidy</v>
      </c>
    </row>
    <row r="57" spans="3:7" x14ac:dyDescent="0.45">
      <c r="C57" t="str">
        <v>DR0</v>
      </c>
      <c r="D57" t="str">
        <f>_xlfn.IFNA(_xlfn.XLOOKUP(C57,NameCodingTable[Code], NameCodingTable[Unit Display Name]), "")</f>
        <v>Rental Housing Commission</v>
      </c>
      <c r="G57" s="36" t="str">
        <v>Housing Production Trust Fund subsidy</v>
      </c>
    </row>
    <row r="58" spans="3:7" x14ac:dyDescent="0.45">
      <c r="C58" t="str">
        <v>DQ0</v>
      </c>
      <c r="D58" t="str">
        <f>_xlfn.IFNA(_xlfn.XLOOKUP(C58,NameCodingTable[Code], NameCodingTable[Unit Display Name]), "")</f>
        <v>Commission on Judicial Disabilities and Tenure</v>
      </c>
      <c r="G58" s="36" t="str">
        <v>Inaugural Expenses</v>
      </c>
    </row>
    <row r="59" spans="3:7" x14ac:dyDescent="0.45">
      <c r="C59" t="str">
        <v>FI0</v>
      </c>
      <c r="D59" t="str">
        <f>_xlfn.IFNA(_xlfn.XLOOKUP(C59,NameCodingTable[Code], NameCodingTable[Unit Display Name]), "")</f>
        <v>Corrections Information Council</v>
      </c>
      <c r="G59" s="36" t="str">
        <v>John A. Wilson Building fund</v>
      </c>
    </row>
    <row r="60" spans="3:7" x14ac:dyDescent="0.45">
      <c r="C60" t="str">
        <v>MA0</v>
      </c>
      <c r="D60" t="str">
        <f>_xlfn.IFNA(_xlfn.XLOOKUP(C60,NameCodingTable[Code], NameCodingTable[Unit Display Name]), "")</f>
        <v>Criminal Code Reform Commission (CCRC)</v>
      </c>
      <c r="G60" s="36" t="str">
        <v>Judicial Nomination Commission</v>
      </c>
    </row>
    <row r="61" spans="3:7" x14ac:dyDescent="0.45">
      <c r="C61" t="str">
        <v>FJ0</v>
      </c>
      <c r="D61" t="str">
        <f>_xlfn.IFNA(_xlfn.XLOOKUP(C61,NameCodingTable[Code], NameCodingTable[Unit Display Name]), "")</f>
        <v>Criminal Justice Coordinating Council (CJCC)</v>
      </c>
      <c r="G61" s="36" t="str">
        <v>Mayor's Office of Legal Counsel</v>
      </c>
    </row>
    <row r="62" spans="3:7" x14ac:dyDescent="0.45">
      <c r="C62" t="str">
        <v>FL0</v>
      </c>
      <c r="D62" t="str">
        <f>_xlfn.IFNA(_xlfn.XLOOKUP(C62,NameCodingTable[Code], NameCodingTable[Unit Display Name]), "")</f>
        <v>Department of Corrections (DOC)</v>
      </c>
      <c r="G62" s="36" t="str">
        <v>Metropolitan Police Department (MPD)</v>
      </c>
    </row>
    <row r="63" spans="3:7" x14ac:dyDescent="0.45">
      <c r="C63" t="str">
        <v>FR0</v>
      </c>
      <c r="D63" t="str">
        <f>_xlfn.IFNA(_xlfn.XLOOKUP(C63,NameCodingTable[Code], NameCodingTable[Unit Display Name]), "")</f>
        <v>Department of Forensic Sciences (DFS)</v>
      </c>
      <c r="G63" s="36" t="str">
        <v>Metropolitan Washington Council of Governments</v>
      </c>
    </row>
    <row r="64" spans="3:7" x14ac:dyDescent="0.45">
      <c r="C64" t="str">
        <v>JZ0</v>
      </c>
      <c r="D64" t="str">
        <f>_xlfn.IFNA(_xlfn.XLOOKUP(C64,NameCodingTable[Code], NameCodingTable[Unit Display Name]), "")</f>
        <v>Department of Youth Rehabilitation Services (DYRS)</v>
      </c>
      <c r="G64" s="36" t="str">
        <v>Non-departmental Account</v>
      </c>
    </row>
    <row r="65" spans="3:7" x14ac:dyDescent="0.45">
      <c r="C65" t="str">
        <v>FK0</v>
      </c>
      <c r="D65" t="str">
        <f>_xlfn.IFNA(_xlfn.XLOOKUP(C65,NameCodingTable[Code], NameCodingTable[Unit Display Name]), "")</f>
        <v>District of Columbia National Guard</v>
      </c>
      <c r="G65" s="36" t="str">
        <v>Non-public Tuition</v>
      </c>
    </row>
    <row r="66" spans="3:7" x14ac:dyDescent="0.45">
      <c r="C66" t="str">
        <v>FZ0</v>
      </c>
      <c r="D66" t="str">
        <f>_xlfn.IFNA(_xlfn.XLOOKUP(C66,NameCodingTable[Code], NameCodingTable[Unit Display Name]), "")</f>
        <v>District of Columbia Sentencing Commission</v>
      </c>
      <c r="G66" s="36" t="str">
        <v>Not-for-profit Hospital Corporation Subsidy</v>
      </c>
    </row>
    <row r="67" spans="3:7" x14ac:dyDescent="0.45">
      <c r="C67" t="str">
        <v>FB0</v>
      </c>
      <c r="D67" t="str">
        <f>_xlfn.IFNA(_xlfn.XLOOKUP(C67,NameCodingTable[Code], NameCodingTable[Unit Display Name]), "")</f>
        <v>Fire and Emergency Medical Services Department (FEMS)</v>
      </c>
      <c r="G67" s="36" t="str">
        <v>Office for the Deaf, Deafblind, and Hard of Hearing</v>
      </c>
    </row>
    <row r="68" spans="3:7" x14ac:dyDescent="0.45">
      <c r="C68" t="str">
        <v>BN0</v>
      </c>
      <c r="D68" t="str">
        <f>_xlfn.IFNA(_xlfn.XLOOKUP(C68,NameCodingTable[Code], NameCodingTable[Unit Display Name]), "")</f>
        <v>Homeland Security and Emergency Management Agency (HSEMA)</v>
      </c>
      <c r="G68" s="36" t="str">
        <v>Office of Administrative Hearings (OAH)</v>
      </c>
    </row>
    <row r="69" spans="3:7" x14ac:dyDescent="0.45">
      <c r="C69" t="str">
        <v>DV0</v>
      </c>
      <c r="D69" t="str">
        <f>_xlfn.IFNA(_xlfn.XLOOKUP(C69,NameCodingTable[Code], NameCodingTable[Unit Display Name]), "")</f>
        <v>Judicial Nomination Commission</v>
      </c>
      <c r="G69" s="36" t="str">
        <v>Office of Advisory Neighborhood Commissions (OANC)</v>
      </c>
    </row>
    <row r="70" spans="3:7" x14ac:dyDescent="0.45">
      <c r="C70" t="str">
        <v>FA0</v>
      </c>
      <c r="D70" t="str">
        <f>_xlfn.IFNA(_xlfn.XLOOKUP(C70,NameCodingTable[Code], NameCodingTable[Unit Display Name]), "")</f>
        <v>Metropolitan Police Department (MPD)</v>
      </c>
      <c r="G70" s="36" t="str">
        <v>Office of Cable Television, Film, Music, and Entertainment</v>
      </c>
    </row>
    <row r="71" spans="3:7" x14ac:dyDescent="0.45">
      <c r="C71" t="str">
        <v>FS0</v>
      </c>
      <c r="D71" t="str">
        <f>_xlfn.IFNA(_xlfn.XLOOKUP(C71,NameCodingTable[Code], NameCodingTable[Unit Display Name]), "")</f>
        <v>Office of Administrative Hearings (OAH)</v>
      </c>
      <c r="G71" s="36" t="str">
        <v>Office of Campaign Finance</v>
      </c>
    </row>
    <row r="72" spans="3:7" x14ac:dyDescent="0.45">
      <c r="C72" t="str">
        <v>HM0</v>
      </c>
      <c r="D72" t="str">
        <f>_xlfn.IFNA(_xlfn.XLOOKUP(C72,NameCodingTable[Code], NameCodingTable[Unit Display Name]), "")</f>
        <v>Office of Human Rights (OHR)</v>
      </c>
      <c r="G72" s="36" t="str">
        <v>Office of Contracting and Procurement (OCP)</v>
      </c>
    </row>
    <row r="73" spans="3:7" x14ac:dyDescent="0.45">
      <c r="C73" t="str">
        <v>NS0</v>
      </c>
      <c r="D73" t="str">
        <f>_xlfn.IFNA(_xlfn.XLOOKUP(C73,NameCodingTable[Code], NameCodingTable[Unit Display Name]), "")</f>
        <v>Office of Neighborhood Safety and Engagement (ONSE)</v>
      </c>
      <c r="G73" s="36" t="str">
        <v>Office of Disability Rights (ODR)</v>
      </c>
    </row>
    <row r="74" spans="3:7" x14ac:dyDescent="0.45">
      <c r="C74" t="str">
        <v>FH0</v>
      </c>
      <c r="D74" t="str">
        <f>_xlfn.IFNA(_xlfn.XLOOKUP(C74,NameCodingTable[Code], NameCodingTable[Unit Display Name]), "")</f>
        <v>Office of Police Complaints (OPC)</v>
      </c>
      <c r="G74" s="36" t="str">
        <v>Office of Employee Appeals (OEA)</v>
      </c>
    </row>
    <row r="75" spans="3:7" x14ac:dyDescent="0.45">
      <c r="C75" t="str">
        <v>RC0</v>
      </c>
      <c r="D75" t="str">
        <f>_xlfn.IFNA(_xlfn.XLOOKUP(C75,NameCodingTable[Code], NameCodingTable[Unit Display Name]), "")</f>
        <v>Office on Returning Citizen Affairs (ORCA)</v>
      </c>
      <c r="G75" s="36" t="str">
        <v>Office of Finance and Resource Management (OFRM)</v>
      </c>
    </row>
    <row r="76" spans="3:7" x14ac:dyDescent="0.45">
      <c r="C76" t="str">
        <v>FX0</v>
      </c>
      <c r="D76" t="str">
        <f>_xlfn.IFNA(_xlfn.XLOOKUP(C76,NameCodingTable[Code], NameCodingTable[Unit Display Name]), "")</f>
        <v>Office of the Chief Medical Examiner (OCME)</v>
      </c>
      <c r="G76" s="36" t="str">
        <v>Office of Human Rights (OHR)</v>
      </c>
    </row>
    <row r="77" spans="3:7" x14ac:dyDescent="0.45">
      <c r="C77" t="str">
        <v>FQ0</v>
      </c>
      <c r="D77" t="str">
        <f>_xlfn.IFNA(_xlfn.XLOOKUP(C77,NameCodingTable[Code], NameCodingTable[Unit Display Name]), "")</f>
        <v>Office of the Deputy Mayor for Public Safety and Justice</v>
      </c>
      <c r="G77" s="36" t="str">
        <v>Office of Labor Relations and Collective Bargaining</v>
      </c>
    </row>
    <row r="78" spans="3:7" x14ac:dyDescent="0.45">
      <c r="C78" t="str">
        <v>UC0</v>
      </c>
      <c r="D78" t="str">
        <f>_xlfn.IFNA(_xlfn.XLOOKUP(C78,NameCodingTable[Code], NameCodingTable[Unit Display Name]), "")</f>
        <v>Office of Unified Communications (OUC)</v>
      </c>
      <c r="G78" s="36" t="str">
        <v>Office of LGBTQ Affairs</v>
      </c>
    </row>
    <row r="79" spans="3:7" x14ac:dyDescent="0.45">
      <c r="C79" t="str">
        <v>FC0</v>
      </c>
      <c r="D79" t="str">
        <f>_xlfn.IFNA(_xlfn.XLOOKUP(C79,NameCodingTable[Code], NameCodingTable[Unit Display Name]), "")</f>
        <v>Office of Victim Services and Justice Grants</v>
      </c>
      <c r="G79" s="36" t="str">
        <v>Office of Neighborhood Safety and Engagement (ONSE)</v>
      </c>
    </row>
    <row r="80" spans="3:7" x14ac:dyDescent="0.45">
      <c r="C80" t="str">
        <v>FD0</v>
      </c>
      <c r="D80" t="str">
        <f>_xlfn.IFNA(_xlfn.XLOOKUP(C80,NameCodingTable[Code], NameCodingTable[Unit Display Name]), "")</f>
        <v>Police Officers' and Fire Fighters' Retirement System</v>
      </c>
      <c r="G80" s="36" t="str">
        <v>Office of Planning</v>
      </c>
    </row>
    <row r="81" spans="3:7" x14ac:dyDescent="0.45">
      <c r="C81" t="str">
        <v>CF0</v>
      </c>
      <c r="D81" t="str">
        <f>_xlfn.IFNA(_xlfn.XLOOKUP(C81,NameCodingTable[Code], NameCodingTable[Unit Display Name]), "")</f>
        <v>Department of Employment Services (DOES)</v>
      </c>
      <c r="G81" s="36" t="str">
        <v>Office of Police Complaints (OPC)</v>
      </c>
    </row>
    <row r="82" spans="3:7" x14ac:dyDescent="0.45">
      <c r="C82" t="str">
        <v>HA0</v>
      </c>
      <c r="D82" t="str">
        <f>_xlfn.IFNA(_xlfn.XLOOKUP(C82,NameCodingTable[Code], NameCodingTable[Unit Display Name]), "")</f>
        <v>Department of Parks and Recreation (DPR)</v>
      </c>
      <c r="G82" s="36" t="str">
        <v>Office of Risk Management (ORM)</v>
      </c>
    </row>
    <row r="83" spans="3:7" x14ac:dyDescent="0.45">
      <c r="C83" t="str">
        <v>GB0</v>
      </c>
      <c r="D83" t="str">
        <f>_xlfn.IFNA(_xlfn.XLOOKUP(C83,NameCodingTable[Code], NameCodingTable[Unit Display Name]), "")</f>
        <v>District of Columbia Public Charter School Board</v>
      </c>
      <c r="G83" s="36" t="str">
        <v>Office of the Attorney General for the District of Columbia (OAG)</v>
      </c>
    </row>
    <row r="84" spans="3:7" x14ac:dyDescent="0.45">
      <c r="C84" t="str">
        <v>GC0</v>
      </c>
      <c r="D84" t="str">
        <f>_xlfn.IFNA(_xlfn.XLOOKUP(C84,NameCodingTable[Code], NameCodingTable[Unit Display Name]), "")</f>
        <v>District of Columbia Public Charter Schools</v>
      </c>
      <c r="G84" s="36" t="str">
        <v>Office of the Chief Financial Officer (OCFO)</v>
      </c>
    </row>
    <row r="85" spans="3:7" x14ac:dyDescent="0.45">
      <c r="C85" t="str">
        <v>XCH</v>
      </c>
      <c r="D85" t="str">
        <f>_xlfn.IFNA(_xlfn.XLOOKUP(C85,NameCodingTable[Code], NameCodingTable[Unit Display Name]), "")</f>
        <v>AYXX Public Charter School Advance Appropriations</v>
      </c>
      <c r="G85" s="36" t="str">
        <v>Office of the Chief Medical Examiner (OCME)</v>
      </c>
    </row>
    <row r="86" spans="3:7" x14ac:dyDescent="0.45">
      <c r="C86" t="str">
        <v>GA0</v>
      </c>
      <c r="D86" t="str">
        <f>_xlfn.IFNA(_xlfn.XLOOKUP(C86,NameCodingTable[Code], NameCodingTable[Unit Display Name]), "")</f>
        <v>District of Columbia Public Schools (DCPS)</v>
      </c>
      <c r="G86" s="36" t="str">
        <v>Office of the Chief Technology Officer (OCTO)</v>
      </c>
    </row>
    <row r="87" spans="3:7" x14ac:dyDescent="0.45">
      <c r="C87" t="str">
        <v>XPS</v>
      </c>
      <c r="D87" t="str">
        <f>_xlfn.IFNA(_xlfn.XLOOKUP(C87,NameCodingTable[Code], NameCodingTable[Unit Display Name]), "")</f>
        <v>AYXX Public School Advance Appropriations</v>
      </c>
      <c r="G87" s="36" t="str">
        <v>Office of the City Administrator (OCA)</v>
      </c>
    </row>
    <row r="88" spans="3:7" x14ac:dyDescent="0.45">
      <c r="C88" t="str">
        <v>CE0</v>
      </c>
      <c r="D88" t="str">
        <f>_xlfn.IFNA(_xlfn.XLOOKUP(C88,NameCodingTable[Code], NameCodingTable[Unit Display Name]), "")</f>
        <v>District of Columbia Public Library (DCPL)</v>
      </c>
      <c r="G88" s="36" t="str">
        <v>Office of the Deputy Mayor for Education</v>
      </c>
    </row>
    <row r="89" spans="3:7" x14ac:dyDescent="0.45">
      <c r="C89" t="str">
        <v>GL0</v>
      </c>
      <c r="D89" t="str">
        <f>_xlfn.IFNA(_xlfn.XLOOKUP(C89,NameCodingTable[Code], NameCodingTable[Unit Display Name]), "")</f>
        <v>District of Columbia State Athletics Commission</v>
      </c>
      <c r="G89" s="36" t="str">
        <v>Office of the Deputy Mayor for Health and Human Services</v>
      </c>
    </row>
    <row r="90" spans="3:7" x14ac:dyDescent="0.45">
      <c r="C90" t="str">
        <v>GN0</v>
      </c>
      <c r="D90" t="str">
        <f>_xlfn.IFNA(_xlfn.XLOOKUP(C90,NameCodingTable[Code], NameCodingTable[Unit Display Name]), "")</f>
        <v>Non-public Tuition</v>
      </c>
      <c r="G90" s="36" t="str">
        <v xml:space="preserve">Office of the Deputy Mayor for Operations and Infrastructure </v>
      </c>
    </row>
    <row r="91" spans="3:7" x14ac:dyDescent="0.45">
      <c r="C91" t="str">
        <v>GW0</v>
      </c>
      <c r="D91" t="str">
        <f>_xlfn.IFNA(_xlfn.XLOOKUP(C91,NameCodingTable[Code], NameCodingTable[Unit Display Name]), "")</f>
        <v>Office of the Deputy Mayor for Education</v>
      </c>
      <c r="G91" s="36" t="str">
        <v>Office of the Deputy Mayor for Planning and Economic Development (DMPED)</v>
      </c>
    </row>
    <row r="92" spans="3:7" x14ac:dyDescent="0.45">
      <c r="C92" t="str">
        <v>GD0</v>
      </c>
      <c r="D92" t="str">
        <f>_xlfn.IFNA(_xlfn.XLOOKUP(C92,NameCodingTable[Code], NameCodingTable[Unit Display Name]), "")</f>
        <v>Office of the State Superintendent of Education (OSSE)</v>
      </c>
      <c r="G92" s="36" t="str">
        <v>Office of the Deputy Mayor for Public Safety and Justice</v>
      </c>
    </row>
    <row r="93" spans="3:7" x14ac:dyDescent="0.45">
      <c r="C93" t="str">
        <v>GO0</v>
      </c>
      <c r="D93" t="str">
        <f>_xlfn.IFNA(_xlfn.XLOOKUP(C93,NameCodingTable[Code], NameCodingTable[Unit Display Name]), "")</f>
        <v>Special Education Transportation</v>
      </c>
      <c r="G93" s="36" t="str">
        <v>Office of the District of Columbia Auditor (ODCA)</v>
      </c>
    </row>
    <row r="94" spans="3:7" x14ac:dyDescent="0.45">
      <c r="C94" t="str">
        <v>GE0</v>
      </c>
      <c r="D94" t="str">
        <f>_xlfn.IFNA(_xlfn.XLOOKUP(C94,NameCodingTable[Code], NameCodingTable[Unit Display Name]), "")</f>
        <v>State Board of Education</v>
      </c>
      <c r="G94" s="36" t="str">
        <v>Office of the Inspector General (OIG)</v>
      </c>
    </row>
    <row r="95" spans="3:7" x14ac:dyDescent="0.45">
      <c r="C95" t="str">
        <v>GX0</v>
      </c>
      <c r="D95" t="str">
        <f>_xlfn.IFNA(_xlfn.XLOOKUP(C95,NameCodingTable[Code], NameCodingTable[Unit Display Name]), "")</f>
        <v>Teachers' Retirement System</v>
      </c>
      <c r="G95" s="36" t="str">
        <v>Office of the Ombudsperson for Children</v>
      </c>
    </row>
    <row r="96" spans="3:7" x14ac:dyDescent="0.45">
      <c r="C96" t="str">
        <v>BH0</v>
      </c>
      <c r="D96" t="str">
        <f>_xlfn.IFNA(_xlfn.XLOOKUP(C96,NameCodingTable[Code], NameCodingTable[Unit Display Name]), "")</f>
        <v>Unemployment Compensation Fund</v>
      </c>
      <c r="G96" s="36" t="str">
        <v>Office of the People's Counsel</v>
      </c>
    </row>
    <row r="97" spans="3:7" x14ac:dyDescent="0.45">
      <c r="C97" t="str">
        <v>GG0</v>
      </c>
      <c r="D97" t="str">
        <f>_xlfn.IFNA(_xlfn.XLOOKUP(C97,NameCodingTable[Code], NameCodingTable[Unit Display Name]), "")</f>
        <v>University of the District of Columbia Subsidy Account</v>
      </c>
      <c r="G97" s="36" t="str">
        <v>Office of the Secretary</v>
      </c>
    </row>
    <row r="98" spans="3:7" x14ac:dyDescent="0.45">
      <c r="C98" t="str">
        <v>RL0</v>
      </c>
      <c r="D98" t="str">
        <f>_xlfn.IFNA(_xlfn.XLOOKUP(C98,NameCodingTable[Code], NameCodingTable[Unit Display Name]), "")</f>
        <v>Child and Family Services Agency (CFSA)</v>
      </c>
      <c r="G98" s="36" t="str">
        <v>Office of the Senior Advisor</v>
      </c>
    </row>
    <row r="99" spans="3:7" x14ac:dyDescent="0.45">
      <c r="C99" t="str">
        <v>BY0</v>
      </c>
      <c r="D99" t="str">
        <f>_xlfn.IFNA(_xlfn.XLOOKUP(C99,NameCodingTable[Code], NameCodingTable[Unit Display Name]), "")</f>
        <v>Department of Aging and Community Living</v>
      </c>
      <c r="G99" s="36" t="str">
        <v>Office of the State Superintendent of Education (OSSE)</v>
      </c>
    </row>
    <row r="100" spans="3:7" x14ac:dyDescent="0.45">
      <c r="C100" t="str">
        <v>RM0</v>
      </c>
      <c r="D100" t="str">
        <f>_xlfn.IFNA(_xlfn.XLOOKUP(C100,NameCodingTable[Code], NameCodingTable[Unit Display Name]), "")</f>
        <v>Department of Behavioral Health (DBH)</v>
      </c>
      <c r="G100" s="36" t="str">
        <v>Office of the Tenant Advocate</v>
      </c>
    </row>
    <row r="101" spans="3:7" x14ac:dyDescent="0.45">
      <c r="C101" t="str">
        <v>HC0</v>
      </c>
      <c r="D101" t="str">
        <f>_xlfn.IFNA(_xlfn.XLOOKUP(C101,NameCodingTable[Code], NameCodingTable[Unit Display Name]), "")</f>
        <v>DC Health</v>
      </c>
      <c r="G101" s="36" t="str">
        <v>Office of Unified Communications (OUC)</v>
      </c>
    </row>
    <row r="102" spans="3:7" x14ac:dyDescent="0.45">
      <c r="C102" t="str">
        <v>HT0</v>
      </c>
      <c r="D102" t="str">
        <f>_xlfn.IFNA(_xlfn.XLOOKUP(C102,NameCodingTable[Code], NameCodingTable[Unit Display Name]), "")</f>
        <v>Department of Health Care Finance</v>
      </c>
      <c r="G102" s="36" t="str">
        <v>Office of Veterans' Affairs</v>
      </c>
    </row>
    <row r="103" spans="3:7" x14ac:dyDescent="0.45">
      <c r="C103" t="str">
        <v>JA0</v>
      </c>
      <c r="D103" t="str">
        <f>_xlfn.IFNA(_xlfn.XLOOKUP(C103,NameCodingTable[Code], NameCodingTable[Unit Display Name]), "")</f>
        <v>Department of Human Services (DHS)</v>
      </c>
      <c r="G103" s="36" t="str">
        <v>Office of Victim Services and Justice Grants</v>
      </c>
    </row>
    <row r="104" spans="3:7" x14ac:dyDescent="0.45">
      <c r="C104" t="str">
        <v>JM0</v>
      </c>
      <c r="D104" t="str">
        <f>_xlfn.IFNA(_xlfn.XLOOKUP(C104,NameCodingTable[Code], NameCodingTable[Unit Display Name]), "")</f>
        <v>Department on Disability Services (DDS)</v>
      </c>
      <c r="G104" s="36" t="str">
        <v>Office of Zoning</v>
      </c>
    </row>
    <row r="105" spans="3:7" x14ac:dyDescent="0.45">
      <c r="C105" t="str">
        <v>HX0</v>
      </c>
      <c r="D105" t="str">
        <f>_xlfn.IFNA(_xlfn.XLOOKUP(C105,NameCodingTable[Code], NameCodingTable[Unit Display Name]), "")</f>
        <v>Not-for-profit Hospital Corporation Subsidy</v>
      </c>
      <c r="G105" s="36" t="str">
        <v>Office on Asian and Pacific Islander Affairs</v>
      </c>
    </row>
    <row r="106" spans="3:7" x14ac:dyDescent="0.45">
      <c r="C106" t="str">
        <v>HG0</v>
      </c>
      <c r="D106" t="str">
        <f>_xlfn.IFNA(_xlfn.XLOOKUP(C106,NameCodingTable[Code], NameCodingTable[Unit Display Name]), "")</f>
        <v>Office of the Deputy Mayor for Health and Human Services</v>
      </c>
      <c r="G106" s="36" t="str">
        <v>Office on Latino Affairs</v>
      </c>
    </row>
    <row r="107" spans="3:7" x14ac:dyDescent="0.45">
      <c r="C107" t="str">
        <v>RO0</v>
      </c>
      <c r="D107" t="str">
        <f>_xlfn.IFNA(_xlfn.XLOOKUP(C107,NameCodingTable[Code], NameCodingTable[Unit Display Name]), "")</f>
        <v>Office of the Ombudsperson for Children</v>
      </c>
      <c r="G107" s="36" t="str">
        <v>Office on Returning Citizen Affairs (ORCA)</v>
      </c>
    </row>
    <row r="108" spans="3:7" x14ac:dyDescent="0.45">
      <c r="C108" t="str">
        <v>JS0</v>
      </c>
      <c r="D108" t="str">
        <f>_xlfn.IFNA(_xlfn.XLOOKUP(C108,NameCodingTable[Code], NameCodingTable[Unit Display Name]), "")</f>
        <v>Office for the Deaf, Deafblind, and Hard of Hearing</v>
      </c>
      <c r="G108" s="36" t="str">
        <v>Pay-as-you-go Capital Fund</v>
      </c>
    </row>
    <row r="109" spans="3:7" x14ac:dyDescent="0.45">
      <c r="C109" t="str">
        <v>RH0</v>
      </c>
      <c r="D109" t="str">
        <f>_xlfn.IFNA(_xlfn.XLOOKUP(C109,NameCodingTable[Code], NameCodingTable[Unit Display Name]), "")</f>
        <v>District Retiree Health Contribution</v>
      </c>
      <c r="G109" s="36" t="str">
        <v>Police Officers' and Fire Fighters' Retirement System</v>
      </c>
    </row>
    <row r="110" spans="3:7" x14ac:dyDescent="0.45">
      <c r="C110" t="str">
        <v>LQ0</v>
      </c>
      <c r="D110" t="str">
        <f>_xlfn.IFNA(_xlfn.XLOOKUP(C110,NameCodingTable[Code], NameCodingTable[Unit Display Name]), "")</f>
        <v>Alcoholic Beverage Regulation Administration</v>
      </c>
      <c r="G110" s="36" t="str">
        <v>Public Employee Relations Board (PERB)</v>
      </c>
    </row>
    <row r="111" spans="3:7" x14ac:dyDescent="0.45">
      <c r="C111" t="str">
        <v>CU0</v>
      </c>
      <c r="D111" t="str">
        <f>_xlfn.IFNA(_xlfn.XLOOKUP(C111,NameCodingTable[Code], NameCodingTable[Unit Display Name]), "")</f>
        <v>Department of Buildings (DOB)</v>
      </c>
      <c r="G111" s="36" t="str">
        <v>Public Service Commission (PSC)</v>
      </c>
    </row>
    <row r="112" spans="3:7" x14ac:dyDescent="0.45">
      <c r="C112" t="str">
        <v>CR0</v>
      </c>
      <c r="D112" t="str">
        <f>_xlfn.IFNA(_xlfn.XLOOKUP(C112,NameCodingTable[Code], NameCodingTable[Unit Display Name]), "")</f>
        <v>Department of Licensing and Consumer Protection (DLCP)</v>
      </c>
      <c r="G112" s="36" t="str">
        <v>Real Property Tax Appeals Commission</v>
      </c>
    </row>
    <row r="113" spans="3:7" x14ac:dyDescent="0.45">
      <c r="C113" t="str">
        <v>KG0</v>
      </c>
      <c r="D113" t="str">
        <f>_xlfn.IFNA(_xlfn.XLOOKUP(C113,NameCodingTable[Code], NameCodingTable[Unit Display Name]), "")</f>
        <v>Department of Energy and Environment (DOEE)</v>
      </c>
      <c r="G113" s="36" t="str">
        <v>Rental Housing Commission</v>
      </c>
    </row>
    <row r="114" spans="3:7" x14ac:dyDescent="0.45">
      <c r="C114" t="str">
        <v>TC0</v>
      </c>
      <c r="D114" t="str">
        <f>_xlfn.IFNA(_xlfn.XLOOKUP(C114,NameCodingTable[Code], NameCodingTable[Unit Display Name]), "")</f>
        <v>Department of For-hire Vehicles</v>
      </c>
      <c r="G114" s="36" t="str">
        <v>Repayment of Loans and Interest</v>
      </c>
    </row>
    <row r="115" spans="3:7" x14ac:dyDescent="0.45">
      <c r="C115" t="str">
        <v>SR0</v>
      </c>
      <c r="D115" t="str">
        <f>_xlfn.IFNA(_xlfn.XLOOKUP(C115,NameCodingTable[Code], NameCodingTable[Unit Display Name]), "")</f>
        <v>Department of Insurance, Securities and Banking (DISB)</v>
      </c>
      <c r="G115" s="36" t="str">
        <v>Repayment of Revenue Bonds</v>
      </c>
    </row>
    <row r="116" spans="3:7" x14ac:dyDescent="0.45">
      <c r="C116" t="str">
        <v>KV0</v>
      </c>
      <c r="D116" t="str">
        <f>_xlfn.IFNA(_xlfn.XLOOKUP(C116,NameCodingTable[Code], NameCodingTable[Unit Display Name]), "")</f>
        <v>Department of Motor Vehicles (DMV)</v>
      </c>
      <c r="G116" s="36" t="str">
        <v>Settlements and Judgments</v>
      </c>
    </row>
    <row r="117" spans="3:7" x14ac:dyDescent="0.45">
      <c r="C117" t="str">
        <v>KT0</v>
      </c>
      <c r="D117" t="str">
        <f>_xlfn.IFNA(_xlfn.XLOOKUP(C117,NameCodingTable[Code], NameCodingTable[Unit Display Name]), "")</f>
        <v>Department of Public Works (DPW)</v>
      </c>
      <c r="G117" s="36" t="str">
        <v>Special Education Transportation</v>
      </c>
    </row>
    <row r="118" spans="3:7" x14ac:dyDescent="0.45">
      <c r="C118" t="str">
        <v>KA0</v>
      </c>
      <c r="D118" t="str">
        <f>_xlfn.IFNA(_xlfn.XLOOKUP(C118,NameCodingTable[Code], NameCodingTable[Unit Display Name]), "")</f>
        <v>District Department of Transportation (DDOT)</v>
      </c>
      <c r="G118" s="36" t="str">
        <v>State Board of Education</v>
      </c>
    </row>
    <row r="119" spans="3:7" x14ac:dyDescent="0.45">
      <c r="C119" t="str">
        <v>KO0</v>
      </c>
      <c r="D119" t="str">
        <f>_xlfn.IFNA(_xlfn.XLOOKUP(C119,NameCodingTable[Code], NameCodingTable[Unit Display Name]), "")</f>
        <v xml:space="preserve">Office of the Deputy Mayor for Operations and Infrastructure </v>
      </c>
      <c r="G119" s="36" t="str">
        <v>Statehood Initiatives</v>
      </c>
    </row>
    <row r="120" spans="3:7" x14ac:dyDescent="0.45">
      <c r="C120" t="str">
        <v>DJ0</v>
      </c>
      <c r="D120" t="str">
        <f>_xlfn.IFNA(_xlfn.XLOOKUP(C120,NameCodingTable[Code], NameCodingTable[Unit Display Name]), "")</f>
        <v>Office of the People's Counsel</v>
      </c>
      <c r="G120" s="36" t="str">
        <v>Tax Revision Commission</v>
      </c>
    </row>
    <row r="121" spans="3:7" x14ac:dyDescent="0.45">
      <c r="C121" t="str">
        <v>DH0</v>
      </c>
      <c r="D121" t="str">
        <f>_xlfn.IFNA(_xlfn.XLOOKUP(C121,NameCodingTable[Code], NameCodingTable[Unit Display Name]), "")</f>
        <v>Public Service Commission (PSC)</v>
      </c>
      <c r="G121" s="36" t="str">
        <v>Teachers' Retirement System</v>
      </c>
    </row>
    <row r="122" spans="3:7" x14ac:dyDescent="0.45">
      <c r="C122" t="str">
        <v>KC0</v>
      </c>
      <c r="D122" t="str">
        <f>_xlfn.IFNA(_xlfn.XLOOKUP(C122,NameCodingTable[Code], NameCodingTable[Unit Display Name]), "")</f>
        <v>Washington Metropolitan Area Transit Commission</v>
      </c>
      <c r="G122" s="36" t="str">
        <v>Unemployment Compensation Fund</v>
      </c>
    </row>
    <row r="123" spans="3:7" x14ac:dyDescent="0.45">
      <c r="C123" t="str">
        <v>KE0</v>
      </c>
      <c r="D123" t="str">
        <f>_xlfn.IFNA(_xlfn.XLOOKUP(C123,NameCodingTable[Code], NameCodingTable[Unit Display Name]), "")</f>
        <v>Washington Metropolitan Area Transit Authority</v>
      </c>
      <c r="G123" s="36" t="str">
        <v>Uniform Law Commission</v>
      </c>
    </row>
    <row r="124" spans="3:7" x14ac:dyDescent="0.45">
      <c r="C124" t="str">
        <v>DS0</v>
      </c>
      <c r="D124" t="str">
        <f>_xlfn.IFNA(_xlfn.XLOOKUP(C124,NameCodingTable[Code], NameCodingTable[Unit Display Name]), "")</f>
        <v>Repayment of Loans and Interest</v>
      </c>
      <c r="G124" s="36" t="str">
        <v>University of the District of Columbia Subsidy Account</v>
      </c>
    </row>
    <row r="125" spans="3:7" x14ac:dyDescent="0.45">
      <c r="C125" t="str">
        <v>DT0</v>
      </c>
      <c r="D125" t="str">
        <f>_xlfn.IFNA(_xlfn.XLOOKUP(C125,NameCodingTable[Code], NameCodingTable[Unit Display Name]), "")</f>
        <v>Repayment of Revenue Bonds</v>
      </c>
      <c r="G125" s="36" t="str">
        <v>Washington Metropolitan Area Transit Authority</v>
      </c>
    </row>
    <row r="126" spans="3:7" x14ac:dyDescent="0.45">
      <c r="C126" t="str">
        <v>ZB0</v>
      </c>
      <c r="D126" t="str">
        <f>_xlfn.IFNA(_xlfn.XLOOKUP(C126,NameCodingTable[Code], NameCodingTable[Unit Display Name]), "")</f>
        <v>Debt Service - Issuance Costs</v>
      </c>
      <c r="G126" s="36" t="str">
        <v>Washington Metropolitan Area Transit Commission</v>
      </c>
    </row>
    <row r="127" spans="3:7" x14ac:dyDescent="0.45">
      <c r="C127" t="str">
        <v>ZC0</v>
      </c>
      <c r="D127" t="str">
        <f>_xlfn.IFNA(_xlfn.XLOOKUP(C127,NameCodingTable[Code], NameCodingTable[Unit Display Name]), "")</f>
        <v>Commercial Paper Program</v>
      </c>
      <c r="G127" s="36" t="str">
        <v>Workforce Investments Account</v>
      </c>
    </row>
    <row r="128" spans="3:7" x14ac:dyDescent="0.45">
      <c r="C128" t="str">
        <v>KZ0</v>
      </c>
      <c r="D128" t="str">
        <f>_xlfn.IFNA(_xlfn.XLOOKUP(C128,NameCodingTable[Code], NameCodingTable[Unit Display Name]), "")</f>
        <v>Highway Transportation Fund - Transfers</v>
      </c>
    </row>
    <row r="129" spans="3:4" x14ac:dyDescent="0.45">
      <c r="C129" t="str">
        <v>PA0</v>
      </c>
      <c r="D129" t="str">
        <f>_xlfn.IFNA(_xlfn.XLOOKUP(C129,NameCodingTable[Code], NameCodingTable[Unit Display Name]), "")</f>
        <v>Pay-as-you-go Capital Fund</v>
      </c>
    </row>
    <row r="130" spans="3:4" x14ac:dyDescent="0.45">
      <c r="D130" t="str">
        <f>_xlfn.IFNA(_xlfn.XLOOKUP(C130,NameCodingTable[Code], NameCodingTable[Unit Display Name]), "")</f>
        <v/>
      </c>
    </row>
    <row r="131" spans="3:4" x14ac:dyDescent="0.45">
      <c r="D131" t="str">
        <f>_xlfn.IFNA(_xlfn.XLOOKUP(C131,NameCodingTable[Code], NameCodingTable[Unit Display Name]), "")</f>
        <v/>
      </c>
    </row>
    <row r="132" spans="3:4" x14ac:dyDescent="0.45">
      <c r="D132" t="str">
        <f>_xlfn.IFNA(_xlfn.XLOOKUP(C132,NameCodingTable[Code], NameCodingTable[Unit Display Name]), "")</f>
        <v/>
      </c>
    </row>
    <row r="133" spans="3:4" x14ac:dyDescent="0.45">
      <c r="D133" t="str">
        <f>_xlfn.IFNA(_xlfn.XLOOKUP(C133,NameCodingTable[Code], NameCodingTable[Unit Display Name]), "")</f>
        <v/>
      </c>
    </row>
    <row r="134" spans="3:4" x14ac:dyDescent="0.45">
      <c r="D134" t="str">
        <f>_xlfn.IFNA(_xlfn.XLOOKUP(C134,NameCodingTable[Code], NameCodingTable[Unit Display Name]), "")</f>
        <v/>
      </c>
    </row>
    <row r="135" spans="3:4" x14ac:dyDescent="0.45">
      <c r="D135" t="str">
        <f>_xlfn.IFNA(_xlfn.XLOOKUP(C135,NameCodingTable[Code], NameCodingTable[Unit Display Name]), "")</f>
        <v/>
      </c>
    </row>
    <row r="136" spans="3:4" x14ac:dyDescent="0.45">
      <c r="D136" t="str">
        <f>_xlfn.IFNA(_xlfn.XLOOKUP(C136,NameCodingTable[Code], NameCodingTable[Unit Display Name]), "")</f>
        <v/>
      </c>
    </row>
    <row r="137" spans="3:4" x14ac:dyDescent="0.45">
      <c r="D137" t="str">
        <f>_xlfn.IFNA(_xlfn.XLOOKUP(C137,NameCodingTable[Code], NameCodingTable[Unit Display Name]), "")</f>
        <v/>
      </c>
    </row>
    <row r="138" spans="3:4" x14ac:dyDescent="0.45">
      <c r="D138" t="str">
        <f>_xlfn.IFNA(_xlfn.XLOOKUP(C138,NameCodingTable[Code], NameCodingTable[Unit Display Name]), "")</f>
        <v/>
      </c>
    </row>
    <row r="139" spans="3:4" x14ac:dyDescent="0.45">
      <c r="D139" t="str">
        <f>_xlfn.IFNA(_xlfn.XLOOKUP(C139,NameCodingTable[Code], NameCodingTable[Unit Display Name]), "")</f>
        <v/>
      </c>
    </row>
    <row r="140" spans="3:4" x14ac:dyDescent="0.45">
      <c r="D140" t="str">
        <f>_xlfn.IFNA(_xlfn.XLOOKUP(C140,NameCodingTable[Code], NameCodingTable[Unit Display Name]), "")</f>
        <v/>
      </c>
    </row>
    <row r="141" spans="3:4" x14ac:dyDescent="0.45">
      <c r="D141" t="str">
        <f>_xlfn.IFNA(_xlfn.XLOOKUP(C141,NameCodingTable[Code], NameCodingTable[Unit Display Name]), "")</f>
        <v/>
      </c>
    </row>
    <row r="142" spans="3:4" x14ac:dyDescent="0.45">
      <c r="D142" t="str">
        <f>_xlfn.IFNA(_xlfn.XLOOKUP(C142,NameCodingTable[Code], NameCodingTable[Unit Display Name]), "")</f>
        <v/>
      </c>
    </row>
    <row r="143" spans="3:4" x14ac:dyDescent="0.45">
      <c r="D143" t="str">
        <f>_xlfn.IFNA(_xlfn.XLOOKUP(C143,NameCodingTable[Code], NameCodingTable[Unit Display Name]), "")</f>
        <v/>
      </c>
    </row>
    <row r="144" spans="3:4" x14ac:dyDescent="0.45">
      <c r="D144" t="str">
        <f>_xlfn.IFNA(_xlfn.XLOOKUP(C144,NameCodingTable[Code], NameCodingTable[Unit Display Name]), "")</f>
        <v/>
      </c>
    </row>
    <row r="145" spans="4:4" x14ac:dyDescent="0.45">
      <c r="D145" t="str">
        <f>_xlfn.IFNA(_xlfn.XLOOKUP(C145,NameCodingTable[Code], NameCodingTable[Unit Display Name]), "")</f>
        <v/>
      </c>
    </row>
    <row r="146" spans="4:4" x14ac:dyDescent="0.45">
      <c r="D146" t="str">
        <f>_xlfn.IFNA(_xlfn.XLOOKUP(C146,NameCodingTable[Code], NameCodingTable[Unit Display Name]), "")</f>
        <v/>
      </c>
    </row>
    <row r="147" spans="4:4" x14ac:dyDescent="0.45">
      <c r="D147" t="str">
        <f>_xlfn.IFNA(_xlfn.XLOOKUP(C147,NameCodingTable[Code], NameCodingTable[Unit Display Name]), "")</f>
        <v/>
      </c>
    </row>
    <row r="148" spans="4:4" x14ac:dyDescent="0.45">
      <c r="D148" t="str">
        <f>_xlfn.IFNA(_xlfn.XLOOKUP(C148,NameCodingTable[Code], NameCodingTable[Unit Display Name]), "")</f>
        <v/>
      </c>
    </row>
    <row r="149" spans="4:4" x14ac:dyDescent="0.45">
      <c r="D149" t="str">
        <f>_xlfn.IFNA(_xlfn.XLOOKUP(C149,NameCodingTable[Code], NameCodingTable[Unit Display Name]), "")</f>
        <v/>
      </c>
    </row>
    <row r="150" spans="4:4" x14ac:dyDescent="0.45">
      <c r="D150" t="str">
        <f>_xlfn.IFNA(_xlfn.XLOOKUP(C150,NameCodingTable[Code], NameCodingTable[Unit Display Name]), "")</f>
        <v/>
      </c>
    </row>
    <row r="151" spans="4:4" x14ac:dyDescent="0.45">
      <c r="D151" t="str">
        <f>_xlfn.IFNA(_xlfn.XLOOKUP(C151,NameCodingTable[Code], NameCodingTable[Unit Display Name]), "")</f>
        <v/>
      </c>
    </row>
    <row r="152" spans="4:4" x14ac:dyDescent="0.45">
      <c r="D152" t="str">
        <f>_xlfn.IFNA(_xlfn.XLOOKUP(C152,NameCodingTable[Code], NameCodingTable[Unit Display Name]), "")</f>
        <v/>
      </c>
    </row>
    <row r="153" spans="4:4" x14ac:dyDescent="0.45">
      <c r="D153" t="str">
        <f>_xlfn.IFNA(_xlfn.XLOOKUP(C153,NameCodingTable[Code], NameCodingTable[Unit Display Name]), "")</f>
        <v/>
      </c>
    </row>
    <row r="154" spans="4:4" x14ac:dyDescent="0.45">
      <c r="D154" t="str">
        <f>_xlfn.IFNA(_xlfn.XLOOKUP(C154,NameCodingTable[Code], NameCodingTable[Unit Display Name]), "")</f>
        <v/>
      </c>
    </row>
    <row r="155" spans="4:4" x14ac:dyDescent="0.45">
      <c r="D155" t="str">
        <f>_xlfn.IFNA(_xlfn.XLOOKUP(C155,NameCodingTable[Code], NameCodingTable[Unit Display Name]), "")</f>
        <v/>
      </c>
    </row>
    <row r="156" spans="4:4" x14ac:dyDescent="0.45">
      <c r="D156" t="str">
        <f>_xlfn.IFNA(_xlfn.XLOOKUP(C156,NameCodingTable[Code], NameCodingTable[Unit Display Name]), "")</f>
        <v/>
      </c>
    </row>
    <row r="157" spans="4:4" x14ac:dyDescent="0.45">
      <c r="D157" t="str">
        <f>_xlfn.IFNA(_xlfn.XLOOKUP(C157,NameCodingTable[Code], NameCodingTable[Unit Display Name]), "")</f>
        <v/>
      </c>
    </row>
    <row r="158" spans="4:4" x14ac:dyDescent="0.45">
      <c r="D158" t="str">
        <f>_xlfn.IFNA(_xlfn.XLOOKUP(C158,NameCodingTable[Code], NameCodingTable[Unit Display Name]), "")</f>
        <v/>
      </c>
    </row>
    <row r="159" spans="4:4" x14ac:dyDescent="0.45">
      <c r="D159" t="str">
        <f>_xlfn.IFNA(_xlfn.XLOOKUP(C159,NameCodingTable[Code], NameCodingTable[Unit Display Name]), "")</f>
        <v/>
      </c>
    </row>
    <row r="160" spans="4:4" x14ac:dyDescent="0.45">
      <c r="D160" t="str">
        <f>_xlfn.IFNA(_xlfn.XLOOKUP(C160,NameCodingTable[Code], NameCodingTable[Unit Display Name]), "")</f>
        <v/>
      </c>
    </row>
    <row r="161" spans="4:4" x14ac:dyDescent="0.45">
      <c r="D161" t="str">
        <f>_xlfn.IFNA(_xlfn.XLOOKUP(C161,NameCodingTable[Code], NameCodingTable[Unit Display Name]), "")</f>
        <v/>
      </c>
    </row>
    <row r="162" spans="4:4" x14ac:dyDescent="0.45">
      <c r="D162" t="str">
        <f>_xlfn.IFNA(_xlfn.XLOOKUP(C162,NameCodingTable[Code], NameCodingTable[Unit Display Name]), "")</f>
        <v/>
      </c>
    </row>
    <row r="163" spans="4:4" x14ac:dyDescent="0.45">
      <c r="D163" t="str">
        <f>_xlfn.IFNA(_xlfn.XLOOKUP(C163,NameCodingTable[Code], NameCodingTable[Unit Display Name]), "")</f>
        <v/>
      </c>
    </row>
    <row r="164" spans="4:4" x14ac:dyDescent="0.45">
      <c r="D164" t="str">
        <f>_xlfn.IFNA(_xlfn.XLOOKUP(C164,NameCodingTable[Code], NameCodingTable[Unit Display Name]), "")</f>
        <v/>
      </c>
    </row>
    <row r="165" spans="4:4" x14ac:dyDescent="0.45">
      <c r="D165" t="str">
        <f>_xlfn.IFNA(_xlfn.XLOOKUP(C165,NameCodingTable[Code], NameCodingTable[Unit Display Name]), "")</f>
        <v/>
      </c>
    </row>
    <row r="166" spans="4:4" x14ac:dyDescent="0.45">
      <c r="D166" t="str">
        <f>_xlfn.IFNA(_xlfn.XLOOKUP(C166,NameCodingTable[Code], NameCodingTable[Unit Display Name]), "")</f>
        <v/>
      </c>
    </row>
    <row r="167" spans="4:4" x14ac:dyDescent="0.45">
      <c r="D167" t="str">
        <f>_xlfn.IFNA(_xlfn.XLOOKUP(C167,NameCodingTable[Code], NameCodingTable[Unit Display Name]), "")</f>
        <v/>
      </c>
    </row>
    <row r="168" spans="4:4" x14ac:dyDescent="0.45">
      <c r="D168" t="str">
        <f>_xlfn.IFNA(_xlfn.XLOOKUP(C168,NameCodingTable[Code], NameCodingTable[Unit Display Name]), "")</f>
        <v/>
      </c>
    </row>
    <row r="169" spans="4:4" x14ac:dyDescent="0.45">
      <c r="D169" t="str">
        <f>_xlfn.IFNA(_xlfn.XLOOKUP(C169,NameCodingTable[Code], NameCodingTable[Unit Display Name]), "")</f>
        <v/>
      </c>
    </row>
    <row r="170" spans="4:4" x14ac:dyDescent="0.45">
      <c r="D170" t="str">
        <f>_xlfn.IFNA(_xlfn.XLOOKUP(C170,NameCodingTable[Code], NameCodingTable[Unit Display Name]), "")</f>
        <v/>
      </c>
    </row>
    <row r="171" spans="4:4" x14ac:dyDescent="0.45">
      <c r="D171" t="str">
        <f>_xlfn.IFNA(_xlfn.XLOOKUP(C171,NameCodingTable[Code], NameCodingTable[Unit Display Name]), "")</f>
        <v/>
      </c>
    </row>
    <row r="172" spans="4:4" x14ac:dyDescent="0.45">
      <c r="D172" t="str">
        <f>_xlfn.IFNA(_xlfn.XLOOKUP(C172,NameCodingTable[Code], NameCodingTable[Unit Display Name]), "")</f>
        <v/>
      </c>
    </row>
    <row r="173" spans="4:4" x14ac:dyDescent="0.45">
      <c r="D173" t="str">
        <f>_xlfn.IFNA(_xlfn.XLOOKUP(C173,NameCodingTable[Code], NameCodingTable[Unit Display Name]), "")</f>
        <v/>
      </c>
    </row>
    <row r="174" spans="4:4" x14ac:dyDescent="0.45">
      <c r="D174" t="str">
        <f>_xlfn.IFNA(_xlfn.XLOOKUP(C174,NameCodingTable[Code], NameCodingTable[Unit Display Name]), "")</f>
        <v/>
      </c>
    </row>
    <row r="175" spans="4:4" x14ac:dyDescent="0.45">
      <c r="D175" t="str">
        <f>_xlfn.IFNA(_xlfn.XLOOKUP(C175,NameCodingTable[Code], NameCodingTable[Unit Display Name]), "")</f>
        <v/>
      </c>
    </row>
    <row r="176" spans="4:4" x14ac:dyDescent="0.45">
      <c r="D176" t="str">
        <f>_xlfn.IFNA(_xlfn.XLOOKUP(C176,NameCodingTable[Code], NameCodingTable[Unit Display Name]), "")</f>
        <v/>
      </c>
    </row>
    <row r="177" spans="4:4" x14ac:dyDescent="0.45">
      <c r="D177" t="str">
        <f>_xlfn.IFNA(_xlfn.XLOOKUP(C177,NameCodingTable[Code], NameCodingTable[Unit Display Name]), "")</f>
        <v/>
      </c>
    </row>
    <row r="178" spans="4:4" x14ac:dyDescent="0.45">
      <c r="D178" t="str">
        <f>_xlfn.IFNA(_xlfn.XLOOKUP(C178,NameCodingTable[Code], NameCodingTable[Unit Display Name]), "")</f>
        <v/>
      </c>
    </row>
    <row r="179" spans="4:4" x14ac:dyDescent="0.45">
      <c r="D179" t="str">
        <f>_xlfn.IFNA(_xlfn.XLOOKUP(C179,NameCodingTable[Code], NameCodingTable[Unit Display Name]), "")</f>
        <v/>
      </c>
    </row>
    <row r="180" spans="4:4" x14ac:dyDescent="0.45">
      <c r="D180" t="str">
        <f>_xlfn.IFNA(_xlfn.XLOOKUP(C180,NameCodingTable[Code], NameCodingTable[Unit Display Name]), "")</f>
        <v/>
      </c>
    </row>
    <row r="181" spans="4:4" x14ac:dyDescent="0.45">
      <c r="D181" t="str">
        <f>_xlfn.IFNA(_xlfn.XLOOKUP(C181,NameCodingTable[Code], NameCodingTable[Unit Display Name]), "")</f>
        <v/>
      </c>
    </row>
    <row r="182" spans="4:4" x14ac:dyDescent="0.45">
      <c r="D182" t="str">
        <f>_xlfn.IFNA(_xlfn.XLOOKUP(C182,NameCodingTable[Code], NameCodingTable[Unit Display Name]), "")</f>
        <v/>
      </c>
    </row>
    <row r="183" spans="4:4" x14ac:dyDescent="0.45">
      <c r="D183" t="str">
        <f>_xlfn.IFNA(_xlfn.XLOOKUP(C183,NameCodingTable[Code], NameCodingTable[Unit Display Name]), "")</f>
        <v/>
      </c>
    </row>
    <row r="184" spans="4:4" x14ac:dyDescent="0.45">
      <c r="D184" t="str">
        <f>_xlfn.IFNA(_xlfn.XLOOKUP(C184,NameCodingTable[Code], NameCodingTable[Unit Display Name]), "")</f>
        <v/>
      </c>
    </row>
    <row r="185" spans="4:4" x14ac:dyDescent="0.45">
      <c r="D185" t="str">
        <f>_xlfn.IFNA(_xlfn.XLOOKUP(C185,NameCodingTable[Code], NameCodingTable[Unit Display Name]), "")</f>
        <v/>
      </c>
    </row>
    <row r="186" spans="4:4" x14ac:dyDescent="0.45">
      <c r="D186" t="str">
        <f>_xlfn.IFNA(_xlfn.XLOOKUP(C186,NameCodingTable[Code], NameCodingTable[Unit Display Name]), "")</f>
        <v/>
      </c>
    </row>
    <row r="187" spans="4:4" x14ac:dyDescent="0.45">
      <c r="D187" t="str">
        <f>_xlfn.IFNA(_xlfn.XLOOKUP(C187,NameCodingTable[Code], NameCodingTable[Unit Display Name]), "")</f>
        <v/>
      </c>
    </row>
    <row r="188" spans="4:4" x14ac:dyDescent="0.45">
      <c r="D188" t="str">
        <f>_xlfn.IFNA(_xlfn.XLOOKUP(C188,NameCodingTable[Code], NameCodingTable[Unit Display Name]), "")</f>
        <v/>
      </c>
    </row>
    <row r="189" spans="4:4" x14ac:dyDescent="0.45">
      <c r="D189" t="str">
        <f>_xlfn.IFNA(_xlfn.XLOOKUP(C189,NameCodingTable[Code], NameCodingTable[Unit Display Name]), "")</f>
        <v/>
      </c>
    </row>
    <row r="190" spans="4:4" x14ac:dyDescent="0.45">
      <c r="D190" t="str">
        <f>_xlfn.IFNA(_xlfn.XLOOKUP(C190,NameCodingTable[Code], NameCodingTable[Unit Display Name]), "")</f>
        <v/>
      </c>
    </row>
    <row r="191" spans="4:4" x14ac:dyDescent="0.45">
      <c r="D191" t="str">
        <f>_xlfn.IFNA(_xlfn.XLOOKUP(C191,NameCodingTable[Code], NameCodingTable[Unit Display Name]), "")</f>
        <v/>
      </c>
    </row>
    <row r="192" spans="4:4" x14ac:dyDescent="0.45">
      <c r="D192" t="str">
        <f>_xlfn.IFNA(_xlfn.XLOOKUP(C192,NameCodingTable[Code], NameCodingTable[Unit Display Name]), "")</f>
        <v/>
      </c>
    </row>
    <row r="193" spans="4:4" x14ac:dyDescent="0.45">
      <c r="D193" t="str">
        <f>_xlfn.IFNA(_xlfn.XLOOKUP(C193,NameCodingTable[Code], NameCodingTable[Unit Display Name]), "")</f>
        <v/>
      </c>
    </row>
    <row r="194" spans="4:4" x14ac:dyDescent="0.45">
      <c r="D194" t="str">
        <f>_xlfn.IFNA(_xlfn.XLOOKUP(C194,NameCodingTable[Code], NameCodingTable[Unit Display Name]), "")</f>
        <v/>
      </c>
    </row>
    <row r="195" spans="4:4" x14ac:dyDescent="0.45">
      <c r="D195" t="str">
        <f>_xlfn.IFNA(_xlfn.XLOOKUP(C195,NameCodingTable[Code], NameCodingTable[Unit Display Name]), "")</f>
        <v/>
      </c>
    </row>
    <row r="196" spans="4:4" x14ac:dyDescent="0.45">
      <c r="D196" t="str">
        <f>_xlfn.IFNA(_xlfn.XLOOKUP(C196,NameCodingTable[Code], NameCodingTable[Unit Display Name]), "")</f>
        <v/>
      </c>
    </row>
    <row r="197" spans="4:4" x14ac:dyDescent="0.45">
      <c r="D197" t="str">
        <f>_xlfn.IFNA(_xlfn.XLOOKUP(C197,NameCodingTable[Code], NameCodingTable[Unit Display Name]), "")</f>
        <v/>
      </c>
    </row>
    <row r="198" spans="4:4" x14ac:dyDescent="0.45">
      <c r="D198" t="str">
        <f>_xlfn.IFNA(_xlfn.XLOOKUP(C198,NameCodingTable[Code], NameCodingTable[Unit Display Name]), "")</f>
        <v/>
      </c>
    </row>
    <row r="199" spans="4:4" x14ac:dyDescent="0.45">
      <c r="D199" t="str">
        <f>_xlfn.IFNA(_xlfn.XLOOKUP(C199,NameCodingTable[Code], NameCodingTable[Unit Display Name]), "")</f>
        <v/>
      </c>
    </row>
    <row r="200" spans="4:4" x14ac:dyDescent="0.45">
      <c r="D200" t="str">
        <f>_xlfn.IFNA(_xlfn.XLOOKUP(C200,NameCodingTable[Code], NameCodingTable[Unit Display Name]), "")</f>
        <v/>
      </c>
    </row>
    <row r="201" spans="4:4" x14ac:dyDescent="0.45">
      <c r="D201" t="str">
        <f>_xlfn.IFNA(_xlfn.XLOOKUP(C201,NameCodingTable[Code], NameCodingTable[Unit Display Name]), "")</f>
        <v/>
      </c>
    </row>
    <row r="202" spans="4:4" x14ac:dyDescent="0.45">
      <c r="D202" t="str">
        <f>_xlfn.IFNA(_xlfn.XLOOKUP(C202,NameCodingTable[Code], NameCodingTable[Unit Display Name]), "")</f>
        <v/>
      </c>
    </row>
    <row r="203" spans="4:4" x14ac:dyDescent="0.45">
      <c r="D203" t="str">
        <f>_xlfn.IFNA(_xlfn.XLOOKUP(C203,NameCodingTable[Code], NameCodingTable[Unit Display Name]), "")</f>
        <v/>
      </c>
    </row>
    <row r="204" spans="4:4" x14ac:dyDescent="0.45">
      <c r="D204" t="str">
        <f>_xlfn.IFNA(_xlfn.XLOOKUP(C204,NameCodingTable[Code], NameCodingTable[Unit Display Name]), "")</f>
        <v/>
      </c>
    </row>
    <row r="205" spans="4:4" x14ac:dyDescent="0.45">
      <c r="D205" t="str">
        <f>_xlfn.IFNA(_xlfn.XLOOKUP(C205,NameCodingTable[Code], NameCodingTable[Unit Display Name]), "")</f>
        <v/>
      </c>
    </row>
    <row r="206" spans="4:4" x14ac:dyDescent="0.45">
      <c r="D206" t="str">
        <f>_xlfn.IFNA(_xlfn.XLOOKUP(C206,NameCodingTable[Code], NameCodingTable[Unit Display Name]), "")</f>
        <v/>
      </c>
    </row>
    <row r="207" spans="4:4" x14ac:dyDescent="0.45">
      <c r="D207" t="str">
        <f>_xlfn.IFNA(_xlfn.XLOOKUP(C207,NameCodingTable[Code], NameCodingTable[Unit Display Name]), "")</f>
        <v/>
      </c>
    </row>
    <row r="208" spans="4:4" x14ac:dyDescent="0.45">
      <c r="D208" t="str">
        <f>_xlfn.IFNA(_xlfn.XLOOKUP(C208,NameCodingTable[Code], NameCodingTable[Unit Display Name]), "")</f>
        <v/>
      </c>
    </row>
    <row r="209" spans="4:4" x14ac:dyDescent="0.45">
      <c r="D209" t="str">
        <f>_xlfn.IFNA(_xlfn.XLOOKUP(C209,NameCodingTable[Code], NameCodingTable[Unit Display Name]), "")</f>
        <v/>
      </c>
    </row>
    <row r="210" spans="4:4" x14ac:dyDescent="0.45">
      <c r="D210" t="str">
        <f>_xlfn.IFNA(_xlfn.XLOOKUP(C210,NameCodingTable[Code], NameCodingTable[Unit Display Name]), "")</f>
        <v/>
      </c>
    </row>
    <row r="211" spans="4:4" x14ac:dyDescent="0.45">
      <c r="D211" t="str">
        <f>_xlfn.IFNA(_xlfn.XLOOKUP(C211,NameCodingTable[Code], NameCodingTable[Unit Display Name]), "")</f>
        <v/>
      </c>
    </row>
    <row r="212" spans="4:4" x14ac:dyDescent="0.45">
      <c r="D212" t="str">
        <f>_xlfn.IFNA(_xlfn.XLOOKUP(C212,NameCodingTable[Code], NameCodingTable[Unit Display Name]), "")</f>
        <v/>
      </c>
    </row>
    <row r="213" spans="4:4" x14ac:dyDescent="0.45">
      <c r="D213" t="str">
        <f>_xlfn.IFNA(_xlfn.XLOOKUP(C213,NameCodingTable[Code], NameCodingTable[Unit Display Name]), "")</f>
        <v/>
      </c>
    </row>
    <row r="214" spans="4:4" x14ac:dyDescent="0.45">
      <c r="D214" t="str">
        <f>_xlfn.IFNA(_xlfn.XLOOKUP(C214,NameCodingTable[Code], NameCodingTable[Unit Display Name]), "")</f>
        <v/>
      </c>
    </row>
    <row r="215" spans="4:4" x14ac:dyDescent="0.45">
      <c r="D215" t="str">
        <f>_xlfn.IFNA(_xlfn.XLOOKUP(C215,NameCodingTable[Code], NameCodingTable[Unit Display Name]), "")</f>
        <v/>
      </c>
    </row>
    <row r="216" spans="4:4" x14ac:dyDescent="0.45">
      <c r="D216" t="str">
        <f>_xlfn.IFNA(_xlfn.XLOOKUP(C216,NameCodingTable[Code], NameCodingTable[Unit Display Name]), "")</f>
        <v/>
      </c>
    </row>
    <row r="217" spans="4:4" x14ac:dyDescent="0.45">
      <c r="D217" t="str">
        <f>_xlfn.IFNA(_xlfn.XLOOKUP(C217,NameCodingTable[Code], NameCodingTable[Unit Display Name]), "")</f>
        <v/>
      </c>
    </row>
    <row r="218" spans="4:4" x14ac:dyDescent="0.45">
      <c r="D218" t="str">
        <f>_xlfn.IFNA(_xlfn.XLOOKUP(C218,NameCodingTable[Code], NameCodingTable[Unit Display Name]), "")</f>
        <v/>
      </c>
    </row>
    <row r="219" spans="4:4" x14ac:dyDescent="0.45">
      <c r="D219" t="str">
        <f>_xlfn.IFNA(_xlfn.XLOOKUP(C219,NameCodingTable[Code], NameCodingTable[Unit Display Name]), "")</f>
        <v/>
      </c>
    </row>
    <row r="220" spans="4:4" x14ac:dyDescent="0.45">
      <c r="D220" t="str">
        <f>_xlfn.IFNA(_xlfn.XLOOKUP(C220,NameCodingTable[Code], NameCodingTable[Unit Display Name]), "")</f>
        <v/>
      </c>
    </row>
    <row r="221" spans="4:4" x14ac:dyDescent="0.45">
      <c r="D221" t="str">
        <f>_xlfn.IFNA(_xlfn.XLOOKUP(C221,NameCodingTable[Code], NameCodingTable[Unit Display Name]), "")</f>
        <v/>
      </c>
    </row>
    <row r="222" spans="4:4" x14ac:dyDescent="0.45">
      <c r="D222" t="str">
        <f>_xlfn.IFNA(_xlfn.XLOOKUP(C222,NameCodingTable[Code], NameCodingTable[Unit Display Name]), "")</f>
        <v/>
      </c>
    </row>
    <row r="223" spans="4:4" x14ac:dyDescent="0.45">
      <c r="D223" t="str">
        <f>_xlfn.IFNA(_xlfn.XLOOKUP(C223,NameCodingTable[Code], NameCodingTable[Unit Display Name]), "")</f>
        <v/>
      </c>
    </row>
    <row r="224" spans="4:4" x14ac:dyDescent="0.45">
      <c r="D224" t="str">
        <f>_xlfn.IFNA(_xlfn.XLOOKUP(C224,NameCodingTable[Code], NameCodingTable[Unit Display Name]), "")</f>
        <v/>
      </c>
    </row>
    <row r="225" spans="4:4" x14ac:dyDescent="0.45">
      <c r="D225" t="str">
        <f>_xlfn.IFNA(_xlfn.XLOOKUP(C225,NameCodingTable[Code], NameCodingTable[Unit Display Name]), "")</f>
        <v/>
      </c>
    </row>
    <row r="226" spans="4:4" x14ac:dyDescent="0.45">
      <c r="D226" t="str">
        <f>_xlfn.IFNA(_xlfn.XLOOKUP(C226,NameCodingTable[Code], NameCodingTable[Unit Display Name]), "")</f>
        <v/>
      </c>
    </row>
    <row r="227" spans="4:4" x14ac:dyDescent="0.45">
      <c r="D227" t="str">
        <f>_xlfn.IFNA(_xlfn.XLOOKUP(C227,NameCodingTable[Code], NameCodingTable[Unit Display Name]), "")</f>
        <v/>
      </c>
    </row>
    <row r="228" spans="4:4" x14ac:dyDescent="0.45">
      <c r="D228" t="str">
        <f>_xlfn.IFNA(_xlfn.XLOOKUP(C228,NameCodingTable[Code], NameCodingTable[Unit Display Name]), "")</f>
        <v/>
      </c>
    </row>
    <row r="229" spans="4:4" x14ac:dyDescent="0.45">
      <c r="D229" t="str">
        <f>_xlfn.IFNA(_xlfn.XLOOKUP(C229,NameCodingTable[Code], NameCodingTable[Unit Display Name]), "")</f>
        <v/>
      </c>
    </row>
    <row r="230" spans="4:4" x14ac:dyDescent="0.45">
      <c r="D230" t="str">
        <f>_xlfn.IFNA(_xlfn.XLOOKUP(C230,NameCodingTable[Code], NameCodingTable[Unit Display Name]), "")</f>
        <v/>
      </c>
    </row>
    <row r="231" spans="4:4" x14ac:dyDescent="0.45">
      <c r="D231" t="str">
        <f>_xlfn.IFNA(_xlfn.XLOOKUP(C231,NameCodingTable[Code], NameCodingTable[Unit Display Name]), "")</f>
        <v/>
      </c>
    </row>
    <row r="232" spans="4:4" x14ac:dyDescent="0.45">
      <c r="D232" t="str">
        <f>_xlfn.IFNA(_xlfn.XLOOKUP(C232,NameCodingTable[Code], NameCodingTable[Unit Display Name]), "")</f>
        <v/>
      </c>
    </row>
    <row r="233" spans="4:4" x14ac:dyDescent="0.45">
      <c r="D233" t="str">
        <f>_xlfn.IFNA(_xlfn.XLOOKUP(C233,NameCodingTable[Code], NameCodingTable[Unit Display Name]), "")</f>
        <v/>
      </c>
    </row>
    <row r="234" spans="4:4" x14ac:dyDescent="0.45">
      <c r="D234" t="str">
        <f>_xlfn.IFNA(_xlfn.XLOOKUP(C234,NameCodingTable[Code], NameCodingTable[Unit Display Name]), "")</f>
        <v/>
      </c>
    </row>
    <row r="235" spans="4:4" x14ac:dyDescent="0.45">
      <c r="D235" t="str">
        <f>_xlfn.IFNA(_xlfn.XLOOKUP(C235,NameCodingTable[Code], NameCodingTable[Unit Display Name]), "")</f>
        <v/>
      </c>
    </row>
    <row r="236" spans="4:4" x14ac:dyDescent="0.45">
      <c r="D236" t="str">
        <f>_xlfn.IFNA(_xlfn.XLOOKUP(C236,NameCodingTable[Code], NameCodingTable[Unit Display Name]), "")</f>
        <v/>
      </c>
    </row>
    <row r="237" spans="4:4" x14ac:dyDescent="0.45">
      <c r="D237" t="str">
        <f>_xlfn.IFNA(_xlfn.XLOOKUP(C237,NameCodingTable[Code], NameCodingTable[Unit Display Name]), "")</f>
        <v/>
      </c>
    </row>
    <row r="238" spans="4:4" x14ac:dyDescent="0.45">
      <c r="D238" t="str">
        <f>_xlfn.IFNA(_xlfn.XLOOKUP(C238,NameCodingTable[Code], NameCodingTable[Unit Display Name]), "")</f>
        <v/>
      </c>
    </row>
    <row r="239" spans="4:4" x14ac:dyDescent="0.45">
      <c r="D239" t="str">
        <f>_xlfn.IFNA(_xlfn.XLOOKUP(C239,NameCodingTable[Code], NameCodingTable[Unit Display Name]), "")</f>
        <v/>
      </c>
    </row>
    <row r="240" spans="4:4" x14ac:dyDescent="0.45">
      <c r="D240" t="str">
        <f>_xlfn.IFNA(_xlfn.XLOOKUP(C240,NameCodingTable[Code], NameCodingTable[Unit Display Name]), "")</f>
        <v/>
      </c>
    </row>
    <row r="241" spans="4:4" x14ac:dyDescent="0.45">
      <c r="D241" t="str">
        <f>_xlfn.IFNA(_xlfn.XLOOKUP(C241,NameCodingTable[Code], NameCodingTable[Unit Display Name]), "")</f>
        <v/>
      </c>
    </row>
    <row r="242" spans="4:4" x14ac:dyDescent="0.45">
      <c r="D242" t="str">
        <f>_xlfn.IFNA(_xlfn.XLOOKUP(C242,NameCodingTable[Code], NameCodingTable[Unit Display Name]), "")</f>
        <v/>
      </c>
    </row>
    <row r="243" spans="4:4" x14ac:dyDescent="0.45">
      <c r="D243" t="str">
        <f>_xlfn.IFNA(_xlfn.XLOOKUP(C243,NameCodingTable[Code], NameCodingTable[Unit Display Name]), "")</f>
        <v/>
      </c>
    </row>
    <row r="244" spans="4:4" x14ac:dyDescent="0.45">
      <c r="D244" t="str">
        <f>_xlfn.IFNA(_xlfn.XLOOKUP(C244,NameCodingTable[Code], NameCodingTable[Unit Display Name]), "")</f>
        <v/>
      </c>
    </row>
    <row r="245" spans="4:4" x14ac:dyDescent="0.45">
      <c r="D245" t="str">
        <f>_xlfn.IFNA(_xlfn.XLOOKUP(C245,NameCodingTable[Code], NameCodingTable[Unit Display Name]), "")</f>
        <v/>
      </c>
    </row>
    <row r="246" spans="4:4" x14ac:dyDescent="0.45">
      <c r="D246" t="str">
        <f>_xlfn.IFNA(_xlfn.XLOOKUP(C246,NameCodingTable[Code], NameCodingTable[Unit Display Name]), "")</f>
        <v/>
      </c>
    </row>
    <row r="247" spans="4:4" x14ac:dyDescent="0.45">
      <c r="D247" t="str">
        <f>_xlfn.IFNA(_xlfn.XLOOKUP(C247,NameCodingTable[Code], NameCodingTable[Unit Display Name]), "")</f>
        <v/>
      </c>
    </row>
    <row r="248" spans="4:4" x14ac:dyDescent="0.45">
      <c r="D248" t="str">
        <f>_xlfn.IFNA(_xlfn.XLOOKUP(C248,NameCodingTable[Code], NameCodingTable[Unit Display Name]), "")</f>
        <v/>
      </c>
    </row>
    <row r="249" spans="4:4" x14ac:dyDescent="0.45">
      <c r="D249" t="str">
        <f>_xlfn.IFNA(_xlfn.XLOOKUP(C249,NameCodingTable[Code], NameCodingTable[Unit Display Name]), "")</f>
        <v/>
      </c>
    </row>
    <row r="250" spans="4:4" x14ac:dyDescent="0.45">
      <c r="D250" t="str">
        <f>_xlfn.IFNA(_xlfn.XLOOKUP(C250,NameCodingTable[Code], NameCodingTable[Unit Display Name]), "")</f>
        <v/>
      </c>
    </row>
    <row r="251" spans="4:4" x14ac:dyDescent="0.45">
      <c r="D251" t="str">
        <f>_xlfn.IFNA(_xlfn.XLOOKUP(C251,NameCodingTable[Code], NameCodingTable[Unit Display Name]), "")</f>
        <v/>
      </c>
    </row>
    <row r="252" spans="4:4" x14ac:dyDescent="0.45">
      <c r="D252" t="str">
        <f>_xlfn.IFNA(_xlfn.XLOOKUP(C252,NameCodingTable[Code], NameCodingTable[Unit Display Name]), "")</f>
        <v/>
      </c>
    </row>
    <row r="253" spans="4:4" x14ac:dyDescent="0.45">
      <c r="D253" t="str">
        <f>_xlfn.IFNA(_xlfn.XLOOKUP(C253,NameCodingTable[Code], NameCodingTable[Unit Display Name]), "")</f>
        <v/>
      </c>
    </row>
    <row r="254" spans="4:4" x14ac:dyDescent="0.45">
      <c r="D254" t="str">
        <f>_xlfn.IFNA(_xlfn.XLOOKUP(C254,NameCodingTable[Code], NameCodingTable[Unit Display Name]), "")</f>
        <v/>
      </c>
    </row>
    <row r="255" spans="4:4" x14ac:dyDescent="0.45">
      <c r="D255" t="str">
        <f>_xlfn.IFNA(_xlfn.XLOOKUP(C255,NameCodingTable[Code], NameCodingTable[Unit Display Name]), "")</f>
        <v/>
      </c>
    </row>
    <row r="256" spans="4:4" x14ac:dyDescent="0.45">
      <c r="D256" t="str">
        <f>_xlfn.IFNA(_xlfn.XLOOKUP(C256,NameCodingTable[Code], NameCodingTable[Unit Display Name]), "")</f>
        <v/>
      </c>
    </row>
    <row r="257" spans="4:4" x14ac:dyDescent="0.45">
      <c r="D257" t="str">
        <f>_xlfn.IFNA(_xlfn.XLOOKUP(C257,NameCodingTable[Code], NameCodingTable[Unit Display Name]), "")</f>
        <v/>
      </c>
    </row>
    <row r="258" spans="4:4" x14ac:dyDescent="0.45">
      <c r="D258" t="str">
        <f>_xlfn.IFNA(_xlfn.XLOOKUP(C258,NameCodingTable[Code], NameCodingTable[Unit Display Name]), "")</f>
        <v/>
      </c>
    </row>
    <row r="259" spans="4:4" x14ac:dyDescent="0.45">
      <c r="D259" t="str">
        <f>_xlfn.IFNA(_xlfn.XLOOKUP(C259,NameCodingTable[Code], NameCodingTable[Unit Display Name]), "")</f>
        <v/>
      </c>
    </row>
    <row r="260" spans="4:4" x14ac:dyDescent="0.45">
      <c r="D260" t="str">
        <f>_xlfn.IFNA(_xlfn.XLOOKUP(C260,NameCodingTable[Code], NameCodingTable[Unit Display Name]), "")</f>
        <v/>
      </c>
    </row>
    <row r="261" spans="4:4" x14ac:dyDescent="0.45">
      <c r="D261" t="str">
        <f>_xlfn.IFNA(_xlfn.XLOOKUP(C261,NameCodingTable[Code], NameCodingTable[Unit Display Name]), "")</f>
        <v/>
      </c>
    </row>
    <row r="262" spans="4:4" x14ac:dyDescent="0.45">
      <c r="D262" t="str">
        <f>_xlfn.IFNA(_xlfn.XLOOKUP(C262,NameCodingTable[Code], NameCodingTable[Unit Display Name]), "")</f>
        <v/>
      </c>
    </row>
    <row r="263" spans="4:4" x14ac:dyDescent="0.45">
      <c r="D263" t="str">
        <f>_xlfn.IFNA(_xlfn.XLOOKUP(C263,NameCodingTable[Code], NameCodingTable[Unit Display Name]), "")</f>
        <v/>
      </c>
    </row>
    <row r="264" spans="4:4" x14ac:dyDescent="0.45">
      <c r="D264" t="str">
        <f>_xlfn.IFNA(_xlfn.XLOOKUP(C264,NameCodingTable[Code], NameCodingTable[Unit Display Name]), "")</f>
        <v/>
      </c>
    </row>
    <row r="265" spans="4:4" x14ac:dyDescent="0.45">
      <c r="D265" t="str">
        <f>_xlfn.IFNA(_xlfn.XLOOKUP(C265,NameCodingTable[Code], NameCodingTable[Unit Display Name]), "")</f>
        <v/>
      </c>
    </row>
    <row r="266" spans="4:4" x14ac:dyDescent="0.45">
      <c r="D266" t="str">
        <f>_xlfn.IFNA(_xlfn.XLOOKUP(C266,NameCodingTable[Code], NameCodingTable[Unit Display Name]), "")</f>
        <v/>
      </c>
    </row>
    <row r="267" spans="4:4" x14ac:dyDescent="0.45">
      <c r="D267" t="str">
        <f>_xlfn.IFNA(_xlfn.XLOOKUP(C267,NameCodingTable[Code], NameCodingTable[Unit Display Name]), "")</f>
        <v/>
      </c>
    </row>
    <row r="268" spans="4:4" x14ac:dyDescent="0.45">
      <c r="D268" t="str">
        <f>_xlfn.IFNA(_xlfn.XLOOKUP(C268,NameCodingTable[Code], NameCodingTable[Unit Display Name]), "")</f>
        <v/>
      </c>
    </row>
    <row r="269" spans="4:4" x14ac:dyDescent="0.45">
      <c r="D269" t="str">
        <f>_xlfn.IFNA(_xlfn.XLOOKUP(C269,NameCodingTable[Code], NameCodingTable[Unit Display Name]), "")</f>
        <v/>
      </c>
    </row>
    <row r="270" spans="4:4" x14ac:dyDescent="0.45">
      <c r="D270" t="str">
        <f>_xlfn.IFNA(_xlfn.XLOOKUP(C270,NameCodingTable[Code], NameCodingTable[Unit Display Name]), "")</f>
        <v/>
      </c>
    </row>
    <row r="271" spans="4:4" x14ac:dyDescent="0.45">
      <c r="D271" t="str">
        <f>_xlfn.IFNA(_xlfn.XLOOKUP(C271,NameCodingTable[Code], NameCodingTable[Unit Display Name]), "")</f>
        <v/>
      </c>
    </row>
    <row r="272" spans="4:4" x14ac:dyDescent="0.45">
      <c r="D272" t="str">
        <f>_xlfn.IFNA(_xlfn.XLOOKUP(C272,NameCodingTable[Code], NameCodingTable[Unit Display Name]), "")</f>
        <v/>
      </c>
    </row>
    <row r="273" spans="4:4" x14ac:dyDescent="0.45">
      <c r="D273" t="str">
        <f>_xlfn.IFNA(_xlfn.XLOOKUP(C273,NameCodingTable[Code], NameCodingTable[Unit Display Name]), "")</f>
        <v/>
      </c>
    </row>
    <row r="274" spans="4:4" x14ac:dyDescent="0.45">
      <c r="D274" t="str">
        <f>_xlfn.IFNA(_xlfn.XLOOKUP(C274,NameCodingTable[Code], NameCodingTable[Unit Display Name]), "")</f>
        <v/>
      </c>
    </row>
    <row r="275" spans="4:4" x14ac:dyDescent="0.45">
      <c r="D275" t="str">
        <f>_xlfn.IFNA(_xlfn.XLOOKUP(C275,NameCodingTable[Code], NameCodingTable[Unit Display Name]), "")</f>
        <v/>
      </c>
    </row>
    <row r="276" spans="4:4" x14ac:dyDescent="0.45">
      <c r="D276" t="str">
        <f>_xlfn.IFNA(_xlfn.XLOOKUP(C276,NameCodingTable[Code], NameCodingTable[Unit Display Name]), "")</f>
        <v/>
      </c>
    </row>
    <row r="277" spans="4:4" x14ac:dyDescent="0.45">
      <c r="D277" t="str">
        <f>_xlfn.IFNA(_xlfn.XLOOKUP(C277,NameCodingTable[Code], NameCodingTable[Unit Display Name]), "")</f>
        <v/>
      </c>
    </row>
    <row r="278" spans="4:4" x14ac:dyDescent="0.45">
      <c r="D278" t="str">
        <f>_xlfn.IFNA(_xlfn.XLOOKUP(C278,NameCodingTable[Code], NameCodingTable[Unit Display Name]), "")</f>
        <v/>
      </c>
    </row>
    <row r="279" spans="4:4" x14ac:dyDescent="0.45">
      <c r="D279" t="str">
        <f>_xlfn.IFNA(_xlfn.XLOOKUP(C279,NameCodingTable[Code], NameCodingTable[Unit Display Name]), "")</f>
        <v/>
      </c>
    </row>
    <row r="280" spans="4:4" x14ac:dyDescent="0.45">
      <c r="D280" t="str">
        <f>_xlfn.IFNA(_xlfn.XLOOKUP(C280,NameCodingTable[Code], NameCodingTable[Unit Display Name]), "")</f>
        <v/>
      </c>
    </row>
    <row r="281" spans="4:4" x14ac:dyDescent="0.45">
      <c r="D281" t="str">
        <f>_xlfn.IFNA(_xlfn.XLOOKUP(C281,NameCodingTable[Code], NameCodingTable[Unit Display Name]), "")</f>
        <v/>
      </c>
    </row>
    <row r="282" spans="4:4" x14ac:dyDescent="0.45">
      <c r="D282" t="str">
        <f>_xlfn.IFNA(_xlfn.XLOOKUP(C282,NameCodingTable[Code], NameCodingTable[Unit Display Name]), "")</f>
        <v/>
      </c>
    </row>
    <row r="283" spans="4:4" x14ac:dyDescent="0.45">
      <c r="D283" t="str">
        <f>_xlfn.IFNA(_xlfn.XLOOKUP(C283,NameCodingTable[Code], NameCodingTable[Unit Display Name]), "")</f>
        <v/>
      </c>
    </row>
    <row r="284" spans="4:4" x14ac:dyDescent="0.45">
      <c r="D284" t="str">
        <f>_xlfn.IFNA(_xlfn.XLOOKUP(C284,NameCodingTable[Code], NameCodingTable[Unit Display Name]), "")</f>
        <v/>
      </c>
    </row>
    <row r="285" spans="4:4" x14ac:dyDescent="0.45">
      <c r="D285" t="str">
        <f>_xlfn.IFNA(_xlfn.XLOOKUP(C285,NameCodingTable[Code], NameCodingTable[Unit Display Name]), "")</f>
        <v/>
      </c>
    </row>
    <row r="286" spans="4:4" x14ac:dyDescent="0.45">
      <c r="D286" t="str">
        <f>_xlfn.IFNA(_xlfn.XLOOKUP(C286,NameCodingTable[Code], NameCodingTable[Unit Display Name]), "")</f>
        <v/>
      </c>
    </row>
    <row r="287" spans="4:4" x14ac:dyDescent="0.45">
      <c r="D287" t="str">
        <f>_xlfn.IFNA(_xlfn.XLOOKUP(C287,NameCodingTable[Code], NameCodingTable[Unit Display Name]), "")</f>
        <v/>
      </c>
    </row>
    <row r="288" spans="4:4" x14ac:dyDescent="0.45">
      <c r="D288" t="str">
        <f>_xlfn.IFNA(_xlfn.XLOOKUP(C288,NameCodingTable[Code], NameCodingTable[Unit Display Name]), "")</f>
        <v/>
      </c>
    </row>
    <row r="289" spans="4:4" x14ac:dyDescent="0.45">
      <c r="D289" t="str">
        <f>_xlfn.IFNA(_xlfn.XLOOKUP(C289,NameCodingTable[Code], NameCodingTable[Unit Display Name]), "")</f>
        <v/>
      </c>
    </row>
    <row r="290" spans="4:4" x14ac:dyDescent="0.45">
      <c r="D290" t="str">
        <f>_xlfn.IFNA(_xlfn.XLOOKUP(C290,NameCodingTable[Code], NameCodingTable[Unit Display Name]), "")</f>
        <v/>
      </c>
    </row>
    <row r="291" spans="4:4" x14ac:dyDescent="0.45">
      <c r="D291" t="str">
        <f>_xlfn.IFNA(_xlfn.XLOOKUP(C291,NameCodingTable[Code], NameCodingTable[Unit Display Name]), "")</f>
        <v/>
      </c>
    </row>
    <row r="292" spans="4:4" x14ac:dyDescent="0.45">
      <c r="D292" t="str">
        <f>_xlfn.IFNA(_xlfn.XLOOKUP(C292,NameCodingTable[Code], NameCodingTable[Unit Display Name]), "")</f>
        <v/>
      </c>
    </row>
    <row r="293" spans="4:4" x14ac:dyDescent="0.45">
      <c r="D293" t="str">
        <f>_xlfn.IFNA(_xlfn.XLOOKUP(C293,NameCodingTable[Code], NameCodingTable[Unit Display Name]), "")</f>
        <v/>
      </c>
    </row>
    <row r="294" spans="4:4" x14ac:dyDescent="0.45">
      <c r="D294" t="str">
        <f>_xlfn.IFNA(_xlfn.XLOOKUP(C294,NameCodingTable[Code], NameCodingTable[Unit Display Name]), "")</f>
        <v/>
      </c>
    </row>
    <row r="295" spans="4:4" x14ac:dyDescent="0.45">
      <c r="D295" t="str">
        <f>_xlfn.IFNA(_xlfn.XLOOKUP(C295,NameCodingTable[Code], NameCodingTable[Unit Display Name]), "")</f>
        <v/>
      </c>
    </row>
    <row r="296" spans="4:4" x14ac:dyDescent="0.45">
      <c r="D296" t="str">
        <f>_xlfn.IFNA(_xlfn.XLOOKUP(C296,NameCodingTable[Code], NameCodingTable[Unit Display Name]), "")</f>
        <v/>
      </c>
    </row>
    <row r="297" spans="4:4" x14ac:dyDescent="0.45">
      <c r="D297" t="str">
        <f>_xlfn.IFNA(_xlfn.XLOOKUP(C297,NameCodingTable[Code], NameCodingTable[Unit Display Name]), "")</f>
        <v/>
      </c>
    </row>
    <row r="298" spans="4:4" x14ac:dyDescent="0.45">
      <c r="D298" t="str">
        <f>_xlfn.IFNA(_xlfn.XLOOKUP(C298,NameCodingTable[Code], NameCodingTable[Unit Display Name]), "")</f>
        <v/>
      </c>
    </row>
    <row r="299" spans="4:4" x14ac:dyDescent="0.45">
      <c r="D299" t="str">
        <f>_xlfn.IFNA(_xlfn.XLOOKUP(C299,NameCodingTable[Code], NameCodingTable[Unit Display Name]), "")</f>
        <v/>
      </c>
    </row>
    <row r="300" spans="4:4" x14ac:dyDescent="0.45">
      <c r="D300" t="str">
        <f>_xlfn.IFNA(_xlfn.XLOOKUP(C300,NameCodingTable[Code], NameCodingTable[Unit Display Name]), "")</f>
        <v/>
      </c>
    </row>
    <row r="301" spans="4:4" x14ac:dyDescent="0.45">
      <c r="D301" t="str">
        <f>_xlfn.IFNA(_xlfn.XLOOKUP(C301,NameCodingTable[Code], NameCodingTable[Unit Display Name]), "")</f>
        <v/>
      </c>
    </row>
    <row r="302" spans="4:4" x14ac:dyDescent="0.45">
      <c r="D302" t="str">
        <f>_xlfn.IFNA(_xlfn.XLOOKUP(C302,NameCodingTable[Code], NameCodingTable[Unit Display Name]), "")</f>
        <v/>
      </c>
    </row>
    <row r="303" spans="4:4" x14ac:dyDescent="0.45">
      <c r="D303" t="str">
        <f>_xlfn.IFNA(_xlfn.XLOOKUP(C303,NameCodingTable[Code], NameCodingTable[Unit Display Name]), "")</f>
        <v/>
      </c>
    </row>
    <row r="304" spans="4:4" x14ac:dyDescent="0.45">
      <c r="D304" t="str">
        <f>_xlfn.IFNA(_xlfn.XLOOKUP(C304,NameCodingTable[Code], NameCodingTable[Unit Display Name]), "")</f>
        <v/>
      </c>
    </row>
  </sheetData>
  <mergeCells count="4">
    <mergeCell ref="A1:D1"/>
    <mergeCell ref="F3:F6"/>
    <mergeCell ref="F8:F11"/>
    <mergeCell ref="C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E0C8-F509-4DD2-99DC-404A16E36185}">
  <sheetPr codeName="Sheet13"/>
  <dimension ref="A1:FN188"/>
  <sheetViews>
    <sheetView zoomScale="49" workbookViewId="0">
      <selection activeCell="F14" sqref="F14"/>
    </sheetView>
  </sheetViews>
  <sheetFormatPr defaultRowHeight="14.25" x14ac:dyDescent="0.45"/>
  <cols>
    <col min="1" max="1" width="7.265625" customWidth="1"/>
    <col min="2" max="2" width="7.59765625" customWidth="1"/>
    <col min="3" max="3" width="34" customWidth="1"/>
    <col min="4" max="4" width="57.59765625" customWidth="1"/>
    <col min="5" max="5" width="12.73046875" customWidth="1"/>
    <col min="6" max="6" width="8.1328125" style="53" customWidth="1"/>
    <col min="7" max="7" width="9.1328125" style="60" customWidth="1"/>
    <col min="8" max="8" width="9.86328125" style="53" customWidth="1"/>
    <col min="9" max="9" width="9.86328125" style="60" customWidth="1"/>
    <col min="10" max="10" width="8.3984375" style="54" customWidth="1"/>
    <col min="11" max="11" width="9.86328125" style="60" customWidth="1"/>
    <col min="12" max="12" width="10.86328125" style="54" customWidth="1"/>
    <col min="13" max="15" width="10.86328125" style="61" customWidth="1"/>
    <col min="16" max="16" width="10.86328125" style="54" customWidth="1"/>
    <col min="17" max="19" width="10.86328125" style="61" customWidth="1"/>
    <col min="20" max="20" width="10.86328125" style="54" customWidth="1"/>
    <col min="21" max="23" width="10.86328125" style="61" customWidth="1"/>
    <col min="24" max="27" width="10.86328125" style="54" customWidth="1"/>
    <col min="28" max="28" width="10.86328125" style="58" customWidth="1"/>
    <col min="29" max="30" width="10.86328125" style="61" customWidth="1"/>
    <col min="31" max="31" width="10.86328125" style="54" customWidth="1"/>
    <col min="32" max="32" width="10.86328125" style="61" customWidth="1"/>
    <col min="33" max="33" width="10.86328125" style="60" customWidth="1"/>
    <col min="34" max="37" width="10.86328125" style="61" customWidth="1"/>
    <col min="38" max="38" width="10.86328125" style="54" customWidth="1"/>
    <col min="39" max="39" width="10.86328125" style="61" customWidth="1"/>
    <col min="40" max="40" width="10.86328125" style="60" customWidth="1"/>
    <col min="41" max="44" width="10.86328125" style="61" customWidth="1"/>
    <col min="45" max="45" width="10.86328125" style="54" customWidth="1"/>
    <col min="46" max="46" width="10.86328125" style="61" customWidth="1"/>
    <col min="47" max="47" width="10.86328125" style="60" customWidth="1"/>
    <col min="48" max="51" width="10.86328125" style="61" customWidth="1"/>
    <col min="52" max="52" width="10.86328125" style="54" customWidth="1"/>
    <col min="53" max="53" width="10.86328125" style="61" customWidth="1"/>
    <col min="54" max="54" width="10.86328125" style="60" customWidth="1"/>
    <col min="55" max="58" width="10.86328125" style="61" customWidth="1"/>
    <col min="59" max="59" width="10.86328125" style="54" customWidth="1"/>
    <col min="60" max="60" width="10.86328125" style="61" customWidth="1"/>
    <col min="61" max="61" width="10.86328125" style="60" customWidth="1"/>
    <col min="62" max="65" width="10.86328125" style="61" customWidth="1"/>
    <col min="66" max="66" width="10.86328125" style="54" customWidth="1"/>
    <col min="67" max="67" width="10.86328125" style="61" customWidth="1"/>
    <col min="68" max="68" width="10.86328125" style="60" customWidth="1"/>
    <col min="69" max="72" width="10.86328125" style="61" customWidth="1"/>
    <col min="73" max="73" width="10.86328125" style="54" customWidth="1"/>
    <col min="74" max="74" width="10.86328125" style="61" customWidth="1"/>
    <col min="75" max="75" width="10.86328125" style="60" customWidth="1"/>
    <col min="76" max="79" width="10.86328125" style="61" customWidth="1"/>
    <col min="80" max="80" width="10.86328125" style="54" customWidth="1"/>
    <col min="81" max="81" width="10.86328125" style="61" customWidth="1"/>
    <col min="82" max="82" width="10.86328125" style="60" customWidth="1"/>
    <col min="83" max="86" width="10.86328125" style="61" customWidth="1"/>
    <col min="87" max="87" width="10.86328125" style="54" customWidth="1"/>
    <col min="88" max="88" width="10.86328125" style="61" customWidth="1"/>
    <col min="89" max="89" width="10.86328125" style="60" customWidth="1"/>
    <col min="90" max="93" width="10.86328125" style="61" customWidth="1"/>
    <col min="94" max="94" width="10.86328125" style="54" customWidth="1"/>
    <col min="95" max="95" width="10.86328125" style="61" customWidth="1"/>
    <col min="96" max="96" width="10.86328125" style="60" customWidth="1"/>
    <col min="97" max="100" width="10.86328125" style="61" customWidth="1"/>
    <col min="101" max="101" width="10.86328125" style="54" customWidth="1"/>
    <col min="102" max="102" width="10.86328125" style="61" customWidth="1"/>
    <col min="103" max="103" width="10.86328125" style="60" customWidth="1"/>
    <col min="104" max="107" width="10.86328125" style="61" customWidth="1"/>
    <col min="108" max="108" width="10.86328125" style="54" customWidth="1"/>
    <col min="109" max="109" width="10.86328125" style="61" customWidth="1"/>
    <col min="110" max="110" width="10.86328125" style="60" customWidth="1"/>
    <col min="111" max="114" width="10.86328125" style="61" customWidth="1"/>
    <col min="115" max="115" width="10.86328125" style="54" customWidth="1"/>
    <col min="116" max="116" width="10.86328125" style="61" customWidth="1"/>
    <col min="117" max="117" width="10.86328125" style="60" customWidth="1"/>
    <col min="118" max="121" width="10.86328125" style="61" customWidth="1"/>
    <col min="122" max="122" width="10.86328125" style="54" customWidth="1"/>
    <col min="123" max="123" width="10.86328125" style="61" customWidth="1"/>
    <col min="124" max="124" width="10.86328125" style="60" customWidth="1"/>
    <col min="125" max="128" width="10.86328125" style="61" customWidth="1"/>
    <col min="129" max="129" width="10.86328125" style="54" customWidth="1"/>
    <col min="130" max="130" width="10.86328125" style="61" customWidth="1"/>
    <col min="131" max="131" width="10.86328125" style="60" customWidth="1"/>
    <col min="132" max="135" width="10.86328125" style="61" customWidth="1"/>
    <col min="136" max="136" width="10.86328125" style="54" customWidth="1"/>
    <col min="137" max="137" width="10.86328125" style="61" customWidth="1"/>
    <col min="138" max="138" width="10.86328125" style="60" customWidth="1"/>
    <col min="139" max="142" width="10.86328125" style="61" customWidth="1"/>
    <col min="143" max="143" width="10.86328125" style="54" customWidth="1"/>
    <col min="144" max="144" width="10.86328125" style="61" customWidth="1"/>
    <col min="145" max="145" width="10.86328125" style="60" customWidth="1"/>
    <col min="146" max="149" width="10.86328125" style="61" customWidth="1"/>
    <col min="150" max="150" width="10.86328125" style="54" customWidth="1"/>
    <col min="151" max="151" width="10.86328125" style="61" customWidth="1"/>
    <col min="152" max="152" width="10.86328125" style="60" customWidth="1"/>
    <col min="153" max="156" width="10.86328125" style="61" customWidth="1"/>
    <col min="157" max="157" width="10.86328125" style="54" customWidth="1"/>
    <col min="158" max="158" width="10.86328125" style="61" customWidth="1"/>
    <col min="159" max="159" width="10.86328125" style="60" customWidth="1"/>
    <col min="160" max="163" width="10.86328125" style="61" customWidth="1"/>
    <col min="164" max="164" width="10.86328125" style="54" customWidth="1"/>
    <col min="165" max="165" width="10.86328125" style="61" customWidth="1"/>
    <col min="166" max="166" width="10.86328125" style="60" customWidth="1"/>
    <col min="167" max="169" width="9" style="53" customWidth="1"/>
    <col min="170" max="170" width="9.06640625" style="53" customWidth="1"/>
  </cols>
  <sheetData>
    <row r="1" spans="1:168" x14ac:dyDescent="0.45">
      <c r="AC1" s="61" t="s">
        <v>2</v>
      </c>
      <c r="AD1" s="61" t="s">
        <v>1401</v>
      </c>
      <c r="AE1" s="54" t="s">
        <v>1184</v>
      </c>
      <c r="AF1" s="61" t="s">
        <v>3</v>
      </c>
      <c r="AG1" s="60" t="s">
        <v>4</v>
      </c>
      <c r="AH1" s="61" t="s">
        <v>1057</v>
      </c>
      <c r="AI1" s="61" t="s">
        <v>1056</v>
      </c>
      <c r="AJ1" s="64" t="str">
        <f>RIGHT(TEXT(AJ3, "#"), 2)</f>
        <v>24</v>
      </c>
      <c r="AQ1" s="64" t="str">
        <f>RIGHT(TEXT(AQ3, "#"), 2)</f>
        <v>23</v>
      </c>
      <c r="AX1" s="64" t="str">
        <f>RIGHT(TEXT(AX3, "#"), 2)</f>
        <v>22</v>
      </c>
      <c r="BE1" s="64" t="str">
        <f>RIGHT(TEXT(BE3, "#"), 2)</f>
        <v>21</v>
      </c>
      <c r="BL1" s="64" t="str">
        <f>RIGHT(TEXT(BL3, "#"), 2)</f>
        <v>20</v>
      </c>
      <c r="BS1" s="64" t="str">
        <f>RIGHT(TEXT(BS3, "#"), 2)</f>
        <v>19</v>
      </c>
      <c r="BZ1" s="64" t="str">
        <f>RIGHT(TEXT(BZ3, "#"), 2)</f>
        <v>18</v>
      </c>
      <c r="CG1" s="64" t="str">
        <f>RIGHT(TEXT(CG3, "#"), 2)</f>
        <v>17</v>
      </c>
      <c r="CN1" s="64" t="str">
        <f>RIGHT(TEXT(CN3, "#"), 2)</f>
        <v>16</v>
      </c>
      <c r="CU1" s="64" t="str">
        <f>RIGHT(TEXT(CU3, "#"), 2)</f>
        <v>15</v>
      </c>
      <c r="DB1" s="64" t="str">
        <f>RIGHT(TEXT(DB3, "#"), 2)</f>
        <v>14</v>
      </c>
      <c r="DI1" s="64" t="str">
        <f>RIGHT(TEXT(DI3, "#"), 2)</f>
        <v>13</v>
      </c>
      <c r="DP1" s="64" t="str">
        <f>RIGHT(TEXT(DP3, "#"), 2)</f>
        <v>12</v>
      </c>
      <c r="DW1" s="64" t="str">
        <f>RIGHT(TEXT(DW3, "#"), 2)</f>
        <v>11</v>
      </c>
      <c r="ED1" s="64" t="str">
        <f>RIGHT(TEXT(ED3, "#"), 2)</f>
        <v>10</v>
      </c>
      <c r="EK1" s="64" t="str">
        <f>RIGHT(TEXT(EK3, "#"), 2)</f>
        <v>09</v>
      </c>
      <c r="ER1" s="64" t="str">
        <f>RIGHT(TEXT(ER3, "#"), 2)</f>
        <v>08</v>
      </c>
      <c r="EY1" s="64" t="str">
        <f>RIGHT(TEXT(EY3, "#"), 2)</f>
        <v>07</v>
      </c>
      <c r="FF1" s="64" t="str">
        <f>RIGHT(TEXT(FF3, "#"), 2)</f>
        <v>06</v>
      </c>
      <c r="FK1" s="61"/>
      <c r="FL1" s="61"/>
    </row>
    <row r="2" spans="1:168" x14ac:dyDescent="0.45">
      <c r="AC2" s="61" t="str">
        <f>$AC1&amp;AC3-2000</f>
        <v>OriginalBudget25</v>
      </c>
      <c r="AD2" s="61" t="str">
        <f>$AD1&amp;AD3-2000</f>
        <v>BudgetIncreaseAmount25</v>
      </c>
      <c r="AE2" s="61" t="str">
        <f>$AE1&amp;AE3-2000</f>
        <v>BudgetIncreasePercent25</v>
      </c>
      <c r="AF2" s="61" t="str">
        <f>$AF1&amp;AF3-2000</f>
        <v>RevisedBudget25</v>
      </c>
      <c r="AG2" s="61" t="str">
        <f>$AG1&amp;AG3-2000</f>
        <v>Actual25</v>
      </c>
      <c r="AH2" s="61" t="str">
        <f>$AH1&amp;AH3-2000</f>
        <v>DiffAmount25</v>
      </c>
      <c r="AI2" s="61" t="str">
        <f>$AI1&amp;AI3-2000</f>
        <v>DiffPercent25</v>
      </c>
      <c r="AJ2" s="61" t="str">
        <f>$AC1&amp;AJ1</f>
        <v>OriginalBudget24</v>
      </c>
      <c r="AK2" s="61" t="str">
        <f>$AD1&amp;AJ1</f>
        <v>BudgetIncreaseAmount24</v>
      </c>
      <c r="AL2" s="61" t="str">
        <f>$AE1&amp;AJ1</f>
        <v>BudgetIncreasePercent24</v>
      </c>
      <c r="AM2" s="61" t="str">
        <f>$AF1&amp;AJ1</f>
        <v>RevisedBudget24</v>
      </c>
      <c r="AN2" s="61" t="str">
        <f>$AG1&amp;AJ1</f>
        <v>Actual24</v>
      </c>
      <c r="AO2" s="61" t="str">
        <f>$AH1&amp;AJ1</f>
        <v>DiffAmount24</v>
      </c>
      <c r="AP2" s="61" t="str">
        <f>$AI1&amp;AJ1</f>
        <v>DiffPercent24</v>
      </c>
      <c r="AQ2" s="61" t="str">
        <f>$AC1&amp;AQ1</f>
        <v>OriginalBudget23</v>
      </c>
      <c r="AR2" s="61" t="str">
        <f>$AD1&amp;AQ1</f>
        <v>BudgetIncreaseAmount23</v>
      </c>
      <c r="AS2" s="61" t="str">
        <f>$AE1&amp;AQ1</f>
        <v>BudgetIncreasePercent23</v>
      </c>
      <c r="AT2" s="61" t="str">
        <f>$AF1&amp;AQ1</f>
        <v>RevisedBudget23</v>
      </c>
      <c r="AU2" s="61" t="str">
        <f>$AG1&amp;AQ1</f>
        <v>Actual23</v>
      </c>
      <c r="AV2" s="61" t="str">
        <f>$AH1&amp;AQ1</f>
        <v>DiffAmount23</v>
      </c>
      <c r="AW2" s="61" t="str">
        <f>$AI1&amp;AQ1</f>
        <v>DiffPercent23</v>
      </c>
      <c r="AX2" s="61" t="str">
        <f>$AC1&amp;AX1</f>
        <v>OriginalBudget22</v>
      </c>
      <c r="AY2" s="61" t="str">
        <f>$AD1&amp;AX1</f>
        <v>BudgetIncreaseAmount22</v>
      </c>
      <c r="AZ2" s="61" t="str">
        <f>$AE1&amp;AX1</f>
        <v>BudgetIncreasePercent22</v>
      </c>
      <c r="BA2" s="61" t="str">
        <f>$AF1&amp;AX1</f>
        <v>RevisedBudget22</v>
      </c>
      <c r="BB2" s="61" t="str">
        <f>$AG1&amp;AX1</f>
        <v>Actual22</v>
      </c>
      <c r="BC2" s="61" t="str">
        <f>$AH1&amp;AX1</f>
        <v>DiffAmount22</v>
      </c>
      <c r="BD2" s="61" t="str">
        <f>$AI1&amp;AX1</f>
        <v>DiffPercent22</v>
      </c>
      <c r="BE2" s="61" t="str">
        <f>$AC1&amp;BE1</f>
        <v>OriginalBudget21</v>
      </c>
      <c r="BF2" s="61" t="str">
        <f>$AD1&amp;BE1</f>
        <v>BudgetIncreaseAmount21</v>
      </c>
      <c r="BG2" s="61" t="str">
        <f>$AE1&amp;BE1</f>
        <v>BudgetIncreasePercent21</v>
      </c>
      <c r="BH2" s="61" t="str">
        <f>$AF1&amp;BE1</f>
        <v>RevisedBudget21</v>
      </c>
      <c r="BI2" s="61" t="str">
        <f>$AG1&amp;BE1</f>
        <v>Actual21</v>
      </c>
      <c r="BJ2" s="61" t="str">
        <f>$AH1&amp;BE1</f>
        <v>DiffAmount21</v>
      </c>
      <c r="BK2" s="61" t="str">
        <f>$AI1&amp;BE1</f>
        <v>DiffPercent21</v>
      </c>
      <c r="BL2" s="61" t="str">
        <f>$AC1&amp;BL1</f>
        <v>OriginalBudget20</v>
      </c>
      <c r="BM2" s="61" t="str">
        <f>$AD1&amp;BL1</f>
        <v>BudgetIncreaseAmount20</v>
      </c>
      <c r="BN2" s="61" t="str">
        <f>$AE1&amp;BL1</f>
        <v>BudgetIncreasePercent20</v>
      </c>
      <c r="BO2" s="61" t="str">
        <f>$AF1&amp;BL1</f>
        <v>RevisedBudget20</v>
      </c>
      <c r="BP2" s="61" t="str">
        <f>$AG1&amp;BL1</f>
        <v>Actual20</v>
      </c>
      <c r="BQ2" s="61" t="str">
        <f>$AH1&amp;BL1</f>
        <v>DiffAmount20</v>
      </c>
      <c r="BR2" s="61" t="str">
        <f>$AI1&amp;BL1</f>
        <v>DiffPercent20</v>
      </c>
      <c r="BS2" s="61" t="str">
        <f>$AC1&amp;BS1</f>
        <v>OriginalBudget19</v>
      </c>
      <c r="BT2" s="61" t="str">
        <f>$AD1&amp;BS1</f>
        <v>BudgetIncreaseAmount19</v>
      </c>
      <c r="BU2" s="61" t="str">
        <f>$AE1&amp;BS1</f>
        <v>BudgetIncreasePercent19</v>
      </c>
      <c r="BV2" s="61" t="str">
        <f>$AF1&amp;BS1</f>
        <v>RevisedBudget19</v>
      </c>
      <c r="BW2" s="61" t="str">
        <f>$AG1&amp;BS1</f>
        <v>Actual19</v>
      </c>
      <c r="BX2" s="61" t="str">
        <f>$AH1&amp;BS1</f>
        <v>DiffAmount19</v>
      </c>
      <c r="BY2" s="61" t="str">
        <f>$AI1&amp;BS1</f>
        <v>DiffPercent19</v>
      </c>
      <c r="BZ2" s="61" t="str">
        <f>$AC1&amp;BZ1</f>
        <v>OriginalBudget18</v>
      </c>
      <c r="CA2" s="61" t="str">
        <f>$AD1&amp;BZ1</f>
        <v>BudgetIncreaseAmount18</v>
      </c>
      <c r="CB2" s="61" t="str">
        <f>$AE1&amp;BZ1</f>
        <v>BudgetIncreasePercent18</v>
      </c>
      <c r="CC2" s="61" t="str">
        <f>$AF1&amp;BZ1</f>
        <v>RevisedBudget18</v>
      </c>
      <c r="CD2" s="61" t="str">
        <f>$AG1&amp;BZ1</f>
        <v>Actual18</v>
      </c>
      <c r="CE2" s="61" t="str">
        <f>$AH1&amp;BZ1</f>
        <v>DiffAmount18</v>
      </c>
      <c r="CF2" s="61" t="str">
        <f>$AI1&amp;BZ1</f>
        <v>DiffPercent18</v>
      </c>
      <c r="CG2" s="61" t="str">
        <f>$AC1&amp;CG1</f>
        <v>OriginalBudget17</v>
      </c>
      <c r="CH2" s="61" t="str">
        <f>$AD1&amp;CG1</f>
        <v>BudgetIncreaseAmount17</v>
      </c>
      <c r="CI2" s="61" t="str">
        <f>$AE1&amp;CG1</f>
        <v>BudgetIncreasePercent17</v>
      </c>
      <c r="CJ2" s="61" t="str">
        <f>$AF1&amp;CG1</f>
        <v>RevisedBudget17</v>
      </c>
      <c r="CK2" s="61" t="str">
        <f>$AG1&amp;CG1</f>
        <v>Actual17</v>
      </c>
      <c r="CL2" s="61" t="str">
        <f>$AH1&amp;CG1</f>
        <v>DiffAmount17</v>
      </c>
      <c r="CM2" s="61" t="str">
        <f>$AI1&amp;CG1</f>
        <v>DiffPercent17</v>
      </c>
      <c r="CN2" s="61" t="str">
        <f>$AC1&amp;CN1</f>
        <v>OriginalBudget16</v>
      </c>
      <c r="CO2" s="61" t="str">
        <f>$AD1&amp;CN1</f>
        <v>BudgetIncreaseAmount16</v>
      </c>
      <c r="CP2" s="61" t="str">
        <f>$AE1&amp;CN1</f>
        <v>BudgetIncreasePercent16</v>
      </c>
      <c r="CQ2" s="61" t="str">
        <f>$AF1&amp;CN1</f>
        <v>RevisedBudget16</v>
      </c>
      <c r="CR2" s="61" t="str">
        <f>$AG1&amp;CN1</f>
        <v>Actual16</v>
      </c>
      <c r="CS2" s="61" t="str">
        <f>$AH1&amp;CN1</f>
        <v>DiffAmount16</v>
      </c>
      <c r="CT2" s="61" t="str">
        <f>$AI1&amp;CN1</f>
        <v>DiffPercent16</v>
      </c>
      <c r="CU2" s="61" t="str">
        <f>$AC1&amp;CU1</f>
        <v>OriginalBudget15</v>
      </c>
      <c r="CV2" s="61" t="str">
        <f>$AD1&amp;CU1</f>
        <v>BudgetIncreaseAmount15</v>
      </c>
      <c r="CW2" s="61" t="str">
        <f>$AE1&amp;CU1</f>
        <v>BudgetIncreasePercent15</v>
      </c>
      <c r="CX2" s="61" t="str">
        <f>$AF1&amp;CU1</f>
        <v>RevisedBudget15</v>
      </c>
      <c r="CY2" s="61" t="str">
        <f>$AG1&amp;CU1</f>
        <v>Actual15</v>
      </c>
      <c r="CZ2" s="61" t="str">
        <f>$AH1&amp;CU1</f>
        <v>DiffAmount15</v>
      </c>
      <c r="DA2" s="61" t="str">
        <f>$AI1&amp;CU1</f>
        <v>DiffPercent15</v>
      </c>
      <c r="DB2" s="61" t="str">
        <f>$AC1&amp;DB1</f>
        <v>OriginalBudget14</v>
      </c>
      <c r="DC2" s="61" t="str">
        <f>$AD1&amp;DB1</f>
        <v>BudgetIncreaseAmount14</v>
      </c>
      <c r="DD2" s="61" t="str">
        <f>$AE1&amp;DB1</f>
        <v>BudgetIncreasePercent14</v>
      </c>
      <c r="DE2" s="61" t="str">
        <f>$AF1&amp;DB1</f>
        <v>RevisedBudget14</v>
      </c>
      <c r="DF2" s="61" t="str">
        <f>$AG1&amp;DB1</f>
        <v>Actual14</v>
      </c>
      <c r="DG2" s="61" t="str">
        <f>$AH1&amp;DB1</f>
        <v>DiffAmount14</v>
      </c>
      <c r="DH2" s="61" t="str">
        <f>$AI1&amp;DB1</f>
        <v>DiffPercent14</v>
      </c>
      <c r="DI2" s="61" t="str">
        <f>$AC1&amp;DI1</f>
        <v>OriginalBudget13</v>
      </c>
      <c r="DJ2" s="61" t="str">
        <f>$AD1&amp;DI1</f>
        <v>BudgetIncreaseAmount13</v>
      </c>
      <c r="DK2" s="61" t="str">
        <f>$AE1&amp;DI1</f>
        <v>BudgetIncreasePercent13</v>
      </c>
      <c r="DL2" s="61" t="str">
        <f>$AF1&amp;DI1</f>
        <v>RevisedBudget13</v>
      </c>
      <c r="DM2" s="61" t="str">
        <f>$AG1&amp;DI1</f>
        <v>Actual13</v>
      </c>
      <c r="DN2" s="61" t="str">
        <f>$AH1&amp;DI1</f>
        <v>DiffAmount13</v>
      </c>
      <c r="DO2" s="61" t="str">
        <f>$AI1&amp;DI1</f>
        <v>DiffPercent13</v>
      </c>
      <c r="DP2" s="61" t="str">
        <f>$AC1&amp;DP1</f>
        <v>OriginalBudget12</v>
      </c>
      <c r="DQ2" s="61" t="str">
        <f>$AD1&amp;DP1</f>
        <v>BudgetIncreaseAmount12</v>
      </c>
      <c r="DR2" s="61" t="str">
        <f>$AE1&amp;DP1</f>
        <v>BudgetIncreasePercent12</v>
      </c>
      <c r="DS2" s="61" t="str">
        <f>$AF1&amp;DP1</f>
        <v>RevisedBudget12</v>
      </c>
      <c r="DT2" s="61" t="str">
        <f>$AG1&amp;DP1</f>
        <v>Actual12</v>
      </c>
      <c r="DU2" s="61" t="str">
        <f>$AH1&amp;DP1</f>
        <v>DiffAmount12</v>
      </c>
      <c r="DV2" s="61" t="str">
        <f>$AI1&amp;DP1</f>
        <v>DiffPercent12</v>
      </c>
      <c r="DW2" s="61" t="str">
        <f>$AC1&amp;DW1</f>
        <v>OriginalBudget11</v>
      </c>
      <c r="DX2" s="61" t="str">
        <f>$AD1&amp;DW1</f>
        <v>BudgetIncreaseAmount11</v>
      </c>
      <c r="DY2" s="61" t="str">
        <f>$AE1&amp;DW1</f>
        <v>BudgetIncreasePercent11</v>
      </c>
      <c r="DZ2" s="61" t="str">
        <f>$AF1&amp;DW1</f>
        <v>RevisedBudget11</v>
      </c>
      <c r="EA2" s="61" t="str">
        <f>$AG1&amp;DW1</f>
        <v>Actual11</v>
      </c>
      <c r="EB2" s="61" t="str">
        <f>$AH1&amp;DW1</f>
        <v>DiffAmount11</v>
      </c>
      <c r="EC2" s="61" t="str">
        <f>$AI1&amp;DW1</f>
        <v>DiffPercent11</v>
      </c>
      <c r="ED2" s="61" t="str">
        <f>$AC1&amp;ED1</f>
        <v>OriginalBudget10</v>
      </c>
      <c r="EE2" s="61" t="str">
        <f>$AD1&amp;ED1</f>
        <v>BudgetIncreaseAmount10</v>
      </c>
      <c r="EF2" s="61" t="str">
        <f>$AE1&amp;ED1</f>
        <v>BudgetIncreasePercent10</v>
      </c>
      <c r="EG2" s="61" t="str">
        <f>$AF1&amp;ED1</f>
        <v>RevisedBudget10</v>
      </c>
      <c r="EH2" s="61" t="str">
        <f>$AG1&amp;ED1</f>
        <v>Actual10</v>
      </c>
      <c r="EI2" s="61" t="str">
        <f>$AH1&amp;ED1</f>
        <v>DiffAmount10</v>
      </c>
      <c r="EJ2" s="61" t="str">
        <f>$AI1&amp;ED1</f>
        <v>DiffPercent10</v>
      </c>
      <c r="EK2" s="61" t="str">
        <f>$AC1&amp;EK1</f>
        <v>OriginalBudget09</v>
      </c>
      <c r="EL2" s="61" t="str">
        <f>$AD1&amp;EK1</f>
        <v>BudgetIncreaseAmount09</v>
      </c>
      <c r="EM2" s="61" t="str">
        <f>$AE1&amp;EK1</f>
        <v>BudgetIncreasePercent09</v>
      </c>
      <c r="EN2" s="61" t="str">
        <f>$AF1&amp;EK1</f>
        <v>RevisedBudget09</v>
      </c>
      <c r="EO2" s="61" t="str">
        <f>$AG1&amp;EK1</f>
        <v>Actual09</v>
      </c>
      <c r="EP2" s="61" t="str">
        <f>$AH1&amp;EK1</f>
        <v>DiffAmount09</v>
      </c>
      <c r="EQ2" s="61" t="str">
        <f>$AI1&amp;EK1</f>
        <v>DiffPercent09</v>
      </c>
      <c r="ER2" s="61" t="str">
        <f>$AC1&amp;ER1</f>
        <v>OriginalBudget08</v>
      </c>
      <c r="ES2" s="61" t="str">
        <f>$AD1&amp;ER1</f>
        <v>BudgetIncreaseAmount08</v>
      </c>
      <c r="ET2" s="61" t="str">
        <f>$AE1&amp;ER1</f>
        <v>BudgetIncreasePercent08</v>
      </c>
      <c r="EU2" s="61" t="str">
        <f>$AF1&amp;ER1</f>
        <v>RevisedBudget08</v>
      </c>
      <c r="EV2" s="61" t="str">
        <f>$AG1&amp;ER1</f>
        <v>Actual08</v>
      </c>
      <c r="EW2" s="61" t="str">
        <f>$AH1&amp;ER1</f>
        <v>DiffAmount08</v>
      </c>
      <c r="EX2" s="61" t="str">
        <f>$AI1&amp;ER1</f>
        <v>DiffPercent08</v>
      </c>
      <c r="EY2" s="61" t="str">
        <f>$AC1&amp;EY1</f>
        <v>OriginalBudget07</v>
      </c>
      <c r="EZ2" s="61" t="str">
        <f>$AD1&amp;EY1</f>
        <v>BudgetIncreaseAmount07</v>
      </c>
      <c r="FA2" s="61" t="str">
        <f>$AE1&amp;EY1</f>
        <v>BudgetIncreasePercent07</v>
      </c>
      <c r="FB2" s="61" t="str">
        <f>$AF1&amp;EY1</f>
        <v>RevisedBudget07</v>
      </c>
      <c r="FC2" s="61" t="str">
        <f>$AG1&amp;EY1</f>
        <v>Actual07</v>
      </c>
      <c r="FD2" s="61" t="str">
        <f>$AH1&amp;EY1</f>
        <v>DiffAmount07</v>
      </c>
      <c r="FE2" s="61" t="str">
        <f>$AI1&amp;EY1</f>
        <v>DiffPercent07</v>
      </c>
      <c r="FF2" s="61" t="str">
        <f>$AC1&amp;FF1</f>
        <v>OriginalBudget06</v>
      </c>
      <c r="FG2" s="61" t="str">
        <f>$AD1&amp;FF1</f>
        <v>BudgetIncreaseAmount06</v>
      </c>
      <c r="FH2" s="61" t="str">
        <f>$AE1&amp;FF1</f>
        <v>BudgetIncreasePercent06</v>
      </c>
      <c r="FI2" s="61" t="str">
        <f>$AF1&amp;FF1</f>
        <v>RevisedBudget06</v>
      </c>
      <c r="FJ2" s="61" t="str">
        <f>$AG1&amp;FF1</f>
        <v>Actual06</v>
      </c>
      <c r="FK2" s="61" t="str">
        <f>$AH1&amp;FF1</f>
        <v>DiffAmount06</v>
      </c>
      <c r="FL2" s="61" t="str">
        <f>$AI1&amp;FF1</f>
        <v>DiffPercent06</v>
      </c>
    </row>
    <row r="3" spans="1:168" x14ac:dyDescent="0.45">
      <c r="A3" t="str">
        <f>A4</f>
        <v>Code</v>
      </c>
      <c r="B3" t="str">
        <f>B4</f>
        <v>maxyear</v>
      </c>
      <c r="C3" t="str">
        <f>C4</f>
        <v>Category</v>
      </c>
      <c r="D3" t="str">
        <f>D4</f>
        <v>Unit</v>
      </c>
      <c r="F3" s="53" t="str">
        <f t="shared" ref="F3:X3" si="0">F4</f>
        <v>Count</v>
      </c>
      <c r="G3" s="53" t="str">
        <f t="shared" si="0"/>
        <v># Over</v>
      </c>
      <c r="H3" s="53" t="str">
        <f t="shared" si="0"/>
        <v>% Over</v>
      </c>
      <c r="I3" s="53" t="str">
        <f t="shared" si="0"/>
        <v># Under</v>
      </c>
      <c r="J3" s="54" t="str">
        <f t="shared" si="0"/>
        <v>% Under</v>
      </c>
      <c r="K3" s="53" t="str">
        <f t="shared" si="0"/>
        <v># Equal</v>
      </c>
      <c r="L3" s="54" t="str">
        <f t="shared" si="0"/>
        <v>% Equal</v>
      </c>
      <c r="M3" s="53" t="str">
        <f t="shared" si="0"/>
        <v>AvgBudAmt</v>
      </c>
      <c r="N3" s="53" t="str">
        <f t="shared" si="0"/>
        <v>AvgActAmt</v>
      </c>
      <c r="O3" s="53" t="str">
        <f t="shared" si="0"/>
        <v>AvgDiff#</v>
      </c>
      <c r="P3" s="53" t="str">
        <f t="shared" si="0"/>
        <v>AvgDiff%</v>
      </c>
      <c r="Q3" s="53" t="str">
        <f t="shared" si="0"/>
        <v>OverAvgBud</v>
      </c>
      <c r="R3" s="53" t="str">
        <f t="shared" si="0"/>
        <v>OverAvgAct</v>
      </c>
      <c r="S3" s="53" t="str">
        <f t="shared" si="0"/>
        <v>OverAvgDiff#</v>
      </c>
      <c r="T3" s="53" t="str">
        <f t="shared" si="0"/>
        <v>OverAvgDiff%</v>
      </c>
      <c r="U3" s="53" t="str">
        <f t="shared" si="0"/>
        <v>UnderAvgBud</v>
      </c>
      <c r="V3" s="53" t="str">
        <f t="shared" si="0"/>
        <v>UnderAvgAct</v>
      </c>
      <c r="W3" s="53" t="str">
        <f t="shared" si="0"/>
        <v>UnderAvgDiff#</v>
      </c>
      <c r="X3" s="53" t="str">
        <f t="shared" si="0"/>
        <v>UnderAvgDiff%</v>
      </c>
      <c r="Y3" s="55">
        <v>0.1</v>
      </c>
      <c r="Z3" s="54">
        <v>0.1</v>
      </c>
      <c r="AC3" s="65">
        <v>2025</v>
      </c>
      <c r="AD3" s="57">
        <f>AC3</f>
        <v>2025</v>
      </c>
      <c r="AE3" s="57">
        <f>AC3</f>
        <v>2025</v>
      </c>
      <c r="AF3" s="57">
        <f>AC3</f>
        <v>2025</v>
      </c>
      <c r="AG3" s="57">
        <f>AC3</f>
        <v>2025</v>
      </c>
      <c r="AH3" s="59">
        <f>AC3</f>
        <v>2025</v>
      </c>
      <c r="AI3" s="57">
        <f>AC3</f>
        <v>2025</v>
      </c>
      <c r="AJ3" s="56">
        <f>AC3-1</f>
        <v>2024</v>
      </c>
      <c r="AK3" s="57">
        <f>AJ3</f>
        <v>2024</v>
      </c>
      <c r="AL3" s="57">
        <f>AK3</f>
        <v>2024</v>
      </c>
      <c r="AM3" s="57">
        <f>AK3</f>
        <v>2024</v>
      </c>
      <c r="AN3" s="57">
        <f>AK3</f>
        <v>2024</v>
      </c>
      <c r="AO3" s="57">
        <f>AJ3</f>
        <v>2024</v>
      </c>
      <c r="AP3" s="59">
        <f>AJ3</f>
        <v>2024</v>
      </c>
      <c r="AQ3" s="56">
        <f>AJ3-1</f>
        <v>2023</v>
      </c>
      <c r="AR3" s="57">
        <f>AQ3</f>
        <v>2023</v>
      </c>
      <c r="AS3" s="57">
        <f>AQ3</f>
        <v>2023</v>
      </c>
      <c r="AT3" s="57">
        <f>AQ3</f>
        <v>2023</v>
      </c>
      <c r="AU3" s="57">
        <f>AQ3</f>
        <v>2023</v>
      </c>
      <c r="AV3" s="57">
        <f>AQ3</f>
        <v>2023</v>
      </c>
      <c r="AW3" s="59">
        <f>AQ3</f>
        <v>2023</v>
      </c>
      <c r="AX3" s="56">
        <f>AQ3-1</f>
        <v>2022</v>
      </c>
      <c r="AY3" s="57">
        <f>AX3</f>
        <v>2022</v>
      </c>
      <c r="AZ3" s="57">
        <f>AX3</f>
        <v>2022</v>
      </c>
      <c r="BA3" s="57">
        <f>AX3</f>
        <v>2022</v>
      </c>
      <c r="BB3" s="57">
        <f>AX3</f>
        <v>2022</v>
      </c>
      <c r="BC3" s="57">
        <f>AX3</f>
        <v>2022</v>
      </c>
      <c r="BD3" s="59">
        <f>AX3</f>
        <v>2022</v>
      </c>
      <c r="BE3" s="56">
        <f>AX3-1</f>
        <v>2021</v>
      </c>
      <c r="BF3" s="57">
        <f>BE3</f>
        <v>2021</v>
      </c>
      <c r="BG3" s="57">
        <f>BE3</f>
        <v>2021</v>
      </c>
      <c r="BH3" s="57">
        <f>BE3</f>
        <v>2021</v>
      </c>
      <c r="BI3" s="57">
        <f>BE3</f>
        <v>2021</v>
      </c>
      <c r="BJ3" s="57">
        <f>BE3</f>
        <v>2021</v>
      </c>
      <c r="BK3" s="59">
        <f>BE3</f>
        <v>2021</v>
      </c>
      <c r="BL3" s="56">
        <f>BE3-1</f>
        <v>2020</v>
      </c>
      <c r="BM3" s="57">
        <f>BL3</f>
        <v>2020</v>
      </c>
      <c r="BN3" s="57">
        <f>BL3</f>
        <v>2020</v>
      </c>
      <c r="BO3" s="57">
        <f>BL3</f>
        <v>2020</v>
      </c>
      <c r="BP3" s="57">
        <f>BL3</f>
        <v>2020</v>
      </c>
      <c r="BQ3" s="57">
        <f>BL3</f>
        <v>2020</v>
      </c>
      <c r="BR3" s="59">
        <f>BL3</f>
        <v>2020</v>
      </c>
      <c r="BS3" s="56">
        <f>BL3-1</f>
        <v>2019</v>
      </c>
      <c r="BT3" s="57">
        <f>BS3</f>
        <v>2019</v>
      </c>
      <c r="BU3" s="57">
        <f>BS3</f>
        <v>2019</v>
      </c>
      <c r="BV3" s="57">
        <f>BS3</f>
        <v>2019</v>
      </c>
      <c r="BW3" s="57">
        <f>BS3</f>
        <v>2019</v>
      </c>
      <c r="BX3" s="57">
        <f>BS3</f>
        <v>2019</v>
      </c>
      <c r="BY3" s="59">
        <f>BS3</f>
        <v>2019</v>
      </c>
      <c r="BZ3" s="56">
        <f>BS3-1</f>
        <v>2018</v>
      </c>
      <c r="CA3" s="57">
        <f>BZ3</f>
        <v>2018</v>
      </c>
      <c r="CB3" s="57">
        <f>BZ3</f>
        <v>2018</v>
      </c>
      <c r="CC3" s="57">
        <f>BZ3</f>
        <v>2018</v>
      </c>
      <c r="CD3" s="57">
        <f>BZ3</f>
        <v>2018</v>
      </c>
      <c r="CE3" s="57">
        <f>BZ3</f>
        <v>2018</v>
      </c>
      <c r="CF3" s="59">
        <f>BZ3</f>
        <v>2018</v>
      </c>
      <c r="CG3" s="56">
        <f>BZ3-1</f>
        <v>2017</v>
      </c>
      <c r="CH3" s="57">
        <f>CG3</f>
        <v>2017</v>
      </c>
      <c r="CI3" s="57">
        <f>CG3</f>
        <v>2017</v>
      </c>
      <c r="CJ3" s="57">
        <f>CG3</f>
        <v>2017</v>
      </c>
      <c r="CK3" s="57">
        <f>CG3</f>
        <v>2017</v>
      </c>
      <c r="CL3" s="57">
        <f>CG3</f>
        <v>2017</v>
      </c>
      <c r="CM3" s="59">
        <f>CG3</f>
        <v>2017</v>
      </c>
      <c r="CN3" s="56">
        <f>CG3-1</f>
        <v>2016</v>
      </c>
      <c r="CO3" s="57">
        <f>CN3</f>
        <v>2016</v>
      </c>
      <c r="CP3" s="57">
        <f>CN3</f>
        <v>2016</v>
      </c>
      <c r="CQ3" s="57">
        <f>CN3</f>
        <v>2016</v>
      </c>
      <c r="CR3" s="57">
        <f>CN3</f>
        <v>2016</v>
      </c>
      <c r="CS3" s="57">
        <f>CN3</f>
        <v>2016</v>
      </c>
      <c r="CT3" s="59">
        <f>CN3</f>
        <v>2016</v>
      </c>
      <c r="CU3" s="56">
        <f>CN3-1</f>
        <v>2015</v>
      </c>
      <c r="CV3" s="57">
        <f>CU3</f>
        <v>2015</v>
      </c>
      <c r="CW3" s="57">
        <f>CU3</f>
        <v>2015</v>
      </c>
      <c r="CX3" s="57">
        <f>CU3</f>
        <v>2015</v>
      </c>
      <c r="CY3" s="57">
        <f>CU3</f>
        <v>2015</v>
      </c>
      <c r="CZ3" s="57">
        <f>CU3</f>
        <v>2015</v>
      </c>
      <c r="DA3" s="59">
        <f>CU3</f>
        <v>2015</v>
      </c>
      <c r="DB3" s="56">
        <f>CU3-1</f>
        <v>2014</v>
      </c>
      <c r="DC3" s="57">
        <f>DB3</f>
        <v>2014</v>
      </c>
      <c r="DD3" s="57">
        <f>DB3</f>
        <v>2014</v>
      </c>
      <c r="DE3" s="57">
        <f>DB3</f>
        <v>2014</v>
      </c>
      <c r="DF3" s="57">
        <f>DB3</f>
        <v>2014</v>
      </c>
      <c r="DG3" s="57">
        <f>DB3</f>
        <v>2014</v>
      </c>
      <c r="DH3" s="59">
        <f>DB3</f>
        <v>2014</v>
      </c>
      <c r="DI3" s="56">
        <f>DB3-1</f>
        <v>2013</v>
      </c>
      <c r="DJ3" s="57">
        <f>DI3</f>
        <v>2013</v>
      </c>
      <c r="DK3" s="57">
        <f>DI3</f>
        <v>2013</v>
      </c>
      <c r="DL3" s="57">
        <f>DI3</f>
        <v>2013</v>
      </c>
      <c r="DM3" s="57">
        <f>DI3</f>
        <v>2013</v>
      </c>
      <c r="DN3" s="57">
        <f>DI3</f>
        <v>2013</v>
      </c>
      <c r="DO3" s="59">
        <f>DI3</f>
        <v>2013</v>
      </c>
      <c r="DP3" s="56">
        <f>DI3-1</f>
        <v>2012</v>
      </c>
      <c r="DQ3" s="57">
        <f>DP3</f>
        <v>2012</v>
      </c>
      <c r="DR3" s="57">
        <f>DP3</f>
        <v>2012</v>
      </c>
      <c r="DS3" s="57">
        <f>DP3</f>
        <v>2012</v>
      </c>
      <c r="DT3" s="57">
        <f>DP3</f>
        <v>2012</v>
      </c>
      <c r="DU3" s="57">
        <f>DP3</f>
        <v>2012</v>
      </c>
      <c r="DV3" s="59">
        <f>DP3</f>
        <v>2012</v>
      </c>
      <c r="DW3" s="56">
        <f>DP3-1</f>
        <v>2011</v>
      </c>
      <c r="DX3" s="57">
        <f>DW3</f>
        <v>2011</v>
      </c>
      <c r="DY3" s="57">
        <f>DW3</f>
        <v>2011</v>
      </c>
      <c r="DZ3" s="57">
        <f>DW3</f>
        <v>2011</v>
      </c>
      <c r="EA3" s="57">
        <f>DW3</f>
        <v>2011</v>
      </c>
      <c r="EB3" s="57">
        <f>DW3</f>
        <v>2011</v>
      </c>
      <c r="EC3" s="59">
        <f>DW3</f>
        <v>2011</v>
      </c>
      <c r="ED3" s="56">
        <f>DW3-1</f>
        <v>2010</v>
      </c>
      <c r="EE3" s="57">
        <f>ED3</f>
        <v>2010</v>
      </c>
      <c r="EF3" s="57">
        <f>ED3</f>
        <v>2010</v>
      </c>
      <c r="EG3" s="57">
        <f>ED3</f>
        <v>2010</v>
      </c>
      <c r="EH3" s="57">
        <f>ED3</f>
        <v>2010</v>
      </c>
      <c r="EI3" s="57">
        <f>ED3</f>
        <v>2010</v>
      </c>
      <c r="EJ3" s="59">
        <f>ED3</f>
        <v>2010</v>
      </c>
      <c r="EK3" s="56">
        <f>ED3-1</f>
        <v>2009</v>
      </c>
      <c r="EL3" s="57">
        <f>EK3</f>
        <v>2009</v>
      </c>
      <c r="EM3" s="57">
        <f>EK3</f>
        <v>2009</v>
      </c>
      <c r="EN3" s="57">
        <f>EK3</f>
        <v>2009</v>
      </c>
      <c r="EO3" s="57">
        <f>EK3</f>
        <v>2009</v>
      </c>
      <c r="EP3" s="57">
        <f>EK3</f>
        <v>2009</v>
      </c>
      <c r="EQ3" s="59">
        <f>EK3</f>
        <v>2009</v>
      </c>
      <c r="ER3" s="56">
        <f>EK3-1</f>
        <v>2008</v>
      </c>
      <c r="ES3" s="57">
        <f>ER3</f>
        <v>2008</v>
      </c>
      <c r="ET3" s="57">
        <f>ER3</f>
        <v>2008</v>
      </c>
      <c r="EU3" s="57">
        <f>ER3</f>
        <v>2008</v>
      </c>
      <c r="EV3" s="57">
        <f>ER3</f>
        <v>2008</v>
      </c>
      <c r="EW3" s="57">
        <f>ER3</f>
        <v>2008</v>
      </c>
      <c r="EX3" s="59">
        <f>ER3</f>
        <v>2008</v>
      </c>
      <c r="EY3" s="56">
        <f>ER3-1</f>
        <v>2007</v>
      </c>
      <c r="EZ3" s="57">
        <f>EY3</f>
        <v>2007</v>
      </c>
      <c r="FA3" s="57">
        <f>EY3</f>
        <v>2007</v>
      </c>
      <c r="FB3" s="57">
        <f>EY3</f>
        <v>2007</v>
      </c>
      <c r="FC3" s="57">
        <f>EY3</f>
        <v>2007</v>
      </c>
      <c r="FD3" s="57">
        <f>EY3</f>
        <v>2007</v>
      </c>
      <c r="FE3" s="59">
        <f>EY3</f>
        <v>2007</v>
      </c>
      <c r="FF3" s="56">
        <f>EY3-1</f>
        <v>2006</v>
      </c>
      <c r="FG3" s="57">
        <f>FF3</f>
        <v>2006</v>
      </c>
      <c r="FH3" s="57">
        <f>FF3</f>
        <v>2006</v>
      </c>
      <c r="FI3" s="57">
        <f>FF3</f>
        <v>2006</v>
      </c>
      <c r="FJ3" s="57">
        <f>FF3</f>
        <v>2006</v>
      </c>
      <c r="FK3" s="57">
        <f>FF3</f>
        <v>2006</v>
      </c>
      <c r="FL3" s="59">
        <f>FF3</f>
        <v>2006</v>
      </c>
    </row>
    <row r="4" spans="1:168" x14ac:dyDescent="0.45">
      <c r="A4" s="5" t="s">
        <v>836</v>
      </c>
      <c r="B4" s="5" t="s">
        <v>1093</v>
      </c>
      <c r="C4" s="5" t="s">
        <v>0</v>
      </c>
      <c r="D4" t="s">
        <v>1</v>
      </c>
      <c r="E4" t="s">
        <v>1182</v>
      </c>
      <c r="F4" s="53" t="s">
        <v>1055</v>
      </c>
      <c r="G4" s="53" t="s">
        <v>1058</v>
      </c>
      <c r="H4" s="60" t="s">
        <v>1059</v>
      </c>
      <c r="I4" s="53" t="s">
        <v>1060</v>
      </c>
      <c r="J4" s="54" t="s">
        <v>1061</v>
      </c>
      <c r="K4" s="53" t="s">
        <v>1062</v>
      </c>
      <c r="L4" s="54" t="s">
        <v>1063</v>
      </c>
      <c r="M4" s="61" t="s">
        <v>1064</v>
      </c>
      <c r="N4" s="61" t="s">
        <v>1065</v>
      </c>
      <c r="O4" s="61" t="s">
        <v>1084</v>
      </c>
      <c r="P4" s="54" t="s">
        <v>1083</v>
      </c>
      <c r="Q4" s="61" t="s">
        <v>1085</v>
      </c>
      <c r="R4" s="61" t="s">
        <v>1086</v>
      </c>
      <c r="S4" s="61" t="s">
        <v>1087</v>
      </c>
      <c r="T4" s="54" t="s">
        <v>1088</v>
      </c>
      <c r="U4" s="61" t="s">
        <v>1089</v>
      </c>
      <c r="V4" s="61" t="s">
        <v>1090</v>
      </c>
      <c r="W4" s="61" t="s">
        <v>1092</v>
      </c>
      <c r="X4" s="54" t="s">
        <v>1091</v>
      </c>
      <c r="Y4" s="54" t="s">
        <v>1242</v>
      </c>
      <c r="Z4" s="54" t="s">
        <v>1244</v>
      </c>
      <c r="AA4" s="54" t="s">
        <v>1243</v>
      </c>
      <c r="AB4" s="58" t="s">
        <v>1151</v>
      </c>
      <c r="AC4" s="61" t="s">
        <v>1400</v>
      </c>
      <c r="AD4" s="61" t="s">
        <v>1402</v>
      </c>
      <c r="AE4" s="54" t="s">
        <v>1403</v>
      </c>
      <c r="AF4" s="54" t="s">
        <v>1404</v>
      </c>
      <c r="AG4" s="61" t="s">
        <v>1405</v>
      </c>
      <c r="AH4" s="53" t="s">
        <v>1406</v>
      </c>
      <c r="AI4" s="63" t="s">
        <v>1407</v>
      </c>
      <c r="AJ4" s="62" t="s">
        <v>1068</v>
      </c>
      <c r="AK4" s="61" t="s">
        <v>1185</v>
      </c>
      <c r="AL4" s="54" t="s">
        <v>1223</v>
      </c>
      <c r="AM4" s="54" t="s">
        <v>1186</v>
      </c>
      <c r="AN4" s="61" t="s">
        <v>1155</v>
      </c>
      <c r="AO4" s="53" t="s">
        <v>1095</v>
      </c>
      <c r="AP4" s="63" t="s">
        <v>1096</v>
      </c>
      <c r="AQ4" s="62" t="s">
        <v>1067</v>
      </c>
      <c r="AR4" s="61" t="s">
        <v>1187</v>
      </c>
      <c r="AS4" s="54" t="s">
        <v>1188</v>
      </c>
      <c r="AT4" s="54" t="s">
        <v>1189</v>
      </c>
      <c r="AU4" s="61" t="s">
        <v>1165</v>
      </c>
      <c r="AV4" s="53" t="s">
        <v>1097</v>
      </c>
      <c r="AW4" s="63" t="s">
        <v>1098</v>
      </c>
      <c r="AX4" s="62" t="s">
        <v>1066</v>
      </c>
      <c r="AY4" s="61" t="s">
        <v>1224</v>
      </c>
      <c r="AZ4" s="54" t="s">
        <v>1225</v>
      </c>
      <c r="BA4" s="54" t="s">
        <v>1226</v>
      </c>
      <c r="BB4" s="61" t="s">
        <v>1164</v>
      </c>
      <c r="BC4" s="53" t="s">
        <v>1099</v>
      </c>
      <c r="BD4" s="63" t="s">
        <v>1100</v>
      </c>
      <c r="BE4" s="62" t="s">
        <v>1101</v>
      </c>
      <c r="BF4" s="61" t="s">
        <v>1227</v>
      </c>
      <c r="BG4" s="54" t="s">
        <v>1228</v>
      </c>
      <c r="BH4" s="54" t="s">
        <v>1229</v>
      </c>
      <c r="BI4" s="61" t="s">
        <v>1166</v>
      </c>
      <c r="BJ4" s="53" t="s">
        <v>1102</v>
      </c>
      <c r="BK4" s="63" t="s">
        <v>1103</v>
      </c>
      <c r="BL4" s="62" t="s">
        <v>1104</v>
      </c>
      <c r="BM4" s="61" t="s">
        <v>1230</v>
      </c>
      <c r="BN4" s="54" t="s">
        <v>1200</v>
      </c>
      <c r="BO4" s="54" t="s">
        <v>1231</v>
      </c>
      <c r="BP4" s="61" t="s">
        <v>1175</v>
      </c>
      <c r="BQ4" s="53" t="s">
        <v>1105</v>
      </c>
      <c r="BR4" s="63" t="s">
        <v>1106</v>
      </c>
      <c r="BS4" s="62" t="s">
        <v>1107</v>
      </c>
      <c r="BT4" s="61" t="s">
        <v>1232</v>
      </c>
      <c r="BU4" s="54" t="s">
        <v>1199</v>
      </c>
      <c r="BV4" s="54" t="s">
        <v>1233</v>
      </c>
      <c r="BW4" s="61" t="s">
        <v>1176</v>
      </c>
      <c r="BX4" s="53" t="s">
        <v>1108</v>
      </c>
      <c r="BY4" s="63" t="s">
        <v>1109</v>
      </c>
      <c r="BZ4" s="62" t="s">
        <v>1110</v>
      </c>
      <c r="CA4" s="61" t="s">
        <v>1234</v>
      </c>
      <c r="CB4" s="54" t="s">
        <v>1198</v>
      </c>
      <c r="CC4" s="54" t="s">
        <v>1235</v>
      </c>
      <c r="CD4" s="61" t="s">
        <v>1177</v>
      </c>
      <c r="CE4" s="53" t="s">
        <v>1111</v>
      </c>
      <c r="CF4" s="63" t="s">
        <v>1112</v>
      </c>
      <c r="CG4" s="62" t="s">
        <v>1113</v>
      </c>
      <c r="CH4" s="61" t="s">
        <v>1236</v>
      </c>
      <c r="CI4" s="54" t="s">
        <v>1197</v>
      </c>
      <c r="CJ4" s="54" t="s">
        <v>1237</v>
      </c>
      <c r="CK4" s="61" t="s">
        <v>1174</v>
      </c>
      <c r="CL4" s="53" t="s">
        <v>1114</v>
      </c>
      <c r="CM4" s="63" t="s">
        <v>1115</v>
      </c>
      <c r="CN4" s="62" t="s">
        <v>1116</v>
      </c>
      <c r="CO4" s="61" t="s">
        <v>1238</v>
      </c>
      <c r="CP4" s="54" t="s">
        <v>1196</v>
      </c>
      <c r="CQ4" s="54" t="s">
        <v>1239</v>
      </c>
      <c r="CR4" s="61" t="s">
        <v>1173</v>
      </c>
      <c r="CS4" s="53" t="s">
        <v>1117</v>
      </c>
      <c r="CT4" s="63" t="s">
        <v>1118</v>
      </c>
      <c r="CU4" s="62" t="s">
        <v>1119</v>
      </c>
      <c r="CV4" s="61" t="s">
        <v>1240</v>
      </c>
      <c r="CW4" s="54" t="s">
        <v>1195</v>
      </c>
      <c r="CX4" s="54" t="s">
        <v>1241</v>
      </c>
      <c r="CY4" s="61" t="s">
        <v>1172</v>
      </c>
      <c r="CZ4" s="53" t="s">
        <v>1120</v>
      </c>
      <c r="DA4" s="63" t="s">
        <v>1121</v>
      </c>
      <c r="DB4" s="62" t="s">
        <v>1122</v>
      </c>
      <c r="DC4" s="61" t="s">
        <v>1221</v>
      </c>
      <c r="DD4" s="54" t="s">
        <v>1194</v>
      </c>
      <c r="DE4" s="54" t="s">
        <v>1222</v>
      </c>
      <c r="DF4" s="61" t="s">
        <v>1171</v>
      </c>
      <c r="DG4" s="53" t="s">
        <v>1123</v>
      </c>
      <c r="DH4" s="63" t="s">
        <v>1124</v>
      </c>
      <c r="DI4" s="62" t="s">
        <v>1125</v>
      </c>
      <c r="DJ4" s="61" t="s">
        <v>1219</v>
      </c>
      <c r="DK4" s="54" t="s">
        <v>1193</v>
      </c>
      <c r="DL4" s="54" t="s">
        <v>1220</v>
      </c>
      <c r="DM4" s="61" t="s">
        <v>1170</v>
      </c>
      <c r="DN4" s="53" t="s">
        <v>1126</v>
      </c>
      <c r="DO4" s="63" t="s">
        <v>1127</v>
      </c>
      <c r="DP4" s="62" t="s">
        <v>1128</v>
      </c>
      <c r="DQ4" s="61" t="s">
        <v>1217</v>
      </c>
      <c r="DR4" s="54" t="s">
        <v>1192</v>
      </c>
      <c r="DS4" s="54" t="s">
        <v>1218</v>
      </c>
      <c r="DT4" s="61" t="s">
        <v>1169</v>
      </c>
      <c r="DU4" s="53" t="s">
        <v>1129</v>
      </c>
      <c r="DV4" s="63" t="s">
        <v>1130</v>
      </c>
      <c r="DW4" s="62" t="s">
        <v>1131</v>
      </c>
      <c r="DX4" s="61" t="s">
        <v>1216</v>
      </c>
      <c r="DY4" s="54" t="s">
        <v>1191</v>
      </c>
      <c r="DZ4" s="54" t="s">
        <v>1215</v>
      </c>
      <c r="EA4" s="61" t="s">
        <v>1168</v>
      </c>
      <c r="EB4" s="53" t="s">
        <v>1132</v>
      </c>
      <c r="EC4" s="63" t="s">
        <v>1133</v>
      </c>
      <c r="ED4" s="62" t="s">
        <v>1134</v>
      </c>
      <c r="EE4" s="61" t="s">
        <v>1214</v>
      </c>
      <c r="EF4" s="54" t="s">
        <v>1190</v>
      </c>
      <c r="EG4" s="54" t="s">
        <v>1213</v>
      </c>
      <c r="EH4" s="61" t="s">
        <v>1167</v>
      </c>
      <c r="EI4" s="53" t="s">
        <v>1135</v>
      </c>
      <c r="EJ4" s="63" t="s">
        <v>1136</v>
      </c>
      <c r="EK4" s="62" t="s">
        <v>1137</v>
      </c>
      <c r="EL4" s="61" t="s">
        <v>1210</v>
      </c>
      <c r="EM4" s="54" t="s">
        <v>1211</v>
      </c>
      <c r="EN4" s="54" t="s">
        <v>1212</v>
      </c>
      <c r="EO4" s="61" t="s">
        <v>1178</v>
      </c>
      <c r="EP4" s="53" t="s">
        <v>1138</v>
      </c>
      <c r="EQ4" s="63" t="s">
        <v>1139</v>
      </c>
      <c r="ER4" s="62" t="s">
        <v>1140</v>
      </c>
      <c r="ES4" s="61" t="s">
        <v>1209</v>
      </c>
      <c r="ET4" s="54" t="s">
        <v>1208</v>
      </c>
      <c r="EU4" s="54" t="s">
        <v>1207</v>
      </c>
      <c r="EV4" s="61" t="s">
        <v>1179</v>
      </c>
      <c r="EW4" s="53" t="s">
        <v>1141</v>
      </c>
      <c r="EX4" s="63" t="s">
        <v>1142</v>
      </c>
      <c r="EY4" s="62" t="s">
        <v>1143</v>
      </c>
      <c r="EZ4" s="61" t="s">
        <v>1206</v>
      </c>
      <c r="FA4" s="54" t="s">
        <v>1205</v>
      </c>
      <c r="FB4" s="54" t="s">
        <v>1204</v>
      </c>
      <c r="FC4" s="61" t="s">
        <v>1180</v>
      </c>
      <c r="FD4" s="53" t="s">
        <v>1144</v>
      </c>
      <c r="FE4" s="63" t="s">
        <v>1145</v>
      </c>
      <c r="FF4" s="62" t="s">
        <v>1146</v>
      </c>
      <c r="FG4" s="61" t="s">
        <v>1203</v>
      </c>
      <c r="FH4" s="54" t="s">
        <v>1202</v>
      </c>
      <c r="FI4" s="54" t="s">
        <v>1201</v>
      </c>
      <c r="FJ4" s="61" t="s">
        <v>1181</v>
      </c>
      <c r="FK4" s="53" t="s">
        <v>1147</v>
      </c>
      <c r="FL4" s="63" t="s">
        <v>1148</v>
      </c>
    </row>
    <row r="5" spans="1:168" x14ac:dyDescent="0.45">
      <c r="A5" t="s">
        <v>795</v>
      </c>
      <c r="B5">
        <f>_xlfn.MAXIFS(allFYsTable[year2], allFYsTable[Code], SummaryTable[[#This Row],[Code]])</f>
        <v>2025</v>
      </c>
      <c r="C5" t="str">
        <f>_xlfn.XLOOKUP(SummaryTable[[#This Row],[Code]], NameCodingTable[Code], NameCodingTable[Most Recent Category per allFYs])</f>
        <v>Operations and infrastructure</v>
      </c>
      <c r="D5" t="str">
        <f>_xlfn.XLOOKUP(SummaryTable[[#This Row],[Code]], NameCodingTable[Code], NameCodingTable[Unit Display Name])</f>
        <v>Alcoholic Beverage Regulation Administration</v>
      </c>
      <c r="E5" t="str">
        <f>_xlfn.XLOOKUP(SummaryTable[[#This Row],[Code]], NameCodingTable[Code], NameCodingTable[Type])</f>
        <v>agency</v>
      </c>
      <c r="F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5" s="54">
        <f>SummaryTable[[#This Row],['# Over]]/SummaryTable[[#This Row],[Count]]</f>
        <v>0.05</v>
      </c>
      <c r="I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13</v>
      </c>
      <c r="J5" s="54">
        <f>SummaryTable[[#This Row],['# Under]]/SummaryTable[[#This Row],[Count]]</f>
        <v>0.65</v>
      </c>
      <c r="K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6</v>
      </c>
      <c r="L5" s="54">
        <f>SummaryTable[[#This Row],['# Equal]]/SummaryTable[[#This Row],[Count]]</f>
        <v>0.3</v>
      </c>
      <c r="M5" s="61">
        <f>SUMIFS(allFYsTable[OriginalBudget],allFYsTable[Code],SummaryTable[[#This Row],[Code]])/SummaryTable[[#This Row],[Count]]</f>
        <v>949.2</v>
      </c>
      <c r="N5" s="61">
        <f>SUMIFS(allFYsTable[Actual],allFYsTable[Code],SummaryTable[[#This Row],[Code]])/SummaryTable[[#This Row],[Count]]</f>
        <v>669</v>
      </c>
      <c r="O5" s="61">
        <f>SummaryTable[[#This Row],[AvgActAmt]]-SummaryTable[[#This Row],[AvgBudAmt]]</f>
        <v>-280.20000000000005</v>
      </c>
      <c r="P5" s="54">
        <f>IF(SummaryTable[[#This Row],[AvgBudAmt]]=0, IF(SummaryTable[[#This Row],[AvgDiff'#]]=0, 0, NamedFields!$C$3), SummaryTable[[#This Row],[AvgDiff'#]]/SummaryTable[[#This Row],[AvgBudAmt]])</f>
        <v>-0.29519595448798991</v>
      </c>
      <c r="Q5" s="61">
        <f>IFERROR(SUMIFS(allFYsTable[OriginalBudget],allFYsTable[Code],SummaryTable[[#This Row],[Code]],allFYsTable[DiffAmount], "&gt;0")/SummaryTable[[#This Row],['# Over]], 0)</f>
        <v>739</v>
      </c>
      <c r="R5" s="61">
        <f>IFERROR(SUMIFS(allFYsTable[Actual],allFYsTable[Code],SummaryTable[[#This Row],[Code]],allFYsTable[DiffAmount], "&gt;0")/SummaryTable[[#This Row],['# Over]], 0)</f>
        <v>761</v>
      </c>
      <c r="S5" s="61">
        <f>SummaryTable[[#This Row],[OverAvgAct]]-SummaryTable[[#This Row],[OverAvgBud]]</f>
        <v>22</v>
      </c>
      <c r="T5" s="54">
        <f>IF(SummaryTable[[#This Row],[OverAvgBud]]=0, IF(SummaryTable[[#This Row],[OverAvgDiff'#]]=0, ZeroBudgetNoSpending, ZeroBudgetWithSpending), SummaryTable[[#This Row],[OverAvgDiff'#]]/SummaryTable[[#This Row],[OverAvgBud]])</f>
        <v>2.9769959404600813E-2</v>
      </c>
      <c r="U5" s="61">
        <f>IFERROR(SUMIFS(allFYsTable[OriginalBudget],allFYsTable[Code],SummaryTable[[#This Row],[Code]],allFYsTable[DiffAmount], "&lt;0")/SummaryTable[[#This Row],['# Under]], 0)</f>
        <v>1247.3076923076924</v>
      </c>
      <c r="V5" s="61">
        <f>IFERROR( SUMIFS(allFYsTable[Actual],allFYsTable[Code],SummaryTable[[#This Row],[Code]],allFYsTable[DiffAmount], "&lt;0")/SummaryTable[[#This Row],['# Under]], 0)</f>
        <v>814.53846153846155</v>
      </c>
      <c r="W5" s="61">
        <f>SummaryTable[[#This Row],[UnderAvgAct]]-SummaryTable[[#This Row],[UnderAvgBud]]</f>
        <v>-432.76923076923083</v>
      </c>
      <c r="X5" s="54">
        <f>IF(SummaryTable[[#This Row],[UnderAvgBud]]=0, IF(SummaryTable[[#This Row],[UnderAvgDiff'#]]=0, ZeroBudgetNoSpending, NamedFields!$C$3), SummaryTable[[#This Row],[UnderAvgDiff'#]]/SummaryTable[[#This Row],[UnderAvgBud]])</f>
        <v>-0.34696268886833181</v>
      </c>
      <c r="Y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 s="54">
        <f>IF(SummaryTable[[#This Row],[IncreaseYears]]=0, ZeroBudgetNoSpending, SummaryTable[[#This Row],[OSinIncreaseYear'#]]/SummaryTable[[#This Row],[IncreaseYears]])</f>
        <v>0</v>
      </c>
      <c r="AB5" s="58" t="str">
        <f>SummaryTable[[#This Row],[Code]]</f>
        <v>LQ0</v>
      </c>
      <c r="AC5" s="62">
        <f>IF(COUNTIFS(allFYsTable[Code], SummaryTable[[#This Row],[Code]], allFYsTable[year2], AC$3)=0, NotFound, SUMIFS(allFYsTable[OriginalBudget], allFYsTable[Code], SummaryTable[[#This Row],[Code]], allFYsTable[year2], AC$3))</f>
        <v>1371</v>
      </c>
      <c r="AD5" s="61">
        <f>SummaryTable[[#This Row],[OriginalBudget25]]-SummaryTable[[#This Row],[OriginalBudget24]]</f>
        <v>-268</v>
      </c>
      <c r="AE5" s="54">
        <f>SummaryTable[[#This Row],[BudgetIncreaseAmount25]]/SummaryTable[[#This Row],[OriginalBudget24]]</f>
        <v>-0.16351433801098231</v>
      </c>
      <c r="AF5" s="61">
        <f>IF(COUNTIFS(allFYsTable[Code], SummaryTable[[#This Row],[Code]], allFYsTable[year2], AC$3)=0, NotFound, SUMIFS(allFYsTable[RevisedBudget], allFYsTable[Code], SummaryTable[[#This Row],[Code]], allFYsTable[year2], AC$3))</f>
        <v>1369</v>
      </c>
      <c r="AG5" s="61">
        <f>IF(COUNTIFS(allFYsTable[Code], SummaryTable[[#This Row],[Code]], allFYsTable[year2], AC$3)=0, NotFound, SUMIFS(allFYsTable[Actual], allFYsTable[Code], SummaryTable[[#This Row],[Code]], allFYsTable[year2], AC$3))</f>
        <v>744</v>
      </c>
      <c r="AH5" s="61">
        <f>IF(COUNTIFS(allFYsTable[Code], SummaryTable[[#This Row],[Code]], allFYsTable[year2], AC$3)=0, NotFound, SUMIFS(allFYsTable[DiffAmount], allFYsTable[Code], SummaryTable[[#This Row],[Code]], allFYsTable[year2], AC$3))</f>
        <v>-627</v>
      </c>
      <c r="AI5" s="63">
        <f>IF(SummaryTable[[#This Row],[OriginalBudget25]]=0, IF(SummaryTable[[#This Row],[DiffAmount25]]=0, ZeroBudgetNoSpending, ZeroBudgetWithSpending), SummaryTable[[#This Row],[DiffAmount25]]/SummaryTable[[#This Row],[OriginalBudget25]])</f>
        <v>-0.45733041575492339</v>
      </c>
      <c r="AJ5" s="62">
        <f>IF(COUNTIFS(allFYsTable[Code], SummaryTable[[#This Row],[Code]], allFYsTable[year2], AJ$3)=0, NotFound, SUMIFS(allFYsTable[OriginalBudget], allFYsTable[Code], SummaryTable[[#This Row],[Code]], allFYsTable[year2], AJ$3))</f>
        <v>1639</v>
      </c>
      <c r="AK5" s="61">
        <f>SummaryTable[[#This Row],[OriginalBudget24]]-SummaryTable[[#This Row],[OriginalBudget23]]</f>
        <v>-125</v>
      </c>
      <c r="AL5" s="54">
        <f>SummaryTable[[#This Row],[BudgetIncreaseAmount24]]/SummaryTable[[#This Row],[OriginalBudget23]]</f>
        <v>-7.0861678004535147E-2</v>
      </c>
      <c r="AM5" s="61">
        <f>IF(COUNTIFS(allFYsTable[Code], SummaryTable[[#This Row],[Code]], allFYsTable[year2], AK$3)=0, NotFound, SUMIFS(allFYsTable[RevisedBudget], allFYsTable[Code], SummaryTable[[#This Row],[Code]], allFYsTable[year2], AJ$3))</f>
        <v>1205</v>
      </c>
      <c r="AN5" s="61">
        <f>IF(COUNTIFS(allFYsTable[Code], SummaryTable[[#This Row],[Code]], allFYsTable[year2], AJ$3)=0, NotFound, SUMIFS(allFYsTable[Actual], allFYsTable[Code], SummaryTable[[#This Row],[Code]], allFYsTable[year2], AJ$3))</f>
        <v>1190</v>
      </c>
      <c r="AO5" s="61">
        <f>IF(COUNTIFS(allFYsTable[Code], SummaryTable[[#This Row],[Code]], allFYsTable[year2], AJ$3)=0, NotFound, SUMIFS(allFYsTable[DiffAmount], allFYsTable[Code], SummaryTable[[#This Row],[Code]], allFYsTable[year2], AJ$3))</f>
        <v>-449</v>
      </c>
      <c r="AP5" s="63">
        <f>IF(SummaryTable[[#This Row],[OriginalBudget24]]=0, IF(SummaryTable[[#This Row],[DiffAmount24]]=0, ZeroBudgetNoSpending, ZeroBudgetWithSpending), SummaryTable[[#This Row],[DiffAmount24]]/SummaryTable[[#This Row],[OriginalBudget24]])</f>
        <v>-0.27394752898108604</v>
      </c>
      <c r="AQ5" s="62">
        <f>IF(COUNTIFS(allFYsTable[Code], SummaryTable[[#This Row],[Code]], allFYsTable[year2], AQ$3)=0, NotFound, SUMIFS(allFYsTable[OriginalBudget], allFYsTable[Code], SummaryTable[[#This Row],[Code]], allFYsTable[year2], AQ$3))</f>
        <v>1764</v>
      </c>
      <c r="AR5" s="61">
        <f>SummaryTable[[#This Row],[OriginalBudget23]]-SummaryTable[[#This Row],[OriginalBudget22]]</f>
        <v>214</v>
      </c>
      <c r="AS5" s="54">
        <f>SummaryTable[[#This Row],[BudgetIncreaseAmount23]]/SummaryTable[[#This Row],[OriginalBudget22]]</f>
        <v>0.13806451612903226</v>
      </c>
      <c r="AT5" s="61">
        <f>IF(COUNTIFS(allFYsTable[Code], SummaryTable[[#This Row],[Code]], allFYsTable[year2], AQ$3)=0, NotFound, SUMIFS(allFYsTable[RevisedBudget], allFYsTable[Code], SummaryTable[[#This Row],[Code]], allFYsTable[year2], AQ$3))</f>
        <v>1113</v>
      </c>
      <c r="AU5" s="61">
        <f>IF(COUNTIFS(allFYsTable[Code], SummaryTable[[#This Row],[Code]], allFYsTable[year2], AQ$3)=0, NotFound, SUMIFS(allFYsTable[Actual], allFYsTable[Code], SummaryTable[[#This Row],[Code]], allFYsTable[year2], AQ$3))</f>
        <v>1112</v>
      </c>
      <c r="AV5" s="61">
        <f>IF(COUNTIFS(allFYsTable[Code], SummaryTable[[#This Row],[Code]], allFYsTable[year2], AQ$3)=0, NotFound, SUMIFS(allFYsTable[DiffAmount], allFYsTable[Code], SummaryTable[[#This Row],[Code]], allFYsTable[year2], AQ$3))</f>
        <v>-652</v>
      </c>
      <c r="AW5" s="63">
        <f>IF(SummaryTable[[#This Row],[OriginalBudget23]]=0, IF(SummaryTable[[#This Row],[DiffAmount23]]=0, ZeroBudgetNoSpending, ZeroBudgetWithSpending), SummaryTable[[#This Row],[DiffAmount23]]/SummaryTable[[#This Row],[OriginalBudget23]])</f>
        <v>-0.36961451247165533</v>
      </c>
      <c r="AX5" s="62">
        <f>IF(COUNTIFS(allFYsTable[Code], SummaryTable[[#This Row],[Code]], allFYsTable[year2], AX$3)=0, NotFound, SUMIFS(allFYsTable[OriginalBudget], allFYsTable[Code], SummaryTable[[#This Row],[Code]], allFYsTable[year2], AX$3))</f>
        <v>1550</v>
      </c>
      <c r="AY5" s="61">
        <f>SummaryTable[[#This Row],[OriginalBudget22]]-SummaryTable[[#This Row],[OriginalBudget21]]</f>
        <v>-3</v>
      </c>
      <c r="AZ5" s="54">
        <f>SummaryTable[[#This Row],[BudgetIncreaseAmount22]]/SummaryTable[[#This Row],[OriginalBudget21]]</f>
        <v>-1.9317450096587251E-3</v>
      </c>
      <c r="BA5" s="61">
        <f>IF(COUNTIFS(allFYsTable[Code], SummaryTable[[#This Row],[Code]], allFYsTable[year2], AX$3)=0, NotFound, SUMIFS(allFYsTable[RevisedBudget], allFYsTable[Code], SummaryTable[[#This Row],[Code]], allFYsTable[year2], AX$3))</f>
        <v>1617</v>
      </c>
      <c r="BB5" s="61">
        <f>IF(COUNTIFS(allFYsTable[Code], SummaryTable[[#This Row],[Code]], allFYsTable[year2], AX$3)=0, NotFound, SUMIFS(allFYsTable[Actual], allFYsTable[Code], SummaryTable[[#This Row],[Code]], allFYsTable[year2], AX$3))</f>
        <v>1236</v>
      </c>
      <c r="BC5" s="61">
        <f>IF(COUNTIFS(allFYsTable[Code], SummaryTable[[#This Row],[Code]], allFYsTable[year2], AX$3)=0, NotFound, SUMIFS(allFYsTable[DiffAmount], allFYsTable[Code], SummaryTable[[#This Row],[Code]], allFYsTable[year2], AX$3))</f>
        <v>-314</v>
      </c>
      <c r="BD5" s="63">
        <f>IF(SummaryTable[[#This Row],[OriginalBudget22]]=0, IF(SummaryTable[[#This Row],[DiffAmount22]]=0, ZeroBudgetNoSpending, ZeroBudgetWithSpending), SummaryTable[[#This Row],[DiffAmount22]]/SummaryTable[[#This Row],[OriginalBudget22]])</f>
        <v>-0.20258064516129032</v>
      </c>
      <c r="BE5" s="62">
        <f>IF(COUNTIFS(allFYsTable[Code], SummaryTable[[#This Row],[Code]], allFYsTable[year2], BE$3)=0, NotFound, SUMIFS(allFYsTable[OriginalBudget], allFYsTable[Code], SummaryTable[[#This Row],[Code]], allFYsTable[year2], BE$3))</f>
        <v>1553</v>
      </c>
      <c r="BF5" s="61">
        <f>SummaryTable[[#This Row],[OriginalBudget21]]-SummaryTable[[#This Row],[OriginalBudget20]]</f>
        <v>383</v>
      </c>
      <c r="BG5" s="54">
        <f>SummaryTable[[#This Row],[BudgetIncreaseAmount21]]/SummaryTable[[#This Row],[OriginalBudget20]]</f>
        <v>0.32735042735042735</v>
      </c>
      <c r="BH5" s="61">
        <f>IF(COUNTIFS(allFYsTable[Code], SummaryTable[[#This Row],[Code]], allFYsTable[year2], BE$3)=0, NotFound, SUMIFS(allFYsTable[RevisedBudget], allFYsTable[Code], SummaryTable[[#This Row],[Code]], allFYsTable[year2], BE$3))</f>
        <v>1490</v>
      </c>
      <c r="BI5" s="61">
        <f>IF(COUNTIFS(allFYsTable[Code], SummaryTable[[#This Row],[Code]], allFYsTable[year2], BE$3)=0, NotFound, SUMIFS(allFYsTable[Actual], allFYsTable[Code], SummaryTable[[#This Row],[Code]], allFYsTable[year2], BE$3))</f>
        <v>574</v>
      </c>
      <c r="BJ5" s="61">
        <f>IF(COUNTIFS(allFYsTable[Code], SummaryTable[[#This Row],[Code]], allFYsTable[year2], BE$3)=0, NotFound, SUMIFS(allFYsTable[DiffAmount], allFYsTable[Code], SummaryTable[[#This Row],[Code]], allFYsTable[year2], BE$3))</f>
        <v>-979</v>
      </c>
      <c r="BK5" s="63">
        <f>IF(SummaryTable[[#This Row],[OriginalBudget21]]=0, IF(SummaryTable[[#This Row],[DiffAmount21]]=0, ZeroBudgetNoSpending, ZeroBudgetWithSpending), SummaryTable[[#This Row],[DiffAmount21]]/SummaryTable[[#This Row],[OriginalBudget21]])</f>
        <v>-0.63039278815196398</v>
      </c>
      <c r="BL5" s="62">
        <f>IF(COUNTIFS(allFYsTable[Code], SummaryTable[[#This Row],[Code]], allFYsTable[year2], BL$3)=0, NotFound, SUMIFS(allFYsTable[OriginalBudget], allFYsTable[Code], SummaryTable[[#This Row],[Code]], allFYsTable[year2], BL$3))</f>
        <v>1170</v>
      </c>
      <c r="BM5" s="61">
        <f>SummaryTable[[#This Row],[OriginalBudget20]]-SummaryTable[[#This Row],[OriginalBudget19]]</f>
        <v>-122</v>
      </c>
      <c r="BN5" s="54">
        <f>SummaryTable[[#This Row],[BudgetIncreaseAmount20]]/SummaryTable[[#This Row],[OriginalBudget19]]</f>
        <v>-9.4427244582043338E-2</v>
      </c>
      <c r="BO5" s="61">
        <f>IF(COUNTIFS(allFYsTable[Code], SummaryTable[[#This Row],[Code]], allFYsTable[year2], BL$3)=0, NotFound, SUMIFS(allFYsTable[RevisedBudget], allFYsTable[Code], SummaryTable[[#This Row],[Code]], allFYsTable[year2], BL$3))</f>
        <v>1170</v>
      </c>
      <c r="BP5" s="61">
        <f>IF(COUNTIFS(allFYsTable[Code], SummaryTable[[#This Row],[Code]], allFYsTable[year2], BL$3)=0, NotFound, SUMIFS(allFYsTable[Actual], allFYsTable[Code], SummaryTable[[#This Row],[Code]], allFYsTable[year2], BL$3))</f>
        <v>587</v>
      </c>
      <c r="BQ5" s="61">
        <f>IF(COUNTIFS(allFYsTable[Code], SummaryTable[[#This Row],[Code]], allFYsTable[year2], BL$3)=0, NotFound, SUMIFS(allFYsTable[DiffAmount], allFYsTable[Code], SummaryTable[[#This Row],[Code]], allFYsTable[year2], BL$3))</f>
        <v>-583</v>
      </c>
      <c r="BR5" s="63">
        <f>IF(SummaryTable[[#This Row],[OriginalBudget20]]=0, IF(SummaryTable[[#This Row],[DiffAmount20]]=0, ZeroBudgetNoSpending, ZeroBudgetWithSpending), SummaryTable[[#This Row],[DiffAmount20]]/SummaryTable[[#This Row],[OriginalBudget20]])</f>
        <v>-0.4982905982905983</v>
      </c>
      <c r="BS5" s="62">
        <f>IF(COUNTIFS(allFYsTable[Code], SummaryTable[[#This Row],[Code]], allFYsTable[year2], BS$3)=0, NotFound, SUMIFS(allFYsTable[OriginalBudget], allFYsTable[Code], SummaryTable[[#This Row],[Code]], allFYsTable[year2], BS$3))</f>
        <v>1292</v>
      </c>
      <c r="BT5" s="61">
        <f>SummaryTable[[#This Row],[OriginalBudget19]]-SummaryTable[[#This Row],[OriginalBudget18]]</f>
        <v>122</v>
      </c>
      <c r="BU5" s="54">
        <f>SummaryTable[[#This Row],[BudgetIncreaseAmount19]]/SummaryTable[[#This Row],[OriginalBudget18]]</f>
        <v>0.10427350427350428</v>
      </c>
      <c r="BV5" s="61">
        <f>IF(COUNTIFS(allFYsTable[Code], SummaryTable[[#This Row],[Code]], allFYsTable[year2], BS$3)=0, NotFound, SUMIFS(allFYsTable[RevisedBudget], allFYsTable[Code], SummaryTable[[#This Row],[Code]], allFYsTable[year2], BS$3))</f>
        <v>1170</v>
      </c>
      <c r="BW5" s="61">
        <f>IF(COUNTIFS(allFYsTable[Code], SummaryTable[[#This Row],[Code]], allFYsTable[year2], BS$3)=0, NotFound, SUMIFS(allFYsTable[Actual], allFYsTable[Code], SummaryTable[[#This Row],[Code]], allFYsTable[year2], BS$3))</f>
        <v>1146</v>
      </c>
      <c r="BX5" s="61">
        <f>IF(COUNTIFS(allFYsTable[Code], SummaryTable[[#This Row],[Code]], allFYsTable[year2], BS$3)=0, NotFound, SUMIFS(allFYsTable[DiffAmount], allFYsTable[Code], SummaryTable[[#This Row],[Code]], allFYsTable[year2], BS$3))</f>
        <v>-146</v>
      </c>
      <c r="BY5" s="63">
        <f>IF(SummaryTable[[#This Row],[OriginalBudget19]]=0, IF(SummaryTable[[#This Row],[DiffAmount19]]=0, ZeroBudgetNoSpending, ZeroBudgetWithSpending), SummaryTable[[#This Row],[DiffAmount19]]/SummaryTable[[#This Row],[OriginalBudget19]])</f>
        <v>-0.1130030959752322</v>
      </c>
      <c r="BZ5" s="62">
        <f>IF(COUNTIFS(allFYsTable[Code], SummaryTable[[#This Row],[Code]], allFYsTable[year2], BZ$3)=0, NotFound, SUMIFS(allFYsTable[OriginalBudget], allFYsTable[Code], SummaryTable[[#This Row],[Code]], allFYsTable[year2], BZ$3))</f>
        <v>1170</v>
      </c>
      <c r="CA5" s="61">
        <f>SummaryTable[[#This Row],[OriginalBudget18]]-SummaryTable[[#This Row],[OriginalBudget17]]</f>
        <v>0</v>
      </c>
      <c r="CB5" s="54">
        <f>SummaryTable[[#This Row],[BudgetIncreaseAmount18]]/SummaryTable[[#This Row],[OriginalBudget17]]</f>
        <v>0</v>
      </c>
      <c r="CC5" s="61">
        <f>IF(COUNTIFS(allFYsTable[Code], SummaryTable[[#This Row],[Code]], allFYsTable[year2], BZ$3)=0, NotFound, SUMIFS(allFYsTable[RevisedBudget], allFYsTable[Code], SummaryTable[[#This Row],[Code]], allFYsTable[year2], BZ$3))</f>
        <v>1170</v>
      </c>
      <c r="CD5" s="61">
        <f>IF(COUNTIFS(allFYsTable[Code], SummaryTable[[#This Row],[Code]], allFYsTable[year2], BZ$3)=0, NotFound, SUMIFS(allFYsTable[Actual], allFYsTable[Code], SummaryTable[[#This Row],[Code]], allFYsTable[year2], BZ$3))</f>
        <v>955</v>
      </c>
      <c r="CE5" s="61">
        <f>IF(COUNTIFS(allFYsTable[Code], SummaryTable[[#This Row],[Code]], allFYsTable[year2], BZ$3)=0, NotFound, SUMIFS(allFYsTable[DiffAmount], allFYsTable[Code], SummaryTable[[#This Row],[Code]], allFYsTable[year2], BZ$3))</f>
        <v>-215</v>
      </c>
      <c r="CF5" s="63">
        <f>IF(SummaryTable[[#This Row],[OriginalBudget18]]=0, IF(SummaryTable[[#This Row],[DiffAmount18]]=0, ZeroBudgetNoSpending, ZeroBudgetWithSpending), SummaryTable[[#This Row],[DiffAmount18]]/SummaryTable[[#This Row],[OriginalBudget18]])</f>
        <v>-0.18376068376068377</v>
      </c>
      <c r="CG5" s="62">
        <f>IF(COUNTIFS(allFYsTable[Code], SummaryTable[[#This Row],[Code]], allFYsTable[year2], CG$3)=0, NotFound, SUMIFS(allFYsTable[OriginalBudget], allFYsTable[Code], SummaryTable[[#This Row],[Code]], allFYsTable[year2], CG$3))</f>
        <v>1170</v>
      </c>
      <c r="CH5" s="61">
        <f>SummaryTable[[#This Row],[OriginalBudget17]]-SummaryTable[[#This Row],[OriginalBudget16]]</f>
        <v>0</v>
      </c>
      <c r="CI5" s="54">
        <f>SummaryTable[[#This Row],[BudgetIncreaseAmount17]]/SummaryTable[[#This Row],[OriginalBudget16]]</f>
        <v>0</v>
      </c>
      <c r="CJ5" s="61">
        <f>IF(COUNTIFS(allFYsTable[Code], SummaryTable[[#This Row],[Code]], allFYsTable[year2], CG$3)=0, NotFound, SUMIFS(allFYsTable[RevisedBudget], allFYsTable[Code], SummaryTable[[#This Row],[Code]], allFYsTable[year2], CG$3))</f>
        <v>1170</v>
      </c>
      <c r="CK5" s="61">
        <f>IF(COUNTIFS(allFYsTable[Code], SummaryTable[[#This Row],[Code]], allFYsTable[year2], CG$3)=0, NotFound, SUMIFS(allFYsTable[Actual], allFYsTable[Code], SummaryTable[[#This Row],[Code]], allFYsTable[year2], CG$3))</f>
        <v>1048</v>
      </c>
      <c r="CL5" s="61">
        <f>IF(COUNTIFS(allFYsTable[Code], SummaryTable[[#This Row],[Code]], allFYsTable[year2], CG$3)=0, NotFound, SUMIFS(allFYsTable[DiffAmount], allFYsTable[Code], SummaryTable[[#This Row],[Code]], allFYsTable[year2], CG$3))</f>
        <v>-122</v>
      </c>
      <c r="CM5" s="63">
        <f>IF(SummaryTable[[#This Row],[OriginalBudget17]]=0, IF(SummaryTable[[#This Row],[DiffAmount17]]=0, ZeroBudgetNoSpending, ZeroBudgetWithSpending), SummaryTable[[#This Row],[DiffAmount17]]/SummaryTable[[#This Row],[OriginalBudget17]])</f>
        <v>-0.10427350427350428</v>
      </c>
      <c r="CN5" s="62">
        <f>IF(COUNTIFS(allFYsTable[Code], SummaryTable[[#This Row],[Code]], allFYsTable[year2], CN$3)=0, NotFound, SUMIFS(allFYsTable[OriginalBudget], allFYsTable[Code], SummaryTable[[#This Row],[Code]], allFYsTable[year2], CN$3))</f>
        <v>1170</v>
      </c>
      <c r="CO5" s="61">
        <f>SummaryTable[[#This Row],[OriginalBudget16]]-SummaryTable[[#This Row],[OriginalBudget15]]</f>
        <v>0</v>
      </c>
      <c r="CP5" s="54">
        <f>SummaryTable[[#This Row],[BudgetIncreaseAmount16]]/SummaryTable[[#This Row],[OriginalBudget15]]</f>
        <v>0</v>
      </c>
      <c r="CQ5" s="61">
        <f>IF(COUNTIFS(allFYsTable[Code], SummaryTable[[#This Row],[Code]], allFYsTable[year2], CN$3)=0, NotFound, SUMIFS(allFYsTable[RevisedBudget], allFYsTable[Code], SummaryTable[[#This Row],[Code]], allFYsTable[year2], CN$3))</f>
        <v>1170</v>
      </c>
      <c r="CR5" s="61">
        <f>IF(COUNTIFS(allFYsTable[Code], SummaryTable[[#This Row],[Code]], allFYsTable[year2], CN$3)=0, NotFound, SUMIFS(allFYsTable[Actual], allFYsTable[Code], SummaryTable[[#This Row],[Code]], allFYsTable[year2], CN$3))</f>
        <v>1170</v>
      </c>
      <c r="CS5" s="61">
        <f>IF(COUNTIFS(allFYsTable[Code], SummaryTable[[#This Row],[Code]], allFYsTable[year2], CN$3)=0, NotFound, SUMIFS(allFYsTable[DiffAmount], allFYsTable[Code], SummaryTable[[#This Row],[Code]], allFYsTable[year2], CN$3))</f>
        <v>0</v>
      </c>
      <c r="CT5" s="63">
        <f>IF(SummaryTable[[#This Row],[OriginalBudget16]]=0, IF(SummaryTable[[#This Row],[DiffAmount16]]=0, ZeroBudgetNoSpending, ZeroBudgetWithSpending), SummaryTable[[#This Row],[DiffAmount16]]/SummaryTable[[#This Row],[OriginalBudget16]])</f>
        <v>0</v>
      </c>
      <c r="CU5" s="62">
        <f>IF(COUNTIFS(allFYsTable[Code], SummaryTable[[#This Row],[Code]], allFYsTable[year2], CU$3)=0, NotFound, SUMIFS(allFYsTable[OriginalBudget], allFYsTable[Code], SummaryTable[[#This Row],[Code]], allFYsTable[year2], CU$3))</f>
        <v>1170</v>
      </c>
      <c r="CV5" s="61">
        <f>SummaryTable[[#This Row],[OriginalBudget15]]-SummaryTable[[#This Row],[OriginalBudget14]]</f>
        <v>0</v>
      </c>
      <c r="CW5" s="54">
        <f>SummaryTable[[#This Row],[BudgetIncreaseAmount15]]/SummaryTable[[#This Row],[OriginalBudget14]]</f>
        <v>0</v>
      </c>
      <c r="CX5" s="61">
        <f>IF(COUNTIFS(allFYsTable[Code], SummaryTable[[#This Row],[Code]], allFYsTable[year2], CU$3)=0, NotFound, SUMIFS(allFYsTable[RevisedBudget], allFYsTable[Code], SummaryTable[[#This Row],[Code]], allFYsTable[year2], CU$3))</f>
        <v>1170</v>
      </c>
      <c r="CY5" s="61">
        <f>IF(COUNTIFS(allFYsTable[Code], SummaryTable[[#This Row],[Code]], allFYsTable[year2], CU$3)=0, NotFound, SUMIFS(allFYsTable[Actual], allFYsTable[Code], SummaryTable[[#This Row],[Code]], allFYsTable[year2], CU$3))</f>
        <v>925</v>
      </c>
      <c r="CZ5" s="61">
        <f>IF(COUNTIFS(allFYsTable[Code], SummaryTable[[#This Row],[Code]], allFYsTable[year2], CU$3)=0, NotFound, SUMIFS(allFYsTable[DiffAmount], allFYsTable[Code], SummaryTable[[#This Row],[Code]], allFYsTable[year2], CU$3))</f>
        <v>-245</v>
      </c>
      <c r="DA5" s="63">
        <f>IF(SummaryTable[[#This Row],[OriginalBudget15]]=0, IF(SummaryTable[[#This Row],[DiffAmount15]]=0, ZeroBudgetNoSpending, ZeroBudgetWithSpending), SummaryTable[[#This Row],[DiffAmount15]]/SummaryTable[[#This Row],[OriginalBudget15]])</f>
        <v>-0.20940170940170941</v>
      </c>
      <c r="DB5" s="62">
        <f>IF(COUNTIFS(allFYsTable[Code], SummaryTable[[#This Row],[Code]], allFYsTable[year2], DB$3)=0, NotFound, SUMIFS(allFYsTable[OriginalBudget], allFYsTable[Code], SummaryTable[[#This Row],[Code]], allFYsTable[year2], DB$3))</f>
        <v>1170</v>
      </c>
      <c r="DC5" s="61">
        <f>SummaryTable[[#This Row],[OriginalBudget14]]-SummaryTable[[#This Row],[OriginalBudget13]]</f>
        <v>710</v>
      </c>
      <c r="DD5" s="54">
        <f>SummaryTable[[#This Row],[BudgetIncreaseAmount14]]/SummaryTable[[#This Row],[OriginalBudget13]]</f>
        <v>1.5434782608695652</v>
      </c>
      <c r="DE5" s="61">
        <f>IF(COUNTIFS(allFYsTable[Code], SummaryTable[[#This Row],[Code]], allFYsTable[year2], DB$3)=0, NotFound, SUMIFS(allFYsTable[RevisedBudget], allFYsTable[Code], SummaryTable[[#This Row],[Code]], allFYsTable[year2], DB$3))</f>
        <v>1193</v>
      </c>
      <c r="DF5" s="61">
        <f>IF(COUNTIFS(allFYsTable[Code], SummaryTable[[#This Row],[Code]], allFYsTable[year2], DB$3)=0, NotFound, SUMIFS(allFYsTable[Actual], allFYsTable[Code], SummaryTable[[#This Row],[Code]], allFYsTable[year2], DB$3))</f>
        <v>540</v>
      </c>
      <c r="DG5" s="61">
        <f>IF(COUNTIFS(allFYsTable[Code], SummaryTable[[#This Row],[Code]], allFYsTable[year2], DB$3)=0, NotFound, SUMIFS(allFYsTable[DiffAmount], allFYsTable[Code], SummaryTable[[#This Row],[Code]], allFYsTable[year2], DB$3))</f>
        <v>-630</v>
      </c>
      <c r="DH5" s="63">
        <f>IF(SummaryTable[[#This Row],[OriginalBudget14]]=0, IF(SummaryTable[[#This Row],[DiffAmount14]]=0, ZeroBudgetNoSpending, ZeroBudgetWithSpending), SummaryTable[[#This Row],[DiffAmount14]]/SummaryTable[[#This Row],[OriginalBudget14]])</f>
        <v>-0.53846153846153844</v>
      </c>
      <c r="DI5" s="62">
        <f>IF(COUNTIFS(allFYsTable[Code], SummaryTable[[#This Row],[Code]], allFYsTable[year2], DI$3)=0, NotFound, SUMIFS(allFYsTable[OriginalBudget], allFYsTable[Code], SummaryTable[[#This Row],[Code]], allFYsTable[year2], DI$3))</f>
        <v>460</v>
      </c>
      <c r="DJ5" s="61">
        <f>SummaryTable[[#This Row],[OriginalBudget13]]-SummaryTable[[#This Row],[OriginalBudget12]]</f>
        <v>-279</v>
      </c>
      <c r="DK5" s="54">
        <f>SummaryTable[[#This Row],[BudgetIncreaseAmount13]]/SummaryTable[[#This Row],[OriginalBudget12]]</f>
        <v>-0.37753721244925575</v>
      </c>
      <c r="DL5" s="61">
        <f>IF(COUNTIFS(allFYsTable[Code], SummaryTable[[#This Row],[Code]], allFYsTable[year2], DI$3)=0, NotFound, SUMIFS(allFYsTable[RevisedBudget], allFYsTable[Code], SummaryTable[[#This Row],[Code]], allFYsTable[year2], DI$3))</f>
        <v>460</v>
      </c>
      <c r="DM5" s="61">
        <f>IF(COUNTIFS(allFYsTable[Code], SummaryTable[[#This Row],[Code]], allFYsTable[year2], DI$3)=0, NotFound, SUMIFS(allFYsTable[Actual], allFYsTable[Code], SummaryTable[[#This Row],[Code]], allFYsTable[year2], DI$3))</f>
        <v>460</v>
      </c>
      <c r="DN5" s="61">
        <f>IF(COUNTIFS(allFYsTable[Code], SummaryTable[[#This Row],[Code]], allFYsTable[year2], DI$3)=0, NotFound, SUMIFS(allFYsTable[DiffAmount], allFYsTable[Code], SummaryTable[[#This Row],[Code]], allFYsTable[year2], DI$3))</f>
        <v>0</v>
      </c>
      <c r="DO5" s="63">
        <f>IF(SummaryTable[[#This Row],[OriginalBudget13]]=0, IF(SummaryTable[[#This Row],[DiffAmount13]]=0, ZeroBudgetNoSpending, ZeroBudgetWithSpending), SummaryTable[[#This Row],[DiffAmount13]]/SummaryTable[[#This Row],[OriginalBudget13]])</f>
        <v>0</v>
      </c>
      <c r="DP5" s="62">
        <f>IF(COUNTIFS(allFYsTable[Code], SummaryTable[[#This Row],[Code]], allFYsTable[year2], DP$3)=0, NotFound, SUMIFS(allFYsTable[OriginalBudget], allFYsTable[Code], SummaryTable[[#This Row],[Code]], allFYsTable[year2], DP$3))</f>
        <v>739</v>
      </c>
      <c r="DQ5" s="61">
        <f>SummaryTable[[#This Row],[OriginalBudget12]]-SummaryTable[[#This Row],[OriginalBudget11]]</f>
        <v>739</v>
      </c>
      <c r="DR5" s="54" t="e">
        <f>SummaryTable[[#This Row],[BudgetIncreaseAmount12]]/SummaryTable[[#This Row],[OriginalBudget11]]</f>
        <v>#DIV/0!</v>
      </c>
      <c r="DS5" s="61">
        <f>IF(COUNTIFS(allFYsTable[Code], SummaryTable[[#This Row],[Code]], allFYsTable[year2], DP$3)=0, NotFound, SUMIFS(allFYsTable[RevisedBudget], allFYsTable[Code], SummaryTable[[#This Row],[Code]], allFYsTable[year2], DP$3))</f>
        <v>773</v>
      </c>
      <c r="DT5" s="61">
        <f>IF(COUNTIFS(allFYsTable[Code], SummaryTable[[#This Row],[Code]], allFYsTable[year2], DP$3)=0, NotFound, SUMIFS(allFYsTable[Actual], allFYsTable[Code], SummaryTable[[#This Row],[Code]], allFYsTable[year2], DP$3))</f>
        <v>761</v>
      </c>
      <c r="DU5" s="61">
        <f>IF(COUNTIFS(allFYsTable[Code], SummaryTable[[#This Row],[Code]], allFYsTable[year2], DP$3)=0, NotFound, SUMIFS(allFYsTable[DiffAmount], allFYsTable[Code], SummaryTable[[#This Row],[Code]], allFYsTable[year2], DP$3))</f>
        <v>22</v>
      </c>
      <c r="DV5" s="63">
        <f>IF(SummaryTable[[#This Row],[OriginalBudget12]]=0, IF(SummaryTable[[#This Row],[DiffAmount12]]=0, ZeroBudgetNoSpending, ZeroBudgetWithSpending), SummaryTable[[#This Row],[DiffAmount12]]/SummaryTable[[#This Row],[OriginalBudget12]])</f>
        <v>2.9769959404600813E-2</v>
      </c>
      <c r="DW5" s="62">
        <f>IF(COUNTIFS(allFYsTable[Code], SummaryTable[[#This Row],[Code]], allFYsTable[year2], DW$3)=0, NotFound, SUMIFS(allFYsTable[OriginalBudget], allFYsTable[Code], SummaryTable[[#This Row],[Code]], allFYsTable[year2], DW$3))</f>
        <v>0</v>
      </c>
      <c r="DX5" s="61">
        <f>SummaryTable[[#This Row],[OriginalBudget11]]-SummaryTable[[#This Row],[OriginalBudget10]]</f>
        <v>-400</v>
      </c>
      <c r="DY5" s="54">
        <f>SummaryTable[[#This Row],[BudgetIncreaseAmount11]]/SummaryTable[[#This Row],[OriginalBudget10]]</f>
        <v>-1</v>
      </c>
      <c r="DZ5" s="61">
        <f>IF(COUNTIFS(allFYsTable[Code], SummaryTable[[#This Row],[Code]], allFYsTable[year2], DW$3)=0, NotFound, SUMIFS(allFYsTable[RevisedBudget], allFYsTable[Code], SummaryTable[[#This Row],[Code]], allFYsTable[year2], DW$3))</f>
        <v>0</v>
      </c>
      <c r="EA5" s="61">
        <f>IF(COUNTIFS(allFYsTable[Code], SummaryTable[[#This Row],[Code]], allFYsTable[year2], DW$3)=0, NotFound, SUMIFS(allFYsTable[Actual], allFYsTable[Code], SummaryTable[[#This Row],[Code]], allFYsTable[year2], DW$3))</f>
        <v>0</v>
      </c>
      <c r="EB5" s="61">
        <f>IF(COUNTIFS(allFYsTable[Code], SummaryTable[[#This Row],[Code]], allFYsTable[year2], DW$3)=0, NotFound, SUMIFS(allFYsTable[DiffAmount], allFYsTable[Code], SummaryTable[[#This Row],[Code]], allFYsTable[year2], DW$3))</f>
        <v>0</v>
      </c>
      <c r="EC5" s="63">
        <f>IF(SummaryTable[[#This Row],[OriginalBudget11]]=0, IF(SummaryTable[[#This Row],[DiffAmount11]]=0, ZeroBudgetNoSpending, ZeroBudgetWithSpending), SummaryTable[[#This Row],[DiffAmount11]]/SummaryTable[[#This Row],[OriginalBudget11]])</f>
        <v>0</v>
      </c>
      <c r="ED5" s="62">
        <f>IF(COUNTIFS(allFYsTable[Code], SummaryTable[[#This Row],[Code]], allFYsTable[year2], ED$3)=0, NotFound, SUMIFS(allFYsTable[OriginalBudget], allFYsTable[Code], SummaryTable[[#This Row],[Code]], allFYsTable[year2], ED$3))</f>
        <v>400</v>
      </c>
      <c r="EE5" s="61">
        <f>SummaryTable[[#This Row],[OriginalBudget10]]-SummaryTable[[#This Row],[OriginalBudget09]]</f>
        <v>204</v>
      </c>
      <c r="EF5" s="54">
        <f>SummaryTable[[#This Row],[BudgetIncreaseAmount10]]/SummaryTable[[#This Row],[OriginalBudget09]]</f>
        <v>1.0408163265306123</v>
      </c>
      <c r="EG5" s="61">
        <f>IF(COUNTIFS(allFYsTable[Code], SummaryTable[[#This Row],[Code]], allFYsTable[year2], ED$3)=0, NotFound, SUMIFS(allFYsTable[RevisedBudget], allFYsTable[Code], SummaryTable[[#This Row],[Code]], allFYsTable[year2], ED$3))</f>
        <v>400</v>
      </c>
      <c r="EH5" s="61">
        <f>IF(COUNTIFS(allFYsTable[Code], SummaryTable[[#This Row],[Code]], allFYsTable[year2], ED$3)=0, NotFound, SUMIFS(allFYsTable[Actual], allFYsTable[Code], SummaryTable[[#This Row],[Code]], allFYsTable[year2], ED$3))</f>
        <v>400</v>
      </c>
      <c r="EI5" s="61">
        <f>IF(COUNTIFS(allFYsTable[Code], SummaryTable[[#This Row],[Code]], allFYsTable[year2], ED$3)=0, NotFound, SUMIFS(allFYsTable[DiffAmount], allFYsTable[Code], SummaryTable[[#This Row],[Code]], allFYsTable[year2], ED$3))</f>
        <v>0</v>
      </c>
      <c r="EJ5" s="63">
        <f>IF(SummaryTable[[#This Row],[OriginalBudget10]]=0, IF(SummaryTable[[#This Row],[DiffAmount10]]=0, ZeroBudgetNoSpending, ZeroBudgetWithSpending), SummaryTable[[#This Row],[DiffAmount10]]/SummaryTable[[#This Row],[OriginalBudget10]])</f>
        <v>0</v>
      </c>
      <c r="EK5" s="62">
        <f>IF(COUNTIFS(allFYsTable[Code], SummaryTable[[#This Row],[Code]], allFYsTable[year2], EK$3)=0, NotFound, SUMIFS(allFYsTable[OriginalBudget], allFYsTable[Code], SummaryTable[[#This Row],[Code]], allFYsTable[year2], EK$3))</f>
        <v>196</v>
      </c>
      <c r="EL5" s="61">
        <f>SummaryTable[[#This Row],[OriginalBudget09]]-SummaryTable[[#This Row],[OriginalBudget08]]</f>
        <v>-804</v>
      </c>
      <c r="EM5" s="54">
        <f>SummaryTable[[#This Row],[BudgetIncreaseAmount09]]/SummaryTable[[#This Row],[OriginalBudget08]]</f>
        <v>-0.80400000000000005</v>
      </c>
      <c r="EN5" s="61">
        <f>IF(COUNTIFS(allFYsTable[Code], SummaryTable[[#This Row],[Code]], allFYsTable[year2], EK$3)=0, NotFound, SUMIFS(allFYsTable[RevisedBudget], allFYsTable[Code], SummaryTable[[#This Row],[Code]], allFYsTable[year2], EK$3))</f>
        <v>196</v>
      </c>
      <c r="EO5" s="61">
        <f>IF(COUNTIFS(allFYsTable[Code], SummaryTable[[#This Row],[Code]], allFYsTable[year2], EK$3)=0, NotFound, SUMIFS(allFYsTable[Actual], allFYsTable[Code], SummaryTable[[#This Row],[Code]], allFYsTable[year2], EK$3))</f>
        <v>190</v>
      </c>
      <c r="EP5" s="61">
        <f>IF(COUNTIFS(allFYsTable[Code], SummaryTable[[#This Row],[Code]], allFYsTable[year2], EK$3)=0, NotFound, SUMIFS(allFYsTable[DiffAmount], allFYsTable[Code], SummaryTable[[#This Row],[Code]], allFYsTable[year2], EK$3))</f>
        <v>-6</v>
      </c>
      <c r="EQ5" s="63">
        <f>IF(SummaryTable[[#This Row],[OriginalBudget09]]=0, IF(SummaryTable[[#This Row],[DiffAmount09]]=0, ZeroBudgetNoSpending, ZeroBudgetWithSpending), SummaryTable[[#This Row],[DiffAmount09]]/SummaryTable[[#This Row],[OriginalBudget09]])</f>
        <v>-3.0612244897959183E-2</v>
      </c>
      <c r="ER5" s="62">
        <f>IF(COUNTIFS(allFYsTable[Code], SummaryTable[[#This Row],[Code]], allFYsTable[year2], ER$3)=0, NotFound, SUMIFS(allFYsTable[OriginalBudget], allFYsTable[Code], SummaryTable[[#This Row],[Code]], allFYsTable[year2], ER$3))</f>
        <v>1000</v>
      </c>
      <c r="ES5" s="61">
        <f>SummaryTable[[#This Row],[OriginalBudget08]]-SummaryTable[[#This Row],[OriginalBudget07]]</f>
        <v>1000</v>
      </c>
      <c r="ET5" s="54" t="e">
        <f>SummaryTable[[#This Row],[BudgetIncreaseAmount08]]/SummaryTable[[#This Row],[OriginalBudget07]]</f>
        <v>#DIV/0!</v>
      </c>
      <c r="EU5" s="61">
        <f>IF(COUNTIFS(allFYsTable[Code], SummaryTable[[#This Row],[Code]], allFYsTable[year2], ER$3)=0, NotFound, SUMIFS(allFYsTable[RevisedBudget], allFYsTable[Code], SummaryTable[[#This Row],[Code]], allFYsTable[year2], ER$3))</f>
        <v>1000</v>
      </c>
      <c r="EV5" s="61">
        <f>IF(COUNTIFS(allFYsTable[Code], SummaryTable[[#This Row],[Code]], allFYsTable[year2], ER$3)=0, NotFound, SUMIFS(allFYsTable[Actual], allFYsTable[Code], SummaryTable[[#This Row],[Code]], allFYsTable[year2], ER$3))</f>
        <v>342</v>
      </c>
      <c r="EW5" s="61">
        <f>IF(COUNTIFS(allFYsTable[Code], SummaryTable[[#This Row],[Code]], allFYsTable[year2], ER$3)=0, NotFound, SUMIFS(allFYsTable[DiffAmount], allFYsTable[Code], SummaryTable[[#This Row],[Code]], allFYsTable[year2], ER$3))</f>
        <v>-658</v>
      </c>
      <c r="EX5" s="63">
        <f>IF(SummaryTable[[#This Row],[OriginalBudget08]]=0, IF(SummaryTable[[#This Row],[DiffAmount08]]=0, ZeroBudgetNoSpending, ZeroBudgetWithSpending), SummaryTable[[#This Row],[DiffAmount08]]/SummaryTable[[#This Row],[OriginalBudget08]])</f>
        <v>-0.65800000000000003</v>
      </c>
      <c r="EY5" s="62">
        <f>IF(COUNTIFS(allFYsTable[Code], SummaryTable[[#This Row],[Code]], allFYsTable[year2], EY$3)=0, NotFound, SUMIFS(allFYsTable[OriginalBudget], allFYsTable[Code], SummaryTable[[#This Row],[Code]], allFYsTable[year2], EY$3))</f>
        <v>0</v>
      </c>
      <c r="EZ5" s="61">
        <f>SummaryTable[[#This Row],[OriginalBudget07]]-SummaryTable[[#This Row],[OriginalBudget06]]</f>
        <v>0</v>
      </c>
      <c r="FA5" s="54" t="e">
        <f>SummaryTable[[#This Row],[BudgetIncreaseAmount07]]/SummaryTable[[#This Row],[OriginalBudget06]]</f>
        <v>#DIV/0!</v>
      </c>
      <c r="FB5" s="61">
        <f>IF(COUNTIFS(allFYsTable[Code], SummaryTable[[#This Row],[Code]], allFYsTable[year2], EY$3)=0, NotFound, SUMIFS(allFYsTable[RevisedBudget], allFYsTable[Code], SummaryTable[[#This Row],[Code]], allFYsTable[year2], EY$3))</f>
        <v>0</v>
      </c>
      <c r="FC5" s="61">
        <f>IF(COUNTIFS(allFYsTable[Code], SummaryTable[[#This Row],[Code]], allFYsTable[year2], EY$3)=0, NotFound, SUMIFS(allFYsTable[Actual], allFYsTable[Code], SummaryTable[[#This Row],[Code]], allFYsTable[year2], EY$3))</f>
        <v>0</v>
      </c>
      <c r="FD5" s="61">
        <f>IF(COUNTIFS(allFYsTable[Code], SummaryTable[[#This Row],[Code]], allFYsTable[year2], EY$3)=0, NotFound, SUMIFS(allFYsTable[DiffAmount], allFYsTable[Code], SummaryTable[[#This Row],[Code]], allFYsTable[year2], EY$3))</f>
        <v>0</v>
      </c>
      <c r="FE5" s="63">
        <f>IF(SummaryTable[[#This Row],[OriginalBudget07]]=0, IF(SummaryTable[[#This Row],[DiffAmount07]]=0, ZeroBudgetNoSpending, ZeroBudgetWithSpending), SummaryTable[[#This Row],[DiffAmount07]]/SummaryTable[[#This Row],[OriginalBudget07]])</f>
        <v>0</v>
      </c>
      <c r="FF5" s="62">
        <f>IF(COUNTIFS(allFYsTable[Code], SummaryTable[[#This Row],[Code]], allFYsTable[year2], FF$3)=0, NotFound, SUMIFS(allFYsTable[OriginalBudget], allFYsTable[Code], SummaryTable[[#This Row],[Code]], allFYsTable[year2], FF$3))</f>
        <v>0</v>
      </c>
      <c r="FI5" s="61">
        <f>IF(COUNTIFS(allFYsTable[Code], SummaryTable[[#This Row],[Code]], allFYsTable[year2], FF$3)=0, NotFound, SUMIFS(allFYsTable[RevisedBudget], allFYsTable[Code], SummaryTable[[#This Row],[Code]], allFYsTable[year2], FF$3))</f>
        <v>0</v>
      </c>
      <c r="FJ5" s="61">
        <f>IF(COUNTIFS(allFYsTable[Code], SummaryTable[[#This Row],[Code]], allFYsTable[year2], FF$3)=0, NotFound, SUMIFS(allFYsTable[Actual], allFYsTable[Code], SummaryTable[[#This Row],[Code]], allFYsTable[year2], FF$3))</f>
        <v>0</v>
      </c>
      <c r="FK5" s="61">
        <f>IF(COUNTIFS(allFYsTable[Code], SummaryTable[[#This Row],[Code]], allFYsTable[year2], FF$3)=0, NotFound, SUMIFS(allFYsTable[DiffAmount], allFYsTable[Code], SummaryTable[[#This Row],[Code]], allFYsTable[year2], FF$3))</f>
        <v>0</v>
      </c>
      <c r="FL5" s="63">
        <f>IF(SummaryTable[[#This Row],[OriginalBudget06]]=0, IF(SummaryTable[[#This Row],[DiffAmount06]]=0, ZeroBudgetNoSpending, ZeroBudgetWithSpending), SummaryTable[[#This Row],[DiffAmount06]]/SummaryTable[[#This Row],[OriginalBudget06]])</f>
        <v>0</v>
      </c>
    </row>
    <row r="6" spans="1:168" x14ac:dyDescent="0.45">
      <c r="A6" t="s">
        <v>869</v>
      </c>
      <c r="B6">
        <f>_xlfn.MAXIFS(allFYsTable[year2], allFYsTable[Code], SummaryTable[[#This Row],[Code]])</f>
        <v>2025</v>
      </c>
      <c r="C6" t="str">
        <f>_xlfn.XLOOKUP(SummaryTable[[#This Row],[Code]], NameCodingTable[Code], NameCodingTable[Most Recent Category per allFYs])</f>
        <v>Public education system</v>
      </c>
      <c r="D6" t="str">
        <f>_xlfn.XLOOKUP(SummaryTable[[#This Row],[Code]], NameCodingTable[Code], NameCodingTable[Unit Display Name])</f>
        <v>AYXX Public Charter School Advance Appropriations</v>
      </c>
      <c r="E6" t="str">
        <f>_xlfn.XLOOKUP(SummaryTable[[#This Row],[Code]], NameCodingTable[Code], NameCodingTable[Type])</f>
        <v>xother</v>
      </c>
      <c r="F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20</v>
      </c>
      <c r="H6" s="54">
        <f>SummaryTable[[#This Row],['# Over]]/SummaryTable[[#This Row],[Count]]</f>
        <v>1</v>
      </c>
      <c r="I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6" s="54">
        <f>SummaryTable[[#This Row],['# Under]]/SummaryTable[[#This Row],[Count]]</f>
        <v>0</v>
      </c>
      <c r="K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6" s="54">
        <f>SummaryTable[[#This Row],['# Equal]]/SummaryTable[[#This Row],[Count]]</f>
        <v>0</v>
      </c>
      <c r="M6" s="61">
        <f>SUMIFS(allFYsTable[OriginalBudget],allFYsTable[Code],SummaryTable[[#This Row],[Code]])/SummaryTable[[#This Row],[Count]]</f>
        <v>0</v>
      </c>
      <c r="N6" s="61">
        <f>SUMIFS(allFYsTable[Actual],allFYsTable[Code],SummaryTable[[#This Row],[Code]])/SummaryTable[[#This Row],[Count]]</f>
        <v>246414.7</v>
      </c>
      <c r="O6" s="61">
        <f>SummaryTable[[#This Row],[AvgActAmt]]-SummaryTable[[#This Row],[AvgBudAmt]]</f>
        <v>246414.7</v>
      </c>
      <c r="P6" s="54">
        <f>IF(SummaryTable[[#This Row],[AvgBudAmt]]=0, IF(SummaryTable[[#This Row],[AvgDiff'#]]=0, 0, NamedFields!$C$3), SummaryTable[[#This Row],[AvgDiff'#]]/SummaryTable[[#This Row],[AvgBudAmt]])</f>
        <v>99.99</v>
      </c>
      <c r="Q6" s="61">
        <f>IFERROR(SUMIFS(allFYsTable[OriginalBudget],allFYsTable[Code],SummaryTable[[#This Row],[Code]],allFYsTable[DiffAmount], "&gt;0")/SummaryTable[[#This Row],['# Over]], 0)</f>
        <v>0</v>
      </c>
      <c r="R6" s="61">
        <f>IFERROR(SUMIFS(allFYsTable[Actual],allFYsTable[Code],SummaryTable[[#This Row],[Code]],allFYsTable[DiffAmount], "&gt;0")/SummaryTable[[#This Row],['# Over]], 0)</f>
        <v>246414.7</v>
      </c>
      <c r="S6" s="61">
        <f>SummaryTable[[#This Row],[OverAvgAct]]-SummaryTable[[#This Row],[OverAvgBud]]</f>
        <v>246414.7</v>
      </c>
      <c r="T6" s="54">
        <f>IF(SummaryTable[[#This Row],[OverAvgBud]]=0, IF(SummaryTable[[#This Row],[OverAvgDiff'#]]=0, ZeroBudgetNoSpending, ZeroBudgetWithSpending), SummaryTable[[#This Row],[OverAvgDiff'#]]/SummaryTable[[#This Row],[OverAvgBud]])</f>
        <v>99.99</v>
      </c>
      <c r="U6" s="61">
        <f>IFERROR(SUMIFS(allFYsTable[OriginalBudget],allFYsTable[Code],SummaryTable[[#This Row],[Code]],allFYsTable[DiffAmount], "&lt;0")/SummaryTable[[#This Row],['# Under]], 0)</f>
        <v>0</v>
      </c>
      <c r="V6" s="61">
        <f>IFERROR( SUMIFS(allFYsTable[Actual],allFYsTable[Code],SummaryTable[[#This Row],[Code]],allFYsTable[DiffAmount], "&lt;0")/SummaryTable[[#This Row],['# Under]], 0)</f>
        <v>0</v>
      </c>
      <c r="W6" s="61">
        <f>SummaryTable[[#This Row],[UnderAvgAct]]-SummaryTable[[#This Row],[UnderAvgBud]]</f>
        <v>0</v>
      </c>
      <c r="X6" s="54">
        <f>IF(SummaryTable[[#This Row],[UnderAvgBud]]=0, IF(SummaryTable[[#This Row],[UnderAvgDiff'#]]=0, ZeroBudgetNoSpending, NamedFields!$C$3), SummaryTable[[#This Row],[UnderAvgDiff'#]]/SummaryTable[[#This Row],[UnderAvgBud]])</f>
        <v>0</v>
      </c>
      <c r="Y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6" s="54">
        <f>IF(SummaryTable[[#This Row],[IncreaseYears]]=0, ZeroBudgetNoSpending, SummaryTable[[#This Row],[OSinIncreaseYear'#]]/SummaryTable[[#This Row],[IncreaseYears]])</f>
        <v>0</v>
      </c>
      <c r="AB6" s="58" t="str">
        <f>SummaryTable[[#This Row],[Code]]</f>
        <v>XCH</v>
      </c>
      <c r="AC6" s="62">
        <f>IF(COUNTIFS(allFYsTable[Code], SummaryTable[[#This Row],[Code]], allFYsTable[year2], AC$3)=0, NotFound, SUMIFS(allFYsTable[OriginalBudget], allFYsTable[Code], SummaryTable[[#This Row],[Code]], allFYsTable[year2], AC$3))</f>
        <v>0</v>
      </c>
      <c r="AD6" s="61">
        <f>SummaryTable[[#This Row],[OriginalBudget25]]-SummaryTable[[#This Row],[OriginalBudget24]]</f>
        <v>0</v>
      </c>
      <c r="AE6" s="54" t="e">
        <f>SummaryTable[[#This Row],[BudgetIncreaseAmount25]]/SummaryTable[[#This Row],[OriginalBudget24]]</f>
        <v>#DIV/0!</v>
      </c>
      <c r="AF6" s="61">
        <f>IF(COUNTIFS(allFYsTable[Code], SummaryTable[[#This Row],[Code]], allFYsTable[year2], AC$3)=0, NotFound, SUMIFS(allFYsTable[RevisedBudget], allFYsTable[Code], SummaryTable[[#This Row],[Code]], allFYsTable[year2], AC$3))</f>
        <v>486762</v>
      </c>
      <c r="AG6" s="61">
        <f>IF(COUNTIFS(allFYsTable[Code], SummaryTable[[#This Row],[Code]], allFYsTable[year2], AC$3)=0, NotFound, SUMIFS(allFYsTable[Actual], allFYsTable[Code], SummaryTable[[#This Row],[Code]], allFYsTable[year2], AC$3))</f>
        <v>486762</v>
      </c>
      <c r="AH6" s="61">
        <f>IF(COUNTIFS(allFYsTable[Code], SummaryTable[[#This Row],[Code]], allFYsTable[year2], AC$3)=0, NotFound, SUMIFS(allFYsTable[DiffAmount], allFYsTable[Code], SummaryTable[[#This Row],[Code]], allFYsTable[year2], AC$3))</f>
        <v>486762</v>
      </c>
      <c r="AI6" s="63">
        <f>IF(SummaryTable[[#This Row],[OriginalBudget25]]=0, IF(SummaryTable[[#This Row],[DiffAmount25]]=0, ZeroBudgetNoSpending, ZeroBudgetWithSpending), SummaryTable[[#This Row],[DiffAmount25]]/SummaryTable[[#This Row],[OriginalBudget25]])</f>
        <v>99.99</v>
      </c>
      <c r="AJ6" s="62">
        <f>IF(COUNTIFS(allFYsTable[Code], SummaryTable[[#This Row],[Code]], allFYsTable[year2], AJ$3)=0, NotFound, SUMIFS(allFYsTable[OriginalBudget], allFYsTable[Code], SummaryTable[[#This Row],[Code]], allFYsTable[year2], AJ$3))</f>
        <v>0</v>
      </c>
      <c r="AK6" s="61">
        <f>SummaryTable[[#This Row],[OriginalBudget24]]-SummaryTable[[#This Row],[OriginalBudget23]]</f>
        <v>0</v>
      </c>
      <c r="AL6" s="54" t="e">
        <f>SummaryTable[[#This Row],[BudgetIncreaseAmount24]]/SummaryTable[[#This Row],[OriginalBudget23]]</f>
        <v>#DIV/0!</v>
      </c>
      <c r="AM6" s="61">
        <f>IF(COUNTIFS(allFYsTable[Code], SummaryTable[[#This Row],[Code]], allFYsTable[year2], AK$3)=0, NotFound, SUMIFS(allFYsTable[RevisedBudget], allFYsTable[Code], SummaryTable[[#This Row],[Code]], allFYsTable[year2], AJ$3))</f>
        <v>470918</v>
      </c>
      <c r="AN6" s="61">
        <f>IF(COUNTIFS(allFYsTable[Code], SummaryTable[[#This Row],[Code]], allFYsTable[year2], AJ$3)=0, NotFound, SUMIFS(allFYsTable[Actual], allFYsTable[Code], SummaryTable[[#This Row],[Code]], allFYsTable[year2], AJ$3))</f>
        <v>470918</v>
      </c>
      <c r="AO6" s="61">
        <f>IF(COUNTIFS(allFYsTable[Code], SummaryTable[[#This Row],[Code]], allFYsTable[year2], AJ$3)=0, NotFound, SUMIFS(allFYsTable[DiffAmount], allFYsTable[Code], SummaryTable[[#This Row],[Code]], allFYsTable[year2], AJ$3))</f>
        <v>470918</v>
      </c>
      <c r="AP6" s="63">
        <f>IF(SummaryTable[[#This Row],[OriginalBudget24]]=0, IF(SummaryTable[[#This Row],[DiffAmount24]]=0, ZeroBudgetNoSpending, ZeroBudgetWithSpending), SummaryTable[[#This Row],[DiffAmount24]]/SummaryTable[[#This Row],[OriginalBudget24]])</f>
        <v>99.99</v>
      </c>
      <c r="AQ6" s="62">
        <f>IF(COUNTIFS(allFYsTable[Code], SummaryTable[[#This Row],[Code]], allFYsTable[year2], AQ$3)=0, NotFound, SUMIFS(allFYsTable[OriginalBudget], allFYsTable[Code], SummaryTable[[#This Row],[Code]], allFYsTable[year2], AQ$3))</f>
        <v>0</v>
      </c>
      <c r="AR6" s="61">
        <f>SummaryTable[[#This Row],[OriginalBudget23]]-SummaryTable[[#This Row],[OriginalBudget22]]</f>
        <v>0</v>
      </c>
      <c r="AS6" s="54" t="e">
        <f>SummaryTable[[#This Row],[BudgetIncreaseAmount23]]/SummaryTable[[#This Row],[OriginalBudget22]]</f>
        <v>#DIV/0!</v>
      </c>
      <c r="AT6" s="61">
        <f>IF(COUNTIFS(allFYsTable[Code], SummaryTable[[#This Row],[Code]], allFYsTable[year2], AQ$3)=0, NotFound, SUMIFS(allFYsTable[RevisedBudget], allFYsTable[Code], SummaryTable[[#This Row],[Code]], allFYsTable[year2], AQ$3))</f>
        <v>413326</v>
      </c>
      <c r="AU6" s="61">
        <f>IF(COUNTIFS(allFYsTable[Code], SummaryTable[[#This Row],[Code]], allFYsTable[year2], AQ$3)=0, NotFound, SUMIFS(allFYsTable[Actual], allFYsTable[Code], SummaryTable[[#This Row],[Code]], allFYsTable[year2], AQ$3))</f>
        <v>413326</v>
      </c>
      <c r="AV6" s="61">
        <f>IF(COUNTIFS(allFYsTable[Code], SummaryTable[[#This Row],[Code]], allFYsTable[year2], AQ$3)=0, NotFound, SUMIFS(allFYsTable[DiffAmount], allFYsTable[Code], SummaryTable[[#This Row],[Code]], allFYsTable[year2], AQ$3))</f>
        <v>413326</v>
      </c>
      <c r="AW6" s="63">
        <f>IF(SummaryTable[[#This Row],[OriginalBudget23]]=0, IF(SummaryTable[[#This Row],[DiffAmount23]]=0, ZeroBudgetNoSpending, ZeroBudgetWithSpending), SummaryTable[[#This Row],[DiffAmount23]]/SummaryTable[[#This Row],[OriginalBudget23]])</f>
        <v>99.99</v>
      </c>
      <c r="AX6" s="62">
        <f>IF(COUNTIFS(allFYsTable[Code], SummaryTable[[#This Row],[Code]], allFYsTable[year2], AX$3)=0, NotFound, SUMIFS(allFYsTable[OriginalBudget], allFYsTable[Code], SummaryTable[[#This Row],[Code]], allFYsTable[year2], AX$3))</f>
        <v>0</v>
      </c>
      <c r="AY6" s="61">
        <f>SummaryTable[[#This Row],[OriginalBudget22]]-SummaryTable[[#This Row],[OriginalBudget21]]</f>
        <v>0</v>
      </c>
      <c r="AZ6" s="54" t="e">
        <f>SummaryTable[[#This Row],[BudgetIncreaseAmount22]]/SummaryTable[[#This Row],[OriginalBudget21]]</f>
        <v>#DIV/0!</v>
      </c>
      <c r="BA6" s="61">
        <f>IF(COUNTIFS(allFYsTable[Code], SummaryTable[[#This Row],[Code]], allFYsTable[year2], AX$3)=0, NotFound, SUMIFS(allFYsTable[RevisedBudget], allFYsTable[Code], SummaryTable[[#This Row],[Code]], allFYsTable[year2], AX$3))</f>
        <v>385498</v>
      </c>
      <c r="BB6" s="61">
        <f>IF(COUNTIFS(allFYsTable[Code], SummaryTable[[#This Row],[Code]], allFYsTable[year2], AX$3)=0, NotFound, SUMIFS(allFYsTable[Actual], allFYsTable[Code], SummaryTable[[#This Row],[Code]], allFYsTable[year2], AX$3))</f>
        <v>385498</v>
      </c>
      <c r="BC6" s="61">
        <f>IF(COUNTIFS(allFYsTable[Code], SummaryTable[[#This Row],[Code]], allFYsTable[year2], AX$3)=0, NotFound, SUMIFS(allFYsTable[DiffAmount], allFYsTable[Code], SummaryTable[[#This Row],[Code]], allFYsTable[year2], AX$3))</f>
        <v>385498</v>
      </c>
      <c r="BD6" s="63">
        <f>IF(SummaryTable[[#This Row],[OriginalBudget22]]=0, IF(SummaryTable[[#This Row],[DiffAmount22]]=0, ZeroBudgetNoSpending, ZeroBudgetWithSpending), SummaryTable[[#This Row],[DiffAmount22]]/SummaryTable[[#This Row],[OriginalBudget22]])</f>
        <v>99.99</v>
      </c>
      <c r="BE6" s="62">
        <f>IF(COUNTIFS(allFYsTable[Code], SummaryTable[[#This Row],[Code]], allFYsTable[year2], BE$3)=0, NotFound, SUMIFS(allFYsTable[OriginalBudget], allFYsTable[Code], SummaryTable[[#This Row],[Code]], allFYsTable[year2], BE$3))</f>
        <v>0</v>
      </c>
      <c r="BF6" s="61">
        <f>SummaryTable[[#This Row],[OriginalBudget21]]-SummaryTable[[#This Row],[OriginalBudget20]]</f>
        <v>0</v>
      </c>
      <c r="BG6" s="54" t="e">
        <f>SummaryTable[[#This Row],[BudgetIncreaseAmount21]]/SummaryTable[[#This Row],[OriginalBudget20]]</f>
        <v>#DIV/0!</v>
      </c>
      <c r="BH6" s="61">
        <f>IF(COUNTIFS(allFYsTable[Code], SummaryTable[[#This Row],[Code]], allFYsTable[year2], BE$3)=0, NotFound, SUMIFS(allFYsTable[RevisedBudget], allFYsTable[Code], SummaryTable[[#This Row],[Code]], allFYsTable[year2], BE$3))</f>
        <v>352380</v>
      </c>
      <c r="BI6" s="61">
        <f>IF(COUNTIFS(allFYsTable[Code], SummaryTable[[#This Row],[Code]], allFYsTable[year2], BE$3)=0, NotFound, SUMIFS(allFYsTable[Actual], allFYsTable[Code], SummaryTable[[#This Row],[Code]], allFYsTable[year2], BE$3))</f>
        <v>352380</v>
      </c>
      <c r="BJ6" s="61">
        <f>IF(COUNTIFS(allFYsTable[Code], SummaryTable[[#This Row],[Code]], allFYsTable[year2], BE$3)=0, NotFound, SUMIFS(allFYsTable[DiffAmount], allFYsTable[Code], SummaryTable[[#This Row],[Code]], allFYsTable[year2], BE$3))</f>
        <v>352380</v>
      </c>
      <c r="BK6" s="63">
        <f>IF(SummaryTable[[#This Row],[OriginalBudget21]]=0, IF(SummaryTable[[#This Row],[DiffAmount21]]=0, ZeroBudgetNoSpending, ZeroBudgetWithSpending), SummaryTable[[#This Row],[DiffAmount21]]/SummaryTable[[#This Row],[OriginalBudget21]])</f>
        <v>99.99</v>
      </c>
      <c r="BL6" s="62">
        <f>IF(COUNTIFS(allFYsTable[Code], SummaryTable[[#This Row],[Code]], allFYsTable[year2], BL$3)=0, NotFound, SUMIFS(allFYsTable[OriginalBudget], allFYsTable[Code], SummaryTable[[#This Row],[Code]], allFYsTable[year2], BL$3))</f>
        <v>0</v>
      </c>
      <c r="BM6" s="61">
        <f>SummaryTable[[#This Row],[OriginalBudget20]]-SummaryTable[[#This Row],[OriginalBudget19]]</f>
        <v>0</v>
      </c>
      <c r="BN6" s="54" t="e">
        <f>SummaryTable[[#This Row],[BudgetIncreaseAmount20]]/SummaryTable[[#This Row],[OriginalBudget19]]</f>
        <v>#DIV/0!</v>
      </c>
      <c r="BO6" s="61">
        <f>IF(COUNTIFS(allFYsTable[Code], SummaryTable[[#This Row],[Code]], allFYsTable[year2], BL$3)=0, NotFound, SUMIFS(allFYsTable[RevisedBudget], allFYsTable[Code], SummaryTable[[#This Row],[Code]], allFYsTable[year2], BL$3))</f>
        <v>325762</v>
      </c>
      <c r="BP6" s="61">
        <f>IF(COUNTIFS(allFYsTable[Code], SummaryTable[[#This Row],[Code]], allFYsTable[year2], BL$3)=0, NotFound, SUMIFS(allFYsTable[Actual], allFYsTable[Code], SummaryTable[[#This Row],[Code]], allFYsTable[year2], BL$3))</f>
        <v>325762</v>
      </c>
      <c r="BQ6" s="61">
        <f>IF(COUNTIFS(allFYsTable[Code], SummaryTable[[#This Row],[Code]], allFYsTable[year2], BL$3)=0, NotFound, SUMIFS(allFYsTable[DiffAmount], allFYsTable[Code], SummaryTable[[#This Row],[Code]], allFYsTable[year2], BL$3))</f>
        <v>325762</v>
      </c>
      <c r="BR6" s="63">
        <f>IF(SummaryTable[[#This Row],[OriginalBudget20]]=0, IF(SummaryTable[[#This Row],[DiffAmount20]]=0, ZeroBudgetNoSpending, ZeroBudgetWithSpending), SummaryTable[[#This Row],[DiffAmount20]]/SummaryTable[[#This Row],[OriginalBudget20]])</f>
        <v>99.99</v>
      </c>
      <c r="BS6" s="62">
        <f>IF(COUNTIFS(allFYsTable[Code], SummaryTable[[#This Row],[Code]], allFYsTable[year2], BS$3)=0, NotFound, SUMIFS(allFYsTable[OriginalBudget], allFYsTable[Code], SummaryTable[[#This Row],[Code]], allFYsTable[year2], BS$3))</f>
        <v>0</v>
      </c>
      <c r="BT6" s="61">
        <f>SummaryTable[[#This Row],[OriginalBudget19]]-SummaryTable[[#This Row],[OriginalBudget18]]</f>
        <v>0</v>
      </c>
      <c r="BU6" s="54" t="e">
        <f>SummaryTable[[#This Row],[BudgetIncreaseAmount19]]/SummaryTable[[#This Row],[OriginalBudget18]]</f>
        <v>#DIV/0!</v>
      </c>
      <c r="BV6" s="61">
        <f>IF(COUNTIFS(allFYsTable[Code], SummaryTable[[#This Row],[Code]], allFYsTable[year2], BS$3)=0, NotFound, SUMIFS(allFYsTable[RevisedBudget], allFYsTable[Code], SummaryTable[[#This Row],[Code]], allFYsTable[year2], BS$3))</f>
        <v>314542</v>
      </c>
      <c r="BW6" s="61">
        <f>IF(COUNTIFS(allFYsTable[Code], SummaryTable[[#This Row],[Code]], allFYsTable[year2], BS$3)=0, NotFound, SUMIFS(allFYsTable[Actual], allFYsTable[Code], SummaryTable[[#This Row],[Code]], allFYsTable[year2], BS$3))</f>
        <v>314542</v>
      </c>
      <c r="BX6" s="61">
        <f>IF(COUNTIFS(allFYsTable[Code], SummaryTable[[#This Row],[Code]], allFYsTable[year2], BS$3)=0, NotFound, SUMIFS(allFYsTable[DiffAmount], allFYsTable[Code], SummaryTable[[#This Row],[Code]], allFYsTable[year2], BS$3))</f>
        <v>314542</v>
      </c>
      <c r="BY6" s="63">
        <f>IF(SummaryTable[[#This Row],[OriginalBudget19]]=0, IF(SummaryTable[[#This Row],[DiffAmount19]]=0, ZeroBudgetNoSpending, ZeroBudgetWithSpending), SummaryTable[[#This Row],[DiffAmount19]]/SummaryTable[[#This Row],[OriginalBudget19]])</f>
        <v>99.99</v>
      </c>
      <c r="BZ6" s="62">
        <f>IF(COUNTIFS(allFYsTable[Code], SummaryTable[[#This Row],[Code]], allFYsTable[year2], BZ$3)=0, NotFound, SUMIFS(allFYsTable[OriginalBudget], allFYsTable[Code], SummaryTable[[#This Row],[Code]], allFYsTable[year2], BZ$3))</f>
        <v>0</v>
      </c>
      <c r="CA6" s="61">
        <f>SummaryTable[[#This Row],[OriginalBudget18]]-SummaryTable[[#This Row],[OriginalBudget17]]</f>
        <v>0</v>
      </c>
      <c r="CB6" s="54" t="e">
        <f>SummaryTable[[#This Row],[BudgetIncreaseAmount18]]/SummaryTable[[#This Row],[OriginalBudget17]]</f>
        <v>#DIV/0!</v>
      </c>
      <c r="CC6" s="61">
        <f>IF(COUNTIFS(allFYsTable[Code], SummaryTable[[#This Row],[Code]], allFYsTable[year2], BZ$3)=0, NotFound, SUMIFS(allFYsTable[RevisedBudget], allFYsTable[Code], SummaryTable[[#This Row],[Code]], allFYsTable[year2], BZ$3))</f>
        <v>309145</v>
      </c>
      <c r="CD6" s="61">
        <f>IF(COUNTIFS(allFYsTable[Code], SummaryTable[[#This Row],[Code]], allFYsTable[year2], BZ$3)=0, NotFound, SUMIFS(allFYsTable[Actual], allFYsTable[Code], SummaryTable[[#This Row],[Code]], allFYsTable[year2], BZ$3))</f>
        <v>309145</v>
      </c>
      <c r="CE6" s="61">
        <f>IF(COUNTIFS(allFYsTable[Code], SummaryTable[[#This Row],[Code]], allFYsTable[year2], BZ$3)=0, NotFound, SUMIFS(allFYsTable[DiffAmount], allFYsTable[Code], SummaryTable[[#This Row],[Code]], allFYsTable[year2], BZ$3))</f>
        <v>309145</v>
      </c>
      <c r="CF6" s="63">
        <f>IF(SummaryTable[[#This Row],[OriginalBudget18]]=0, IF(SummaryTable[[#This Row],[DiffAmount18]]=0, ZeroBudgetNoSpending, ZeroBudgetWithSpending), SummaryTable[[#This Row],[DiffAmount18]]/SummaryTable[[#This Row],[OriginalBudget18]])</f>
        <v>99.99</v>
      </c>
      <c r="CG6" s="62">
        <f>IF(COUNTIFS(allFYsTable[Code], SummaryTable[[#This Row],[Code]], allFYsTable[year2], CG$3)=0, NotFound, SUMIFS(allFYsTable[OriginalBudget], allFYsTable[Code], SummaryTable[[#This Row],[Code]], allFYsTable[year2], CG$3))</f>
        <v>0</v>
      </c>
      <c r="CH6" s="61">
        <f>SummaryTable[[#This Row],[OriginalBudget17]]-SummaryTable[[#This Row],[OriginalBudget16]]</f>
        <v>0</v>
      </c>
      <c r="CI6" s="54" t="e">
        <f>SummaryTable[[#This Row],[BudgetIncreaseAmount17]]/SummaryTable[[#This Row],[OriginalBudget16]]</f>
        <v>#DIV/0!</v>
      </c>
      <c r="CJ6" s="61">
        <f>IF(COUNTIFS(allFYsTable[Code], SummaryTable[[#This Row],[Code]], allFYsTable[year2], CG$3)=0, NotFound, SUMIFS(allFYsTable[RevisedBudget], allFYsTable[Code], SummaryTable[[#This Row],[Code]], allFYsTable[year2], CG$3))</f>
        <v>282919</v>
      </c>
      <c r="CK6" s="61">
        <f>IF(COUNTIFS(allFYsTable[Code], SummaryTable[[#This Row],[Code]], allFYsTable[year2], CG$3)=0, NotFound, SUMIFS(allFYsTable[Actual], allFYsTable[Code], SummaryTable[[#This Row],[Code]], allFYsTable[year2], CG$3))</f>
        <v>282919</v>
      </c>
      <c r="CL6" s="61">
        <f>IF(COUNTIFS(allFYsTable[Code], SummaryTable[[#This Row],[Code]], allFYsTable[year2], CG$3)=0, NotFound, SUMIFS(allFYsTable[DiffAmount], allFYsTable[Code], SummaryTable[[#This Row],[Code]], allFYsTable[year2], CG$3))</f>
        <v>282919</v>
      </c>
      <c r="CM6" s="63">
        <f>IF(SummaryTable[[#This Row],[OriginalBudget17]]=0, IF(SummaryTable[[#This Row],[DiffAmount17]]=0, ZeroBudgetNoSpending, ZeroBudgetWithSpending), SummaryTable[[#This Row],[DiffAmount17]]/SummaryTable[[#This Row],[OriginalBudget17]])</f>
        <v>99.99</v>
      </c>
      <c r="CN6" s="62">
        <f>IF(COUNTIFS(allFYsTable[Code], SummaryTable[[#This Row],[Code]], allFYsTable[year2], CN$3)=0, NotFound, SUMIFS(allFYsTable[OriginalBudget], allFYsTable[Code], SummaryTable[[#This Row],[Code]], allFYsTable[year2], CN$3))</f>
        <v>0</v>
      </c>
      <c r="CO6" s="61">
        <f>SummaryTable[[#This Row],[OriginalBudget16]]-SummaryTable[[#This Row],[OriginalBudget15]]</f>
        <v>0</v>
      </c>
      <c r="CP6" s="54" t="e">
        <f>SummaryTable[[#This Row],[BudgetIncreaseAmount16]]/SummaryTable[[#This Row],[OriginalBudget15]]</f>
        <v>#DIV/0!</v>
      </c>
      <c r="CQ6" s="61">
        <f>IF(COUNTIFS(allFYsTable[Code], SummaryTable[[#This Row],[Code]], allFYsTable[year2], CN$3)=0, NotFound, SUMIFS(allFYsTable[RevisedBudget], allFYsTable[Code], SummaryTable[[#This Row],[Code]], allFYsTable[year2], CN$3))</f>
        <v>253144</v>
      </c>
      <c r="CR6" s="61">
        <f>IF(COUNTIFS(allFYsTable[Code], SummaryTable[[#This Row],[Code]], allFYsTable[year2], CN$3)=0, NotFound, SUMIFS(allFYsTable[Actual], allFYsTable[Code], SummaryTable[[#This Row],[Code]], allFYsTable[year2], CN$3))</f>
        <v>253144</v>
      </c>
      <c r="CS6" s="61">
        <f>IF(COUNTIFS(allFYsTable[Code], SummaryTable[[#This Row],[Code]], allFYsTable[year2], CN$3)=0, NotFound, SUMIFS(allFYsTable[DiffAmount], allFYsTable[Code], SummaryTable[[#This Row],[Code]], allFYsTable[year2], CN$3))</f>
        <v>253144</v>
      </c>
      <c r="CT6" s="63">
        <f>IF(SummaryTable[[#This Row],[OriginalBudget16]]=0, IF(SummaryTable[[#This Row],[DiffAmount16]]=0, ZeroBudgetNoSpending, ZeroBudgetWithSpending), SummaryTable[[#This Row],[DiffAmount16]]/SummaryTable[[#This Row],[OriginalBudget16]])</f>
        <v>99.99</v>
      </c>
      <c r="CU6" s="62">
        <f>IF(COUNTIFS(allFYsTable[Code], SummaryTable[[#This Row],[Code]], allFYsTable[year2], CU$3)=0, NotFound, SUMIFS(allFYsTable[OriginalBudget], allFYsTable[Code], SummaryTable[[#This Row],[Code]], allFYsTable[year2], CU$3))</f>
        <v>0</v>
      </c>
      <c r="CV6" s="61">
        <f>SummaryTable[[#This Row],[OriginalBudget15]]-SummaryTable[[#This Row],[OriginalBudget14]]</f>
        <v>0</v>
      </c>
      <c r="CW6" s="54" t="e">
        <f>SummaryTable[[#This Row],[BudgetIncreaseAmount15]]/SummaryTable[[#This Row],[OriginalBudget14]]</f>
        <v>#DIV/0!</v>
      </c>
      <c r="CX6" s="61">
        <f>IF(COUNTIFS(allFYsTable[Code], SummaryTable[[#This Row],[Code]], allFYsTable[year2], CU$3)=0, NotFound, SUMIFS(allFYsTable[RevisedBudget], allFYsTable[Code], SummaryTable[[#This Row],[Code]], allFYsTable[year2], CU$3))</f>
        <v>202384</v>
      </c>
      <c r="CY6" s="61">
        <f>IF(COUNTIFS(allFYsTable[Code], SummaryTable[[#This Row],[Code]], allFYsTable[year2], CU$3)=0, NotFound, SUMIFS(allFYsTable[Actual], allFYsTable[Code], SummaryTable[[#This Row],[Code]], allFYsTable[year2], CU$3))</f>
        <v>202384</v>
      </c>
      <c r="CZ6" s="61">
        <f>IF(COUNTIFS(allFYsTable[Code], SummaryTable[[#This Row],[Code]], allFYsTable[year2], CU$3)=0, NotFound, SUMIFS(allFYsTable[DiffAmount], allFYsTable[Code], SummaryTable[[#This Row],[Code]], allFYsTable[year2], CU$3))</f>
        <v>202384</v>
      </c>
      <c r="DA6" s="63">
        <f>IF(SummaryTable[[#This Row],[OriginalBudget15]]=0, IF(SummaryTable[[#This Row],[DiffAmount15]]=0, ZeroBudgetNoSpending, ZeroBudgetWithSpending), SummaryTable[[#This Row],[DiffAmount15]]/SummaryTable[[#This Row],[OriginalBudget15]])</f>
        <v>99.99</v>
      </c>
      <c r="DB6" s="62">
        <f>IF(COUNTIFS(allFYsTable[Code], SummaryTable[[#This Row],[Code]], allFYsTable[year2], DB$3)=0, NotFound, SUMIFS(allFYsTable[OriginalBudget], allFYsTable[Code], SummaryTable[[#This Row],[Code]], allFYsTable[year2], DB$3))</f>
        <v>0</v>
      </c>
      <c r="DC6" s="61">
        <f>SummaryTable[[#This Row],[OriginalBudget14]]-SummaryTable[[#This Row],[OriginalBudget13]]</f>
        <v>0</v>
      </c>
      <c r="DD6" s="54" t="e">
        <f>SummaryTable[[#This Row],[BudgetIncreaseAmount14]]/SummaryTable[[#This Row],[OriginalBudget13]]</f>
        <v>#DIV/0!</v>
      </c>
      <c r="DE6" s="61">
        <f>IF(COUNTIFS(allFYsTable[Code], SummaryTable[[#This Row],[Code]], allFYsTable[year2], DB$3)=0, NotFound, SUMIFS(allFYsTable[RevisedBudget], allFYsTable[Code], SummaryTable[[#This Row],[Code]], allFYsTable[year2], DB$3))</f>
        <v>201283</v>
      </c>
      <c r="DF6" s="61">
        <f>IF(COUNTIFS(allFYsTable[Code], SummaryTable[[#This Row],[Code]], allFYsTable[year2], DB$3)=0, NotFound, SUMIFS(allFYsTable[Actual], allFYsTable[Code], SummaryTable[[#This Row],[Code]], allFYsTable[year2], DB$3))</f>
        <v>201283</v>
      </c>
      <c r="DG6" s="61">
        <f>IF(COUNTIFS(allFYsTable[Code], SummaryTable[[#This Row],[Code]], allFYsTable[year2], DB$3)=0, NotFound, SUMIFS(allFYsTable[DiffAmount], allFYsTable[Code], SummaryTable[[#This Row],[Code]], allFYsTable[year2], DB$3))</f>
        <v>201283</v>
      </c>
      <c r="DH6" s="63">
        <f>IF(SummaryTable[[#This Row],[OriginalBudget14]]=0, IF(SummaryTable[[#This Row],[DiffAmount14]]=0, ZeroBudgetNoSpending, ZeroBudgetWithSpending), SummaryTable[[#This Row],[DiffAmount14]]/SummaryTable[[#This Row],[OriginalBudget14]])</f>
        <v>99.99</v>
      </c>
      <c r="DI6" s="62">
        <f>IF(COUNTIFS(allFYsTable[Code], SummaryTable[[#This Row],[Code]], allFYsTable[year2], DI$3)=0, NotFound, SUMIFS(allFYsTable[OriginalBudget], allFYsTable[Code], SummaryTable[[#This Row],[Code]], allFYsTable[year2], DI$3))</f>
        <v>0</v>
      </c>
      <c r="DJ6" s="61">
        <f>SummaryTable[[#This Row],[OriginalBudget13]]-SummaryTable[[#This Row],[OriginalBudget12]]</f>
        <v>0</v>
      </c>
      <c r="DK6" s="54" t="e">
        <f>SummaryTable[[#This Row],[BudgetIncreaseAmount13]]/SummaryTable[[#This Row],[OriginalBudget12]]</f>
        <v>#DIV/0!</v>
      </c>
      <c r="DL6" s="61">
        <f>IF(COUNTIFS(allFYsTable[Code], SummaryTable[[#This Row],[Code]], allFYsTable[year2], DI$3)=0, NotFound, SUMIFS(allFYsTable[RevisedBudget], allFYsTable[Code], SummaryTable[[#This Row],[Code]], allFYsTable[year2], DI$3))</f>
        <v>178903</v>
      </c>
      <c r="DM6" s="61">
        <f>IF(COUNTIFS(allFYsTable[Code], SummaryTable[[#This Row],[Code]], allFYsTable[year2], DI$3)=0, NotFound, SUMIFS(allFYsTable[Actual], allFYsTable[Code], SummaryTable[[#This Row],[Code]], allFYsTable[year2], DI$3))</f>
        <v>178903</v>
      </c>
      <c r="DN6" s="61">
        <f>IF(COUNTIFS(allFYsTable[Code], SummaryTable[[#This Row],[Code]], allFYsTable[year2], DI$3)=0, NotFound, SUMIFS(allFYsTable[DiffAmount], allFYsTable[Code], SummaryTable[[#This Row],[Code]], allFYsTable[year2], DI$3))</f>
        <v>178903</v>
      </c>
      <c r="DO6" s="63">
        <f>IF(SummaryTable[[#This Row],[OriginalBudget13]]=0, IF(SummaryTable[[#This Row],[DiffAmount13]]=0, ZeroBudgetNoSpending, ZeroBudgetWithSpending), SummaryTable[[#This Row],[DiffAmount13]]/SummaryTable[[#This Row],[OriginalBudget13]])</f>
        <v>99.99</v>
      </c>
      <c r="DP6" s="62">
        <f>IF(COUNTIFS(allFYsTable[Code], SummaryTable[[#This Row],[Code]], allFYsTable[year2], DP$3)=0, NotFound, SUMIFS(allFYsTable[OriginalBudget], allFYsTable[Code], SummaryTable[[#This Row],[Code]], allFYsTable[year2], DP$3))</f>
        <v>0</v>
      </c>
      <c r="DQ6" s="61">
        <f>SummaryTable[[#This Row],[OriginalBudget12]]-SummaryTable[[#This Row],[OriginalBudget11]]</f>
        <v>0</v>
      </c>
      <c r="DR6" s="54" t="e">
        <f>SummaryTable[[#This Row],[BudgetIncreaseAmount12]]/SummaryTable[[#This Row],[OriginalBudget11]]</f>
        <v>#DIV/0!</v>
      </c>
      <c r="DS6" s="61">
        <f>IF(COUNTIFS(allFYsTable[Code], SummaryTable[[#This Row],[Code]], allFYsTable[year2], DP$3)=0, NotFound, SUMIFS(allFYsTable[RevisedBudget], allFYsTable[Code], SummaryTable[[#This Row],[Code]], allFYsTable[year2], DP$3))</f>
        <v>133309</v>
      </c>
      <c r="DT6" s="61">
        <f>IF(COUNTIFS(allFYsTable[Code], SummaryTable[[#This Row],[Code]], allFYsTable[year2], DP$3)=0, NotFound, SUMIFS(allFYsTable[Actual], allFYsTable[Code], SummaryTable[[#This Row],[Code]], allFYsTable[year2], DP$3))</f>
        <v>133309</v>
      </c>
      <c r="DU6" s="61">
        <f>IF(COUNTIFS(allFYsTable[Code], SummaryTable[[#This Row],[Code]], allFYsTable[year2], DP$3)=0, NotFound, SUMIFS(allFYsTable[DiffAmount], allFYsTable[Code], SummaryTable[[#This Row],[Code]], allFYsTable[year2], DP$3))</f>
        <v>133309</v>
      </c>
      <c r="DV6" s="63">
        <f>IF(SummaryTable[[#This Row],[OriginalBudget12]]=0, IF(SummaryTable[[#This Row],[DiffAmount12]]=0, ZeroBudgetNoSpending, ZeroBudgetWithSpending), SummaryTable[[#This Row],[DiffAmount12]]/SummaryTable[[#This Row],[OriginalBudget12]])</f>
        <v>99.99</v>
      </c>
      <c r="DW6" s="62">
        <f>IF(COUNTIFS(allFYsTable[Code], SummaryTable[[#This Row],[Code]], allFYsTable[year2], DW$3)=0, NotFound, SUMIFS(allFYsTable[OriginalBudget], allFYsTable[Code], SummaryTable[[#This Row],[Code]], allFYsTable[year2], DW$3))</f>
        <v>0</v>
      </c>
      <c r="DX6" s="61">
        <f>SummaryTable[[#This Row],[OriginalBudget11]]-SummaryTable[[#This Row],[OriginalBudget10]]</f>
        <v>0</v>
      </c>
      <c r="DY6" s="54" t="e">
        <f>SummaryTable[[#This Row],[BudgetIncreaseAmount11]]/SummaryTable[[#This Row],[OriginalBudget10]]</f>
        <v>#DIV/0!</v>
      </c>
      <c r="DZ6" s="61">
        <f>IF(COUNTIFS(allFYsTable[Code], SummaryTable[[#This Row],[Code]], allFYsTable[year2], DW$3)=0, NotFound, SUMIFS(allFYsTable[RevisedBudget], allFYsTable[Code], SummaryTable[[#This Row],[Code]], allFYsTable[year2], DW$3))</f>
        <v>120896</v>
      </c>
      <c r="EA6" s="61">
        <f>IF(COUNTIFS(allFYsTable[Code], SummaryTable[[#This Row],[Code]], allFYsTable[year2], DW$3)=0, NotFound, SUMIFS(allFYsTable[Actual], allFYsTable[Code], SummaryTable[[#This Row],[Code]], allFYsTable[year2], DW$3))</f>
        <v>120896</v>
      </c>
      <c r="EB6" s="61">
        <f>IF(COUNTIFS(allFYsTable[Code], SummaryTable[[#This Row],[Code]], allFYsTable[year2], DW$3)=0, NotFound, SUMIFS(allFYsTable[DiffAmount], allFYsTable[Code], SummaryTable[[#This Row],[Code]], allFYsTable[year2], DW$3))</f>
        <v>120896</v>
      </c>
      <c r="EC6" s="63">
        <f>IF(SummaryTable[[#This Row],[OriginalBudget11]]=0, IF(SummaryTable[[#This Row],[DiffAmount11]]=0, ZeroBudgetNoSpending, ZeroBudgetWithSpending), SummaryTable[[#This Row],[DiffAmount11]]/SummaryTable[[#This Row],[OriginalBudget11]])</f>
        <v>99.99</v>
      </c>
      <c r="ED6" s="62">
        <f>IF(COUNTIFS(allFYsTable[Code], SummaryTable[[#This Row],[Code]], allFYsTable[year2], ED$3)=0, NotFound, SUMIFS(allFYsTable[OriginalBudget], allFYsTable[Code], SummaryTable[[#This Row],[Code]], allFYsTable[year2], ED$3))</f>
        <v>0</v>
      </c>
      <c r="EE6" s="61">
        <f>SummaryTable[[#This Row],[OriginalBudget10]]-SummaryTable[[#This Row],[OriginalBudget09]]</f>
        <v>0</v>
      </c>
      <c r="EF6" s="54" t="e">
        <f>SummaryTable[[#This Row],[BudgetIncreaseAmount10]]/SummaryTable[[#This Row],[OriginalBudget09]]</f>
        <v>#DIV/0!</v>
      </c>
      <c r="EG6" s="61">
        <f>IF(COUNTIFS(allFYsTable[Code], SummaryTable[[#This Row],[Code]], allFYsTable[year2], ED$3)=0, NotFound, SUMIFS(allFYsTable[RevisedBudget], allFYsTable[Code], SummaryTable[[#This Row],[Code]], allFYsTable[year2], ED$3))</f>
        <v>108210</v>
      </c>
      <c r="EH6" s="61">
        <f>IF(COUNTIFS(allFYsTable[Code], SummaryTable[[#This Row],[Code]], allFYsTable[year2], ED$3)=0, NotFound, SUMIFS(allFYsTable[Actual], allFYsTable[Code], SummaryTable[[#This Row],[Code]], allFYsTable[year2], ED$3))</f>
        <v>108210</v>
      </c>
      <c r="EI6" s="61">
        <f>IF(COUNTIFS(allFYsTable[Code], SummaryTable[[#This Row],[Code]], allFYsTable[year2], ED$3)=0, NotFound, SUMIFS(allFYsTable[DiffAmount], allFYsTable[Code], SummaryTable[[#This Row],[Code]], allFYsTable[year2], ED$3))</f>
        <v>108210</v>
      </c>
      <c r="EJ6" s="63">
        <f>IF(SummaryTable[[#This Row],[OriginalBudget10]]=0, IF(SummaryTable[[#This Row],[DiffAmount10]]=0, ZeroBudgetNoSpending, ZeroBudgetWithSpending), SummaryTable[[#This Row],[DiffAmount10]]/SummaryTable[[#This Row],[OriginalBudget10]])</f>
        <v>99.99</v>
      </c>
      <c r="EK6" s="62">
        <f>IF(COUNTIFS(allFYsTable[Code], SummaryTable[[#This Row],[Code]], allFYsTable[year2], EK$3)=0, NotFound, SUMIFS(allFYsTable[OriginalBudget], allFYsTable[Code], SummaryTable[[#This Row],[Code]], allFYsTable[year2], EK$3))</f>
        <v>0</v>
      </c>
      <c r="EL6" s="61">
        <f>SummaryTable[[#This Row],[OriginalBudget09]]-SummaryTable[[#This Row],[OriginalBudget08]]</f>
        <v>0</v>
      </c>
      <c r="EM6" s="54" t="e">
        <f>SummaryTable[[#This Row],[BudgetIncreaseAmount09]]/SummaryTable[[#This Row],[OriginalBudget08]]</f>
        <v>#DIV/0!</v>
      </c>
      <c r="EN6" s="61">
        <f>IF(COUNTIFS(allFYsTable[Code], SummaryTable[[#This Row],[Code]], allFYsTable[year2], EK$3)=0, NotFound, SUMIFS(allFYsTable[RevisedBudget], allFYsTable[Code], SummaryTable[[#This Row],[Code]], allFYsTable[year2], EK$3))</f>
        <v>92970</v>
      </c>
      <c r="EO6" s="61">
        <f>IF(COUNTIFS(allFYsTable[Code], SummaryTable[[#This Row],[Code]], allFYsTable[year2], EK$3)=0, NotFound, SUMIFS(allFYsTable[Actual], allFYsTable[Code], SummaryTable[[#This Row],[Code]], allFYsTable[year2], EK$3))</f>
        <v>92970</v>
      </c>
      <c r="EP6" s="61">
        <f>IF(COUNTIFS(allFYsTable[Code], SummaryTable[[#This Row],[Code]], allFYsTable[year2], EK$3)=0, NotFound, SUMIFS(allFYsTable[DiffAmount], allFYsTable[Code], SummaryTable[[#This Row],[Code]], allFYsTable[year2], EK$3))</f>
        <v>92970</v>
      </c>
      <c r="EQ6" s="63">
        <f>IF(SummaryTable[[#This Row],[OriginalBudget09]]=0, IF(SummaryTable[[#This Row],[DiffAmount09]]=0, ZeroBudgetNoSpending, ZeroBudgetWithSpending), SummaryTable[[#This Row],[DiffAmount09]]/SummaryTable[[#This Row],[OriginalBudget09]])</f>
        <v>99.99</v>
      </c>
      <c r="ER6" s="62">
        <f>IF(COUNTIFS(allFYsTable[Code], SummaryTable[[#This Row],[Code]], allFYsTable[year2], ER$3)=0, NotFound, SUMIFS(allFYsTable[OriginalBudget], allFYsTable[Code], SummaryTable[[#This Row],[Code]], allFYsTable[year2], ER$3))</f>
        <v>0</v>
      </c>
      <c r="ES6" s="61">
        <f>SummaryTable[[#This Row],[OriginalBudget08]]-SummaryTable[[#This Row],[OriginalBudget07]]</f>
        <v>0</v>
      </c>
      <c r="ET6" s="54" t="e">
        <f>SummaryTable[[#This Row],[BudgetIncreaseAmount08]]/SummaryTable[[#This Row],[OriginalBudget07]]</f>
        <v>#DIV/0!</v>
      </c>
      <c r="EU6" s="61">
        <f>IF(COUNTIFS(allFYsTable[Code], SummaryTable[[#This Row],[Code]], allFYsTable[year2], ER$3)=0, NotFound, SUMIFS(allFYsTable[RevisedBudget], allFYsTable[Code], SummaryTable[[#This Row],[Code]], allFYsTable[year2], ER$3))</f>
        <v>91312</v>
      </c>
      <c r="EV6" s="61">
        <f>IF(COUNTIFS(allFYsTable[Code], SummaryTable[[#This Row],[Code]], allFYsTable[year2], ER$3)=0, NotFound, SUMIFS(allFYsTable[Actual], allFYsTable[Code], SummaryTable[[#This Row],[Code]], allFYsTable[year2], ER$3))</f>
        <v>91312</v>
      </c>
      <c r="EW6" s="61">
        <f>IF(COUNTIFS(allFYsTable[Code], SummaryTable[[#This Row],[Code]], allFYsTable[year2], ER$3)=0, NotFound, SUMIFS(allFYsTable[DiffAmount], allFYsTable[Code], SummaryTable[[#This Row],[Code]], allFYsTable[year2], ER$3))</f>
        <v>91312</v>
      </c>
      <c r="EX6" s="63">
        <f>IF(SummaryTable[[#This Row],[OriginalBudget08]]=0, IF(SummaryTable[[#This Row],[DiffAmount08]]=0, ZeroBudgetNoSpending, ZeroBudgetWithSpending), SummaryTable[[#This Row],[DiffAmount08]]/SummaryTable[[#This Row],[OriginalBudget08]])</f>
        <v>99.99</v>
      </c>
      <c r="EY6" s="62">
        <f>IF(COUNTIFS(allFYsTable[Code], SummaryTable[[#This Row],[Code]], allFYsTable[year2], EY$3)=0, NotFound, SUMIFS(allFYsTable[OriginalBudget], allFYsTable[Code], SummaryTable[[#This Row],[Code]], allFYsTable[year2], EY$3))</f>
        <v>0</v>
      </c>
      <c r="EZ6" s="61">
        <f>SummaryTable[[#This Row],[OriginalBudget07]]-SummaryTable[[#This Row],[OriginalBudget06]]</f>
        <v>0</v>
      </c>
      <c r="FA6" s="54" t="e">
        <f>SummaryTable[[#This Row],[BudgetIncreaseAmount07]]/SummaryTable[[#This Row],[OriginalBudget06]]</f>
        <v>#DIV/0!</v>
      </c>
      <c r="FB6" s="61">
        <f>IF(COUNTIFS(allFYsTable[Code], SummaryTable[[#This Row],[Code]], allFYsTable[year2], EY$3)=0, NotFound, SUMIFS(allFYsTable[RevisedBudget], allFYsTable[Code], SummaryTable[[#This Row],[Code]], allFYsTable[year2], EY$3))</f>
        <v>80091</v>
      </c>
      <c r="FC6" s="61">
        <f>IF(COUNTIFS(allFYsTable[Code], SummaryTable[[#This Row],[Code]], allFYsTable[year2], EY$3)=0, NotFound, SUMIFS(allFYsTable[Actual], allFYsTable[Code], SummaryTable[[#This Row],[Code]], allFYsTable[year2], EY$3))</f>
        <v>80091</v>
      </c>
      <c r="FD6" s="61">
        <f>IF(COUNTIFS(allFYsTable[Code], SummaryTable[[#This Row],[Code]], allFYsTable[year2], EY$3)=0, NotFound, SUMIFS(allFYsTable[DiffAmount], allFYsTable[Code], SummaryTable[[#This Row],[Code]], allFYsTable[year2], EY$3))</f>
        <v>80091</v>
      </c>
      <c r="FE6" s="63">
        <f>IF(SummaryTable[[#This Row],[OriginalBudget07]]=0, IF(SummaryTable[[#This Row],[DiffAmount07]]=0, ZeroBudgetNoSpending, ZeroBudgetWithSpending), SummaryTable[[#This Row],[DiffAmount07]]/SummaryTable[[#This Row],[OriginalBudget07]])</f>
        <v>99.99</v>
      </c>
      <c r="FF6" s="62">
        <f>IF(COUNTIFS(allFYsTable[Code], SummaryTable[[#This Row],[Code]], allFYsTable[year2], FF$3)=0, NotFound, SUMIFS(allFYsTable[OriginalBudget], allFYsTable[Code], SummaryTable[[#This Row],[Code]], allFYsTable[year2], FF$3))</f>
        <v>0</v>
      </c>
      <c r="FI6" s="61">
        <f>IF(COUNTIFS(allFYsTable[Code], SummaryTable[[#This Row],[Code]], allFYsTable[year2], FF$3)=0, NotFound, SUMIFS(allFYsTable[RevisedBudget], allFYsTable[Code], SummaryTable[[#This Row],[Code]], allFYsTable[year2], FF$3))</f>
        <v>66121</v>
      </c>
      <c r="FJ6" s="61">
        <f>IF(COUNTIFS(allFYsTable[Code], SummaryTable[[#This Row],[Code]], allFYsTable[year2], FF$3)=0, NotFound, SUMIFS(allFYsTable[Actual], allFYsTable[Code], SummaryTable[[#This Row],[Code]], allFYsTable[year2], FF$3))</f>
        <v>66121</v>
      </c>
      <c r="FK6" s="61">
        <f>IF(COUNTIFS(allFYsTable[Code], SummaryTable[[#This Row],[Code]], allFYsTable[year2], FF$3)=0, NotFound, SUMIFS(allFYsTable[DiffAmount], allFYsTable[Code], SummaryTable[[#This Row],[Code]], allFYsTable[year2], FF$3))</f>
        <v>66121</v>
      </c>
      <c r="FL6" s="63">
        <f>IF(SummaryTable[[#This Row],[OriginalBudget06]]=0, IF(SummaryTable[[#This Row],[DiffAmount06]]=0, ZeroBudgetNoSpending, ZeroBudgetWithSpending), SummaryTable[[#This Row],[DiffAmount06]]/SummaryTable[[#This Row],[OriginalBudget06]])</f>
        <v>99.99</v>
      </c>
    </row>
    <row r="7" spans="1:168" x14ac:dyDescent="0.45">
      <c r="A7" t="s">
        <v>870</v>
      </c>
      <c r="B7">
        <f>_xlfn.MAXIFS(allFYsTable[year2], allFYsTable[Code], SummaryTable[[#This Row],[Code]])</f>
        <v>2025</v>
      </c>
      <c r="C7" t="str">
        <f>_xlfn.XLOOKUP(SummaryTable[[#This Row],[Code]], NameCodingTable[Code], NameCodingTable[Most Recent Category per allFYs])</f>
        <v>Public education system</v>
      </c>
      <c r="D7" t="str">
        <f>_xlfn.XLOOKUP(SummaryTable[[#This Row],[Code]], NameCodingTable[Code], NameCodingTable[Unit Display Name])</f>
        <v>AYXX Public School Advance Appropriations</v>
      </c>
      <c r="E7" t="str">
        <f>_xlfn.XLOOKUP(SummaryTable[[#This Row],[Code]], NameCodingTable[Code], NameCodingTable[Type])</f>
        <v>xother</v>
      </c>
      <c r="F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19</v>
      </c>
      <c r="G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18</v>
      </c>
      <c r="H7" s="54">
        <f>SummaryTable[[#This Row],['# Over]]/SummaryTable[[#This Row],[Count]]</f>
        <v>0.94736842105263153</v>
      </c>
      <c r="I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7" s="54">
        <f>SummaryTable[[#This Row],['# Under]]/SummaryTable[[#This Row],[Count]]</f>
        <v>0</v>
      </c>
      <c r="K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7" s="54">
        <f>SummaryTable[[#This Row],['# Equal]]/SummaryTable[[#This Row],[Count]]</f>
        <v>5.2631578947368418E-2</v>
      </c>
      <c r="M7" s="61">
        <f>SUMIFS(allFYsTable[OriginalBudget],allFYsTable[Code],SummaryTable[[#This Row],[Code]])/SummaryTable[[#This Row],[Count]]</f>
        <v>0</v>
      </c>
      <c r="N7" s="61">
        <f>SUMIFS(allFYsTable[Actual],allFYsTable[Code],SummaryTable[[#This Row],[Code]])/SummaryTable[[#This Row],[Count]]</f>
        <v>9192.7368421052633</v>
      </c>
      <c r="O7" s="61">
        <f>SummaryTable[[#This Row],[AvgActAmt]]-SummaryTable[[#This Row],[AvgBudAmt]]</f>
        <v>9192.7368421052633</v>
      </c>
      <c r="P7" s="54">
        <f>IF(SummaryTable[[#This Row],[AvgBudAmt]]=0, IF(SummaryTable[[#This Row],[AvgDiff'#]]=0, 0, NamedFields!$C$3), SummaryTable[[#This Row],[AvgDiff'#]]/SummaryTable[[#This Row],[AvgBudAmt]])</f>
        <v>99.99</v>
      </c>
      <c r="Q7" s="61">
        <f>IFERROR(SUMIFS(allFYsTable[OriginalBudget],allFYsTable[Code],SummaryTable[[#This Row],[Code]],allFYsTable[DiffAmount], "&gt;0")/SummaryTable[[#This Row],['# Over]], 0)</f>
        <v>0</v>
      </c>
      <c r="R7" s="61">
        <f>IFERROR(SUMIFS(allFYsTable[Actual],allFYsTable[Code],SummaryTable[[#This Row],[Code]],allFYsTable[DiffAmount], "&gt;0")/SummaryTable[[#This Row],['# Over]], 0)</f>
        <v>9703.4444444444453</v>
      </c>
      <c r="S7" s="61">
        <f>SummaryTable[[#This Row],[OverAvgAct]]-SummaryTable[[#This Row],[OverAvgBud]]</f>
        <v>9703.4444444444453</v>
      </c>
      <c r="T7" s="54">
        <f>IF(SummaryTable[[#This Row],[OverAvgBud]]=0, IF(SummaryTable[[#This Row],[OverAvgDiff'#]]=0, ZeroBudgetNoSpending, ZeroBudgetWithSpending), SummaryTable[[#This Row],[OverAvgDiff'#]]/SummaryTable[[#This Row],[OverAvgBud]])</f>
        <v>99.99</v>
      </c>
      <c r="U7" s="61">
        <f>IFERROR(SUMIFS(allFYsTable[OriginalBudget],allFYsTable[Code],SummaryTable[[#This Row],[Code]],allFYsTable[DiffAmount], "&lt;0")/SummaryTable[[#This Row],['# Under]], 0)</f>
        <v>0</v>
      </c>
      <c r="V7" s="61">
        <f>IFERROR( SUMIFS(allFYsTable[Actual],allFYsTable[Code],SummaryTable[[#This Row],[Code]],allFYsTable[DiffAmount], "&lt;0")/SummaryTable[[#This Row],['# Under]], 0)</f>
        <v>0</v>
      </c>
      <c r="W7" s="61">
        <f>SummaryTable[[#This Row],[UnderAvgAct]]-SummaryTable[[#This Row],[UnderAvgBud]]</f>
        <v>0</v>
      </c>
      <c r="X7" s="54">
        <f>IF(SummaryTable[[#This Row],[UnderAvgBud]]=0, IF(SummaryTable[[#This Row],[UnderAvgDiff'#]]=0, ZeroBudgetNoSpending, NamedFields!$C$3), SummaryTable[[#This Row],[UnderAvgDiff'#]]/SummaryTable[[#This Row],[UnderAvgBud]])</f>
        <v>0</v>
      </c>
      <c r="Y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7" s="54">
        <f>IF(SummaryTable[[#This Row],[IncreaseYears]]=0, ZeroBudgetNoSpending, SummaryTable[[#This Row],[OSinIncreaseYear'#]]/SummaryTable[[#This Row],[IncreaseYears]])</f>
        <v>0</v>
      </c>
      <c r="AB7" s="58" t="str">
        <f>SummaryTable[[#This Row],[Code]]</f>
        <v>XPS</v>
      </c>
      <c r="AC7" s="62">
        <f>IF(COUNTIFS(allFYsTable[Code], SummaryTable[[#This Row],[Code]], allFYsTable[year2], AC$3)=0, NotFound, SUMIFS(allFYsTable[OriginalBudget], allFYsTable[Code], SummaryTable[[#This Row],[Code]], allFYsTable[year2], AC$3))</f>
        <v>0</v>
      </c>
      <c r="AD7" s="61">
        <f>SummaryTable[[#This Row],[OriginalBudget25]]-SummaryTable[[#This Row],[OriginalBudget24]]</f>
        <v>0</v>
      </c>
      <c r="AE7" s="54" t="e">
        <f>SummaryTable[[#This Row],[BudgetIncreaseAmount25]]/SummaryTable[[#This Row],[OriginalBudget24]]</f>
        <v>#DIV/0!</v>
      </c>
      <c r="AF7" s="61">
        <f>IF(COUNTIFS(allFYsTable[Code], SummaryTable[[#This Row],[Code]], allFYsTable[year2], AC$3)=0, NotFound, SUMIFS(allFYsTable[RevisedBudget], allFYsTable[Code], SummaryTable[[#This Row],[Code]], allFYsTable[year2], AC$3))</f>
        <v>8621</v>
      </c>
      <c r="AG7" s="61">
        <f>IF(COUNTIFS(allFYsTable[Code], SummaryTable[[#This Row],[Code]], allFYsTable[year2], AC$3)=0, NotFound, SUMIFS(allFYsTable[Actual], allFYsTable[Code], SummaryTable[[#This Row],[Code]], allFYsTable[year2], AC$3))</f>
        <v>8621</v>
      </c>
      <c r="AH7" s="61">
        <f>IF(COUNTIFS(allFYsTable[Code], SummaryTable[[#This Row],[Code]], allFYsTable[year2], AC$3)=0, NotFound, SUMIFS(allFYsTable[DiffAmount], allFYsTable[Code], SummaryTable[[#This Row],[Code]], allFYsTable[year2], AC$3))</f>
        <v>8621</v>
      </c>
      <c r="AI7" s="63">
        <f>IF(SummaryTable[[#This Row],[OriginalBudget25]]=0, IF(SummaryTable[[#This Row],[DiffAmount25]]=0, ZeroBudgetNoSpending, ZeroBudgetWithSpending), SummaryTable[[#This Row],[DiffAmount25]]/SummaryTable[[#This Row],[OriginalBudget25]])</f>
        <v>99.99</v>
      </c>
      <c r="AJ7" s="62">
        <f>IF(COUNTIFS(allFYsTable[Code], SummaryTable[[#This Row],[Code]], allFYsTable[year2], AJ$3)=0, NotFound, SUMIFS(allFYsTable[OriginalBudget], allFYsTable[Code], SummaryTable[[#This Row],[Code]], allFYsTable[year2], AJ$3))</f>
        <v>0</v>
      </c>
      <c r="AK7" s="61">
        <f>SummaryTable[[#This Row],[OriginalBudget24]]-SummaryTable[[#This Row],[OriginalBudget23]]</f>
        <v>0</v>
      </c>
      <c r="AL7" s="54" t="e">
        <f>SummaryTable[[#This Row],[BudgetIncreaseAmount24]]/SummaryTable[[#This Row],[OriginalBudget23]]</f>
        <v>#DIV/0!</v>
      </c>
      <c r="AM7" s="61">
        <f>IF(COUNTIFS(allFYsTable[Code], SummaryTable[[#This Row],[Code]], allFYsTable[year2], AK$3)=0, NotFound, SUMIFS(allFYsTable[RevisedBudget], allFYsTable[Code], SummaryTable[[#This Row],[Code]], allFYsTable[year2], AJ$3))</f>
        <v>7629</v>
      </c>
      <c r="AN7" s="61">
        <f>IF(COUNTIFS(allFYsTable[Code], SummaryTable[[#This Row],[Code]], allFYsTable[year2], AJ$3)=0, NotFound, SUMIFS(allFYsTable[Actual], allFYsTable[Code], SummaryTable[[#This Row],[Code]], allFYsTable[year2], AJ$3))</f>
        <v>7629</v>
      </c>
      <c r="AO7" s="61">
        <f>IF(COUNTIFS(allFYsTable[Code], SummaryTable[[#This Row],[Code]], allFYsTable[year2], AJ$3)=0, NotFound, SUMIFS(allFYsTable[DiffAmount], allFYsTable[Code], SummaryTable[[#This Row],[Code]], allFYsTable[year2], AJ$3))</f>
        <v>7629</v>
      </c>
      <c r="AP7" s="63">
        <f>IF(SummaryTable[[#This Row],[OriginalBudget24]]=0, IF(SummaryTable[[#This Row],[DiffAmount24]]=0, ZeroBudgetNoSpending, ZeroBudgetWithSpending), SummaryTable[[#This Row],[DiffAmount24]]/SummaryTable[[#This Row],[OriginalBudget24]])</f>
        <v>99.99</v>
      </c>
      <c r="AQ7" s="62">
        <f>IF(COUNTIFS(allFYsTable[Code], SummaryTable[[#This Row],[Code]], allFYsTable[year2], AQ$3)=0, NotFound, SUMIFS(allFYsTable[OriginalBudget], allFYsTable[Code], SummaryTable[[#This Row],[Code]], allFYsTable[year2], AQ$3))</f>
        <v>0</v>
      </c>
      <c r="AR7" s="61">
        <f>SummaryTable[[#This Row],[OriginalBudget23]]-SummaryTable[[#This Row],[OriginalBudget22]]</f>
        <v>0</v>
      </c>
      <c r="AS7" s="54" t="e">
        <f>SummaryTable[[#This Row],[BudgetIncreaseAmount23]]/SummaryTable[[#This Row],[OriginalBudget22]]</f>
        <v>#DIV/0!</v>
      </c>
      <c r="AT7" s="61">
        <f>IF(COUNTIFS(allFYsTable[Code], SummaryTable[[#This Row],[Code]], allFYsTable[year2], AQ$3)=0, NotFound, SUMIFS(allFYsTable[RevisedBudget], allFYsTable[Code], SummaryTable[[#This Row],[Code]], allFYsTable[year2], AQ$3))</f>
        <v>12908</v>
      </c>
      <c r="AU7" s="61">
        <f>IF(COUNTIFS(allFYsTable[Code], SummaryTable[[#This Row],[Code]], allFYsTable[year2], AQ$3)=0, NotFound, SUMIFS(allFYsTable[Actual], allFYsTable[Code], SummaryTable[[#This Row],[Code]], allFYsTable[year2], AQ$3))</f>
        <v>12908</v>
      </c>
      <c r="AV7" s="61">
        <f>IF(COUNTIFS(allFYsTable[Code], SummaryTable[[#This Row],[Code]], allFYsTable[year2], AQ$3)=0, NotFound, SUMIFS(allFYsTable[DiffAmount], allFYsTable[Code], SummaryTable[[#This Row],[Code]], allFYsTable[year2], AQ$3))</f>
        <v>12908</v>
      </c>
      <c r="AW7" s="63">
        <f>IF(SummaryTable[[#This Row],[OriginalBudget23]]=0, IF(SummaryTable[[#This Row],[DiffAmount23]]=0, ZeroBudgetNoSpending, ZeroBudgetWithSpending), SummaryTable[[#This Row],[DiffAmount23]]/SummaryTable[[#This Row],[OriginalBudget23]])</f>
        <v>99.99</v>
      </c>
      <c r="AX7" s="62">
        <f>IF(COUNTIFS(allFYsTable[Code], SummaryTable[[#This Row],[Code]], allFYsTable[year2], AX$3)=0, NotFound, SUMIFS(allFYsTable[OriginalBudget], allFYsTable[Code], SummaryTable[[#This Row],[Code]], allFYsTable[year2], AX$3))</f>
        <v>0</v>
      </c>
      <c r="AY7" s="61">
        <f>SummaryTable[[#This Row],[OriginalBudget22]]-SummaryTable[[#This Row],[OriginalBudget21]]</f>
        <v>0</v>
      </c>
      <c r="AZ7" s="54" t="e">
        <f>SummaryTable[[#This Row],[BudgetIncreaseAmount22]]/SummaryTable[[#This Row],[OriginalBudget21]]</f>
        <v>#DIV/0!</v>
      </c>
      <c r="BA7" s="61">
        <f>IF(COUNTIFS(allFYsTable[Code], SummaryTable[[#This Row],[Code]], allFYsTable[year2], AX$3)=0, NotFound, SUMIFS(allFYsTable[RevisedBudget], allFYsTable[Code], SummaryTable[[#This Row],[Code]], allFYsTable[year2], AX$3))</f>
        <v>9995</v>
      </c>
      <c r="BB7" s="61">
        <f>IF(COUNTIFS(allFYsTable[Code], SummaryTable[[#This Row],[Code]], allFYsTable[year2], AX$3)=0, NotFound, SUMIFS(allFYsTable[Actual], allFYsTable[Code], SummaryTable[[#This Row],[Code]], allFYsTable[year2], AX$3))</f>
        <v>9995</v>
      </c>
      <c r="BC7" s="61">
        <f>IF(COUNTIFS(allFYsTable[Code], SummaryTable[[#This Row],[Code]], allFYsTable[year2], AX$3)=0, NotFound, SUMIFS(allFYsTable[DiffAmount], allFYsTable[Code], SummaryTable[[#This Row],[Code]], allFYsTable[year2], AX$3))</f>
        <v>9995</v>
      </c>
      <c r="BD7" s="63">
        <f>IF(SummaryTable[[#This Row],[OriginalBudget22]]=0, IF(SummaryTable[[#This Row],[DiffAmount22]]=0, ZeroBudgetNoSpending, ZeroBudgetWithSpending), SummaryTable[[#This Row],[DiffAmount22]]/SummaryTable[[#This Row],[OriginalBudget22]])</f>
        <v>99.99</v>
      </c>
      <c r="BE7" s="62">
        <f>IF(COUNTIFS(allFYsTable[Code], SummaryTable[[#This Row],[Code]], allFYsTable[year2], BE$3)=0, NotFound, SUMIFS(allFYsTable[OriginalBudget], allFYsTable[Code], SummaryTable[[#This Row],[Code]], allFYsTable[year2], BE$3))</f>
        <v>0</v>
      </c>
      <c r="BF7" s="61">
        <f>SummaryTable[[#This Row],[OriginalBudget21]]-SummaryTable[[#This Row],[OriginalBudget20]]</f>
        <v>0</v>
      </c>
      <c r="BG7" s="54" t="e">
        <f>SummaryTable[[#This Row],[BudgetIncreaseAmount21]]/SummaryTable[[#This Row],[OriginalBudget20]]</f>
        <v>#DIV/0!</v>
      </c>
      <c r="BH7" s="61">
        <f>IF(COUNTIFS(allFYsTable[Code], SummaryTable[[#This Row],[Code]], allFYsTable[year2], BE$3)=0, NotFound, SUMIFS(allFYsTable[RevisedBudget], allFYsTable[Code], SummaryTable[[#This Row],[Code]], allFYsTable[year2], BE$3))</f>
        <v>8102</v>
      </c>
      <c r="BI7" s="61">
        <f>IF(COUNTIFS(allFYsTable[Code], SummaryTable[[#This Row],[Code]], allFYsTable[year2], BE$3)=0, NotFound, SUMIFS(allFYsTable[Actual], allFYsTable[Code], SummaryTable[[#This Row],[Code]], allFYsTable[year2], BE$3))</f>
        <v>8102</v>
      </c>
      <c r="BJ7" s="61">
        <f>IF(COUNTIFS(allFYsTable[Code], SummaryTable[[#This Row],[Code]], allFYsTable[year2], BE$3)=0, NotFound, SUMIFS(allFYsTable[DiffAmount], allFYsTable[Code], SummaryTable[[#This Row],[Code]], allFYsTable[year2], BE$3))</f>
        <v>8102</v>
      </c>
      <c r="BK7" s="63">
        <f>IF(SummaryTable[[#This Row],[OriginalBudget21]]=0, IF(SummaryTable[[#This Row],[DiffAmount21]]=0, ZeroBudgetNoSpending, ZeroBudgetWithSpending), SummaryTable[[#This Row],[DiffAmount21]]/SummaryTable[[#This Row],[OriginalBudget21]])</f>
        <v>99.99</v>
      </c>
      <c r="BL7" s="62">
        <f>IF(COUNTIFS(allFYsTable[Code], SummaryTable[[#This Row],[Code]], allFYsTable[year2], BL$3)=0, NotFound, SUMIFS(allFYsTable[OriginalBudget], allFYsTable[Code], SummaryTable[[#This Row],[Code]], allFYsTable[year2], BL$3))</f>
        <v>0</v>
      </c>
      <c r="BM7" s="61">
        <f>SummaryTable[[#This Row],[OriginalBudget20]]-SummaryTable[[#This Row],[OriginalBudget19]]</f>
        <v>0</v>
      </c>
      <c r="BN7" s="54" t="e">
        <f>SummaryTable[[#This Row],[BudgetIncreaseAmount20]]/SummaryTable[[#This Row],[OriginalBudget19]]</f>
        <v>#DIV/0!</v>
      </c>
      <c r="BO7" s="61">
        <f>IF(COUNTIFS(allFYsTable[Code], SummaryTable[[#This Row],[Code]], allFYsTable[year2], BL$3)=0, NotFound, SUMIFS(allFYsTable[RevisedBudget], allFYsTable[Code], SummaryTable[[#This Row],[Code]], allFYsTable[year2], BL$3))</f>
        <v>13350</v>
      </c>
      <c r="BP7" s="61">
        <f>IF(COUNTIFS(allFYsTable[Code], SummaryTable[[#This Row],[Code]], allFYsTable[year2], BL$3)=0, NotFound, SUMIFS(allFYsTable[Actual], allFYsTable[Code], SummaryTable[[#This Row],[Code]], allFYsTable[year2], BL$3))</f>
        <v>13350</v>
      </c>
      <c r="BQ7" s="61">
        <f>IF(COUNTIFS(allFYsTable[Code], SummaryTable[[#This Row],[Code]], allFYsTable[year2], BL$3)=0, NotFound, SUMIFS(allFYsTable[DiffAmount], allFYsTable[Code], SummaryTable[[#This Row],[Code]], allFYsTable[year2], BL$3))</f>
        <v>13350</v>
      </c>
      <c r="BR7" s="63">
        <f>IF(SummaryTable[[#This Row],[OriginalBudget20]]=0, IF(SummaryTable[[#This Row],[DiffAmount20]]=0, ZeroBudgetNoSpending, ZeroBudgetWithSpending), SummaryTable[[#This Row],[DiffAmount20]]/SummaryTable[[#This Row],[OriginalBudget20]])</f>
        <v>99.99</v>
      </c>
      <c r="BS7" s="62">
        <f>IF(COUNTIFS(allFYsTable[Code], SummaryTable[[#This Row],[Code]], allFYsTable[year2], BS$3)=0, NotFound, SUMIFS(allFYsTable[OriginalBudget], allFYsTable[Code], SummaryTable[[#This Row],[Code]], allFYsTable[year2], BS$3))</f>
        <v>0</v>
      </c>
      <c r="BT7" s="61">
        <f>SummaryTable[[#This Row],[OriginalBudget19]]-SummaryTable[[#This Row],[OriginalBudget18]]</f>
        <v>0</v>
      </c>
      <c r="BU7" s="54" t="e">
        <f>SummaryTable[[#This Row],[BudgetIncreaseAmount19]]/SummaryTable[[#This Row],[OriginalBudget18]]</f>
        <v>#DIV/0!</v>
      </c>
      <c r="BV7" s="61">
        <f>IF(COUNTIFS(allFYsTable[Code], SummaryTable[[#This Row],[Code]], allFYsTable[year2], BS$3)=0, NotFound, SUMIFS(allFYsTable[RevisedBudget], allFYsTable[Code], SummaryTable[[#This Row],[Code]], allFYsTable[year2], BS$3))</f>
        <v>10507</v>
      </c>
      <c r="BW7" s="61">
        <f>IF(COUNTIFS(allFYsTable[Code], SummaryTable[[#This Row],[Code]], allFYsTable[year2], BS$3)=0, NotFound, SUMIFS(allFYsTable[Actual], allFYsTable[Code], SummaryTable[[#This Row],[Code]], allFYsTable[year2], BS$3))</f>
        <v>10507</v>
      </c>
      <c r="BX7" s="61">
        <f>IF(COUNTIFS(allFYsTable[Code], SummaryTable[[#This Row],[Code]], allFYsTable[year2], BS$3)=0, NotFound, SUMIFS(allFYsTable[DiffAmount], allFYsTable[Code], SummaryTable[[#This Row],[Code]], allFYsTable[year2], BS$3))</f>
        <v>10507</v>
      </c>
      <c r="BY7" s="63">
        <f>IF(SummaryTable[[#This Row],[OriginalBudget19]]=0, IF(SummaryTable[[#This Row],[DiffAmount19]]=0, ZeroBudgetNoSpending, ZeroBudgetWithSpending), SummaryTable[[#This Row],[DiffAmount19]]/SummaryTable[[#This Row],[OriginalBudget19]])</f>
        <v>99.99</v>
      </c>
      <c r="BZ7" s="62">
        <f>IF(COUNTIFS(allFYsTable[Code], SummaryTable[[#This Row],[Code]], allFYsTable[year2], BZ$3)=0, NotFound, SUMIFS(allFYsTable[OriginalBudget], allFYsTable[Code], SummaryTable[[#This Row],[Code]], allFYsTable[year2], BZ$3))</f>
        <v>0</v>
      </c>
      <c r="CA7" s="61">
        <f>SummaryTable[[#This Row],[OriginalBudget18]]-SummaryTable[[#This Row],[OriginalBudget17]]</f>
        <v>0</v>
      </c>
      <c r="CB7" s="54" t="e">
        <f>SummaryTable[[#This Row],[BudgetIncreaseAmount18]]/SummaryTable[[#This Row],[OriginalBudget17]]</f>
        <v>#DIV/0!</v>
      </c>
      <c r="CC7" s="61">
        <f>IF(COUNTIFS(allFYsTable[Code], SummaryTable[[#This Row],[Code]], allFYsTable[year2], BZ$3)=0, NotFound, SUMIFS(allFYsTable[RevisedBudget], allFYsTable[Code], SummaryTable[[#This Row],[Code]], allFYsTable[year2], BZ$3))</f>
        <v>10315</v>
      </c>
      <c r="CD7" s="61">
        <f>IF(COUNTIFS(allFYsTable[Code], SummaryTable[[#This Row],[Code]], allFYsTable[year2], BZ$3)=0, NotFound, SUMIFS(allFYsTable[Actual], allFYsTable[Code], SummaryTable[[#This Row],[Code]], allFYsTable[year2], BZ$3))</f>
        <v>10315</v>
      </c>
      <c r="CE7" s="61">
        <f>IF(COUNTIFS(allFYsTable[Code], SummaryTable[[#This Row],[Code]], allFYsTable[year2], BZ$3)=0, NotFound, SUMIFS(allFYsTable[DiffAmount], allFYsTable[Code], SummaryTable[[#This Row],[Code]], allFYsTable[year2], BZ$3))</f>
        <v>10315</v>
      </c>
      <c r="CF7" s="63">
        <f>IF(SummaryTable[[#This Row],[OriginalBudget18]]=0, IF(SummaryTable[[#This Row],[DiffAmount18]]=0, ZeroBudgetNoSpending, ZeroBudgetWithSpending), SummaryTable[[#This Row],[DiffAmount18]]/SummaryTable[[#This Row],[OriginalBudget18]])</f>
        <v>99.99</v>
      </c>
      <c r="CG7" s="62">
        <f>IF(COUNTIFS(allFYsTable[Code], SummaryTable[[#This Row],[Code]], allFYsTable[year2], CG$3)=0, NotFound, SUMIFS(allFYsTable[OriginalBudget], allFYsTable[Code], SummaryTable[[#This Row],[Code]], allFYsTable[year2], CG$3))</f>
        <v>0</v>
      </c>
      <c r="CH7" s="61">
        <f>SummaryTable[[#This Row],[OriginalBudget17]]-SummaryTable[[#This Row],[OriginalBudget16]]</f>
        <v>0</v>
      </c>
      <c r="CI7" s="54" t="e">
        <f>SummaryTable[[#This Row],[BudgetIncreaseAmount17]]/SummaryTable[[#This Row],[OriginalBudget16]]</f>
        <v>#DIV/0!</v>
      </c>
      <c r="CJ7" s="61">
        <f>IF(COUNTIFS(allFYsTable[Code], SummaryTable[[#This Row],[Code]], allFYsTable[year2], CG$3)=0, NotFound, SUMIFS(allFYsTable[RevisedBudget], allFYsTable[Code], SummaryTable[[#This Row],[Code]], allFYsTable[year2], CG$3))</f>
        <v>0</v>
      </c>
      <c r="CK7" s="61">
        <f>IF(COUNTIFS(allFYsTable[Code], SummaryTable[[#This Row],[Code]], allFYsTable[year2], CG$3)=0, NotFound, SUMIFS(allFYsTable[Actual], allFYsTable[Code], SummaryTable[[#This Row],[Code]], allFYsTable[year2], CG$3))</f>
        <v>0</v>
      </c>
      <c r="CL7" s="61">
        <f>IF(COUNTIFS(allFYsTable[Code], SummaryTable[[#This Row],[Code]], allFYsTable[year2], CG$3)=0, NotFound, SUMIFS(allFYsTable[DiffAmount], allFYsTable[Code], SummaryTable[[#This Row],[Code]], allFYsTable[year2], CG$3))</f>
        <v>0</v>
      </c>
      <c r="CM7" s="63">
        <f>IF(SummaryTable[[#This Row],[OriginalBudget17]]=0, IF(SummaryTable[[#This Row],[DiffAmount17]]=0, ZeroBudgetNoSpending, ZeroBudgetWithSpending), SummaryTable[[#This Row],[DiffAmount17]]/SummaryTable[[#This Row],[OriginalBudget17]])</f>
        <v>0</v>
      </c>
      <c r="CN7" s="62">
        <f>IF(COUNTIFS(allFYsTable[Code], SummaryTable[[#This Row],[Code]], allFYsTable[year2], CN$3)=0, NotFound, SUMIFS(allFYsTable[OriginalBudget], allFYsTable[Code], SummaryTable[[#This Row],[Code]], allFYsTable[year2], CN$3))</f>
        <v>0</v>
      </c>
      <c r="CO7" s="61">
        <f>SummaryTable[[#This Row],[OriginalBudget16]]-SummaryTable[[#This Row],[OriginalBudget15]]</f>
        <v>0</v>
      </c>
      <c r="CP7" s="54" t="e">
        <f>SummaryTable[[#This Row],[BudgetIncreaseAmount16]]/SummaryTable[[#This Row],[OriginalBudget15]]</f>
        <v>#DIV/0!</v>
      </c>
      <c r="CQ7" s="61">
        <f>IF(COUNTIFS(allFYsTable[Code], SummaryTable[[#This Row],[Code]], allFYsTable[year2], CN$3)=0, NotFound, SUMIFS(allFYsTable[RevisedBudget], allFYsTable[Code], SummaryTable[[#This Row],[Code]], allFYsTable[year2], CN$3))</f>
        <v>11113</v>
      </c>
      <c r="CR7" s="61">
        <f>IF(COUNTIFS(allFYsTable[Code], SummaryTable[[#This Row],[Code]], allFYsTable[year2], CN$3)=0, NotFound, SUMIFS(allFYsTable[Actual], allFYsTable[Code], SummaryTable[[#This Row],[Code]], allFYsTable[year2], CN$3))</f>
        <v>11113</v>
      </c>
      <c r="CS7" s="61">
        <f>IF(COUNTIFS(allFYsTable[Code], SummaryTable[[#This Row],[Code]], allFYsTable[year2], CN$3)=0, NotFound, SUMIFS(allFYsTable[DiffAmount], allFYsTable[Code], SummaryTable[[#This Row],[Code]], allFYsTable[year2], CN$3))</f>
        <v>11113</v>
      </c>
      <c r="CT7" s="63">
        <f>IF(SummaryTable[[#This Row],[OriginalBudget16]]=0, IF(SummaryTable[[#This Row],[DiffAmount16]]=0, ZeroBudgetNoSpending, ZeroBudgetWithSpending), SummaryTable[[#This Row],[DiffAmount16]]/SummaryTable[[#This Row],[OriginalBudget16]])</f>
        <v>99.99</v>
      </c>
      <c r="CU7" s="62">
        <f>IF(COUNTIFS(allFYsTable[Code], SummaryTable[[#This Row],[Code]], allFYsTable[year2], CU$3)=0, NotFound, SUMIFS(allFYsTable[OriginalBudget], allFYsTable[Code], SummaryTable[[#This Row],[Code]], allFYsTable[year2], CU$3))</f>
        <v>0</v>
      </c>
      <c r="CV7" s="61">
        <f>SummaryTable[[#This Row],[OriginalBudget15]]-SummaryTable[[#This Row],[OriginalBudget14]]</f>
        <v>0</v>
      </c>
      <c r="CW7" s="54" t="e">
        <f>SummaryTable[[#This Row],[BudgetIncreaseAmount15]]/SummaryTable[[#This Row],[OriginalBudget14]]</f>
        <v>#DIV/0!</v>
      </c>
      <c r="CX7" s="61">
        <f>IF(COUNTIFS(allFYsTable[Code], SummaryTable[[#This Row],[Code]], allFYsTable[year2], CU$3)=0, NotFound, SUMIFS(allFYsTable[RevisedBudget], allFYsTable[Code], SummaryTable[[#This Row],[Code]], allFYsTable[year2], CU$3))</f>
        <v>12697</v>
      </c>
      <c r="CY7" s="61">
        <f>IF(COUNTIFS(allFYsTable[Code], SummaryTable[[#This Row],[Code]], allFYsTable[year2], CU$3)=0, NotFound, SUMIFS(allFYsTable[Actual], allFYsTable[Code], SummaryTable[[#This Row],[Code]], allFYsTable[year2], CU$3))</f>
        <v>12697</v>
      </c>
      <c r="CZ7" s="61">
        <f>IF(COUNTIFS(allFYsTable[Code], SummaryTable[[#This Row],[Code]], allFYsTable[year2], CU$3)=0, NotFound, SUMIFS(allFYsTable[DiffAmount], allFYsTable[Code], SummaryTable[[#This Row],[Code]], allFYsTable[year2], CU$3))</f>
        <v>12697</v>
      </c>
      <c r="DA7" s="63">
        <f>IF(SummaryTable[[#This Row],[OriginalBudget15]]=0, IF(SummaryTable[[#This Row],[DiffAmount15]]=0, ZeroBudgetNoSpending, ZeroBudgetWithSpending), SummaryTable[[#This Row],[DiffAmount15]]/SummaryTable[[#This Row],[OriginalBudget15]])</f>
        <v>99.99</v>
      </c>
      <c r="DB7" s="62">
        <f>IF(COUNTIFS(allFYsTable[Code], SummaryTable[[#This Row],[Code]], allFYsTable[year2], DB$3)=0, NotFound, SUMIFS(allFYsTable[OriginalBudget], allFYsTable[Code], SummaryTable[[#This Row],[Code]], allFYsTable[year2], DB$3))</f>
        <v>0</v>
      </c>
      <c r="DC7" s="61" t="e">
        <f>SummaryTable[[#This Row],[OriginalBudget14]]-SummaryTable[[#This Row],[OriginalBudget13]]</f>
        <v>#N/A</v>
      </c>
      <c r="DD7" s="54" t="e">
        <f>SummaryTable[[#This Row],[BudgetIncreaseAmount14]]/SummaryTable[[#This Row],[OriginalBudget13]]</f>
        <v>#N/A</v>
      </c>
      <c r="DE7" s="61">
        <f>IF(COUNTIFS(allFYsTable[Code], SummaryTable[[#This Row],[Code]], allFYsTable[year2], DB$3)=0, NotFound, SUMIFS(allFYsTable[RevisedBudget], allFYsTable[Code], SummaryTable[[#This Row],[Code]], allFYsTable[year2], DB$3))</f>
        <v>9237</v>
      </c>
      <c r="DF7" s="61">
        <f>IF(COUNTIFS(allFYsTable[Code], SummaryTable[[#This Row],[Code]], allFYsTable[year2], DB$3)=0, NotFound, SUMIFS(allFYsTable[Actual], allFYsTable[Code], SummaryTable[[#This Row],[Code]], allFYsTable[year2], DB$3))</f>
        <v>9237</v>
      </c>
      <c r="DG7" s="61">
        <f>IF(COUNTIFS(allFYsTable[Code], SummaryTable[[#This Row],[Code]], allFYsTable[year2], DB$3)=0, NotFound, SUMIFS(allFYsTable[DiffAmount], allFYsTable[Code], SummaryTable[[#This Row],[Code]], allFYsTable[year2], DB$3))</f>
        <v>9237</v>
      </c>
      <c r="DH7" s="63">
        <f>IF(SummaryTable[[#This Row],[OriginalBudget14]]=0, IF(SummaryTable[[#This Row],[DiffAmount14]]=0, ZeroBudgetNoSpending, ZeroBudgetWithSpending), SummaryTable[[#This Row],[DiffAmount14]]/SummaryTable[[#This Row],[OriginalBudget14]])</f>
        <v>99.99</v>
      </c>
      <c r="DI7" s="62" t="e">
        <f>IF(COUNTIFS(allFYsTable[Code], SummaryTable[[#This Row],[Code]], allFYsTable[year2], DI$3)=0, NotFound, SUMIFS(allFYsTable[OriginalBudget], allFYsTable[Code], SummaryTable[[#This Row],[Code]], allFYsTable[year2], DI$3))</f>
        <v>#N/A</v>
      </c>
      <c r="DJ7" s="61" t="e">
        <f>SummaryTable[[#This Row],[OriginalBudget13]]-SummaryTable[[#This Row],[OriginalBudget12]]</f>
        <v>#N/A</v>
      </c>
      <c r="DK7" s="54" t="e">
        <f>SummaryTable[[#This Row],[BudgetIncreaseAmount13]]/SummaryTable[[#This Row],[OriginalBudget12]]</f>
        <v>#N/A</v>
      </c>
      <c r="DL7" s="61" t="e">
        <f>IF(COUNTIFS(allFYsTable[Code], SummaryTable[[#This Row],[Code]], allFYsTable[year2], DI$3)=0, NotFound, SUMIFS(allFYsTable[RevisedBudget], allFYsTable[Code], SummaryTable[[#This Row],[Code]], allFYsTable[year2], DI$3))</f>
        <v>#N/A</v>
      </c>
      <c r="DM7" s="61" t="e">
        <f>IF(COUNTIFS(allFYsTable[Code], SummaryTable[[#This Row],[Code]], allFYsTable[year2], DI$3)=0, NotFound, SUMIFS(allFYsTable[Actual], allFYsTable[Code], SummaryTable[[#This Row],[Code]], allFYsTable[year2], DI$3))</f>
        <v>#N/A</v>
      </c>
      <c r="DN7" s="61" t="e">
        <f>IF(COUNTIFS(allFYsTable[Code], SummaryTable[[#This Row],[Code]], allFYsTable[year2], DI$3)=0, NotFound, SUMIFS(allFYsTable[DiffAmount], allFYsTable[Code], SummaryTable[[#This Row],[Code]], allFYsTable[year2], DI$3))</f>
        <v>#N/A</v>
      </c>
      <c r="DO7" s="63" t="e">
        <f>IF(SummaryTable[[#This Row],[OriginalBudget13]]=0, IF(SummaryTable[[#This Row],[DiffAmount13]]=0, ZeroBudgetNoSpending, ZeroBudgetWithSpending), SummaryTable[[#This Row],[DiffAmount13]]/SummaryTable[[#This Row],[OriginalBudget13]])</f>
        <v>#N/A</v>
      </c>
      <c r="DP7" s="62">
        <f>IF(COUNTIFS(allFYsTable[Code], SummaryTable[[#This Row],[Code]], allFYsTable[year2], DP$3)=0, NotFound, SUMIFS(allFYsTable[OriginalBudget], allFYsTable[Code], SummaryTable[[#This Row],[Code]], allFYsTable[year2], DP$3))</f>
        <v>0</v>
      </c>
      <c r="DQ7" s="61">
        <f>SummaryTable[[#This Row],[OriginalBudget12]]-SummaryTable[[#This Row],[OriginalBudget11]]</f>
        <v>0</v>
      </c>
      <c r="DR7" s="54" t="e">
        <f>SummaryTable[[#This Row],[BudgetIncreaseAmount12]]/SummaryTable[[#This Row],[OriginalBudget11]]</f>
        <v>#DIV/0!</v>
      </c>
      <c r="DS7" s="61">
        <f>IF(COUNTIFS(allFYsTable[Code], SummaryTable[[#This Row],[Code]], allFYsTable[year2], DP$3)=0, NotFound, SUMIFS(allFYsTable[RevisedBudget], allFYsTable[Code], SummaryTable[[#This Row],[Code]], allFYsTable[year2], DP$3))</f>
        <v>4434</v>
      </c>
      <c r="DT7" s="61">
        <f>IF(COUNTIFS(allFYsTable[Code], SummaryTable[[#This Row],[Code]], allFYsTable[year2], DP$3)=0, NotFound, SUMIFS(allFYsTable[Actual], allFYsTable[Code], SummaryTable[[#This Row],[Code]], allFYsTable[year2], DP$3))</f>
        <v>4434</v>
      </c>
      <c r="DU7" s="61">
        <f>IF(COUNTIFS(allFYsTable[Code], SummaryTable[[#This Row],[Code]], allFYsTable[year2], DP$3)=0, NotFound, SUMIFS(allFYsTable[DiffAmount], allFYsTable[Code], SummaryTable[[#This Row],[Code]], allFYsTable[year2], DP$3))</f>
        <v>4434</v>
      </c>
      <c r="DV7" s="63">
        <f>IF(SummaryTable[[#This Row],[OriginalBudget12]]=0, IF(SummaryTable[[#This Row],[DiffAmount12]]=0, ZeroBudgetNoSpending, ZeroBudgetWithSpending), SummaryTable[[#This Row],[DiffAmount12]]/SummaryTable[[#This Row],[OriginalBudget12]])</f>
        <v>99.99</v>
      </c>
      <c r="DW7" s="62">
        <f>IF(COUNTIFS(allFYsTable[Code], SummaryTable[[#This Row],[Code]], allFYsTable[year2], DW$3)=0, NotFound, SUMIFS(allFYsTable[OriginalBudget], allFYsTable[Code], SummaryTable[[#This Row],[Code]], allFYsTable[year2], DW$3))</f>
        <v>0</v>
      </c>
      <c r="DX7" s="61">
        <f>SummaryTable[[#This Row],[OriginalBudget11]]-SummaryTable[[#This Row],[OriginalBudget10]]</f>
        <v>0</v>
      </c>
      <c r="DY7" s="54" t="e">
        <f>SummaryTable[[#This Row],[BudgetIncreaseAmount11]]/SummaryTable[[#This Row],[OriginalBudget10]]</f>
        <v>#DIV/0!</v>
      </c>
      <c r="DZ7" s="61">
        <f>IF(COUNTIFS(allFYsTable[Code], SummaryTable[[#This Row],[Code]], allFYsTable[year2], DW$3)=0, NotFound, SUMIFS(allFYsTable[RevisedBudget], allFYsTable[Code], SummaryTable[[#This Row],[Code]], allFYsTable[year2], DW$3))</f>
        <v>5664</v>
      </c>
      <c r="EA7" s="61">
        <f>IF(COUNTIFS(allFYsTable[Code], SummaryTable[[#This Row],[Code]], allFYsTable[year2], DW$3)=0, NotFound, SUMIFS(allFYsTable[Actual], allFYsTable[Code], SummaryTable[[#This Row],[Code]], allFYsTable[year2], DW$3))</f>
        <v>5664</v>
      </c>
      <c r="EB7" s="61">
        <f>IF(COUNTIFS(allFYsTable[Code], SummaryTable[[#This Row],[Code]], allFYsTable[year2], DW$3)=0, NotFound, SUMIFS(allFYsTable[DiffAmount], allFYsTable[Code], SummaryTable[[#This Row],[Code]], allFYsTable[year2], DW$3))</f>
        <v>5664</v>
      </c>
      <c r="EC7" s="63">
        <f>IF(SummaryTable[[#This Row],[OriginalBudget11]]=0, IF(SummaryTable[[#This Row],[DiffAmount11]]=0, ZeroBudgetNoSpending, ZeroBudgetWithSpending), SummaryTable[[#This Row],[DiffAmount11]]/SummaryTable[[#This Row],[OriginalBudget11]])</f>
        <v>99.99</v>
      </c>
      <c r="ED7" s="62">
        <f>IF(COUNTIFS(allFYsTable[Code], SummaryTable[[#This Row],[Code]], allFYsTable[year2], ED$3)=0, NotFound, SUMIFS(allFYsTable[OriginalBudget], allFYsTable[Code], SummaryTable[[#This Row],[Code]], allFYsTable[year2], ED$3))</f>
        <v>0</v>
      </c>
      <c r="EE7" s="61">
        <f>SummaryTable[[#This Row],[OriginalBudget10]]-SummaryTable[[#This Row],[OriginalBudget09]]</f>
        <v>0</v>
      </c>
      <c r="EF7" s="54" t="e">
        <f>SummaryTable[[#This Row],[BudgetIncreaseAmount10]]/SummaryTable[[#This Row],[OriginalBudget09]]</f>
        <v>#DIV/0!</v>
      </c>
      <c r="EG7" s="61">
        <f>IF(COUNTIFS(allFYsTable[Code], SummaryTable[[#This Row],[Code]], allFYsTable[year2], ED$3)=0, NotFound, SUMIFS(allFYsTable[RevisedBudget], allFYsTable[Code], SummaryTable[[#This Row],[Code]], allFYsTable[year2], ED$3))</f>
        <v>27118</v>
      </c>
      <c r="EH7" s="61">
        <f>IF(COUNTIFS(allFYsTable[Code], SummaryTable[[#This Row],[Code]], allFYsTable[year2], ED$3)=0, NotFound, SUMIFS(allFYsTable[Actual], allFYsTable[Code], SummaryTable[[#This Row],[Code]], allFYsTable[year2], ED$3))</f>
        <v>27118</v>
      </c>
      <c r="EI7" s="61">
        <f>IF(COUNTIFS(allFYsTable[Code], SummaryTable[[#This Row],[Code]], allFYsTable[year2], ED$3)=0, NotFound, SUMIFS(allFYsTable[DiffAmount], allFYsTable[Code], SummaryTable[[#This Row],[Code]], allFYsTable[year2], ED$3))</f>
        <v>27118</v>
      </c>
      <c r="EJ7" s="63">
        <f>IF(SummaryTable[[#This Row],[OriginalBudget10]]=0, IF(SummaryTable[[#This Row],[DiffAmount10]]=0, ZeroBudgetNoSpending, ZeroBudgetWithSpending), SummaryTable[[#This Row],[DiffAmount10]]/SummaryTable[[#This Row],[OriginalBudget10]])</f>
        <v>99.99</v>
      </c>
      <c r="EK7" s="62">
        <f>IF(COUNTIFS(allFYsTable[Code], SummaryTable[[#This Row],[Code]], allFYsTable[year2], EK$3)=0, NotFound, SUMIFS(allFYsTable[OriginalBudget], allFYsTable[Code], SummaryTable[[#This Row],[Code]], allFYsTable[year2], EK$3))</f>
        <v>0</v>
      </c>
      <c r="EL7" s="61">
        <f>SummaryTable[[#This Row],[OriginalBudget09]]-SummaryTable[[#This Row],[OriginalBudget08]]</f>
        <v>0</v>
      </c>
      <c r="EM7" s="54" t="e">
        <f>SummaryTable[[#This Row],[BudgetIncreaseAmount09]]/SummaryTable[[#This Row],[OriginalBudget08]]</f>
        <v>#DIV/0!</v>
      </c>
      <c r="EN7" s="61">
        <f>IF(COUNTIFS(allFYsTable[Code], SummaryTable[[#This Row],[Code]], allFYsTable[year2], EK$3)=0, NotFound, SUMIFS(allFYsTable[RevisedBudget], allFYsTable[Code], SummaryTable[[#This Row],[Code]], allFYsTable[year2], EK$3))</f>
        <v>9757</v>
      </c>
      <c r="EO7" s="61">
        <f>IF(COUNTIFS(allFYsTable[Code], SummaryTable[[#This Row],[Code]], allFYsTable[year2], EK$3)=0, NotFound, SUMIFS(allFYsTable[Actual], allFYsTable[Code], SummaryTable[[#This Row],[Code]], allFYsTable[year2], EK$3))</f>
        <v>9757</v>
      </c>
      <c r="EP7" s="61">
        <f>IF(COUNTIFS(allFYsTable[Code], SummaryTable[[#This Row],[Code]], allFYsTable[year2], EK$3)=0, NotFound, SUMIFS(allFYsTable[DiffAmount], allFYsTable[Code], SummaryTable[[#This Row],[Code]], allFYsTable[year2], EK$3))</f>
        <v>9757</v>
      </c>
      <c r="EQ7" s="63">
        <f>IF(SummaryTable[[#This Row],[OriginalBudget09]]=0, IF(SummaryTable[[#This Row],[DiffAmount09]]=0, ZeroBudgetNoSpending, ZeroBudgetWithSpending), SummaryTable[[#This Row],[DiffAmount09]]/SummaryTable[[#This Row],[OriginalBudget09]])</f>
        <v>99.99</v>
      </c>
      <c r="ER7" s="62">
        <f>IF(COUNTIFS(allFYsTable[Code], SummaryTable[[#This Row],[Code]], allFYsTable[year2], ER$3)=0, NotFound, SUMIFS(allFYsTable[OriginalBudget], allFYsTable[Code], SummaryTable[[#This Row],[Code]], allFYsTable[year2], ER$3))</f>
        <v>0</v>
      </c>
      <c r="ES7" s="61">
        <f>SummaryTable[[#This Row],[OriginalBudget08]]-SummaryTable[[#This Row],[OriginalBudget07]]</f>
        <v>0</v>
      </c>
      <c r="ET7" s="54" t="e">
        <f>SummaryTable[[#This Row],[BudgetIncreaseAmount08]]/SummaryTable[[#This Row],[OriginalBudget07]]</f>
        <v>#DIV/0!</v>
      </c>
      <c r="EU7" s="61">
        <f>IF(COUNTIFS(allFYsTable[Code], SummaryTable[[#This Row],[Code]], allFYsTable[year2], ER$3)=0, NotFound, SUMIFS(allFYsTable[RevisedBudget], allFYsTable[Code], SummaryTable[[#This Row],[Code]], allFYsTable[year2], ER$3))</f>
        <v>517</v>
      </c>
      <c r="EV7" s="61">
        <f>IF(COUNTIFS(allFYsTable[Code], SummaryTable[[#This Row],[Code]], allFYsTable[year2], ER$3)=0, NotFound, SUMIFS(allFYsTable[Actual], allFYsTable[Code], SummaryTable[[#This Row],[Code]], allFYsTable[year2], ER$3))</f>
        <v>517</v>
      </c>
      <c r="EW7" s="61">
        <f>IF(COUNTIFS(allFYsTable[Code], SummaryTable[[#This Row],[Code]], allFYsTable[year2], ER$3)=0, NotFound, SUMIFS(allFYsTable[DiffAmount], allFYsTable[Code], SummaryTable[[#This Row],[Code]], allFYsTable[year2], ER$3))</f>
        <v>517</v>
      </c>
      <c r="EX7" s="63">
        <f>IF(SummaryTable[[#This Row],[OriginalBudget08]]=0, IF(SummaryTable[[#This Row],[DiffAmount08]]=0, ZeroBudgetNoSpending, ZeroBudgetWithSpending), SummaryTable[[#This Row],[DiffAmount08]]/SummaryTable[[#This Row],[OriginalBudget08]])</f>
        <v>99.99</v>
      </c>
      <c r="EY7" s="62">
        <f>IF(COUNTIFS(allFYsTable[Code], SummaryTable[[#This Row],[Code]], allFYsTable[year2], EY$3)=0, NotFound, SUMIFS(allFYsTable[OriginalBudget], allFYsTable[Code], SummaryTable[[#This Row],[Code]], allFYsTable[year2], EY$3))</f>
        <v>0</v>
      </c>
      <c r="EZ7" s="61">
        <f>SummaryTable[[#This Row],[OriginalBudget07]]-SummaryTable[[#This Row],[OriginalBudget06]]</f>
        <v>0</v>
      </c>
      <c r="FA7" s="54" t="e">
        <f>SummaryTable[[#This Row],[BudgetIncreaseAmount07]]/SummaryTable[[#This Row],[OriginalBudget06]]</f>
        <v>#DIV/0!</v>
      </c>
      <c r="FB7" s="61">
        <f>IF(COUNTIFS(allFYsTable[Code], SummaryTable[[#This Row],[Code]], allFYsTable[year2], EY$3)=0, NotFound, SUMIFS(allFYsTable[RevisedBudget], allFYsTable[Code], SummaryTable[[#This Row],[Code]], allFYsTable[year2], EY$3))</f>
        <v>4956</v>
      </c>
      <c r="FC7" s="61">
        <f>IF(COUNTIFS(allFYsTable[Code], SummaryTable[[#This Row],[Code]], allFYsTable[year2], EY$3)=0, NotFound, SUMIFS(allFYsTable[Actual], allFYsTable[Code], SummaryTable[[#This Row],[Code]], allFYsTable[year2], EY$3))</f>
        <v>4956</v>
      </c>
      <c r="FD7" s="61">
        <f>IF(COUNTIFS(allFYsTable[Code], SummaryTable[[#This Row],[Code]], allFYsTable[year2], EY$3)=0, NotFound, SUMIFS(allFYsTable[DiffAmount], allFYsTable[Code], SummaryTable[[#This Row],[Code]], allFYsTable[year2], EY$3))</f>
        <v>4956</v>
      </c>
      <c r="FE7" s="63">
        <f>IF(SummaryTable[[#This Row],[OriginalBudget07]]=0, IF(SummaryTable[[#This Row],[DiffAmount07]]=0, ZeroBudgetNoSpending, ZeroBudgetWithSpending), SummaryTable[[#This Row],[DiffAmount07]]/SummaryTable[[#This Row],[OriginalBudget07]])</f>
        <v>99.99</v>
      </c>
      <c r="FF7" s="62">
        <f>IF(COUNTIFS(allFYsTable[Code], SummaryTable[[#This Row],[Code]], allFYsTable[year2], FF$3)=0, NotFound, SUMIFS(allFYsTable[OriginalBudget], allFYsTable[Code], SummaryTable[[#This Row],[Code]], allFYsTable[year2], FF$3))</f>
        <v>0</v>
      </c>
      <c r="FI7" s="61">
        <f>IF(COUNTIFS(allFYsTable[Code], SummaryTable[[#This Row],[Code]], allFYsTable[year2], FF$3)=0, NotFound, SUMIFS(allFYsTable[RevisedBudget], allFYsTable[Code], SummaryTable[[#This Row],[Code]], allFYsTable[year2], FF$3))</f>
        <v>2943</v>
      </c>
      <c r="FJ7" s="61">
        <f>IF(COUNTIFS(allFYsTable[Code], SummaryTable[[#This Row],[Code]], allFYsTable[year2], FF$3)=0, NotFound, SUMIFS(allFYsTable[Actual], allFYsTable[Code], SummaryTable[[#This Row],[Code]], allFYsTable[year2], FF$3))</f>
        <v>2943</v>
      </c>
      <c r="FK7" s="61">
        <f>IF(COUNTIFS(allFYsTable[Code], SummaryTable[[#This Row],[Code]], allFYsTable[year2], FF$3)=0, NotFound, SUMIFS(allFYsTable[DiffAmount], allFYsTable[Code], SummaryTable[[#This Row],[Code]], allFYsTable[year2], FF$3))</f>
        <v>2943</v>
      </c>
      <c r="FL7" s="63">
        <f>IF(SummaryTable[[#This Row],[OriginalBudget06]]=0, IF(SummaryTable[[#This Row],[DiffAmount06]]=0, ZeroBudgetNoSpending, ZeroBudgetWithSpending), SummaryTable[[#This Row],[DiffAmount06]]/SummaryTable[[#This Row],[OriginalBudget06]])</f>
        <v>99.99</v>
      </c>
    </row>
    <row r="8" spans="1:168" x14ac:dyDescent="0.45">
      <c r="A8" t="s">
        <v>699</v>
      </c>
      <c r="B8">
        <f>_xlfn.MAXIFS(allFYsTable[year2], allFYsTable[Code], SummaryTable[[#This Row],[Code]])</f>
        <v>2025</v>
      </c>
      <c r="C8" t="str">
        <f>_xlfn.XLOOKUP(SummaryTable[[#This Row],[Code]], NameCodingTable[Code], NameCodingTable[Most Recent Category per allFYs])</f>
        <v>Governmental direction and support</v>
      </c>
      <c r="D8" t="str">
        <f>_xlfn.XLOOKUP(SummaryTable[[#This Row],[Code]], NameCodingTable[Code], NameCodingTable[Unit Display Name])</f>
        <v>Board of Elections (BOE)</v>
      </c>
      <c r="E8" t="str">
        <f>_xlfn.XLOOKUP(SummaryTable[[#This Row],[Code]], NameCodingTable[Code], NameCodingTable[Type])</f>
        <v>agency</v>
      </c>
      <c r="F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11</v>
      </c>
      <c r="H8" s="54">
        <f>SummaryTable[[#This Row],['# Over]]/SummaryTable[[#This Row],[Count]]</f>
        <v>0.55000000000000004</v>
      </c>
      <c r="I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9</v>
      </c>
      <c r="J8" s="54">
        <f>SummaryTable[[#This Row],['# Under]]/SummaryTable[[#This Row],[Count]]</f>
        <v>0.45</v>
      </c>
      <c r="K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 s="54">
        <f>SummaryTable[[#This Row],['# Equal]]/SummaryTable[[#This Row],[Count]]</f>
        <v>0</v>
      </c>
      <c r="M8" s="61">
        <f>SUMIFS(allFYsTable[OriginalBudget],allFYsTable[Code],SummaryTable[[#This Row],[Code]])/SummaryTable[[#This Row],[Count]]</f>
        <v>8251.15</v>
      </c>
      <c r="N8" s="61">
        <f>SUMIFS(allFYsTable[Actual],allFYsTable[Code],SummaryTable[[#This Row],[Code]])/SummaryTable[[#This Row],[Count]]</f>
        <v>8436.7000000000007</v>
      </c>
      <c r="O8" s="61">
        <f>SummaryTable[[#This Row],[AvgActAmt]]-SummaryTable[[#This Row],[AvgBudAmt]]</f>
        <v>185.55000000000109</v>
      </c>
      <c r="P8" s="54">
        <f>IF(SummaryTable[[#This Row],[AvgBudAmt]]=0, IF(SummaryTable[[#This Row],[AvgDiff'#]]=0, 0, NamedFields!$C$3), SummaryTable[[#This Row],[AvgDiff'#]]/SummaryTable[[#This Row],[AvgBudAmt]])</f>
        <v>2.2487774431443022E-2</v>
      </c>
      <c r="Q8" s="61">
        <f>IFERROR(SUMIFS(allFYsTable[OriginalBudget],allFYsTable[Code],SummaryTable[[#This Row],[Code]],allFYsTable[DiffAmount], "&gt;0")/SummaryTable[[#This Row],['# Over]], 0)</f>
        <v>7833.818181818182</v>
      </c>
      <c r="R8" s="61">
        <f>IFERROR(SUMIFS(allFYsTable[Actual],allFYsTable[Code],SummaryTable[[#This Row],[Code]],allFYsTable[DiffAmount], "&gt;0")/SummaryTable[[#This Row],['# Over]], 0)</f>
        <v>8406.0909090909099</v>
      </c>
      <c r="S8" s="61">
        <f>SummaryTable[[#This Row],[OverAvgAct]]-SummaryTable[[#This Row],[OverAvgBud]]</f>
        <v>572.27272727272793</v>
      </c>
      <c r="T8" s="54">
        <f>IF(SummaryTable[[#This Row],[OverAvgBud]]=0, IF(SummaryTable[[#This Row],[OverAvgDiff'#]]=0, ZeroBudgetNoSpending, ZeroBudgetWithSpending), SummaryTable[[#This Row],[OverAvgDiff'#]]/SummaryTable[[#This Row],[OverAvgBud]])</f>
        <v>7.3051571276052635E-2</v>
      </c>
      <c r="U8" s="61">
        <f>IFERROR(SUMIFS(allFYsTable[OriginalBudget],allFYsTable[Code],SummaryTable[[#This Row],[Code]],allFYsTable[DiffAmount], "&lt;0")/SummaryTable[[#This Row],['# Under]], 0)</f>
        <v>8761.2222222222226</v>
      </c>
      <c r="V8" s="61">
        <f>IFERROR( SUMIFS(allFYsTable[Actual],allFYsTable[Code],SummaryTable[[#This Row],[Code]],allFYsTable[DiffAmount], "&lt;0")/SummaryTable[[#This Row],['# Under]], 0)</f>
        <v>8474.1111111111113</v>
      </c>
      <c r="W8" s="61">
        <f>SummaryTable[[#This Row],[UnderAvgAct]]-SummaryTable[[#This Row],[UnderAvgBud]]</f>
        <v>-287.11111111111131</v>
      </c>
      <c r="X8" s="54">
        <f>IF(SummaryTable[[#This Row],[UnderAvgBud]]=0, IF(SummaryTable[[#This Row],[UnderAvgDiff'#]]=0, ZeroBudgetNoSpending, NamedFields!$C$3), SummaryTable[[#This Row],[UnderAvgDiff'#]]/SummaryTable[[#This Row],[UnderAvgBud]])</f>
        <v>-3.2770668729629325E-2</v>
      </c>
      <c r="Y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8" s="54">
        <f>IF(SummaryTable[[#This Row],[IncreaseYears]]=0, ZeroBudgetNoSpending, SummaryTable[[#This Row],[OSinIncreaseYear'#]]/SummaryTable[[#This Row],[IncreaseYears]])</f>
        <v>0.2</v>
      </c>
      <c r="AB8" s="58" t="str">
        <f>SummaryTable[[#This Row],[Code]]</f>
        <v>DL0</v>
      </c>
      <c r="AC8" s="62">
        <f>IF(COUNTIFS(allFYsTable[Code], SummaryTable[[#This Row],[Code]], allFYsTable[year2], AC$3)=0, NotFound, SUMIFS(allFYsTable[OriginalBudget], allFYsTable[Code], SummaryTable[[#This Row],[Code]], allFYsTable[year2], AC$3))</f>
        <v>14561</v>
      </c>
      <c r="AD8" s="61">
        <f>SummaryTable[[#This Row],[OriginalBudget25]]-SummaryTable[[#This Row],[OriginalBudget24]]</f>
        <v>-243</v>
      </c>
      <c r="AE8" s="54">
        <f>SummaryTable[[#This Row],[BudgetIncreaseAmount25]]/SummaryTable[[#This Row],[OriginalBudget24]]</f>
        <v>-1.6414482572277764E-2</v>
      </c>
      <c r="AF8" s="61">
        <f>IF(COUNTIFS(allFYsTable[Code], SummaryTable[[#This Row],[Code]], allFYsTable[year2], AC$3)=0, NotFound, SUMIFS(allFYsTable[RevisedBudget], allFYsTable[Code], SummaryTable[[#This Row],[Code]], allFYsTable[year2], AC$3))</f>
        <v>14809</v>
      </c>
      <c r="AG8" s="61">
        <f>IF(COUNTIFS(allFYsTable[Code], SummaryTable[[#This Row],[Code]], allFYsTable[year2], AC$3)=0, NotFound, SUMIFS(allFYsTable[Actual], allFYsTable[Code], SummaryTable[[#This Row],[Code]], allFYsTable[year2], AC$3))</f>
        <v>14703</v>
      </c>
      <c r="AH8" s="61">
        <f>IF(COUNTIFS(allFYsTable[Code], SummaryTable[[#This Row],[Code]], allFYsTable[year2], AC$3)=0, NotFound, SUMIFS(allFYsTable[DiffAmount], allFYsTable[Code], SummaryTable[[#This Row],[Code]], allFYsTable[year2], AC$3))</f>
        <v>142</v>
      </c>
      <c r="AI8" s="63">
        <f>IF(SummaryTable[[#This Row],[OriginalBudget25]]=0, IF(SummaryTable[[#This Row],[DiffAmount25]]=0, ZeroBudgetNoSpending, ZeroBudgetWithSpending), SummaryTable[[#This Row],[DiffAmount25]]/SummaryTable[[#This Row],[OriginalBudget25]])</f>
        <v>9.7520774672069221E-3</v>
      </c>
      <c r="AJ8" s="62">
        <f>IF(COUNTIFS(allFYsTable[Code], SummaryTable[[#This Row],[Code]], allFYsTable[year2], AJ$3)=0, NotFound, SUMIFS(allFYsTable[OriginalBudget], allFYsTable[Code], SummaryTable[[#This Row],[Code]], allFYsTable[year2], AJ$3))</f>
        <v>14804</v>
      </c>
      <c r="AK8" s="61">
        <f>SummaryTable[[#This Row],[OriginalBudget24]]-SummaryTable[[#This Row],[OriginalBudget23]]</f>
        <v>2934</v>
      </c>
      <c r="AL8" s="54">
        <f>SummaryTable[[#This Row],[BudgetIncreaseAmount24]]/SummaryTable[[#This Row],[OriginalBudget23]]</f>
        <v>0.24717775905644482</v>
      </c>
      <c r="AM8" s="61">
        <f>IF(COUNTIFS(allFYsTable[Code], SummaryTable[[#This Row],[Code]], allFYsTable[year2], AK$3)=0, NotFound, SUMIFS(allFYsTable[RevisedBudget], allFYsTable[Code], SummaryTable[[#This Row],[Code]], allFYsTable[year2], AJ$3))</f>
        <v>14804</v>
      </c>
      <c r="AN8" s="61">
        <f>IF(COUNTIFS(allFYsTable[Code], SummaryTable[[#This Row],[Code]], allFYsTable[year2], AJ$3)=0, NotFound, SUMIFS(allFYsTable[Actual], allFYsTable[Code], SummaryTable[[#This Row],[Code]], allFYsTable[year2], AJ$3))</f>
        <v>14750</v>
      </c>
      <c r="AO8" s="61">
        <f>IF(COUNTIFS(allFYsTable[Code], SummaryTable[[#This Row],[Code]], allFYsTable[year2], AJ$3)=0, NotFound, SUMIFS(allFYsTable[DiffAmount], allFYsTable[Code], SummaryTable[[#This Row],[Code]], allFYsTable[year2], AJ$3))</f>
        <v>-54</v>
      </c>
      <c r="AP8" s="63">
        <f>IF(SummaryTable[[#This Row],[OriginalBudget24]]=0, IF(SummaryTable[[#This Row],[DiffAmount24]]=0, ZeroBudgetNoSpending, ZeroBudgetWithSpending), SummaryTable[[#This Row],[DiffAmount24]]/SummaryTable[[#This Row],[OriginalBudget24]])</f>
        <v>-3.6476627938395027E-3</v>
      </c>
      <c r="AQ8" s="62">
        <f>IF(COUNTIFS(allFYsTable[Code], SummaryTable[[#This Row],[Code]], allFYsTable[year2], AQ$3)=0, NotFound, SUMIFS(allFYsTable[OriginalBudget], allFYsTable[Code], SummaryTable[[#This Row],[Code]], allFYsTable[year2], AQ$3))</f>
        <v>11870</v>
      </c>
      <c r="AR8" s="61">
        <f>SummaryTable[[#This Row],[OriginalBudget23]]-SummaryTable[[#This Row],[OriginalBudget22]]</f>
        <v>-315</v>
      </c>
      <c r="AS8" s="54">
        <f>SummaryTable[[#This Row],[BudgetIncreaseAmount23]]/SummaryTable[[#This Row],[OriginalBudget22]]</f>
        <v>-2.5851456709068528E-2</v>
      </c>
      <c r="AT8" s="61">
        <f>IF(COUNTIFS(allFYsTable[Code], SummaryTable[[#This Row],[Code]], allFYsTable[year2], AQ$3)=0, NotFound, SUMIFS(allFYsTable[RevisedBudget], allFYsTable[Code], SummaryTable[[#This Row],[Code]], allFYsTable[year2], AQ$3))</f>
        <v>11720</v>
      </c>
      <c r="AU8" s="61">
        <f>IF(COUNTIFS(allFYsTable[Code], SummaryTable[[#This Row],[Code]], allFYsTable[year2], AQ$3)=0, NotFound, SUMIFS(allFYsTable[Actual], allFYsTable[Code], SummaryTable[[#This Row],[Code]], allFYsTable[year2], AQ$3))</f>
        <v>10948</v>
      </c>
      <c r="AV8" s="61">
        <f>IF(COUNTIFS(allFYsTable[Code], SummaryTable[[#This Row],[Code]], allFYsTable[year2], AQ$3)=0, NotFound, SUMIFS(allFYsTable[DiffAmount], allFYsTable[Code], SummaryTable[[#This Row],[Code]], allFYsTable[year2], AQ$3))</f>
        <v>-922</v>
      </c>
      <c r="AW8" s="63">
        <f>IF(SummaryTable[[#This Row],[OriginalBudget23]]=0, IF(SummaryTable[[#This Row],[DiffAmount23]]=0, ZeroBudgetNoSpending, ZeroBudgetWithSpending), SummaryTable[[#This Row],[DiffAmount23]]/SummaryTable[[#This Row],[OriginalBudget23]])</f>
        <v>-7.7674810446503789E-2</v>
      </c>
      <c r="AX8" s="62">
        <f>IF(COUNTIFS(allFYsTable[Code], SummaryTable[[#This Row],[Code]], allFYsTable[year2], AX$3)=0, NotFound, SUMIFS(allFYsTable[OriginalBudget], allFYsTable[Code], SummaryTable[[#This Row],[Code]], allFYsTable[year2], AX$3))</f>
        <v>12185</v>
      </c>
      <c r="AY8" s="61">
        <f>SummaryTable[[#This Row],[OriginalBudget22]]-SummaryTable[[#This Row],[OriginalBudget21]]</f>
        <v>2634</v>
      </c>
      <c r="AZ8" s="54">
        <f>SummaryTable[[#This Row],[BudgetIncreaseAmount22]]/SummaryTable[[#This Row],[OriginalBudget21]]</f>
        <v>0.27578264056119778</v>
      </c>
      <c r="BA8" s="61">
        <f>IF(COUNTIFS(allFYsTable[Code], SummaryTable[[#This Row],[Code]], allFYsTable[year2], AX$3)=0, NotFound, SUMIFS(allFYsTable[RevisedBudget], allFYsTable[Code], SummaryTable[[#This Row],[Code]], allFYsTable[year2], AX$3))</f>
        <v>13462</v>
      </c>
      <c r="BB8" s="61">
        <f>IF(COUNTIFS(allFYsTable[Code], SummaryTable[[#This Row],[Code]], allFYsTable[year2], AX$3)=0, NotFound, SUMIFS(allFYsTable[Actual], allFYsTable[Code], SummaryTable[[#This Row],[Code]], allFYsTable[year2], AX$3))</f>
        <v>13150</v>
      </c>
      <c r="BC8" s="61">
        <f>IF(COUNTIFS(allFYsTable[Code], SummaryTable[[#This Row],[Code]], allFYsTable[year2], AX$3)=0, NotFound, SUMIFS(allFYsTable[DiffAmount], allFYsTable[Code], SummaryTable[[#This Row],[Code]], allFYsTable[year2], AX$3))</f>
        <v>965</v>
      </c>
      <c r="BD8" s="63">
        <f>IF(SummaryTable[[#This Row],[OriginalBudget22]]=0, IF(SummaryTable[[#This Row],[DiffAmount22]]=0, ZeroBudgetNoSpending, ZeroBudgetWithSpending), SummaryTable[[#This Row],[DiffAmount22]]/SummaryTable[[#This Row],[OriginalBudget22]])</f>
        <v>7.9195732457940093E-2</v>
      </c>
      <c r="BE8" s="62">
        <f>IF(COUNTIFS(allFYsTable[Code], SummaryTable[[#This Row],[Code]], allFYsTable[year2], BE$3)=0, NotFound, SUMIFS(allFYsTable[OriginalBudget], allFYsTable[Code], SummaryTable[[#This Row],[Code]], allFYsTable[year2], BE$3))</f>
        <v>9551</v>
      </c>
      <c r="BF8" s="61">
        <f>SummaryTable[[#This Row],[OriginalBudget21]]-SummaryTable[[#This Row],[OriginalBudget20]]</f>
        <v>-57</v>
      </c>
      <c r="BG8" s="54">
        <f>SummaryTable[[#This Row],[BudgetIncreaseAmount21]]/SummaryTable[[#This Row],[OriginalBudget20]]</f>
        <v>-5.9325562031640302E-3</v>
      </c>
      <c r="BH8" s="61">
        <f>IF(COUNTIFS(allFYsTable[Code], SummaryTable[[#This Row],[Code]], allFYsTable[year2], BE$3)=0, NotFound, SUMIFS(allFYsTable[RevisedBudget], allFYsTable[Code], SummaryTable[[#This Row],[Code]], allFYsTable[year2], BE$3))</f>
        <v>9773</v>
      </c>
      <c r="BI8" s="61">
        <f>IF(COUNTIFS(allFYsTable[Code], SummaryTable[[#This Row],[Code]], allFYsTable[year2], BE$3)=0, NotFound, SUMIFS(allFYsTable[Actual], allFYsTable[Code], SummaryTable[[#This Row],[Code]], allFYsTable[year2], BE$3))</f>
        <v>9542</v>
      </c>
      <c r="BJ8" s="61">
        <f>IF(COUNTIFS(allFYsTable[Code], SummaryTable[[#This Row],[Code]], allFYsTable[year2], BE$3)=0, NotFound, SUMIFS(allFYsTable[DiffAmount], allFYsTable[Code], SummaryTable[[#This Row],[Code]], allFYsTable[year2], BE$3))</f>
        <v>-9</v>
      </c>
      <c r="BK8" s="63">
        <f>IF(SummaryTable[[#This Row],[OriginalBudget21]]=0, IF(SummaryTable[[#This Row],[DiffAmount21]]=0, ZeroBudgetNoSpending, ZeroBudgetWithSpending), SummaryTable[[#This Row],[DiffAmount21]]/SummaryTable[[#This Row],[OriginalBudget21]])</f>
        <v>-9.4230970578996966E-4</v>
      </c>
      <c r="BL8" s="62">
        <f>IF(COUNTIFS(allFYsTable[Code], SummaryTable[[#This Row],[Code]], allFYsTable[year2], BL$3)=0, NotFound, SUMIFS(allFYsTable[OriginalBudget], allFYsTable[Code], SummaryTable[[#This Row],[Code]], allFYsTable[year2], BL$3))</f>
        <v>9608</v>
      </c>
      <c r="BM8" s="61">
        <f>SummaryTable[[#This Row],[OriginalBudget20]]-SummaryTable[[#This Row],[OriginalBudget19]]</f>
        <v>-1058</v>
      </c>
      <c r="BN8" s="54">
        <f>SummaryTable[[#This Row],[BudgetIncreaseAmount20]]/SummaryTable[[#This Row],[OriginalBudget19]]</f>
        <v>-9.9193699606225386E-2</v>
      </c>
      <c r="BO8" s="61">
        <f>IF(COUNTIFS(allFYsTable[Code], SummaryTable[[#This Row],[Code]], allFYsTable[year2], BL$3)=0, NotFound, SUMIFS(allFYsTable[RevisedBudget], allFYsTable[Code], SummaryTable[[#This Row],[Code]], allFYsTable[year2], BL$3))</f>
        <v>9828</v>
      </c>
      <c r="BP8" s="61">
        <f>IF(COUNTIFS(allFYsTable[Code], SummaryTable[[#This Row],[Code]], allFYsTable[year2], BL$3)=0, NotFound, SUMIFS(allFYsTable[Actual], allFYsTable[Code], SummaryTable[[#This Row],[Code]], allFYsTable[year2], BL$3))</f>
        <v>9588</v>
      </c>
      <c r="BQ8" s="61">
        <f>IF(COUNTIFS(allFYsTable[Code], SummaryTable[[#This Row],[Code]], allFYsTable[year2], BL$3)=0, NotFound, SUMIFS(allFYsTable[DiffAmount], allFYsTable[Code], SummaryTable[[#This Row],[Code]], allFYsTable[year2], BL$3))</f>
        <v>-20</v>
      </c>
      <c r="BR8" s="63">
        <f>IF(SummaryTable[[#This Row],[OriginalBudget20]]=0, IF(SummaryTable[[#This Row],[DiffAmount20]]=0, ZeroBudgetNoSpending, ZeroBudgetWithSpending), SummaryTable[[#This Row],[DiffAmount20]]/SummaryTable[[#This Row],[OriginalBudget20]])</f>
        <v>-2.0815986677768525E-3</v>
      </c>
      <c r="BS8" s="62">
        <f>IF(COUNTIFS(allFYsTable[Code], SummaryTable[[#This Row],[Code]], allFYsTable[year2], BS$3)=0, NotFound, SUMIFS(allFYsTable[OriginalBudget], allFYsTable[Code], SummaryTable[[#This Row],[Code]], allFYsTable[year2], BS$3))</f>
        <v>10666</v>
      </c>
      <c r="BT8" s="61">
        <f>SummaryTable[[#This Row],[OriginalBudget19]]-SummaryTable[[#This Row],[OriginalBudget18]]</f>
        <v>2759</v>
      </c>
      <c r="BU8" s="54">
        <f>SummaryTable[[#This Row],[BudgetIncreaseAmount19]]/SummaryTable[[#This Row],[OriginalBudget18]]</f>
        <v>0.3489313266725686</v>
      </c>
      <c r="BV8" s="61">
        <f>IF(COUNTIFS(allFYsTable[Code], SummaryTable[[#This Row],[Code]], allFYsTable[year2], BS$3)=0, NotFound, SUMIFS(allFYsTable[RevisedBudget], allFYsTable[Code], SummaryTable[[#This Row],[Code]], allFYsTable[year2], BS$3))</f>
        <v>10937</v>
      </c>
      <c r="BW8" s="61">
        <f>IF(COUNTIFS(allFYsTable[Code], SummaryTable[[#This Row],[Code]], allFYsTable[year2], BS$3)=0, NotFound, SUMIFS(allFYsTable[Actual], allFYsTable[Code], SummaryTable[[#This Row],[Code]], allFYsTable[year2], BS$3))</f>
        <v>10892</v>
      </c>
      <c r="BX8" s="61">
        <f>IF(COUNTIFS(allFYsTable[Code], SummaryTable[[#This Row],[Code]], allFYsTable[year2], BS$3)=0, NotFound, SUMIFS(allFYsTable[DiffAmount], allFYsTable[Code], SummaryTable[[#This Row],[Code]], allFYsTable[year2], BS$3))</f>
        <v>226</v>
      </c>
      <c r="BY8" s="63">
        <f>IF(SummaryTable[[#This Row],[OriginalBudget19]]=0, IF(SummaryTable[[#This Row],[DiffAmount19]]=0, ZeroBudgetNoSpending, ZeroBudgetWithSpending), SummaryTable[[#This Row],[DiffAmount19]]/SummaryTable[[#This Row],[OriginalBudget19]])</f>
        <v>2.1188824301518847E-2</v>
      </c>
      <c r="BZ8" s="62">
        <f>IF(COUNTIFS(allFYsTable[Code], SummaryTable[[#This Row],[Code]], allFYsTable[year2], BZ$3)=0, NotFound, SUMIFS(allFYsTable[OriginalBudget], allFYsTable[Code], SummaryTable[[#This Row],[Code]], allFYsTable[year2], BZ$3))</f>
        <v>7907</v>
      </c>
      <c r="CA8" s="61">
        <f>SummaryTable[[#This Row],[OriginalBudget18]]-SummaryTable[[#This Row],[OriginalBudget17]]</f>
        <v>284</v>
      </c>
      <c r="CB8" s="54">
        <f>SummaryTable[[#This Row],[BudgetIncreaseAmount18]]/SummaryTable[[#This Row],[OriginalBudget17]]</f>
        <v>3.7255673619309981E-2</v>
      </c>
      <c r="CC8" s="61">
        <f>IF(COUNTIFS(allFYsTable[Code], SummaryTable[[#This Row],[Code]], allFYsTable[year2], BZ$3)=0, NotFound, SUMIFS(allFYsTable[RevisedBudget], allFYsTable[Code], SummaryTable[[#This Row],[Code]], allFYsTable[year2], BZ$3))</f>
        <v>9207</v>
      </c>
      <c r="CD8" s="61">
        <f>IF(COUNTIFS(allFYsTable[Code], SummaryTable[[#This Row],[Code]], allFYsTable[year2], BZ$3)=0, NotFound, SUMIFS(allFYsTable[Actual], allFYsTable[Code], SummaryTable[[#This Row],[Code]], allFYsTable[year2], BZ$3))</f>
        <v>9020</v>
      </c>
      <c r="CE8" s="61">
        <f>IF(COUNTIFS(allFYsTable[Code], SummaryTable[[#This Row],[Code]], allFYsTable[year2], BZ$3)=0, NotFound, SUMIFS(allFYsTable[DiffAmount], allFYsTable[Code], SummaryTable[[#This Row],[Code]], allFYsTable[year2], BZ$3))</f>
        <v>1113</v>
      </c>
      <c r="CF8" s="63">
        <f>IF(SummaryTable[[#This Row],[OriginalBudget18]]=0, IF(SummaryTable[[#This Row],[DiffAmount18]]=0, ZeroBudgetNoSpending, ZeroBudgetWithSpending), SummaryTable[[#This Row],[DiffAmount18]]/SummaryTable[[#This Row],[OriginalBudget18]])</f>
        <v>0.1407613507019097</v>
      </c>
      <c r="CG8" s="62">
        <f>IF(COUNTIFS(allFYsTable[Code], SummaryTable[[#This Row],[Code]], allFYsTable[year2], CG$3)=0, NotFound, SUMIFS(allFYsTable[OriginalBudget], allFYsTable[Code], SummaryTable[[#This Row],[Code]], allFYsTable[year2], CG$3))</f>
        <v>7623</v>
      </c>
      <c r="CH8" s="61">
        <f>SummaryTable[[#This Row],[OriginalBudget17]]-SummaryTable[[#This Row],[OriginalBudget16]]</f>
        <v>233</v>
      </c>
      <c r="CI8" s="54">
        <f>SummaryTable[[#This Row],[BudgetIncreaseAmount17]]/SummaryTable[[#This Row],[OriginalBudget16]]</f>
        <v>3.1529093369418136E-2</v>
      </c>
      <c r="CJ8" s="61">
        <f>IF(COUNTIFS(allFYsTable[Code], SummaryTable[[#This Row],[Code]], allFYsTable[year2], CG$3)=0, NotFound, SUMIFS(allFYsTable[RevisedBudget], allFYsTable[Code], SummaryTable[[#This Row],[Code]], allFYsTable[year2], CG$3))</f>
        <v>7733</v>
      </c>
      <c r="CK8" s="61">
        <f>IF(COUNTIFS(allFYsTable[Code], SummaryTable[[#This Row],[Code]], allFYsTable[year2], CG$3)=0, NotFound, SUMIFS(allFYsTable[Actual], allFYsTable[Code], SummaryTable[[#This Row],[Code]], allFYsTable[year2], CG$3))</f>
        <v>7662</v>
      </c>
      <c r="CL8" s="61">
        <f>IF(COUNTIFS(allFYsTable[Code], SummaryTable[[#This Row],[Code]], allFYsTable[year2], CG$3)=0, NotFound, SUMIFS(allFYsTable[DiffAmount], allFYsTable[Code], SummaryTable[[#This Row],[Code]], allFYsTable[year2], CG$3))</f>
        <v>39</v>
      </c>
      <c r="CM8" s="63">
        <f>IF(SummaryTable[[#This Row],[OriginalBudget17]]=0, IF(SummaryTable[[#This Row],[DiffAmount17]]=0, ZeroBudgetNoSpending, ZeroBudgetWithSpending), SummaryTable[[#This Row],[DiffAmount17]]/SummaryTable[[#This Row],[OriginalBudget17]])</f>
        <v>5.1160960251869347E-3</v>
      </c>
      <c r="CN8" s="62">
        <f>IF(COUNTIFS(allFYsTable[Code], SummaryTable[[#This Row],[Code]], allFYsTable[year2], CN$3)=0, NotFound, SUMIFS(allFYsTable[OriginalBudget], allFYsTable[Code], SummaryTable[[#This Row],[Code]], allFYsTable[year2], CN$3))</f>
        <v>7390</v>
      </c>
      <c r="CO8" s="61">
        <f>SummaryTable[[#This Row],[OriginalBudget16]]-SummaryTable[[#This Row],[OriginalBudget15]]</f>
        <v>150</v>
      </c>
      <c r="CP8" s="54">
        <f>SummaryTable[[#This Row],[BudgetIncreaseAmount16]]/SummaryTable[[#This Row],[OriginalBudget15]]</f>
        <v>2.0718232044198894E-2</v>
      </c>
      <c r="CQ8" s="61">
        <f>IF(COUNTIFS(allFYsTable[Code], SummaryTable[[#This Row],[Code]], allFYsTable[year2], CN$3)=0, NotFound, SUMIFS(allFYsTable[RevisedBudget], allFYsTable[Code], SummaryTable[[#This Row],[Code]], allFYsTable[year2], CN$3))</f>
        <v>7390</v>
      </c>
      <c r="CR8" s="61">
        <f>IF(COUNTIFS(allFYsTable[Code], SummaryTable[[#This Row],[Code]], allFYsTable[year2], CN$3)=0, NotFound, SUMIFS(allFYsTable[Actual], allFYsTable[Code], SummaryTable[[#This Row],[Code]], allFYsTable[year2], CN$3))</f>
        <v>7114</v>
      </c>
      <c r="CS8" s="61">
        <f>IF(COUNTIFS(allFYsTable[Code], SummaryTable[[#This Row],[Code]], allFYsTable[year2], CN$3)=0, NotFound, SUMIFS(allFYsTable[DiffAmount], allFYsTable[Code], SummaryTable[[#This Row],[Code]], allFYsTable[year2], CN$3))</f>
        <v>-276</v>
      </c>
      <c r="CT8" s="63">
        <f>IF(SummaryTable[[#This Row],[OriginalBudget16]]=0, IF(SummaryTable[[#This Row],[DiffAmount16]]=0, ZeroBudgetNoSpending, ZeroBudgetWithSpending), SummaryTable[[#This Row],[DiffAmount16]]/SummaryTable[[#This Row],[OriginalBudget16]])</f>
        <v>-3.7347767253044652E-2</v>
      </c>
      <c r="CU8" s="62">
        <f>IF(COUNTIFS(allFYsTable[Code], SummaryTable[[#This Row],[Code]], allFYsTable[year2], CU$3)=0, NotFound, SUMIFS(allFYsTable[OriginalBudget], allFYsTable[Code], SummaryTable[[#This Row],[Code]], allFYsTable[year2], CU$3))</f>
        <v>7240</v>
      </c>
      <c r="CV8" s="61">
        <f>SummaryTable[[#This Row],[OriginalBudget15]]-SummaryTable[[#This Row],[OriginalBudget14]]</f>
        <v>625</v>
      </c>
      <c r="CW8" s="54">
        <f>SummaryTable[[#This Row],[BudgetIncreaseAmount15]]/SummaryTable[[#This Row],[OriginalBudget14]]</f>
        <v>9.4482237339380201E-2</v>
      </c>
      <c r="CX8" s="61">
        <f>IF(COUNTIFS(allFYsTable[Code], SummaryTable[[#This Row],[Code]], allFYsTable[year2], CU$3)=0, NotFound, SUMIFS(allFYsTable[RevisedBudget], allFYsTable[Code], SummaryTable[[#This Row],[Code]], allFYsTable[year2], CU$3))</f>
        <v>7731</v>
      </c>
      <c r="CY8" s="61">
        <f>IF(COUNTIFS(allFYsTable[Code], SummaryTable[[#This Row],[Code]], allFYsTable[year2], CU$3)=0, NotFound, SUMIFS(allFYsTable[Actual], allFYsTable[Code], SummaryTable[[#This Row],[Code]], allFYsTable[year2], CU$3))</f>
        <v>7485</v>
      </c>
      <c r="CZ8" s="61">
        <f>IF(COUNTIFS(allFYsTable[Code], SummaryTable[[#This Row],[Code]], allFYsTable[year2], CU$3)=0, NotFound, SUMIFS(allFYsTable[DiffAmount], allFYsTable[Code], SummaryTable[[#This Row],[Code]], allFYsTable[year2], CU$3))</f>
        <v>245</v>
      </c>
      <c r="DA8" s="63">
        <f>IF(SummaryTable[[#This Row],[OriginalBudget15]]=0, IF(SummaryTable[[#This Row],[DiffAmount15]]=0, ZeroBudgetNoSpending, ZeroBudgetWithSpending), SummaryTable[[#This Row],[DiffAmount15]]/SummaryTable[[#This Row],[OriginalBudget15]])</f>
        <v>3.3839779005524859E-2</v>
      </c>
      <c r="DB8" s="62">
        <f>IF(COUNTIFS(allFYsTable[Code], SummaryTable[[#This Row],[Code]], allFYsTable[year2], DB$3)=0, NotFound, SUMIFS(allFYsTable[OriginalBudget], allFYsTable[Code], SummaryTable[[#This Row],[Code]], allFYsTable[year2], DB$3))</f>
        <v>6615</v>
      </c>
      <c r="DC8" s="61">
        <f>SummaryTable[[#This Row],[OriginalBudget14]]-SummaryTable[[#This Row],[OriginalBudget13]]</f>
        <v>803</v>
      </c>
      <c r="DD8" s="54">
        <f>SummaryTable[[#This Row],[BudgetIncreaseAmount14]]/SummaryTable[[#This Row],[OriginalBudget13]]</f>
        <v>0.13816242257398487</v>
      </c>
      <c r="DE8" s="61">
        <f>IF(COUNTIFS(allFYsTable[Code], SummaryTable[[#This Row],[Code]], allFYsTable[year2], DB$3)=0, NotFound, SUMIFS(allFYsTable[RevisedBudget], allFYsTable[Code], SummaryTable[[#This Row],[Code]], allFYsTable[year2], DB$3))</f>
        <v>7082</v>
      </c>
      <c r="DF8" s="61">
        <f>IF(COUNTIFS(allFYsTable[Code], SummaryTable[[#This Row],[Code]], allFYsTable[year2], DB$3)=0, NotFound, SUMIFS(allFYsTable[Actual], allFYsTable[Code], SummaryTable[[#This Row],[Code]], allFYsTable[year2], DB$3))</f>
        <v>6976</v>
      </c>
      <c r="DG8" s="61">
        <f>IF(COUNTIFS(allFYsTable[Code], SummaryTable[[#This Row],[Code]], allFYsTable[year2], DB$3)=0, NotFound, SUMIFS(allFYsTable[DiffAmount], allFYsTable[Code], SummaryTable[[#This Row],[Code]], allFYsTable[year2], DB$3))</f>
        <v>361</v>
      </c>
      <c r="DH8" s="63">
        <f>IF(SummaryTable[[#This Row],[OriginalBudget14]]=0, IF(SummaryTable[[#This Row],[DiffAmount14]]=0, ZeroBudgetNoSpending, ZeroBudgetWithSpending), SummaryTable[[#This Row],[DiffAmount14]]/SummaryTable[[#This Row],[OriginalBudget14]])</f>
        <v>5.4572940287226E-2</v>
      </c>
      <c r="DI8" s="62">
        <f>IF(COUNTIFS(allFYsTable[Code], SummaryTable[[#This Row],[Code]], allFYsTable[year2], DI$3)=0, NotFound, SUMIFS(allFYsTable[OriginalBudget], allFYsTable[Code], SummaryTable[[#This Row],[Code]], allFYsTable[year2], DI$3))</f>
        <v>5812</v>
      </c>
      <c r="DJ8" s="61">
        <f>SummaryTable[[#This Row],[OriginalBudget13]]-SummaryTable[[#This Row],[OriginalBudget12]]</f>
        <v>1544</v>
      </c>
      <c r="DK8" s="54">
        <f>SummaryTable[[#This Row],[BudgetIncreaseAmount13]]/SummaryTable[[#This Row],[OriginalBudget12]]</f>
        <v>0.36176194939081535</v>
      </c>
      <c r="DL8" s="61">
        <f>IF(COUNTIFS(allFYsTable[Code], SummaryTable[[#This Row],[Code]], allFYsTable[year2], DI$3)=0, NotFound, SUMIFS(allFYsTable[RevisedBudget], allFYsTable[Code], SummaryTable[[#This Row],[Code]], allFYsTable[year2], DI$3))</f>
        <v>6910</v>
      </c>
      <c r="DM8" s="61">
        <f>IF(COUNTIFS(allFYsTable[Code], SummaryTable[[#This Row],[Code]], allFYsTable[year2], DI$3)=0, NotFound, SUMIFS(allFYsTable[Actual], allFYsTable[Code], SummaryTable[[#This Row],[Code]], allFYsTable[year2], DI$3))</f>
        <v>6801</v>
      </c>
      <c r="DN8" s="61">
        <f>IF(COUNTIFS(allFYsTable[Code], SummaryTable[[#This Row],[Code]], allFYsTable[year2], DI$3)=0, NotFound, SUMIFS(allFYsTable[DiffAmount], allFYsTable[Code], SummaryTable[[#This Row],[Code]], allFYsTable[year2], DI$3))</f>
        <v>989</v>
      </c>
      <c r="DO8" s="63">
        <f>IF(SummaryTable[[#This Row],[OriginalBudget13]]=0, IF(SummaryTable[[#This Row],[DiffAmount13]]=0, ZeroBudgetNoSpending, ZeroBudgetWithSpending), SummaryTable[[#This Row],[DiffAmount13]]/SummaryTable[[#This Row],[OriginalBudget13]])</f>
        <v>0.17016517549896765</v>
      </c>
      <c r="DP8" s="62">
        <f>IF(COUNTIFS(allFYsTable[Code], SummaryTable[[#This Row],[Code]], allFYsTable[year2], DP$3)=0, NotFound, SUMIFS(allFYsTable[OriginalBudget], allFYsTable[Code], SummaryTable[[#This Row],[Code]], allFYsTable[year2], DP$3))</f>
        <v>4268</v>
      </c>
      <c r="DQ8" s="61">
        <f>SummaryTable[[#This Row],[OriginalBudget12]]-SummaryTable[[#This Row],[OriginalBudget11]]</f>
        <v>183</v>
      </c>
      <c r="DR8" s="54">
        <f>SummaryTable[[#This Row],[BudgetIncreaseAmount12]]/SummaryTable[[#This Row],[OriginalBudget11]]</f>
        <v>4.4798041615667077E-2</v>
      </c>
      <c r="DS8" s="61">
        <f>IF(COUNTIFS(allFYsTable[Code], SummaryTable[[#This Row],[Code]], allFYsTable[year2], DP$3)=0, NotFound, SUMIFS(allFYsTable[RevisedBudget], allFYsTable[Code], SummaryTable[[#This Row],[Code]], allFYsTable[year2], DP$3))</f>
        <v>5591</v>
      </c>
      <c r="DT8" s="61">
        <f>IF(COUNTIFS(allFYsTable[Code], SummaryTable[[#This Row],[Code]], allFYsTable[year2], DP$3)=0, NotFound, SUMIFS(allFYsTable[Actual], allFYsTable[Code], SummaryTable[[#This Row],[Code]], allFYsTable[year2], DP$3))</f>
        <v>5278</v>
      </c>
      <c r="DU8" s="61">
        <f>IF(COUNTIFS(allFYsTable[Code], SummaryTable[[#This Row],[Code]], allFYsTable[year2], DP$3)=0, NotFound, SUMIFS(allFYsTable[DiffAmount], allFYsTable[Code], SummaryTable[[#This Row],[Code]], allFYsTable[year2], DP$3))</f>
        <v>1010</v>
      </c>
      <c r="DV8" s="63">
        <f>IF(SummaryTable[[#This Row],[OriginalBudget12]]=0, IF(SummaryTable[[#This Row],[DiffAmount12]]=0, ZeroBudgetNoSpending, ZeroBudgetWithSpending), SummaryTable[[#This Row],[DiffAmount12]]/SummaryTable[[#This Row],[OriginalBudget12]])</f>
        <v>0.2366447985004686</v>
      </c>
      <c r="DW8" s="62">
        <f>IF(COUNTIFS(allFYsTable[Code], SummaryTable[[#This Row],[Code]], allFYsTable[year2], DW$3)=0, NotFound, SUMIFS(allFYsTable[OriginalBudget], allFYsTable[Code], SummaryTable[[#This Row],[Code]], allFYsTable[year2], DW$3))</f>
        <v>4085</v>
      </c>
      <c r="DX8" s="61">
        <f>SummaryTable[[#This Row],[OriginalBudget11]]-SummaryTable[[#This Row],[OriginalBudget10]]</f>
        <v>-1108</v>
      </c>
      <c r="DY8" s="54">
        <f>SummaryTable[[#This Row],[BudgetIncreaseAmount11]]/SummaryTable[[#This Row],[OriginalBudget10]]</f>
        <v>-0.21336414404005391</v>
      </c>
      <c r="DZ8" s="61">
        <f>IF(COUNTIFS(allFYsTable[Code], SummaryTable[[#This Row],[Code]], allFYsTable[year2], DW$3)=0, NotFound, SUMIFS(allFYsTable[RevisedBudget], allFYsTable[Code], SummaryTable[[#This Row],[Code]], allFYsTable[year2], DW$3))</f>
        <v>4774</v>
      </c>
      <c r="EA8" s="61">
        <f>IF(COUNTIFS(allFYsTable[Code], SummaryTable[[#This Row],[Code]], allFYsTable[year2], DW$3)=0, NotFound, SUMIFS(allFYsTable[Actual], allFYsTable[Code], SummaryTable[[#This Row],[Code]], allFYsTable[year2], DW$3))</f>
        <v>4536</v>
      </c>
      <c r="EB8" s="61">
        <f>IF(COUNTIFS(allFYsTable[Code], SummaryTable[[#This Row],[Code]], allFYsTable[year2], DW$3)=0, NotFound, SUMIFS(allFYsTable[DiffAmount], allFYsTable[Code], SummaryTable[[#This Row],[Code]], allFYsTable[year2], DW$3))</f>
        <v>451</v>
      </c>
      <c r="EC8" s="63">
        <f>IF(SummaryTable[[#This Row],[OriginalBudget11]]=0, IF(SummaryTable[[#This Row],[DiffAmount11]]=0, ZeroBudgetNoSpending, ZeroBudgetWithSpending), SummaryTable[[#This Row],[DiffAmount11]]/SummaryTable[[#This Row],[OriginalBudget11]])</f>
        <v>0.11040391676866584</v>
      </c>
      <c r="ED8" s="62">
        <f>IF(COUNTIFS(allFYsTable[Code], SummaryTable[[#This Row],[Code]], allFYsTable[year2], ED$3)=0, NotFound, SUMIFS(allFYsTable[OriginalBudget], allFYsTable[Code], SummaryTable[[#This Row],[Code]], allFYsTable[year2], ED$3))</f>
        <v>5193</v>
      </c>
      <c r="EE8" s="61">
        <f>SummaryTable[[#This Row],[OriginalBudget10]]-SummaryTable[[#This Row],[OriginalBudget09]]</f>
        <v>-141</v>
      </c>
      <c r="EF8" s="54">
        <f>SummaryTable[[#This Row],[BudgetIncreaseAmount10]]/SummaryTable[[#This Row],[OriginalBudget09]]</f>
        <v>-2.6434195725534307E-2</v>
      </c>
      <c r="EG8" s="61">
        <f>IF(COUNTIFS(allFYsTable[Code], SummaryTable[[#This Row],[Code]], allFYsTable[year2], ED$3)=0, NotFound, SUMIFS(allFYsTable[RevisedBudget], allFYsTable[Code], SummaryTable[[#This Row],[Code]], allFYsTable[year2], ED$3))</f>
        <v>5443</v>
      </c>
      <c r="EH8" s="61">
        <f>IF(COUNTIFS(allFYsTable[Code], SummaryTable[[#This Row],[Code]], allFYsTable[year2], ED$3)=0, NotFound, SUMIFS(allFYsTable[Actual], allFYsTable[Code], SummaryTable[[#This Row],[Code]], allFYsTable[year2], ED$3))</f>
        <v>4995</v>
      </c>
      <c r="EI8" s="61">
        <f>IF(COUNTIFS(allFYsTable[Code], SummaryTable[[#This Row],[Code]], allFYsTable[year2], ED$3)=0, NotFound, SUMIFS(allFYsTable[DiffAmount], allFYsTable[Code], SummaryTable[[#This Row],[Code]], allFYsTable[year2], ED$3))</f>
        <v>-198</v>
      </c>
      <c r="EJ8" s="63">
        <f>IF(SummaryTable[[#This Row],[OriginalBudget10]]=0, IF(SummaryTable[[#This Row],[DiffAmount10]]=0, ZeroBudgetNoSpending, ZeroBudgetWithSpending), SummaryTable[[#This Row],[DiffAmount10]]/SummaryTable[[#This Row],[OriginalBudget10]])</f>
        <v>-3.8128249566724434E-2</v>
      </c>
      <c r="EK8" s="62">
        <f>IF(COUNTIFS(allFYsTable[Code], SummaryTable[[#This Row],[Code]], allFYsTable[year2], EK$3)=0, NotFound, SUMIFS(allFYsTable[OriginalBudget], allFYsTable[Code], SummaryTable[[#This Row],[Code]], allFYsTable[year2], EK$3))</f>
        <v>5334</v>
      </c>
      <c r="EL8" s="61">
        <f>SummaryTable[[#This Row],[OriginalBudget09]]-SummaryTable[[#This Row],[OriginalBudget08]]</f>
        <v>80</v>
      </c>
      <c r="EM8" s="54">
        <f>SummaryTable[[#This Row],[BudgetIncreaseAmount09]]/SummaryTable[[#This Row],[OriginalBudget08]]</f>
        <v>1.5226494099733536E-2</v>
      </c>
      <c r="EN8" s="61">
        <f>IF(COUNTIFS(allFYsTable[Code], SummaryTable[[#This Row],[Code]], allFYsTable[year2], EK$3)=0, NotFound, SUMIFS(allFYsTable[RevisedBudget], allFYsTable[Code], SummaryTable[[#This Row],[Code]], allFYsTable[year2], EK$3))</f>
        <v>5334</v>
      </c>
      <c r="EO8" s="61">
        <f>IF(COUNTIFS(allFYsTable[Code], SummaryTable[[#This Row],[Code]], allFYsTable[year2], EK$3)=0, NotFound, SUMIFS(allFYsTable[Actual], allFYsTable[Code], SummaryTable[[#This Row],[Code]], allFYsTable[year2], EK$3))</f>
        <v>5076</v>
      </c>
      <c r="EP8" s="61">
        <f>IF(COUNTIFS(allFYsTable[Code], SummaryTable[[#This Row],[Code]], allFYsTable[year2], EK$3)=0, NotFound, SUMIFS(allFYsTable[DiffAmount], allFYsTable[Code], SummaryTable[[#This Row],[Code]], allFYsTable[year2], EK$3))</f>
        <v>-258</v>
      </c>
      <c r="EQ8" s="63">
        <f>IF(SummaryTable[[#This Row],[OriginalBudget09]]=0, IF(SummaryTable[[#This Row],[DiffAmount09]]=0, ZeroBudgetNoSpending, ZeroBudgetWithSpending), SummaryTable[[#This Row],[DiffAmount09]]/SummaryTable[[#This Row],[OriginalBudget09]])</f>
        <v>-4.8368953880764905E-2</v>
      </c>
      <c r="ER8" s="62">
        <f>IF(COUNTIFS(allFYsTable[Code], SummaryTable[[#This Row],[Code]], allFYsTable[year2], ER$3)=0, NotFound, SUMIFS(allFYsTable[OriginalBudget], allFYsTable[Code], SummaryTable[[#This Row],[Code]], allFYsTable[year2], ER$3))</f>
        <v>5254</v>
      </c>
      <c r="ES8" s="61">
        <f>SummaryTable[[#This Row],[OriginalBudget08]]-SummaryTable[[#This Row],[OriginalBudget07]]</f>
        <v>44</v>
      </c>
      <c r="ET8" s="54">
        <f>SummaryTable[[#This Row],[BudgetIncreaseAmount08]]/SummaryTable[[#This Row],[OriginalBudget07]]</f>
        <v>8.4452975047984644E-3</v>
      </c>
      <c r="EU8" s="61">
        <f>IF(COUNTIFS(allFYsTable[Code], SummaryTable[[#This Row],[Code]], allFYsTable[year2], ER$3)=0, NotFound, SUMIFS(allFYsTable[RevisedBudget], allFYsTable[Code], SummaryTable[[#This Row],[Code]], allFYsTable[year2], ER$3))</f>
        <v>5554</v>
      </c>
      <c r="EV8" s="61">
        <f>IF(COUNTIFS(allFYsTable[Code], SummaryTable[[#This Row],[Code]], allFYsTable[year2], ER$3)=0, NotFound, SUMIFS(allFYsTable[Actual], allFYsTable[Code], SummaryTable[[#This Row],[Code]], allFYsTable[year2], ER$3))</f>
        <v>5245</v>
      </c>
      <c r="EW8" s="61">
        <f>IF(COUNTIFS(allFYsTable[Code], SummaryTable[[#This Row],[Code]], allFYsTable[year2], ER$3)=0, NotFound, SUMIFS(allFYsTable[DiffAmount], allFYsTable[Code], SummaryTable[[#This Row],[Code]], allFYsTable[year2], ER$3))</f>
        <v>-9</v>
      </c>
      <c r="EX8" s="63">
        <f>IF(SummaryTable[[#This Row],[OriginalBudget08]]=0, IF(SummaryTable[[#This Row],[DiffAmount08]]=0, ZeroBudgetNoSpending, ZeroBudgetWithSpending), SummaryTable[[#This Row],[DiffAmount08]]/SummaryTable[[#This Row],[OriginalBudget08]])</f>
        <v>-1.7129805862200228E-3</v>
      </c>
      <c r="EY8" s="62">
        <f>IF(COUNTIFS(allFYsTable[Code], SummaryTable[[#This Row],[Code]], allFYsTable[year2], EY$3)=0, NotFound, SUMIFS(allFYsTable[OriginalBudget], allFYsTable[Code], SummaryTable[[#This Row],[Code]], allFYsTable[year2], EY$3))</f>
        <v>5210</v>
      </c>
      <c r="EZ8" s="61">
        <f>SummaryTable[[#This Row],[OriginalBudget07]]-SummaryTable[[#This Row],[OriginalBudget06]]</f>
        <v>168</v>
      </c>
      <c r="FA8" s="54">
        <f>SummaryTable[[#This Row],[BudgetIncreaseAmount07]]/SummaryTable[[#This Row],[OriginalBudget06]]</f>
        <v>3.3320111067036889E-2</v>
      </c>
      <c r="FB8" s="61">
        <f>IF(COUNTIFS(allFYsTable[Code], SummaryTable[[#This Row],[Code]], allFYsTable[year2], EY$3)=0, NotFound, SUMIFS(allFYsTable[RevisedBudget], allFYsTable[Code], SummaryTable[[#This Row],[Code]], allFYsTable[year2], EY$3))</f>
        <v>6308</v>
      </c>
      <c r="FC8" s="61">
        <f>IF(COUNTIFS(allFYsTable[Code], SummaryTable[[#This Row],[Code]], allFYsTable[year2], EY$3)=0, NotFound, SUMIFS(allFYsTable[Actual], allFYsTable[Code], SummaryTable[[#This Row],[Code]], allFYsTable[year2], EY$3))</f>
        <v>5964</v>
      </c>
      <c r="FD8" s="61">
        <f>IF(COUNTIFS(allFYsTable[Code], SummaryTable[[#This Row],[Code]], allFYsTable[year2], EY$3)=0, NotFound, SUMIFS(allFYsTable[DiffAmount], allFYsTable[Code], SummaryTable[[#This Row],[Code]], allFYsTable[year2], EY$3))</f>
        <v>754</v>
      </c>
      <c r="FE8" s="63">
        <f>IF(SummaryTable[[#This Row],[OriginalBudget07]]=0, IF(SummaryTable[[#This Row],[DiffAmount07]]=0, ZeroBudgetNoSpending, ZeroBudgetWithSpending), SummaryTable[[#This Row],[DiffAmount07]]/SummaryTable[[#This Row],[OriginalBudget07]])</f>
        <v>0.14472168905950095</v>
      </c>
      <c r="FF8" s="62">
        <f>IF(COUNTIFS(allFYsTable[Code], SummaryTable[[#This Row],[Code]], allFYsTable[year2], FF$3)=0, NotFound, SUMIFS(allFYsTable[OriginalBudget], allFYsTable[Code], SummaryTable[[#This Row],[Code]], allFYsTable[year2], FF$3))</f>
        <v>5042</v>
      </c>
      <c r="FI8" s="61">
        <f>IF(COUNTIFS(allFYsTable[Code], SummaryTable[[#This Row],[Code]], allFYsTable[year2], FF$3)=0, NotFound, SUMIFS(allFYsTable[RevisedBudget], allFYsTable[Code], SummaryTable[[#This Row],[Code]], allFYsTable[year2], FF$3))</f>
        <v>5207</v>
      </c>
      <c r="FJ8" s="61">
        <f>IF(COUNTIFS(allFYsTable[Code], SummaryTable[[#This Row],[Code]], allFYsTable[year2], FF$3)=0, NotFound, SUMIFS(allFYsTable[Actual], allFYsTable[Code], SummaryTable[[#This Row],[Code]], allFYsTable[year2], FF$3))</f>
        <v>4684</v>
      </c>
      <c r="FK8" s="61">
        <f>IF(COUNTIFS(allFYsTable[Code], SummaryTable[[#This Row],[Code]], allFYsTable[year2], FF$3)=0, NotFound, SUMIFS(allFYsTable[DiffAmount], allFYsTable[Code], SummaryTable[[#This Row],[Code]], allFYsTable[year2], FF$3))</f>
        <v>-358</v>
      </c>
      <c r="FL8" s="63">
        <f>IF(SummaryTable[[#This Row],[OriginalBudget06]]=0, IF(SummaryTable[[#This Row],[DiffAmount06]]=0, ZeroBudgetNoSpending, ZeroBudgetWithSpending), SummaryTable[[#This Row],[DiffAmount06]]/SummaryTable[[#This Row],[OriginalBudget06]])</f>
        <v>-7.1003570011900038E-2</v>
      </c>
    </row>
    <row r="9" spans="1:168" x14ac:dyDescent="0.45">
      <c r="A9" t="s">
        <v>700</v>
      </c>
      <c r="B9">
        <f>_xlfn.MAXIFS(allFYsTable[year2], allFYsTable[Code], SummaryTable[[#This Row],[Code]])</f>
        <v>2025</v>
      </c>
      <c r="C9" t="str">
        <f>_xlfn.XLOOKUP(SummaryTable[[#This Row],[Code]], NameCodingTable[Code], NameCodingTable[Most Recent Category per allFYs])</f>
        <v>Governmental direction and support</v>
      </c>
      <c r="D9" t="str">
        <f>_xlfn.XLOOKUP(SummaryTable[[#This Row],[Code]], NameCodingTable[Code], NameCodingTable[Unit Display Name])</f>
        <v>Board of Ethics and Government Accountability (BEGA)</v>
      </c>
      <c r="E9" t="str">
        <f>_xlfn.XLOOKUP(SummaryTable[[#This Row],[Code]], NameCodingTable[Code], NameCodingTable[Type])</f>
        <v>agency</v>
      </c>
      <c r="F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15</v>
      </c>
      <c r="G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9" s="54">
        <f>SummaryTable[[#This Row],['# Over]]/SummaryTable[[#This Row],[Count]]</f>
        <v>0.2</v>
      </c>
      <c r="I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9" s="54">
        <f>SummaryTable[[#This Row],['# Under]]/SummaryTable[[#This Row],[Count]]</f>
        <v>0.8</v>
      </c>
      <c r="K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 s="54">
        <f>SummaryTable[[#This Row],['# Equal]]/SummaryTable[[#This Row],[Count]]</f>
        <v>0</v>
      </c>
      <c r="M9" s="61">
        <f>SUMIFS(allFYsTable[OriginalBudget],allFYsTable[Code],SummaryTable[[#This Row],[Code]])/SummaryTable[[#This Row],[Count]]</f>
        <v>2207.1333333333332</v>
      </c>
      <c r="N9" s="61">
        <f>SUMIFS(allFYsTable[Actual],allFYsTable[Code],SummaryTable[[#This Row],[Code]])/SummaryTable[[#This Row],[Count]]</f>
        <v>2140.8666666666668</v>
      </c>
      <c r="O9" s="61">
        <f>SummaryTable[[#This Row],[AvgActAmt]]-SummaryTable[[#This Row],[AvgBudAmt]]</f>
        <v>-66.266666666666424</v>
      </c>
      <c r="P9" s="54">
        <f>IF(SummaryTable[[#This Row],[AvgBudAmt]]=0, IF(SummaryTable[[#This Row],[AvgDiff'#]]=0, 0, NamedFields!$C$3), SummaryTable[[#This Row],[AvgDiff'#]]/SummaryTable[[#This Row],[AvgBudAmt]])</f>
        <v>-3.0023862023136994E-2</v>
      </c>
      <c r="Q9" s="61">
        <f>IFERROR(SUMIFS(allFYsTable[OriginalBudget],allFYsTable[Code],SummaryTable[[#This Row],[Code]],allFYsTable[DiffAmount], "&gt;0")/SummaryTable[[#This Row],['# Over]], 0)</f>
        <v>1381.3333333333333</v>
      </c>
      <c r="R9" s="61">
        <f>IFERROR(SUMIFS(allFYsTable[Actual],allFYsTable[Code],SummaryTable[[#This Row],[Code]],allFYsTable[DiffAmount], "&gt;0")/SummaryTable[[#This Row],['# Over]], 0)</f>
        <v>1488.6666666666667</v>
      </c>
      <c r="S9" s="61">
        <f>SummaryTable[[#This Row],[OverAvgAct]]-SummaryTable[[#This Row],[OverAvgBud]]</f>
        <v>107.33333333333348</v>
      </c>
      <c r="T9" s="54">
        <f>IF(SummaryTable[[#This Row],[OverAvgBud]]=0, IF(SummaryTable[[#This Row],[OverAvgDiff'#]]=0, ZeroBudgetNoSpending, ZeroBudgetWithSpending), SummaryTable[[#This Row],[OverAvgDiff'#]]/SummaryTable[[#This Row],[OverAvgBud]])</f>
        <v>7.7702702702702811E-2</v>
      </c>
      <c r="U9" s="61">
        <f>IFERROR(SUMIFS(allFYsTable[OriginalBudget],allFYsTable[Code],SummaryTable[[#This Row],[Code]],allFYsTable[DiffAmount], "&lt;0")/SummaryTable[[#This Row],['# Under]], 0)</f>
        <v>2413.5833333333335</v>
      </c>
      <c r="V9" s="61">
        <f>IFERROR( SUMIFS(allFYsTable[Actual],allFYsTable[Code],SummaryTable[[#This Row],[Code]],allFYsTable[DiffAmount], "&lt;0")/SummaryTable[[#This Row],['# Under]], 0)</f>
        <v>2303.9166666666665</v>
      </c>
      <c r="W9" s="61">
        <f>SummaryTable[[#This Row],[UnderAvgAct]]-SummaryTable[[#This Row],[UnderAvgBud]]</f>
        <v>-109.66666666666697</v>
      </c>
      <c r="X9" s="54">
        <f>IF(SummaryTable[[#This Row],[UnderAvgBud]]=0, IF(SummaryTable[[#This Row],[UnderAvgDiff'#]]=0, ZeroBudgetNoSpending, NamedFields!$C$3), SummaryTable[[#This Row],[UnderAvgDiff'#]]/SummaryTable[[#This Row],[UnderAvgBud]])</f>
        <v>-4.5437282049511571E-2</v>
      </c>
      <c r="Y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10</v>
      </c>
      <c r="Z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9" s="54">
        <f>IF(SummaryTable[[#This Row],[IncreaseYears]]=0, ZeroBudgetNoSpending, SummaryTable[[#This Row],[OSinIncreaseYear'#]]/SummaryTable[[#This Row],[IncreaseYears]])</f>
        <v>0</v>
      </c>
      <c r="AB9" s="58" t="str">
        <f>SummaryTable[[#This Row],[Code]]</f>
        <v>AG0</v>
      </c>
      <c r="AC9" s="62">
        <f>IF(COUNTIFS(allFYsTable[Code], SummaryTable[[#This Row],[Code]], allFYsTable[year2], AC$3)=0, NotFound, SUMIFS(allFYsTable[OriginalBudget], allFYsTable[Code], SummaryTable[[#This Row],[Code]], allFYsTable[year2], AC$3))</f>
        <v>3938</v>
      </c>
      <c r="AD9" s="61">
        <f>SummaryTable[[#This Row],[OriginalBudget25]]-SummaryTable[[#This Row],[OriginalBudget24]]</f>
        <v>0</v>
      </c>
      <c r="AE9" s="54">
        <f>SummaryTable[[#This Row],[BudgetIncreaseAmount25]]/SummaryTable[[#This Row],[OriginalBudget24]]</f>
        <v>0</v>
      </c>
      <c r="AF9" s="61">
        <f>IF(COUNTIFS(allFYsTable[Code], SummaryTable[[#This Row],[Code]], allFYsTable[year2], AC$3)=0, NotFound, SUMIFS(allFYsTable[RevisedBudget], allFYsTable[Code], SummaryTable[[#This Row],[Code]], allFYsTable[year2], AC$3))</f>
        <v>3795</v>
      </c>
      <c r="AG9" s="61">
        <f>IF(COUNTIFS(allFYsTable[Code], SummaryTable[[#This Row],[Code]], allFYsTable[year2], AC$3)=0, NotFound, SUMIFS(allFYsTable[Actual], allFYsTable[Code], SummaryTable[[#This Row],[Code]], allFYsTable[year2], AC$3))</f>
        <v>3733</v>
      </c>
      <c r="AH9" s="61">
        <f>IF(COUNTIFS(allFYsTable[Code], SummaryTable[[#This Row],[Code]], allFYsTable[year2], AC$3)=0, NotFound, SUMIFS(allFYsTable[DiffAmount], allFYsTable[Code], SummaryTable[[#This Row],[Code]], allFYsTable[year2], AC$3))</f>
        <v>-205</v>
      </c>
      <c r="AI9" s="63">
        <f>IF(SummaryTable[[#This Row],[OriginalBudget25]]=0, IF(SummaryTable[[#This Row],[DiffAmount25]]=0, ZeroBudgetNoSpending, ZeroBudgetWithSpending), SummaryTable[[#This Row],[DiffAmount25]]/SummaryTable[[#This Row],[OriginalBudget25]])</f>
        <v>-5.2056881665820211E-2</v>
      </c>
      <c r="AJ9" s="62">
        <f>IF(COUNTIFS(allFYsTable[Code], SummaryTable[[#This Row],[Code]], allFYsTable[year2], AJ$3)=0, NotFound, SUMIFS(allFYsTable[OriginalBudget], allFYsTable[Code], SummaryTable[[#This Row],[Code]], allFYsTable[year2], AJ$3))</f>
        <v>3938</v>
      </c>
      <c r="AK9" s="61">
        <f>SummaryTable[[#This Row],[OriginalBudget24]]-SummaryTable[[#This Row],[OriginalBudget23]]</f>
        <v>158</v>
      </c>
      <c r="AL9" s="54">
        <f>SummaryTable[[#This Row],[BudgetIncreaseAmount24]]/SummaryTable[[#This Row],[OriginalBudget23]]</f>
        <v>4.1798941798941801E-2</v>
      </c>
      <c r="AM9" s="61">
        <f>IF(COUNTIFS(allFYsTable[Code], SummaryTable[[#This Row],[Code]], allFYsTable[year2], AK$3)=0, NotFound, SUMIFS(allFYsTable[RevisedBudget], allFYsTable[Code], SummaryTable[[#This Row],[Code]], allFYsTable[year2], AJ$3))</f>
        <v>3938</v>
      </c>
      <c r="AN9" s="61">
        <f>IF(COUNTIFS(allFYsTable[Code], SummaryTable[[#This Row],[Code]], allFYsTable[year2], AJ$3)=0, NotFound, SUMIFS(allFYsTable[Actual], allFYsTable[Code], SummaryTable[[#This Row],[Code]], allFYsTable[year2], AJ$3))</f>
        <v>3841</v>
      </c>
      <c r="AO9" s="61">
        <f>IF(COUNTIFS(allFYsTable[Code], SummaryTable[[#This Row],[Code]], allFYsTable[year2], AJ$3)=0, NotFound, SUMIFS(allFYsTable[DiffAmount], allFYsTable[Code], SummaryTable[[#This Row],[Code]], allFYsTable[year2], AJ$3))</f>
        <v>-97</v>
      </c>
      <c r="AP9" s="63">
        <f>IF(SummaryTable[[#This Row],[OriginalBudget24]]=0, IF(SummaryTable[[#This Row],[DiffAmount24]]=0, ZeroBudgetNoSpending, ZeroBudgetWithSpending), SummaryTable[[#This Row],[DiffAmount24]]/SummaryTable[[#This Row],[OriginalBudget24]])</f>
        <v>-2.4631792788217369E-2</v>
      </c>
      <c r="AQ9" s="62">
        <f>IF(COUNTIFS(allFYsTable[Code], SummaryTable[[#This Row],[Code]], allFYsTable[year2], AQ$3)=0, NotFound, SUMIFS(allFYsTable[OriginalBudget], allFYsTable[Code], SummaryTable[[#This Row],[Code]], allFYsTable[year2], AQ$3))</f>
        <v>3780</v>
      </c>
      <c r="AR9" s="61">
        <f>SummaryTable[[#This Row],[OriginalBudget23]]-SummaryTable[[#This Row],[OriginalBudget22]]</f>
        <v>263</v>
      </c>
      <c r="AS9" s="54">
        <f>SummaryTable[[#This Row],[BudgetIncreaseAmount23]]/SummaryTable[[#This Row],[OriginalBudget22]]</f>
        <v>7.4779641740119418E-2</v>
      </c>
      <c r="AT9" s="61">
        <f>IF(COUNTIFS(allFYsTable[Code], SummaryTable[[#This Row],[Code]], allFYsTable[year2], AQ$3)=0, NotFound, SUMIFS(allFYsTable[RevisedBudget], allFYsTable[Code], SummaryTable[[#This Row],[Code]], allFYsTable[year2], AQ$3))</f>
        <v>3780</v>
      </c>
      <c r="AU9" s="61">
        <f>IF(COUNTIFS(allFYsTable[Code], SummaryTable[[#This Row],[Code]], allFYsTable[year2], AQ$3)=0, NotFound, SUMIFS(allFYsTable[Actual], allFYsTable[Code], SummaryTable[[#This Row],[Code]], allFYsTable[year2], AQ$3))</f>
        <v>3729</v>
      </c>
      <c r="AV9" s="61">
        <f>IF(COUNTIFS(allFYsTable[Code], SummaryTable[[#This Row],[Code]], allFYsTable[year2], AQ$3)=0, NotFound, SUMIFS(allFYsTable[DiffAmount], allFYsTable[Code], SummaryTable[[#This Row],[Code]], allFYsTable[year2], AQ$3))</f>
        <v>-51</v>
      </c>
      <c r="AW9" s="63">
        <f>IF(SummaryTable[[#This Row],[OriginalBudget23]]=0, IF(SummaryTable[[#This Row],[DiffAmount23]]=0, ZeroBudgetNoSpending, ZeroBudgetWithSpending), SummaryTable[[#This Row],[DiffAmount23]]/SummaryTable[[#This Row],[OriginalBudget23]])</f>
        <v>-1.3492063492063493E-2</v>
      </c>
      <c r="AX9" s="62">
        <f>IF(COUNTIFS(allFYsTable[Code], SummaryTable[[#This Row],[Code]], allFYsTable[year2], AX$3)=0, NotFound, SUMIFS(allFYsTable[OriginalBudget], allFYsTable[Code], SummaryTable[[#This Row],[Code]], allFYsTable[year2], AX$3))</f>
        <v>3517</v>
      </c>
      <c r="AY9" s="61">
        <f>SummaryTable[[#This Row],[OriginalBudget22]]-SummaryTable[[#This Row],[OriginalBudget21]]</f>
        <v>564</v>
      </c>
      <c r="AZ9" s="54">
        <f>SummaryTable[[#This Row],[BudgetIncreaseAmount22]]/SummaryTable[[#This Row],[OriginalBudget21]]</f>
        <v>0.19099221131053165</v>
      </c>
      <c r="BA9" s="61">
        <f>IF(COUNTIFS(allFYsTable[Code], SummaryTable[[#This Row],[Code]], allFYsTable[year2], AX$3)=0, NotFound, SUMIFS(allFYsTable[RevisedBudget], allFYsTable[Code], SummaryTable[[#This Row],[Code]], allFYsTable[year2], AX$3))</f>
        <v>3517</v>
      </c>
      <c r="BB9" s="61">
        <f>IF(COUNTIFS(allFYsTable[Code], SummaryTable[[#This Row],[Code]], allFYsTable[year2], AX$3)=0, NotFound, SUMIFS(allFYsTable[Actual], allFYsTable[Code], SummaryTable[[#This Row],[Code]], allFYsTable[year2], AX$3))</f>
        <v>3460</v>
      </c>
      <c r="BC9" s="61">
        <f>IF(COUNTIFS(allFYsTable[Code], SummaryTable[[#This Row],[Code]], allFYsTable[year2], AX$3)=0, NotFound, SUMIFS(allFYsTable[DiffAmount], allFYsTable[Code], SummaryTable[[#This Row],[Code]], allFYsTable[year2], AX$3))</f>
        <v>-57</v>
      </c>
      <c r="BD9" s="63">
        <f>IF(SummaryTable[[#This Row],[OriginalBudget22]]=0, IF(SummaryTable[[#This Row],[DiffAmount22]]=0, ZeroBudgetNoSpending, ZeroBudgetWithSpending), SummaryTable[[#This Row],[DiffAmount22]]/SummaryTable[[#This Row],[OriginalBudget22]])</f>
        <v>-1.6206994597668469E-2</v>
      </c>
      <c r="BE9" s="62">
        <f>IF(COUNTIFS(allFYsTable[Code], SummaryTable[[#This Row],[Code]], allFYsTable[year2], BE$3)=0, NotFound, SUMIFS(allFYsTable[OriginalBudget], allFYsTable[Code], SummaryTable[[#This Row],[Code]], allFYsTable[year2], BE$3))</f>
        <v>2953</v>
      </c>
      <c r="BF9" s="61">
        <f>SummaryTable[[#This Row],[OriginalBudget21]]-SummaryTable[[#This Row],[OriginalBudget20]]</f>
        <v>328</v>
      </c>
      <c r="BG9" s="54">
        <f>SummaryTable[[#This Row],[BudgetIncreaseAmount21]]/SummaryTable[[#This Row],[OriginalBudget20]]</f>
        <v>0.12495238095238095</v>
      </c>
      <c r="BH9" s="61">
        <f>IF(COUNTIFS(allFYsTable[Code], SummaryTable[[#This Row],[Code]], allFYsTable[year2], BE$3)=0, NotFound, SUMIFS(allFYsTable[RevisedBudget], allFYsTable[Code], SummaryTable[[#This Row],[Code]], allFYsTable[year2], BE$3))</f>
        <v>2953</v>
      </c>
      <c r="BI9" s="61">
        <f>IF(COUNTIFS(allFYsTable[Code], SummaryTable[[#This Row],[Code]], allFYsTable[year2], BE$3)=0, NotFound, SUMIFS(allFYsTable[Actual], allFYsTable[Code], SummaryTable[[#This Row],[Code]], allFYsTable[year2], BE$3))</f>
        <v>2880</v>
      </c>
      <c r="BJ9" s="61">
        <f>IF(COUNTIFS(allFYsTable[Code], SummaryTable[[#This Row],[Code]], allFYsTable[year2], BE$3)=0, NotFound, SUMIFS(allFYsTable[DiffAmount], allFYsTable[Code], SummaryTable[[#This Row],[Code]], allFYsTable[year2], BE$3))</f>
        <v>-73</v>
      </c>
      <c r="BK9" s="63">
        <f>IF(SummaryTable[[#This Row],[OriginalBudget21]]=0, IF(SummaryTable[[#This Row],[DiffAmount21]]=0, ZeroBudgetNoSpending, ZeroBudgetWithSpending), SummaryTable[[#This Row],[DiffAmount21]]/SummaryTable[[#This Row],[OriginalBudget21]])</f>
        <v>-2.4720623095157466E-2</v>
      </c>
      <c r="BL9" s="62">
        <f>IF(COUNTIFS(allFYsTable[Code], SummaryTable[[#This Row],[Code]], allFYsTable[year2], BL$3)=0, NotFound, SUMIFS(allFYsTable[OriginalBudget], allFYsTable[Code], SummaryTable[[#This Row],[Code]], allFYsTable[year2], BL$3))</f>
        <v>2625</v>
      </c>
      <c r="BM9" s="61">
        <f>SummaryTable[[#This Row],[OriginalBudget20]]-SummaryTable[[#This Row],[OriginalBudget19]]</f>
        <v>327</v>
      </c>
      <c r="BN9" s="54">
        <f>SummaryTable[[#This Row],[BudgetIncreaseAmount20]]/SummaryTable[[#This Row],[OriginalBudget19]]</f>
        <v>0.14229765013054829</v>
      </c>
      <c r="BO9" s="61">
        <f>IF(COUNTIFS(allFYsTable[Code], SummaryTable[[#This Row],[Code]], allFYsTable[year2], BL$3)=0, NotFound, SUMIFS(allFYsTable[RevisedBudget], allFYsTable[Code], SummaryTable[[#This Row],[Code]], allFYsTable[year2], BL$3))</f>
        <v>2554</v>
      </c>
      <c r="BP9" s="61">
        <f>IF(COUNTIFS(allFYsTable[Code], SummaryTable[[#This Row],[Code]], allFYsTable[year2], BL$3)=0, NotFound, SUMIFS(allFYsTable[Actual], allFYsTable[Code], SummaryTable[[#This Row],[Code]], allFYsTable[year2], BL$3))</f>
        <v>2471</v>
      </c>
      <c r="BQ9" s="61">
        <f>IF(COUNTIFS(allFYsTable[Code], SummaryTable[[#This Row],[Code]], allFYsTable[year2], BL$3)=0, NotFound, SUMIFS(allFYsTable[DiffAmount], allFYsTable[Code], SummaryTable[[#This Row],[Code]], allFYsTable[year2], BL$3))</f>
        <v>-154</v>
      </c>
      <c r="BR9" s="63">
        <f>IF(SummaryTable[[#This Row],[OriginalBudget20]]=0, IF(SummaryTable[[#This Row],[DiffAmount20]]=0, ZeroBudgetNoSpending, ZeroBudgetWithSpending), SummaryTable[[#This Row],[DiffAmount20]]/SummaryTable[[#This Row],[OriginalBudget20]])</f>
        <v>-5.8666666666666666E-2</v>
      </c>
      <c r="BS9" s="62">
        <f>IF(COUNTIFS(allFYsTable[Code], SummaryTable[[#This Row],[Code]], allFYsTable[year2], BS$3)=0, NotFound, SUMIFS(allFYsTable[OriginalBudget], allFYsTable[Code], SummaryTable[[#This Row],[Code]], allFYsTable[year2], BS$3))</f>
        <v>2298</v>
      </c>
      <c r="BT9" s="61">
        <f>SummaryTable[[#This Row],[OriginalBudget19]]-SummaryTable[[#This Row],[OriginalBudget18]]</f>
        <v>119</v>
      </c>
      <c r="BU9" s="54">
        <f>SummaryTable[[#This Row],[BudgetIncreaseAmount19]]/SummaryTable[[#This Row],[OriginalBudget18]]</f>
        <v>5.461220743460303E-2</v>
      </c>
      <c r="BV9" s="61">
        <f>IF(COUNTIFS(allFYsTable[Code], SummaryTable[[#This Row],[Code]], allFYsTable[year2], BS$3)=0, NotFound, SUMIFS(allFYsTable[RevisedBudget], allFYsTable[Code], SummaryTable[[#This Row],[Code]], allFYsTable[year2], BS$3))</f>
        <v>2298</v>
      </c>
      <c r="BW9" s="61">
        <f>IF(COUNTIFS(allFYsTable[Code], SummaryTable[[#This Row],[Code]], allFYsTable[year2], BS$3)=0, NotFound, SUMIFS(allFYsTable[Actual], allFYsTable[Code], SummaryTable[[#This Row],[Code]], allFYsTable[year2], BS$3))</f>
        <v>2255</v>
      </c>
      <c r="BX9" s="61">
        <f>IF(COUNTIFS(allFYsTable[Code], SummaryTable[[#This Row],[Code]], allFYsTable[year2], BS$3)=0, NotFound, SUMIFS(allFYsTable[DiffAmount], allFYsTable[Code], SummaryTable[[#This Row],[Code]], allFYsTable[year2], BS$3))</f>
        <v>-43</v>
      </c>
      <c r="BY9" s="63">
        <f>IF(SummaryTable[[#This Row],[OriginalBudget19]]=0, IF(SummaryTable[[#This Row],[DiffAmount19]]=0, ZeroBudgetNoSpending, ZeroBudgetWithSpending), SummaryTable[[#This Row],[DiffAmount19]]/SummaryTable[[#This Row],[OriginalBudget19]])</f>
        <v>-1.8711923411662314E-2</v>
      </c>
      <c r="BZ9" s="62">
        <f>IF(COUNTIFS(allFYsTable[Code], SummaryTable[[#This Row],[Code]], allFYsTable[year2], BZ$3)=0, NotFound, SUMIFS(allFYsTable[OriginalBudget], allFYsTable[Code], SummaryTable[[#This Row],[Code]], allFYsTable[year2], BZ$3))</f>
        <v>2179</v>
      </c>
      <c r="CA9" s="61">
        <f>SummaryTable[[#This Row],[OriginalBudget18]]-SummaryTable[[#This Row],[OriginalBudget17]]</f>
        <v>269</v>
      </c>
      <c r="CB9" s="54">
        <f>SummaryTable[[#This Row],[BudgetIncreaseAmount18]]/SummaryTable[[#This Row],[OriginalBudget17]]</f>
        <v>0.14083769633507853</v>
      </c>
      <c r="CC9" s="61">
        <f>IF(COUNTIFS(allFYsTable[Code], SummaryTable[[#This Row],[Code]], allFYsTable[year2], BZ$3)=0, NotFound, SUMIFS(allFYsTable[RevisedBudget], allFYsTable[Code], SummaryTable[[#This Row],[Code]], allFYsTable[year2], BZ$3))</f>
        <v>2179</v>
      </c>
      <c r="CD9" s="61">
        <f>IF(COUNTIFS(allFYsTable[Code], SummaryTable[[#This Row],[Code]], allFYsTable[year2], BZ$3)=0, NotFound, SUMIFS(allFYsTable[Actual], allFYsTable[Code], SummaryTable[[#This Row],[Code]], allFYsTable[year2], BZ$3))</f>
        <v>2099</v>
      </c>
      <c r="CE9" s="61">
        <f>IF(COUNTIFS(allFYsTable[Code], SummaryTable[[#This Row],[Code]], allFYsTable[year2], BZ$3)=0, NotFound, SUMIFS(allFYsTable[DiffAmount], allFYsTable[Code], SummaryTable[[#This Row],[Code]], allFYsTable[year2], BZ$3))</f>
        <v>-80</v>
      </c>
      <c r="CF9" s="63">
        <f>IF(SummaryTable[[#This Row],[OriginalBudget18]]=0, IF(SummaryTable[[#This Row],[DiffAmount18]]=0, ZeroBudgetNoSpending, ZeroBudgetWithSpending), SummaryTable[[#This Row],[DiffAmount18]]/SummaryTable[[#This Row],[OriginalBudget18]])</f>
        <v>-3.6714089031665904E-2</v>
      </c>
      <c r="CG9" s="62">
        <f>IF(COUNTIFS(allFYsTable[Code], SummaryTable[[#This Row],[Code]], allFYsTable[year2], CG$3)=0, NotFound, SUMIFS(allFYsTable[OriginalBudget], allFYsTable[Code], SummaryTable[[#This Row],[Code]], allFYsTable[year2], CG$3))</f>
        <v>1910</v>
      </c>
      <c r="CH9" s="61">
        <f>SummaryTable[[#This Row],[OriginalBudget17]]-SummaryTable[[#This Row],[OriginalBudget16]]</f>
        <v>226</v>
      </c>
      <c r="CI9" s="54">
        <f>SummaryTable[[#This Row],[BudgetIncreaseAmount17]]/SummaryTable[[#This Row],[OriginalBudget16]]</f>
        <v>0.13420427553444181</v>
      </c>
      <c r="CJ9" s="61">
        <f>IF(COUNTIFS(allFYsTable[Code], SummaryTable[[#This Row],[Code]], allFYsTable[year2], CG$3)=0, NotFound, SUMIFS(allFYsTable[RevisedBudget], allFYsTable[Code], SummaryTable[[#This Row],[Code]], allFYsTable[year2], CG$3))</f>
        <v>2110</v>
      </c>
      <c r="CK9" s="61">
        <f>IF(COUNTIFS(allFYsTable[Code], SummaryTable[[#This Row],[Code]], allFYsTable[year2], CG$3)=0, NotFound, SUMIFS(allFYsTable[Actual], allFYsTable[Code], SummaryTable[[#This Row],[Code]], allFYsTable[year2], CG$3))</f>
        <v>2071</v>
      </c>
      <c r="CL9" s="61">
        <f>IF(COUNTIFS(allFYsTable[Code], SummaryTable[[#This Row],[Code]], allFYsTable[year2], CG$3)=0, NotFound, SUMIFS(allFYsTable[DiffAmount], allFYsTable[Code], SummaryTable[[#This Row],[Code]], allFYsTable[year2], CG$3))</f>
        <v>161</v>
      </c>
      <c r="CM9" s="63">
        <f>IF(SummaryTable[[#This Row],[OriginalBudget17]]=0, IF(SummaryTable[[#This Row],[DiffAmount17]]=0, ZeroBudgetNoSpending, ZeroBudgetWithSpending), SummaryTable[[#This Row],[DiffAmount17]]/SummaryTable[[#This Row],[OriginalBudget17]])</f>
        <v>8.429319371727749E-2</v>
      </c>
      <c r="CN9" s="62">
        <f>IF(COUNTIFS(allFYsTable[Code], SummaryTable[[#This Row],[Code]], allFYsTable[year2], CN$3)=0, NotFound, SUMIFS(allFYsTable[OriginalBudget], allFYsTable[Code], SummaryTable[[#This Row],[Code]], allFYsTable[year2], CN$3))</f>
        <v>1684</v>
      </c>
      <c r="CO9" s="61">
        <f>SummaryTable[[#This Row],[OriginalBudget16]]-SummaryTable[[#This Row],[OriginalBudget15]]</f>
        <v>246</v>
      </c>
      <c r="CP9" s="54">
        <f>SummaryTable[[#This Row],[BudgetIncreaseAmount16]]/SummaryTable[[#This Row],[OriginalBudget15]]</f>
        <v>0.17107093184979139</v>
      </c>
      <c r="CQ9" s="61">
        <f>IF(COUNTIFS(allFYsTable[Code], SummaryTable[[#This Row],[Code]], allFYsTable[year2], CN$3)=0, NotFound, SUMIFS(allFYsTable[RevisedBudget], allFYsTable[Code], SummaryTable[[#This Row],[Code]], allFYsTable[year2], CN$3))</f>
        <v>1684</v>
      </c>
      <c r="CR9" s="61">
        <f>IF(COUNTIFS(allFYsTable[Code], SummaryTable[[#This Row],[Code]], allFYsTable[year2], CN$3)=0, NotFound, SUMIFS(allFYsTable[Actual], allFYsTable[Code], SummaryTable[[#This Row],[Code]], allFYsTable[year2], CN$3))</f>
        <v>1683</v>
      </c>
      <c r="CS9" s="61">
        <f>IF(COUNTIFS(allFYsTable[Code], SummaryTable[[#This Row],[Code]], allFYsTable[year2], CN$3)=0, NotFound, SUMIFS(allFYsTable[DiffAmount], allFYsTable[Code], SummaryTable[[#This Row],[Code]], allFYsTable[year2], CN$3))</f>
        <v>-1</v>
      </c>
      <c r="CT9" s="63">
        <f>IF(SummaryTable[[#This Row],[OriginalBudget16]]=0, IF(SummaryTable[[#This Row],[DiffAmount16]]=0, ZeroBudgetNoSpending, ZeroBudgetWithSpending), SummaryTable[[#This Row],[DiffAmount16]]/SummaryTable[[#This Row],[OriginalBudget16]])</f>
        <v>-5.9382422802850359E-4</v>
      </c>
      <c r="CU9" s="62">
        <f>IF(COUNTIFS(allFYsTable[Code], SummaryTable[[#This Row],[Code]], allFYsTable[year2], CU$3)=0, NotFound, SUMIFS(allFYsTable[OriginalBudget], allFYsTable[Code], SummaryTable[[#This Row],[Code]], allFYsTable[year2], CU$3))</f>
        <v>1438</v>
      </c>
      <c r="CV9" s="61">
        <f>SummaryTable[[#This Row],[OriginalBudget15]]-SummaryTable[[#This Row],[OriginalBudget14]]</f>
        <v>183</v>
      </c>
      <c r="CW9" s="54">
        <f>SummaryTable[[#This Row],[BudgetIncreaseAmount15]]/SummaryTable[[#This Row],[OriginalBudget14]]</f>
        <v>0.14581673306772908</v>
      </c>
      <c r="CX9" s="61">
        <f>IF(COUNTIFS(allFYsTable[Code], SummaryTable[[#This Row],[Code]], allFYsTable[year2], CU$3)=0, NotFound, SUMIFS(allFYsTable[RevisedBudget], allFYsTable[Code], SummaryTable[[#This Row],[Code]], allFYsTable[year2], CU$3))</f>
        <v>1438</v>
      </c>
      <c r="CY9" s="61">
        <f>IF(COUNTIFS(allFYsTable[Code], SummaryTable[[#This Row],[Code]], allFYsTable[year2], CU$3)=0, NotFound, SUMIFS(allFYsTable[Actual], allFYsTable[Code], SummaryTable[[#This Row],[Code]], allFYsTable[year2], CU$3))</f>
        <v>1409</v>
      </c>
      <c r="CZ9" s="61">
        <f>IF(COUNTIFS(allFYsTable[Code], SummaryTable[[#This Row],[Code]], allFYsTable[year2], CU$3)=0, NotFound, SUMIFS(allFYsTable[DiffAmount], allFYsTable[Code], SummaryTable[[#This Row],[Code]], allFYsTable[year2], CU$3))</f>
        <v>-29</v>
      </c>
      <c r="DA9" s="63">
        <f>IF(SummaryTable[[#This Row],[OriginalBudget15]]=0, IF(SummaryTable[[#This Row],[DiffAmount15]]=0, ZeroBudgetNoSpending, ZeroBudgetWithSpending), SummaryTable[[#This Row],[DiffAmount15]]/SummaryTable[[#This Row],[OriginalBudget15]])</f>
        <v>-2.0166898470097356E-2</v>
      </c>
      <c r="DB9" s="62">
        <f>IF(COUNTIFS(allFYsTable[Code], SummaryTable[[#This Row],[Code]], allFYsTable[year2], DB$3)=0, NotFound, SUMIFS(allFYsTable[OriginalBudget], allFYsTable[Code], SummaryTable[[#This Row],[Code]], allFYsTable[year2], DB$3))</f>
        <v>1255</v>
      </c>
      <c r="DC9" s="61">
        <f>SummaryTable[[#This Row],[OriginalBudget14]]-SummaryTable[[#This Row],[OriginalBudget13]]</f>
        <v>276</v>
      </c>
      <c r="DD9" s="54">
        <f>SummaryTable[[#This Row],[BudgetIncreaseAmount14]]/SummaryTable[[#This Row],[OriginalBudget13]]</f>
        <v>0.28192032686414709</v>
      </c>
      <c r="DE9" s="61">
        <f>IF(COUNTIFS(allFYsTable[Code], SummaryTable[[#This Row],[Code]], allFYsTable[year2], DB$3)=0, NotFound, SUMIFS(allFYsTable[RevisedBudget], allFYsTable[Code], SummaryTable[[#This Row],[Code]], allFYsTable[year2], DB$3))</f>
        <v>1359</v>
      </c>
      <c r="DF9" s="61">
        <f>IF(COUNTIFS(allFYsTable[Code], SummaryTable[[#This Row],[Code]], allFYsTable[year2], DB$3)=0, NotFound, SUMIFS(allFYsTable[Actual], allFYsTable[Code], SummaryTable[[#This Row],[Code]], allFYsTable[year2], DB$3))</f>
        <v>1354</v>
      </c>
      <c r="DG9" s="61">
        <f>IF(COUNTIFS(allFYsTable[Code], SummaryTable[[#This Row],[Code]], allFYsTable[year2], DB$3)=0, NotFound, SUMIFS(allFYsTable[DiffAmount], allFYsTable[Code], SummaryTable[[#This Row],[Code]], allFYsTable[year2], DB$3))</f>
        <v>99</v>
      </c>
      <c r="DH9" s="63">
        <f>IF(SummaryTable[[#This Row],[OriginalBudget14]]=0, IF(SummaryTable[[#This Row],[DiffAmount14]]=0, ZeroBudgetNoSpending, ZeroBudgetWithSpending), SummaryTable[[#This Row],[DiffAmount14]]/SummaryTable[[#This Row],[OriginalBudget14]])</f>
        <v>7.8884462151394427E-2</v>
      </c>
      <c r="DI9" s="62">
        <f>IF(COUNTIFS(allFYsTable[Code], SummaryTable[[#This Row],[Code]], allFYsTable[year2], DI$3)=0, NotFound, SUMIFS(allFYsTable[OriginalBudget], allFYsTable[Code], SummaryTable[[#This Row],[Code]], allFYsTable[year2], DI$3))</f>
        <v>979</v>
      </c>
      <c r="DJ9" s="61">
        <f>SummaryTable[[#This Row],[OriginalBudget13]]-SummaryTable[[#This Row],[OriginalBudget12]]</f>
        <v>629</v>
      </c>
      <c r="DK9" s="54">
        <f>SummaryTable[[#This Row],[BudgetIncreaseAmount13]]/SummaryTable[[#This Row],[OriginalBudget12]]</f>
        <v>1.7971428571428572</v>
      </c>
      <c r="DL9" s="61">
        <f>IF(COUNTIFS(allFYsTable[Code], SummaryTable[[#This Row],[Code]], allFYsTable[year2], DI$3)=0, NotFound, SUMIFS(allFYsTable[RevisedBudget], allFYsTable[Code], SummaryTable[[#This Row],[Code]], allFYsTable[year2], DI$3))</f>
        <v>1079</v>
      </c>
      <c r="DM9" s="61">
        <f>IF(COUNTIFS(allFYsTable[Code], SummaryTable[[#This Row],[Code]], allFYsTable[year2], DI$3)=0, NotFound, SUMIFS(allFYsTable[Actual], allFYsTable[Code], SummaryTable[[#This Row],[Code]], allFYsTable[year2], DI$3))</f>
        <v>1041</v>
      </c>
      <c r="DN9" s="61">
        <f>IF(COUNTIFS(allFYsTable[Code], SummaryTable[[#This Row],[Code]], allFYsTable[year2], DI$3)=0, NotFound, SUMIFS(allFYsTable[DiffAmount], allFYsTable[Code], SummaryTable[[#This Row],[Code]], allFYsTable[year2], DI$3))</f>
        <v>62</v>
      </c>
      <c r="DO9" s="63">
        <f>IF(SummaryTable[[#This Row],[OriginalBudget13]]=0, IF(SummaryTable[[#This Row],[DiffAmount13]]=0, ZeroBudgetNoSpending, ZeroBudgetWithSpending), SummaryTable[[#This Row],[DiffAmount13]]/SummaryTable[[#This Row],[OriginalBudget13]])</f>
        <v>6.332992849846783E-2</v>
      </c>
      <c r="DP9" s="62">
        <f>IF(COUNTIFS(allFYsTable[Code], SummaryTable[[#This Row],[Code]], allFYsTable[year2], DP$3)=0, NotFound, SUMIFS(allFYsTable[OriginalBudget], allFYsTable[Code], SummaryTable[[#This Row],[Code]], allFYsTable[year2], DP$3))</f>
        <v>350</v>
      </c>
      <c r="DQ9" s="61">
        <f>SummaryTable[[#This Row],[OriginalBudget12]]-SummaryTable[[#This Row],[OriginalBudget11]]</f>
        <v>87</v>
      </c>
      <c r="DR9" s="54">
        <f>SummaryTable[[#This Row],[BudgetIncreaseAmount12]]/SummaryTable[[#This Row],[OriginalBudget11]]</f>
        <v>0.33079847908745247</v>
      </c>
      <c r="DS9" s="61">
        <f>IF(COUNTIFS(allFYsTable[Code], SummaryTable[[#This Row],[Code]], allFYsTable[year2], DP$3)=0, NotFound, SUMIFS(allFYsTable[RevisedBudget], allFYsTable[Code], SummaryTable[[#This Row],[Code]], allFYsTable[year2], DP$3))</f>
        <v>200</v>
      </c>
      <c r="DT9" s="61">
        <f>IF(COUNTIFS(allFYsTable[Code], SummaryTable[[#This Row],[Code]], allFYsTable[year2], DP$3)=0, NotFound, SUMIFS(allFYsTable[Actual], allFYsTable[Code], SummaryTable[[#This Row],[Code]], allFYsTable[year2], DP$3))</f>
        <v>87</v>
      </c>
      <c r="DU9" s="61">
        <f>IF(COUNTIFS(allFYsTable[Code], SummaryTable[[#This Row],[Code]], allFYsTable[year2], DP$3)=0, NotFound, SUMIFS(allFYsTable[DiffAmount], allFYsTable[Code], SummaryTable[[#This Row],[Code]], allFYsTable[year2], DP$3))</f>
        <v>-263</v>
      </c>
      <c r="DV9" s="63">
        <f>IF(SummaryTable[[#This Row],[OriginalBudget12]]=0, IF(SummaryTable[[#This Row],[DiffAmount12]]=0, ZeroBudgetNoSpending, ZeroBudgetWithSpending), SummaryTable[[#This Row],[DiffAmount12]]/SummaryTable[[#This Row],[OriginalBudget12]])</f>
        <v>-0.75142857142857145</v>
      </c>
      <c r="DW9" s="62">
        <f>IF(COUNTIFS(allFYsTable[Code], SummaryTable[[#This Row],[Code]], allFYsTable[year2], DW$3)=0, NotFound, SUMIFS(allFYsTable[OriginalBudget], allFYsTable[Code], SummaryTable[[#This Row],[Code]], allFYsTable[year2], DW$3))</f>
        <v>263</v>
      </c>
      <c r="DX9" s="61" t="e">
        <f>SummaryTable[[#This Row],[OriginalBudget11]]-SummaryTable[[#This Row],[OriginalBudget10]]</f>
        <v>#N/A</v>
      </c>
      <c r="DY9" s="54" t="e">
        <f>SummaryTable[[#This Row],[BudgetIncreaseAmount11]]/SummaryTable[[#This Row],[OriginalBudget10]]</f>
        <v>#N/A</v>
      </c>
      <c r="DZ9" s="61">
        <f>IF(COUNTIFS(allFYsTable[Code], SummaryTable[[#This Row],[Code]], allFYsTable[year2], DW$3)=0, NotFound, SUMIFS(allFYsTable[RevisedBudget], allFYsTable[Code], SummaryTable[[#This Row],[Code]], allFYsTable[year2], DW$3))</f>
        <v>0</v>
      </c>
      <c r="EA9" s="61">
        <f>IF(COUNTIFS(allFYsTable[Code], SummaryTable[[#This Row],[Code]], allFYsTable[year2], DW$3)=0, NotFound, SUMIFS(allFYsTable[Actual], allFYsTable[Code], SummaryTable[[#This Row],[Code]], allFYsTable[year2], DW$3))</f>
        <v>0</v>
      </c>
      <c r="EB9" s="61">
        <f>IF(COUNTIFS(allFYsTable[Code], SummaryTable[[#This Row],[Code]], allFYsTable[year2], DW$3)=0, NotFound, SUMIFS(allFYsTable[DiffAmount], allFYsTable[Code], SummaryTable[[#This Row],[Code]], allFYsTable[year2], DW$3))</f>
        <v>-263</v>
      </c>
      <c r="EC9" s="63">
        <f>IF(SummaryTable[[#This Row],[OriginalBudget11]]=0, IF(SummaryTable[[#This Row],[DiffAmount11]]=0, ZeroBudgetNoSpending, ZeroBudgetWithSpending), SummaryTable[[#This Row],[DiffAmount11]]/SummaryTable[[#This Row],[OriginalBudget11]])</f>
        <v>-1</v>
      </c>
      <c r="ED9" s="62" t="e">
        <f>IF(COUNTIFS(allFYsTable[Code], SummaryTable[[#This Row],[Code]], allFYsTable[year2], ED$3)=0, NotFound, SUMIFS(allFYsTable[OriginalBudget], allFYsTable[Code], SummaryTable[[#This Row],[Code]], allFYsTable[year2], ED$3))</f>
        <v>#N/A</v>
      </c>
      <c r="EE9" s="61" t="e">
        <f>SummaryTable[[#This Row],[OriginalBudget10]]-SummaryTable[[#This Row],[OriginalBudget09]]</f>
        <v>#N/A</v>
      </c>
      <c r="EF9" s="54" t="e">
        <f>SummaryTable[[#This Row],[BudgetIncreaseAmount10]]/SummaryTable[[#This Row],[OriginalBudget09]]</f>
        <v>#N/A</v>
      </c>
      <c r="EG9" s="61" t="e">
        <f>IF(COUNTIFS(allFYsTable[Code], SummaryTable[[#This Row],[Code]], allFYsTable[year2], ED$3)=0, NotFound, SUMIFS(allFYsTable[RevisedBudget], allFYsTable[Code], SummaryTable[[#This Row],[Code]], allFYsTable[year2], ED$3))</f>
        <v>#N/A</v>
      </c>
      <c r="EH9" s="61" t="e">
        <f>IF(COUNTIFS(allFYsTable[Code], SummaryTable[[#This Row],[Code]], allFYsTable[year2], ED$3)=0, NotFound, SUMIFS(allFYsTable[Actual], allFYsTable[Code], SummaryTable[[#This Row],[Code]], allFYsTable[year2], ED$3))</f>
        <v>#N/A</v>
      </c>
      <c r="EI9" s="61" t="e">
        <f>IF(COUNTIFS(allFYsTable[Code], SummaryTable[[#This Row],[Code]], allFYsTable[year2], ED$3)=0, NotFound, SUMIFS(allFYsTable[DiffAmount], allFYsTable[Code], SummaryTable[[#This Row],[Code]], allFYsTable[year2], ED$3))</f>
        <v>#N/A</v>
      </c>
      <c r="EJ9" s="63" t="e">
        <f>IF(SummaryTable[[#This Row],[OriginalBudget10]]=0, IF(SummaryTable[[#This Row],[DiffAmount10]]=0, ZeroBudgetNoSpending, ZeroBudgetWithSpending), SummaryTable[[#This Row],[DiffAmount10]]/SummaryTable[[#This Row],[OriginalBudget10]])</f>
        <v>#N/A</v>
      </c>
      <c r="EK9" s="62" t="e">
        <f>IF(COUNTIFS(allFYsTable[Code], SummaryTable[[#This Row],[Code]], allFYsTable[year2], EK$3)=0, NotFound, SUMIFS(allFYsTable[OriginalBudget], allFYsTable[Code], SummaryTable[[#This Row],[Code]], allFYsTable[year2], EK$3))</f>
        <v>#N/A</v>
      </c>
      <c r="EL9" s="61" t="e">
        <f>SummaryTable[[#This Row],[OriginalBudget09]]-SummaryTable[[#This Row],[OriginalBudget08]]</f>
        <v>#N/A</v>
      </c>
      <c r="EM9" s="54" t="e">
        <f>SummaryTable[[#This Row],[BudgetIncreaseAmount09]]/SummaryTable[[#This Row],[OriginalBudget08]]</f>
        <v>#N/A</v>
      </c>
      <c r="EN9" s="61" t="e">
        <f>IF(COUNTIFS(allFYsTable[Code], SummaryTable[[#This Row],[Code]], allFYsTable[year2], EK$3)=0, NotFound, SUMIFS(allFYsTable[RevisedBudget], allFYsTable[Code], SummaryTable[[#This Row],[Code]], allFYsTable[year2], EK$3))</f>
        <v>#N/A</v>
      </c>
      <c r="EO9" s="61" t="e">
        <f>IF(COUNTIFS(allFYsTable[Code], SummaryTable[[#This Row],[Code]], allFYsTable[year2], EK$3)=0, NotFound, SUMIFS(allFYsTable[Actual], allFYsTable[Code], SummaryTable[[#This Row],[Code]], allFYsTable[year2], EK$3))</f>
        <v>#N/A</v>
      </c>
      <c r="EP9" s="61" t="e">
        <f>IF(COUNTIFS(allFYsTable[Code], SummaryTable[[#This Row],[Code]], allFYsTable[year2], EK$3)=0, NotFound, SUMIFS(allFYsTable[DiffAmount], allFYsTable[Code], SummaryTable[[#This Row],[Code]], allFYsTable[year2], EK$3))</f>
        <v>#N/A</v>
      </c>
      <c r="EQ9" s="63" t="e">
        <f>IF(SummaryTable[[#This Row],[OriginalBudget09]]=0, IF(SummaryTable[[#This Row],[DiffAmount09]]=0, ZeroBudgetNoSpending, ZeroBudgetWithSpending), SummaryTable[[#This Row],[DiffAmount09]]/SummaryTable[[#This Row],[OriginalBudget09]])</f>
        <v>#N/A</v>
      </c>
      <c r="ER9" s="62" t="e">
        <f>IF(COUNTIFS(allFYsTable[Code], SummaryTable[[#This Row],[Code]], allFYsTable[year2], ER$3)=0, NotFound, SUMIFS(allFYsTable[OriginalBudget], allFYsTable[Code], SummaryTable[[#This Row],[Code]], allFYsTable[year2], ER$3))</f>
        <v>#N/A</v>
      </c>
      <c r="ES9" s="61" t="e">
        <f>SummaryTable[[#This Row],[OriginalBudget08]]-SummaryTable[[#This Row],[OriginalBudget07]]</f>
        <v>#N/A</v>
      </c>
      <c r="ET9" s="54" t="e">
        <f>SummaryTable[[#This Row],[BudgetIncreaseAmount08]]/SummaryTable[[#This Row],[OriginalBudget07]]</f>
        <v>#N/A</v>
      </c>
      <c r="EU9" s="61" t="e">
        <f>IF(COUNTIFS(allFYsTable[Code], SummaryTable[[#This Row],[Code]], allFYsTable[year2], ER$3)=0, NotFound, SUMIFS(allFYsTable[RevisedBudget], allFYsTable[Code], SummaryTable[[#This Row],[Code]], allFYsTable[year2], ER$3))</f>
        <v>#N/A</v>
      </c>
      <c r="EV9" s="61" t="e">
        <f>IF(COUNTIFS(allFYsTable[Code], SummaryTable[[#This Row],[Code]], allFYsTable[year2], ER$3)=0, NotFound, SUMIFS(allFYsTable[Actual], allFYsTable[Code], SummaryTable[[#This Row],[Code]], allFYsTable[year2], ER$3))</f>
        <v>#N/A</v>
      </c>
      <c r="EW9" s="61" t="e">
        <f>IF(COUNTIFS(allFYsTable[Code], SummaryTable[[#This Row],[Code]], allFYsTable[year2], ER$3)=0, NotFound, SUMIFS(allFYsTable[DiffAmount], allFYsTable[Code], SummaryTable[[#This Row],[Code]], allFYsTable[year2], ER$3))</f>
        <v>#N/A</v>
      </c>
      <c r="EX9" s="63" t="e">
        <f>IF(SummaryTable[[#This Row],[OriginalBudget08]]=0, IF(SummaryTable[[#This Row],[DiffAmount08]]=0, ZeroBudgetNoSpending, ZeroBudgetWithSpending), SummaryTable[[#This Row],[DiffAmount08]]/SummaryTable[[#This Row],[OriginalBudget08]])</f>
        <v>#N/A</v>
      </c>
      <c r="EY9" s="62" t="e">
        <f>IF(COUNTIFS(allFYsTable[Code], SummaryTable[[#This Row],[Code]], allFYsTable[year2], EY$3)=0, NotFound, SUMIFS(allFYsTable[OriginalBudget], allFYsTable[Code], SummaryTable[[#This Row],[Code]], allFYsTable[year2], EY$3))</f>
        <v>#N/A</v>
      </c>
      <c r="EZ9" s="61" t="e">
        <f>SummaryTable[[#This Row],[OriginalBudget07]]-SummaryTable[[#This Row],[OriginalBudget06]]</f>
        <v>#N/A</v>
      </c>
      <c r="FA9" s="54" t="e">
        <f>SummaryTable[[#This Row],[BudgetIncreaseAmount07]]/SummaryTable[[#This Row],[OriginalBudget06]]</f>
        <v>#N/A</v>
      </c>
      <c r="FB9" s="61" t="e">
        <f>IF(COUNTIFS(allFYsTable[Code], SummaryTable[[#This Row],[Code]], allFYsTable[year2], EY$3)=0, NotFound, SUMIFS(allFYsTable[RevisedBudget], allFYsTable[Code], SummaryTable[[#This Row],[Code]], allFYsTable[year2], EY$3))</f>
        <v>#N/A</v>
      </c>
      <c r="FC9" s="61" t="e">
        <f>IF(COUNTIFS(allFYsTable[Code], SummaryTable[[#This Row],[Code]], allFYsTable[year2], EY$3)=0, NotFound, SUMIFS(allFYsTable[Actual], allFYsTable[Code], SummaryTable[[#This Row],[Code]], allFYsTable[year2], EY$3))</f>
        <v>#N/A</v>
      </c>
      <c r="FD9" s="61" t="e">
        <f>IF(COUNTIFS(allFYsTable[Code], SummaryTable[[#This Row],[Code]], allFYsTable[year2], EY$3)=0, NotFound, SUMIFS(allFYsTable[DiffAmount], allFYsTable[Code], SummaryTable[[#This Row],[Code]], allFYsTable[year2], EY$3))</f>
        <v>#N/A</v>
      </c>
      <c r="FE9" s="63" t="e">
        <f>IF(SummaryTable[[#This Row],[OriginalBudget07]]=0, IF(SummaryTable[[#This Row],[DiffAmount07]]=0, ZeroBudgetNoSpending, ZeroBudgetWithSpending), SummaryTable[[#This Row],[DiffAmount07]]/SummaryTable[[#This Row],[OriginalBudget07]])</f>
        <v>#N/A</v>
      </c>
      <c r="FF9" s="62" t="e">
        <f>IF(COUNTIFS(allFYsTable[Code], SummaryTable[[#This Row],[Code]], allFYsTable[year2], FF$3)=0, NotFound, SUMIFS(allFYsTable[OriginalBudget], allFYsTable[Code], SummaryTable[[#This Row],[Code]], allFYsTable[year2], FF$3))</f>
        <v>#N/A</v>
      </c>
      <c r="FI9" s="61" t="e">
        <f>IF(COUNTIFS(allFYsTable[Code], SummaryTable[[#This Row],[Code]], allFYsTable[year2], FF$3)=0, NotFound, SUMIFS(allFYsTable[RevisedBudget], allFYsTable[Code], SummaryTable[[#This Row],[Code]], allFYsTable[year2], FF$3))</f>
        <v>#N/A</v>
      </c>
      <c r="FJ9" s="61" t="e">
        <f>IF(COUNTIFS(allFYsTable[Code], SummaryTable[[#This Row],[Code]], allFYsTable[year2], FF$3)=0, NotFound, SUMIFS(allFYsTable[Actual], allFYsTable[Code], SummaryTable[[#This Row],[Code]], allFYsTable[year2], FF$3))</f>
        <v>#N/A</v>
      </c>
      <c r="FK9" s="61" t="e">
        <f>IF(COUNTIFS(allFYsTable[Code], SummaryTable[[#This Row],[Code]], allFYsTable[year2], FF$3)=0, NotFound, SUMIFS(allFYsTable[DiffAmount], allFYsTable[Code], SummaryTable[[#This Row],[Code]], allFYsTable[year2], FF$3))</f>
        <v>#N/A</v>
      </c>
      <c r="FL9" s="63" t="e">
        <f>IF(SummaryTable[[#This Row],[OriginalBudget06]]=0, IF(SummaryTable[[#This Row],[DiffAmount06]]=0, ZeroBudgetNoSpending, ZeroBudgetWithSpending), SummaryTable[[#This Row],[DiffAmount06]]/SummaryTable[[#This Row],[OriginalBudget06]])</f>
        <v>#N/A</v>
      </c>
    </row>
    <row r="10" spans="1:168" x14ac:dyDescent="0.45">
      <c r="A10" t="s">
        <v>734</v>
      </c>
      <c r="B10">
        <f>_xlfn.MAXIFS(allFYsTable[year2], allFYsTable[Code], SummaryTable[[#This Row],[Code]])</f>
        <v>2025</v>
      </c>
      <c r="C10" t="str">
        <f>_xlfn.XLOOKUP(SummaryTable[[#This Row],[Code]], NameCodingTable[Code], NameCodingTable[Most Recent Category per allFYs])</f>
        <v>Economic development and regulation</v>
      </c>
      <c r="D10" t="str">
        <f>_xlfn.XLOOKUP(SummaryTable[[#This Row],[Code]], NameCodingTable[Code], NameCodingTable[Unit Display Name])</f>
        <v>Business Improvement Districts Transfer</v>
      </c>
      <c r="E10" t="str">
        <f>_xlfn.XLOOKUP(SummaryTable[[#This Row],[Code]], NameCodingTable[Code], NameCodingTable[Type])</f>
        <v>xother</v>
      </c>
      <c r="F1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15</v>
      </c>
      <c r="G1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0" s="54">
        <f>SummaryTable[[#This Row],['# Over]]/SummaryTable[[#This Row],[Count]]</f>
        <v>6.6666666666666666E-2</v>
      </c>
      <c r="I1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0" s="54">
        <f>SummaryTable[[#This Row],['# Under]]/SummaryTable[[#This Row],[Count]]</f>
        <v>0</v>
      </c>
      <c r="K1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14</v>
      </c>
      <c r="L10" s="54">
        <f>SummaryTable[[#This Row],['# Equal]]/SummaryTable[[#This Row],[Count]]</f>
        <v>0.93333333333333335</v>
      </c>
      <c r="M10" s="61">
        <f>SUMIFS(allFYsTable[OriginalBudget],allFYsTable[Code],SummaryTable[[#This Row],[Code]])/SummaryTable[[#This Row],[Count]]</f>
        <v>690.33333333333337</v>
      </c>
      <c r="N10" s="61">
        <f>SUMIFS(allFYsTable[Actual],allFYsTable[Code],SummaryTable[[#This Row],[Code]])/SummaryTable[[#This Row],[Count]]</f>
        <v>710.33333333333337</v>
      </c>
      <c r="O10" s="61">
        <f>SummaryTable[[#This Row],[AvgActAmt]]-SummaryTable[[#This Row],[AvgBudAmt]]</f>
        <v>20</v>
      </c>
      <c r="P10" s="54">
        <f>IF(SummaryTable[[#This Row],[AvgBudAmt]]=0, IF(SummaryTable[[#This Row],[AvgDiff'#]]=0, 0, NamedFields!$C$3), SummaryTable[[#This Row],[AvgDiff'#]]/SummaryTable[[#This Row],[AvgBudAmt]])</f>
        <v>2.8971511347175277E-2</v>
      </c>
      <c r="Q10" s="61">
        <f>IFERROR(SUMIFS(allFYsTable[OriginalBudget],allFYsTable[Code],SummaryTable[[#This Row],[Code]],allFYsTable[DiffAmount], "&gt;0")/SummaryTable[[#This Row],['# Over]], 0)</f>
        <v>250</v>
      </c>
      <c r="R10" s="61">
        <f>IFERROR(SUMIFS(allFYsTable[Actual],allFYsTable[Code],SummaryTable[[#This Row],[Code]],allFYsTable[DiffAmount], "&gt;0")/SummaryTable[[#This Row],['# Over]], 0)</f>
        <v>550</v>
      </c>
      <c r="S10" s="61">
        <f>SummaryTable[[#This Row],[OverAvgAct]]-SummaryTable[[#This Row],[OverAvgBud]]</f>
        <v>300</v>
      </c>
      <c r="T10" s="54">
        <f>IF(SummaryTable[[#This Row],[OverAvgBud]]=0, IF(SummaryTable[[#This Row],[OverAvgDiff'#]]=0, ZeroBudgetNoSpending, ZeroBudgetWithSpending), SummaryTable[[#This Row],[OverAvgDiff'#]]/SummaryTable[[#This Row],[OverAvgBud]])</f>
        <v>1.2</v>
      </c>
      <c r="U10" s="61">
        <f>IFERROR(SUMIFS(allFYsTable[OriginalBudget],allFYsTable[Code],SummaryTable[[#This Row],[Code]],allFYsTable[DiffAmount], "&lt;0")/SummaryTable[[#This Row],['# Under]], 0)</f>
        <v>0</v>
      </c>
      <c r="V10" s="61">
        <f>IFERROR( SUMIFS(allFYsTable[Actual],allFYsTable[Code],SummaryTable[[#This Row],[Code]],allFYsTable[DiffAmount], "&lt;0")/SummaryTable[[#This Row],['# Under]], 0)</f>
        <v>0</v>
      </c>
      <c r="W10" s="61">
        <f>SummaryTable[[#This Row],[UnderAvgAct]]-SummaryTable[[#This Row],[UnderAvgBud]]</f>
        <v>0</v>
      </c>
      <c r="X10" s="54">
        <f>IF(SummaryTable[[#This Row],[UnderAvgBud]]=0, IF(SummaryTable[[#This Row],[UnderAvgDiff'#]]=0, ZeroBudgetNoSpending, NamedFields!$C$3), SummaryTable[[#This Row],[UnderAvgDiff'#]]/SummaryTable[[#This Row],[UnderAvgBud]])</f>
        <v>0</v>
      </c>
      <c r="Y1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1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 s="54">
        <f>IF(SummaryTable[[#This Row],[IncreaseYears]]=0, ZeroBudgetNoSpending, SummaryTable[[#This Row],[OSinIncreaseYear'#]]/SummaryTable[[#This Row],[IncreaseYears]])</f>
        <v>0</v>
      </c>
      <c r="AB10" s="58" t="str">
        <f>SummaryTable[[#This Row],[Code]]</f>
        <v>ID0</v>
      </c>
      <c r="AC10" s="62">
        <f>IF(COUNTIFS(allFYsTable[Code], SummaryTable[[#This Row],[Code]], allFYsTable[year2], AC$3)=0, NotFound, SUMIFS(allFYsTable[OriginalBudget], allFYsTable[Code], SummaryTable[[#This Row],[Code]], allFYsTable[year2], AC$3))</f>
        <v>2600</v>
      </c>
      <c r="AD10" s="61">
        <f>SummaryTable[[#This Row],[OriginalBudget25]]-SummaryTable[[#This Row],[OriginalBudget24]]</f>
        <v>-1930</v>
      </c>
      <c r="AE10" s="54">
        <f>SummaryTable[[#This Row],[BudgetIncreaseAmount25]]/SummaryTable[[#This Row],[OriginalBudget24]]</f>
        <v>-0.42604856512141281</v>
      </c>
      <c r="AF10" s="61">
        <f>IF(COUNTIFS(allFYsTable[Code], SummaryTable[[#This Row],[Code]], allFYsTable[year2], AC$3)=0, NotFound, SUMIFS(allFYsTable[RevisedBudget], allFYsTable[Code], SummaryTable[[#This Row],[Code]], allFYsTable[year2], AC$3))</f>
        <v>2600</v>
      </c>
      <c r="AG10" s="61">
        <f>IF(COUNTIFS(allFYsTable[Code], SummaryTable[[#This Row],[Code]], allFYsTable[year2], AC$3)=0, NotFound, SUMIFS(allFYsTable[Actual], allFYsTable[Code], SummaryTable[[#This Row],[Code]], allFYsTable[year2], AC$3))</f>
        <v>2600</v>
      </c>
      <c r="AH10" s="61">
        <f>IF(COUNTIFS(allFYsTable[Code], SummaryTable[[#This Row],[Code]], allFYsTable[year2], AC$3)=0, NotFound, SUMIFS(allFYsTable[DiffAmount], allFYsTable[Code], SummaryTable[[#This Row],[Code]], allFYsTable[year2], AC$3))</f>
        <v>0</v>
      </c>
      <c r="AI10" s="63">
        <f>IF(SummaryTable[[#This Row],[OriginalBudget25]]=0, IF(SummaryTable[[#This Row],[DiffAmount25]]=0, ZeroBudgetNoSpending, ZeroBudgetWithSpending), SummaryTable[[#This Row],[DiffAmount25]]/SummaryTable[[#This Row],[OriginalBudget25]])</f>
        <v>0</v>
      </c>
      <c r="AJ10" s="62">
        <f>IF(COUNTIFS(allFYsTable[Code], SummaryTable[[#This Row],[Code]], allFYsTable[year2], AJ$3)=0, NotFound, SUMIFS(allFYsTable[OriginalBudget], allFYsTable[Code], SummaryTable[[#This Row],[Code]], allFYsTable[year2], AJ$3))</f>
        <v>4530</v>
      </c>
      <c r="AK10" s="61">
        <f>SummaryTable[[#This Row],[OriginalBudget24]]-SummaryTable[[#This Row],[OriginalBudget23]]</f>
        <v>2680</v>
      </c>
      <c r="AL10" s="54">
        <f>SummaryTable[[#This Row],[BudgetIncreaseAmount24]]/SummaryTable[[#This Row],[OriginalBudget23]]</f>
        <v>1.4486486486486487</v>
      </c>
      <c r="AM10" s="61">
        <f>IF(COUNTIFS(allFYsTable[Code], SummaryTable[[#This Row],[Code]], allFYsTable[year2], AK$3)=0, NotFound, SUMIFS(allFYsTable[RevisedBudget], allFYsTable[Code], SummaryTable[[#This Row],[Code]], allFYsTable[year2], AJ$3))</f>
        <v>4530</v>
      </c>
      <c r="AN10" s="61">
        <f>IF(COUNTIFS(allFYsTable[Code], SummaryTable[[#This Row],[Code]], allFYsTable[year2], AJ$3)=0, NotFound, SUMIFS(allFYsTable[Actual], allFYsTable[Code], SummaryTable[[#This Row],[Code]], allFYsTable[year2], AJ$3))</f>
        <v>4530</v>
      </c>
      <c r="AO10" s="61">
        <f>IF(COUNTIFS(allFYsTable[Code], SummaryTable[[#This Row],[Code]], allFYsTable[year2], AJ$3)=0, NotFound, SUMIFS(allFYsTable[DiffAmount], allFYsTable[Code], SummaryTable[[#This Row],[Code]], allFYsTable[year2], AJ$3))</f>
        <v>0</v>
      </c>
      <c r="AP10" s="63">
        <f>IF(SummaryTable[[#This Row],[OriginalBudget24]]=0, IF(SummaryTable[[#This Row],[DiffAmount24]]=0, ZeroBudgetNoSpending, ZeroBudgetWithSpending), SummaryTable[[#This Row],[DiffAmount24]]/SummaryTable[[#This Row],[OriginalBudget24]])</f>
        <v>0</v>
      </c>
      <c r="AQ10" s="62">
        <f>IF(COUNTIFS(allFYsTable[Code], SummaryTable[[#This Row],[Code]], allFYsTable[year2], AQ$3)=0, NotFound, SUMIFS(allFYsTable[OriginalBudget], allFYsTable[Code], SummaryTable[[#This Row],[Code]], allFYsTable[year2], AQ$3))</f>
        <v>1850</v>
      </c>
      <c r="AR10" s="61">
        <f>SummaryTable[[#This Row],[OriginalBudget23]]-SummaryTable[[#This Row],[OriginalBudget22]]</f>
        <v>1600</v>
      </c>
      <c r="AS10" s="54">
        <f>SummaryTable[[#This Row],[BudgetIncreaseAmount23]]/SummaryTable[[#This Row],[OriginalBudget22]]</f>
        <v>6.4</v>
      </c>
      <c r="AT10" s="61">
        <f>IF(COUNTIFS(allFYsTable[Code], SummaryTable[[#This Row],[Code]], allFYsTable[year2], AQ$3)=0, NotFound, SUMIFS(allFYsTable[RevisedBudget], allFYsTable[Code], SummaryTable[[#This Row],[Code]], allFYsTable[year2], AQ$3))</f>
        <v>1850</v>
      </c>
      <c r="AU10" s="61">
        <f>IF(COUNTIFS(allFYsTable[Code], SummaryTable[[#This Row],[Code]], allFYsTable[year2], AQ$3)=0, NotFound, SUMIFS(allFYsTable[Actual], allFYsTable[Code], SummaryTable[[#This Row],[Code]], allFYsTable[year2], AQ$3))</f>
        <v>1850</v>
      </c>
      <c r="AV10" s="61">
        <f>IF(COUNTIFS(allFYsTable[Code], SummaryTable[[#This Row],[Code]], allFYsTable[year2], AQ$3)=0, NotFound, SUMIFS(allFYsTable[DiffAmount], allFYsTable[Code], SummaryTable[[#This Row],[Code]], allFYsTable[year2], AQ$3))</f>
        <v>0</v>
      </c>
      <c r="AW10" s="63">
        <f>IF(SummaryTable[[#This Row],[OriginalBudget23]]=0, IF(SummaryTable[[#This Row],[DiffAmount23]]=0, ZeroBudgetNoSpending, ZeroBudgetWithSpending), SummaryTable[[#This Row],[DiffAmount23]]/SummaryTable[[#This Row],[OriginalBudget23]])</f>
        <v>0</v>
      </c>
      <c r="AX10" s="62">
        <f>IF(COUNTIFS(allFYsTable[Code], SummaryTable[[#This Row],[Code]], allFYsTable[year2], AX$3)=0, NotFound, SUMIFS(allFYsTable[OriginalBudget], allFYsTable[Code], SummaryTable[[#This Row],[Code]], allFYsTable[year2], AX$3))</f>
        <v>250</v>
      </c>
      <c r="AY10" s="61">
        <f>SummaryTable[[#This Row],[OriginalBudget22]]-SummaryTable[[#This Row],[OriginalBudget21]]</f>
        <v>-875</v>
      </c>
      <c r="AZ10" s="54">
        <f>SummaryTable[[#This Row],[BudgetIncreaseAmount22]]/SummaryTable[[#This Row],[OriginalBudget21]]</f>
        <v>-0.77777777777777779</v>
      </c>
      <c r="BA10" s="61">
        <f>IF(COUNTIFS(allFYsTable[Code], SummaryTable[[#This Row],[Code]], allFYsTable[year2], AX$3)=0, NotFound, SUMIFS(allFYsTable[RevisedBudget], allFYsTable[Code], SummaryTable[[#This Row],[Code]], allFYsTable[year2], AX$3))</f>
        <v>550</v>
      </c>
      <c r="BB10" s="61">
        <f>IF(COUNTIFS(allFYsTable[Code], SummaryTable[[#This Row],[Code]], allFYsTable[year2], AX$3)=0, NotFound, SUMIFS(allFYsTable[Actual], allFYsTable[Code], SummaryTable[[#This Row],[Code]], allFYsTable[year2], AX$3))</f>
        <v>550</v>
      </c>
      <c r="BC10" s="61">
        <f>IF(COUNTIFS(allFYsTable[Code], SummaryTable[[#This Row],[Code]], allFYsTable[year2], AX$3)=0, NotFound, SUMIFS(allFYsTable[DiffAmount], allFYsTable[Code], SummaryTable[[#This Row],[Code]], allFYsTable[year2], AX$3))</f>
        <v>300</v>
      </c>
      <c r="BD10" s="63">
        <f>IF(SummaryTable[[#This Row],[OriginalBudget22]]=0, IF(SummaryTable[[#This Row],[DiffAmount22]]=0, ZeroBudgetNoSpending, ZeroBudgetWithSpending), SummaryTable[[#This Row],[DiffAmount22]]/SummaryTable[[#This Row],[OriginalBudget22]])</f>
        <v>1.2</v>
      </c>
      <c r="BE10" s="62">
        <f>IF(COUNTIFS(allFYsTable[Code], SummaryTable[[#This Row],[Code]], allFYsTable[year2], BE$3)=0, NotFound, SUMIFS(allFYsTable[OriginalBudget], allFYsTable[Code], SummaryTable[[#This Row],[Code]], allFYsTable[year2], BE$3))</f>
        <v>1125</v>
      </c>
      <c r="BF10" s="61">
        <f>SummaryTable[[#This Row],[OriginalBudget21]]-SummaryTable[[#This Row],[OriginalBudget20]]</f>
        <v>1125</v>
      </c>
      <c r="BG10" s="54" t="e">
        <f>SummaryTable[[#This Row],[BudgetIncreaseAmount21]]/SummaryTable[[#This Row],[OriginalBudget20]]</f>
        <v>#DIV/0!</v>
      </c>
      <c r="BH10" s="61">
        <f>IF(COUNTIFS(allFYsTable[Code], SummaryTable[[#This Row],[Code]], allFYsTable[year2], BE$3)=0, NotFound, SUMIFS(allFYsTable[RevisedBudget], allFYsTable[Code], SummaryTable[[#This Row],[Code]], allFYsTable[year2], BE$3))</f>
        <v>1125</v>
      </c>
      <c r="BI10" s="61">
        <f>IF(COUNTIFS(allFYsTable[Code], SummaryTable[[#This Row],[Code]], allFYsTable[year2], BE$3)=0, NotFound, SUMIFS(allFYsTable[Actual], allFYsTable[Code], SummaryTable[[#This Row],[Code]], allFYsTable[year2], BE$3))</f>
        <v>1125</v>
      </c>
      <c r="BJ10" s="61">
        <f>IF(COUNTIFS(allFYsTable[Code], SummaryTable[[#This Row],[Code]], allFYsTable[year2], BE$3)=0, NotFound, SUMIFS(allFYsTable[DiffAmount], allFYsTable[Code], SummaryTable[[#This Row],[Code]], allFYsTable[year2], BE$3))</f>
        <v>0</v>
      </c>
      <c r="BK10" s="63">
        <f>IF(SummaryTable[[#This Row],[OriginalBudget21]]=0, IF(SummaryTable[[#This Row],[DiffAmount21]]=0, ZeroBudgetNoSpending, ZeroBudgetWithSpending), SummaryTable[[#This Row],[DiffAmount21]]/SummaryTable[[#This Row],[OriginalBudget21]])</f>
        <v>0</v>
      </c>
      <c r="BL10" s="62">
        <f>IF(COUNTIFS(allFYsTable[Code], SummaryTable[[#This Row],[Code]], allFYsTable[year2], BL$3)=0, NotFound, SUMIFS(allFYsTable[OriginalBudget], allFYsTable[Code], SummaryTable[[#This Row],[Code]], allFYsTable[year2], BL$3))</f>
        <v>0</v>
      </c>
      <c r="BM10" s="61">
        <f>SummaryTable[[#This Row],[OriginalBudget20]]-SummaryTable[[#This Row],[OriginalBudget19]]</f>
        <v>0</v>
      </c>
      <c r="BN10" s="54" t="e">
        <f>SummaryTable[[#This Row],[BudgetIncreaseAmount20]]/SummaryTable[[#This Row],[OriginalBudget19]]</f>
        <v>#DIV/0!</v>
      </c>
      <c r="BO10" s="61">
        <f>IF(COUNTIFS(allFYsTable[Code], SummaryTable[[#This Row],[Code]], allFYsTable[year2], BL$3)=0, NotFound, SUMIFS(allFYsTable[RevisedBudget], allFYsTable[Code], SummaryTable[[#This Row],[Code]], allFYsTable[year2], BL$3))</f>
        <v>0</v>
      </c>
      <c r="BP10" s="61">
        <f>IF(COUNTIFS(allFYsTable[Code], SummaryTable[[#This Row],[Code]], allFYsTable[year2], BL$3)=0, NotFound, SUMIFS(allFYsTable[Actual], allFYsTable[Code], SummaryTable[[#This Row],[Code]], allFYsTable[year2], BL$3))</f>
        <v>0</v>
      </c>
      <c r="BQ10" s="61">
        <f>IF(COUNTIFS(allFYsTable[Code], SummaryTable[[#This Row],[Code]], allFYsTable[year2], BL$3)=0, NotFound, SUMIFS(allFYsTable[DiffAmount], allFYsTable[Code], SummaryTable[[#This Row],[Code]], allFYsTable[year2], BL$3))</f>
        <v>0</v>
      </c>
      <c r="BR10" s="63">
        <f>IF(SummaryTable[[#This Row],[OriginalBudget20]]=0, IF(SummaryTable[[#This Row],[DiffAmount20]]=0, ZeroBudgetNoSpending, ZeroBudgetWithSpending), SummaryTable[[#This Row],[DiffAmount20]]/SummaryTable[[#This Row],[OriginalBudget20]])</f>
        <v>0</v>
      </c>
      <c r="BS10" s="62">
        <f>IF(COUNTIFS(allFYsTable[Code], SummaryTable[[#This Row],[Code]], allFYsTable[year2], BS$3)=0, NotFound, SUMIFS(allFYsTable[OriginalBudget], allFYsTable[Code], SummaryTable[[#This Row],[Code]], allFYsTable[year2], BS$3))</f>
        <v>0</v>
      </c>
      <c r="BT10" s="61">
        <f>SummaryTable[[#This Row],[OriginalBudget19]]-SummaryTable[[#This Row],[OriginalBudget18]]</f>
        <v>0</v>
      </c>
      <c r="BU10" s="54" t="e">
        <f>SummaryTable[[#This Row],[BudgetIncreaseAmount19]]/SummaryTable[[#This Row],[OriginalBudget18]]</f>
        <v>#DIV/0!</v>
      </c>
      <c r="BV10" s="61">
        <f>IF(COUNTIFS(allFYsTable[Code], SummaryTable[[#This Row],[Code]], allFYsTable[year2], BS$3)=0, NotFound, SUMIFS(allFYsTable[RevisedBudget], allFYsTable[Code], SummaryTable[[#This Row],[Code]], allFYsTable[year2], BS$3))</f>
        <v>0</v>
      </c>
      <c r="BW10" s="61">
        <f>IF(COUNTIFS(allFYsTable[Code], SummaryTable[[#This Row],[Code]], allFYsTable[year2], BS$3)=0, NotFound, SUMIFS(allFYsTable[Actual], allFYsTable[Code], SummaryTable[[#This Row],[Code]], allFYsTable[year2], BS$3))</f>
        <v>0</v>
      </c>
      <c r="BX10" s="61">
        <f>IF(COUNTIFS(allFYsTable[Code], SummaryTable[[#This Row],[Code]], allFYsTable[year2], BS$3)=0, NotFound, SUMIFS(allFYsTable[DiffAmount], allFYsTable[Code], SummaryTable[[#This Row],[Code]], allFYsTable[year2], BS$3))</f>
        <v>0</v>
      </c>
      <c r="BY10" s="63">
        <f>IF(SummaryTable[[#This Row],[OriginalBudget19]]=0, IF(SummaryTable[[#This Row],[DiffAmount19]]=0, ZeroBudgetNoSpending, ZeroBudgetWithSpending), SummaryTable[[#This Row],[DiffAmount19]]/SummaryTable[[#This Row],[OriginalBudget19]])</f>
        <v>0</v>
      </c>
      <c r="BZ10" s="62">
        <f>IF(COUNTIFS(allFYsTable[Code], SummaryTable[[#This Row],[Code]], allFYsTable[year2], BZ$3)=0, NotFound, SUMIFS(allFYsTable[OriginalBudget], allFYsTable[Code], SummaryTable[[#This Row],[Code]], allFYsTable[year2], BZ$3))</f>
        <v>0</v>
      </c>
      <c r="CA10" s="61">
        <f>SummaryTable[[#This Row],[OriginalBudget18]]-SummaryTable[[#This Row],[OriginalBudget17]]</f>
        <v>0</v>
      </c>
      <c r="CB10" s="54" t="e">
        <f>SummaryTable[[#This Row],[BudgetIncreaseAmount18]]/SummaryTable[[#This Row],[OriginalBudget17]]</f>
        <v>#DIV/0!</v>
      </c>
      <c r="CC10" s="61">
        <f>IF(COUNTIFS(allFYsTable[Code], SummaryTable[[#This Row],[Code]], allFYsTable[year2], BZ$3)=0, NotFound, SUMIFS(allFYsTable[RevisedBudget], allFYsTable[Code], SummaryTable[[#This Row],[Code]], allFYsTable[year2], BZ$3))</f>
        <v>0</v>
      </c>
      <c r="CD10" s="61">
        <f>IF(COUNTIFS(allFYsTable[Code], SummaryTable[[#This Row],[Code]], allFYsTable[year2], BZ$3)=0, NotFound, SUMIFS(allFYsTable[Actual], allFYsTable[Code], SummaryTable[[#This Row],[Code]], allFYsTable[year2], BZ$3))</f>
        <v>0</v>
      </c>
      <c r="CE10" s="61">
        <f>IF(COUNTIFS(allFYsTable[Code], SummaryTable[[#This Row],[Code]], allFYsTable[year2], BZ$3)=0, NotFound, SUMIFS(allFYsTable[DiffAmount], allFYsTable[Code], SummaryTable[[#This Row],[Code]], allFYsTable[year2], BZ$3))</f>
        <v>0</v>
      </c>
      <c r="CF10" s="63">
        <f>IF(SummaryTable[[#This Row],[OriginalBudget18]]=0, IF(SummaryTable[[#This Row],[DiffAmount18]]=0, ZeroBudgetNoSpending, ZeroBudgetWithSpending), SummaryTable[[#This Row],[DiffAmount18]]/SummaryTable[[#This Row],[OriginalBudget18]])</f>
        <v>0</v>
      </c>
      <c r="CG10" s="62">
        <f>IF(COUNTIFS(allFYsTable[Code], SummaryTable[[#This Row],[Code]], allFYsTable[year2], CG$3)=0, NotFound, SUMIFS(allFYsTable[OriginalBudget], allFYsTable[Code], SummaryTable[[#This Row],[Code]], allFYsTable[year2], CG$3))</f>
        <v>0</v>
      </c>
      <c r="CH10" s="61" t="e">
        <f>SummaryTable[[#This Row],[OriginalBudget17]]-SummaryTable[[#This Row],[OriginalBudget16]]</f>
        <v>#N/A</v>
      </c>
      <c r="CI10" s="54" t="e">
        <f>SummaryTable[[#This Row],[BudgetIncreaseAmount17]]/SummaryTable[[#This Row],[OriginalBudget16]]</f>
        <v>#N/A</v>
      </c>
      <c r="CJ10" s="61">
        <f>IF(COUNTIFS(allFYsTable[Code], SummaryTable[[#This Row],[Code]], allFYsTable[year2], CG$3)=0, NotFound, SUMIFS(allFYsTable[RevisedBudget], allFYsTable[Code], SummaryTable[[#This Row],[Code]], allFYsTable[year2], CG$3))</f>
        <v>0</v>
      </c>
      <c r="CK10" s="61">
        <f>IF(COUNTIFS(allFYsTable[Code], SummaryTable[[#This Row],[Code]], allFYsTable[year2], CG$3)=0, NotFound, SUMIFS(allFYsTable[Actual], allFYsTable[Code], SummaryTable[[#This Row],[Code]], allFYsTable[year2], CG$3))</f>
        <v>0</v>
      </c>
      <c r="CL10" s="61">
        <f>IF(COUNTIFS(allFYsTable[Code], SummaryTable[[#This Row],[Code]], allFYsTable[year2], CG$3)=0, NotFound, SUMIFS(allFYsTable[DiffAmount], allFYsTable[Code], SummaryTable[[#This Row],[Code]], allFYsTable[year2], CG$3))</f>
        <v>0</v>
      </c>
      <c r="CM10" s="63">
        <f>IF(SummaryTable[[#This Row],[OriginalBudget17]]=0, IF(SummaryTable[[#This Row],[DiffAmount17]]=0, ZeroBudgetNoSpending, ZeroBudgetWithSpending), SummaryTable[[#This Row],[DiffAmount17]]/SummaryTable[[#This Row],[OriginalBudget17]])</f>
        <v>0</v>
      </c>
      <c r="CN10" s="62" t="e">
        <f>IF(COUNTIFS(allFYsTable[Code], SummaryTable[[#This Row],[Code]], allFYsTable[year2], CN$3)=0, NotFound, SUMIFS(allFYsTable[OriginalBudget], allFYsTable[Code], SummaryTable[[#This Row],[Code]], allFYsTable[year2], CN$3))</f>
        <v>#N/A</v>
      </c>
      <c r="CO10" s="61" t="e">
        <f>SummaryTable[[#This Row],[OriginalBudget16]]-SummaryTable[[#This Row],[OriginalBudget15]]</f>
        <v>#N/A</v>
      </c>
      <c r="CP10" s="54" t="e">
        <f>SummaryTable[[#This Row],[BudgetIncreaseAmount16]]/SummaryTable[[#This Row],[OriginalBudget15]]</f>
        <v>#N/A</v>
      </c>
      <c r="CQ10" s="61" t="e">
        <f>IF(COUNTIFS(allFYsTable[Code], SummaryTable[[#This Row],[Code]], allFYsTable[year2], CN$3)=0, NotFound, SUMIFS(allFYsTable[RevisedBudget], allFYsTable[Code], SummaryTable[[#This Row],[Code]], allFYsTable[year2], CN$3))</f>
        <v>#N/A</v>
      </c>
      <c r="CR10" s="61" t="e">
        <f>IF(COUNTIFS(allFYsTable[Code], SummaryTable[[#This Row],[Code]], allFYsTable[year2], CN$3)=0, NotFound, SUMIFS(allFYsTable[Actual], allFYsTable[Code], SummaryTable[[#This Row],[Code]], allFYsTable[year2], CN$3))</f>
        <v>#N/A</v>
      </c>
      <c r="CS10" s="61" t="e">
        <f>IF(COUNTIFS(allFYsTable[Code], SummaryTable[[#This Row],[Code]], allFYsTable[year2], CN$3)=0, NotFound, SUMIFS(allFYsTable[DiffAmount], allFYsTable[Code], SummaryTable[[#This Row],[Code]], allFYsTable[year2], CN$3))</f>
        <v>#N/A</v>
      </c>
      <c r="CT10" s="63" t="e">
        <f>IF(SummaryTable[[#This Row],[OriginalBudget16]]=0, IF(SummaryTable[[#This Row],[DiffAmount16]]=0, ZeroBudgetNoSpending, ZeroBudgetWithSpending), SummaryTable[[#This Row],[DiffAmount16]]/SummaryTable[[#This Row],[OriginalBudget16]])</f>
        <v>#N/A</v>
      </c>
      <c r="CU10" s="62">
        <f>IF(COUNTIFS(allFYsTable[Code], SummaryTable[[#This Row],[Code]], allFYsTable[year2], CU$3)=0, NotFound, SUMIFS(allFYsTable[OriginalBudget], allFYsTable[Code], SummaryTable[[#This Row],[Code]], allFYsTable[year2], CU$3))</f>
        <v>0</v>
      </c>
      <c r="CV10" s="61">
        <f>SummaryTable[[#This Row],[OriginalBudget15]]-SummaryTable[[#This Row],[OriginalBudget14]]</f>
        <v>0</v>
      </c>
      <c r="CW10" s="54" t="e">
        <f>SummaryTable[[#This Row],[BudgetIncreaseAmount15]]/SummaryTable[[#This Row],[OriginalBudget14]]</f>
        <v>#DIV/0!</v>
      </c>
      <c r="CX10" s="61">
        <f>IF(COUNTIFS(allFYsTable[Code], SummaryTable[[#This Row],[Code]], allFYsTable[year2], CU$3)=0, NotFound, SUMIFS(allFYsTable[RevisedBudget], allFYsTable[Code], SummaryTable[[#This Row],[Code]], allFYsTable[year2], CU$3))</f>
        <v>0</v>
      </c>
      <c r="CY10" s="61">
        <f>IF(COUNTIFS(allFYsTable[Code], SummaryTable[[#This Row],[Code]], allFYsTable[year2], CU$3)=0, NotFound, SUMIFS(allFYsTable[Actual], allFYsTable[Code], SummaryTable[[#This Row],[Code]], allFYsTable[year2], CU$3))</f>
        <v>0</v>
      </c>
      <c r="CZ10" s="61">
        <f>IF(COUNTIFS(allFYsTable[Code], SummaryTable[[#This Row],[Code]], allFYsTable[year2], CU$3)=0, NotFound, SUMIFS(allFYsTable[DiffAmount], allFYsTable[Code], SummaryTable[[#This Row],[Code]], allFYsTable[year2], CU$3))</f>
        <v>0</v>
      </c>
      <c r="DA10" s="63">
        <f>IF(SummaryTable[[#This Row],[OriginalBudget15]]=0, IF(SummaryTable[[#This Row],[DiffAmount15]]=0, ZeroBudgetNoSpending, ZeroBudgetWithSpending), SummaryTable[[#This Row],[DiffAmount15]]/SummaryTable[[#This Row],[OriginalBudget15]])</f>
        <v>0</v>
      </c>
      <c r="DB10" s="62">
        <f>IF(COUNTIFS(allFYsTable[Code], SummaryTable[[#This Row],[Code]], allFYsTable[year2], DB$3)=0, NotFound, SUMIFS(allFYsTable[OriginalBudget], allFYsTable[Code], SummaryTable[[#This Row],[Code]], allFYsTable[year2], DB$3))</f>
        <v>0</v>
      </c>
      <c r="DC10" s="61">
        <f>SummaryTable[[#This Row],[OriginalBudget14]]-SummaryTable[[#This Row],[OriginalBudget13]]</f>
        <v>0</v>
      </c>
      <c r="DD10" s="54" t="e">
        <f>SummaryTable[[#This Row],[BudgetIncreaseAmount14]]/SummaryTable[[#This Row],[OriginalBudget13]]</f>
        <v>#DIV/0!</v>
      </c>
      <c r="DE10" s="61">
        <f>IF(COUNTIFS(allFYsTable[Code], SummaryTable[[#This Row],[Code]], allFYsTable[year2], DB$3)=0, NotFound, SUMIFS(allFYsTable[RevisedBudget], allFYsTable[Code], SummaryTable[[#This Row],[Code]], allFYsTable[year2], DB$3))</f>
        <v>0</v>
      </c>
      <c r="DF10" s="61">
        <f>IF(COUNTIFS(allFYsTable[Code], SummaryTable[[#This Row],[Code]], allFYsTable[year2], DB$3)=0, NotFound, SUMIFS(allFYsTable[Actual], allFYsTable[Code], SummaryTable[[#This Row],[Code]], allFYsTable[year2], DB$3))</f>
        <v>0</v>
      </c>
      <c r="DG10" s="61">
        <f>IF(COUNTIFS(allFYsTable[Code], SummaryTable[[#This Row],[Code]], allFYsTable[year2], DB$3)=0, NotFound, SUMIFS(allFYsTable[DiffAmount], allFYsTable[Code], SummaryTable[[#This Row],[Code]], allFYsTable[year2], DB$3))</f>
        <v>0</v>
      </c>
      <c r="DH10" s="63">
        <f>IF(SummaryTable[[#This Row],[OriginalBudget14]]=0, IF(SummaryTable[[#This Row],[DiffAmount14]]=0, ZeroBudgetNoSpending, ZeroBudgetWithSpending), SummaryTable[[#This Row],[DiffAmount14]]/SummaryTable[[#This Row],[OriginalBudget14]])</f>
        <v>0</v>
      </c>
      <c r="DI10" s="62">
        <f>IF(COUNTIFS(allFYsTable[Code], SummaryTable[[#This Row],[Code]], allFYsTable[year2], DI$3)=0, NotFound, SUMIFS(allFYsTable[OriginalBudget], allFYsTable[Code], SummaryTable[[#This Row],[Code]], allFYsTable[year2], DI$3))</f>
        <v>0</v>
      </c>
      <c r="DJ10" s="61">
        <f>SummaryTable[[#This Row],[OriginalBudget13]]-SummaryTable[[#This Row],[OriginalBudget12]]</f>
        <v>0</v>
      </c>
      <c r="DK10" s="54" t="e">
        <f>SummaryTable[[#This Row],[BudgetIncreaseAmount13]]/SummaryTable[[#This Row],[OriginalBudget12]]</f>
        <v>#DIV/0!</v>
      </c>
      <c r="DL10" s="61">
        <f>IF(COUNTIFS(allFYsTable[Code], SummaryTable[[#This Row],[Code]], allFYsTable[year2], DI$3)=0, NotFound, SUMIFS(allFYsTable[RevisedBudget], allFYsTable[Code], SummaryTable[[#This Row],[Code]], allFYsTable[year2], DI$3))</f>
        <v>0</v>
      </c>
      <c r="DM10" s="61">
        <f>IF(COUNTIFS(allFYsTable[Code], SummaryTable[[#This Row],[Code]], allFYsTable[year2], DI$3)=0, NotFound, SUMIFS(allFYsTable[Actual], allFYsTable[Code], SummaryTable[[#This Row],[Code]], allFYsTable[year2], DI$3))</f>
        <v>0</v>
      </c>
      <c r="DN10" s="61">
        <f>IF(COUNTIFS(allFYsTable[Code], SummaryTable[[#This Row],[Code]], allFYsTable[year2], DI$3)=0, NotFound, SUMIFS(allFYsTable[DiffAmount], allFYsTable[Code], SummaryTable[[#This Row],[Code]], allFYsTable[year2], DI$3))</f>
        <v>0</v>
      </c>
      <c r="DO10" s="63">
        <f>IF(SummaryTable[[#This Row],[OriginalBudget13]]=0, IF(SummaryTable[[#This Row],[DiffAmount13]]=0, ZeroBudgetNoSpending, ZeroBudgetWithSpending), SummaryTable[[#This Row],[DiffAmount13]]/SummaryTable[[#This Row],[OriginalBudget13]])</f>
        <v>0</v>
      </c>
      <c r="DP10" s="62">
        <f>IF(COUNTIFS(allFYsTable[Code], SummaryTable[[#This Row],[Code]], allFYsTable[year2], DP$3)=0, NotFound, SUMIFS(allFYsTable[OriginalBudget], allFYsTable[Code], SummaryTable[[#This Row],[Code]], allFYsTable[year2], DP$3))</f>
        <v>0</v>
      </c>
      <c r="DQ10" s="61">
        <f>SummaryTable[[#This Row],[OriginalBudget12]]-SummaryTable[[#This Row],[OriginalBudget11]]</f>
        <v>0</v>
      </c>
      <c r="DR10" s="54" t="e">
        <f>SummaryTable[[#This Row],[BudgetIncreaseAmount12]]/SummaryTable[[#This Row],[OriginalBudget11]]</f>
        <v>#DIV/0!</v>
      </c>
      <c r="DS10" s="61">
        <f>IF(COUNTIFS(allFYsTable[Code], SummaryTable[[#This Row],[Code]], allFYsTable[year2], DP$3)=0, NotFound, SUMIFS(allFYsTable[RevisedBudget], allFYsTable[Code], SummaryTable[[#This Row],[Code]], allFYsTable[year2], DP$3))</f>
        <v>0</v>
      </c>
      <c r="DT10" s="61">
        <f>IF(COUNTIFS(allFYsTable[Code], SummaryTable[[#This Row],[Code]], allFYsTable[year2], DP$3)=0, NotFound, SUMIFS(allFYsTable[Actual], allFYsTable[Code], SummaryTable[[#This Row],[Code]], allFYsTable[year2], DP$3))</f>
        <v>0</v>
      </c>
      <c r="DU10" s="61">
        <f>IF(COUNTIFS(allFYsTable[Code], SummaryTable[[#This Row],[Code]], allFYsTable[year2], DP$3)=0, NotFound, SUMIFS(allFYsTable[DiffAmount], allFYsTable[Code], SummaryTable[[#This Row],[Code]], allFYsTable[year2], DP$3))</f>
        <v>0</v>
      </c>
      <c r="DV10" s="63">
        <f>IF(SummaryTable[[#This Row],[OriginalBudget12]]=0, IF(SummaryTable[[#This Row],[DiffAmount12]]=0, ZeroBudgetNoSpending, ZeroBudgetWithSpending), SummaryTable[[#This Row],[DiffAmount12]]/SummaryTable[[#This Row],[OriginalBudget12]])</f>
        <v>0</v>
      </c>
      <c r="DW10" s="62">
        <f>IF(COUNTIFS(allFYsTable[Code], SummaryTable[[#This Row],[Code]], allFYsTable[year2], DW$3)=0, NotFound, SUMIFS(allFYsTable[OriginalBudget], allFYsTable[Code], SummaryTable[[#This Row],[Code]], allFYsTable[year2], DW$3))</f>
        <v>0</v>
      </c>
      <c r="DX10" s="61">
        <f>SummaryTable[[#This Row],[OriginalBudget11]]-SummaryTable[[#This Row],[OriginalBudget10]]</f>
        <v>0</v>
      </c>
      <c r="DY10" s="54" t="e">
        <f>SummaryTable[[#This Row],[BudgetIncreaseAmount11]]/SummaryTable[[#This Row],[OriginalBudget10]]</f>
        <v>#DIV/0!</v>
      </c>
      <c r="DZ10" s="61">
        <f>IF(COUNTIFS(allFYsTable[Code], SummaryTable[[#This Row],[Code]], allFYsTable[year2], DW$3)=0, NotFound, SUMIFS(allFYsTable[RevisedBudget], allFYsTable[Code], SummaryTable[[#This Row],[Code]], allFYsTable[year2], DW$3))</f>
        <v>0</v>
      </c>
      <c r="EA10" s="61">
        <f>IF(COUNTIFS(allFYsTable[Code], SummaryTable[[#This Row],[Code]], allFYsTable[year2], DW$3)=0, NotFound, SUMIFS(allFYsTable[Actual], allFYsTable[Code], SummaryTable[[#This Row],[Code]], allFYsTable[year2], DW$3))</f>
        <v>0</v>
      </c>
      <c r="EB10" s="61">
        <f>IF(COUNTIFS(allFYsTable[Code], SummaryTable[[#This Row],[Code]], allFYsTable[year2], DW$3)=0, NotFound, SUMIFS(allFYsTable[DiffAmount], allFYsTable[Code], SummaryTable[[#This Row],[Code]], allFYsTable[year2], DW$3))</f>
        <v>0</v>
      </c>
      <c r="EC10" s="63">
        <f>IF(SummaryTable[[#This Row],[OriginalBudget11]]=0, IF(SummaryTable[[#This Row],[DiffAmount11]]=0, ZeroBudgetNoSpending, ZeroBudgetWithSpending), SummaryTable[[#This Row],[DiffAmount11]]/SummaryTable[[#This Row],[OriginalBudget11]])</f>
        <v>0</v>
      </c>
      <c r="ED10" s="62">
        <f>IF(COUNTIFS(allFYsTable[Code], SummaryTable[[#This Row],[Code]], allFYsTable[year2], ED$3)=0, NotFound, SUMIFS(allFYsTable[OriginalBudget], allFYsTable[Code], SummaryTable[[#This Row],[Code]], allFYsTable[year2], ED$3))</f>
        <v>0</v>
      </c>
      <c r="EE10" s="61" t="e">
        <f>SummaryTable[[#This Row],[OriginalBudget10]]-SummaryTable[[#This Row],[OriginalBudget09]]</f>
        <v>#N/A</v>
      </c>
      <c r="EF10" s="54" t="e">
        <f>SummaryTable[[#This Row],[BudgetIncreaseAmount10]]/SummaryTable[[#This Row],[OriginalBudget09]]</f>
        <v>#N/A</v>
      </c>
      <c r="EG10" s="61">
        <f>IF(COUNTIFS(allFYsTable[Code], SummaryTable[[#This Row],[Code]], allFYsTable[year2], ED$3)=0, NotFound, SUMIFS(allFYsTable[RevisedBudget], allFYsTable[Code], SummaryTable[[#This Row],[Code]], allFYsTable[year2], ED$3))</f>
        <v>0</v>
      </c>
      <c r="EH10" s="61">
        <f>IF(COUNTIFS(allFYsTable[Code], SummaryTable[[#This Row],[Code]], allFYsTable[year2], ED$3)=0, NotFound, SUMIFS(allFYsTable[Actual], allFYsTable[Code], SummaryTable[[#This Row],[Code]], allFYsTable[year2], ED$3))</f>
        <v>0</v>
      </c>
      <c r="EI10" s="61">
        <f>IF(COUNTIFS(allFYsTable[Code], SummaryTable[[#This Row],[Code]], allFYsTable[year2], ED$3)=0, NotFound, SUMIFS(allFYsTable[DiffAmount], allFYsTable[Code], SummaryTable[[#This Row],[Code]], allFYsTable[year2], ED$3))</f>
        <v>0</v>
      </c>
      <c r="EJ10" s="63">
        <f>IF(SummaryTable[[#This Row],[OriginalBudget10]]=0, IF(SummaryTable[[#This Row],[DiffAmount10]]=0, ZeroBudgetNoSpending, ZeroBudgetWithSpending), SummaryTable[[#This Row],[DiffAmount10]]/SummaryTable[[#This Row],[OriginalBudget10]])</f>
        <v>0</v>
      </c>
      <c r="EK10" s="62" t="e">
        <f>IF(COUNTIFS(allFYsTable[Code], SummaryTable[[#This Row],[Code]], allFYsTable[year2], EK$3)=0, NotFound, SUMIFS(allFYsTable[OriginalBudget], allFYsTable[Code], SummaryTable[[#This Row],[Code]], allFYsTable[year2], EK$3))</f>
        <v>#N/A</v>
      </c>
      <c r="EL10" s="61" t="e">
        <f>SummaryTable[[#This Row],[OriginalBudget09]]-SummaryTable[[#This Row],[OriginalBudget08]]</f>
        <v>#N/A</v>
      </c>
      <c r="EM10" s="54" t="e">
        <f>SummaryTable[[#This Row],[BudgetIncreaseAmount09]]/SummaryTable[[#This Row],[OriginalBudget08]]</f>
        <v>#N/A</v>
      </c>
      <c r="EN10" s="61" t="e">
        <f>IF(COUNTIFS(allFYsTable[Code], SummaryTable[[#This Row],[Code]], allFYsTable[year2], EK$3)=0, NotFound, SUMIFS(allFYsTable[RevisedBudget], allFYsTable[Code], SummaryTable[[#This Row],[Code]], allFYsTable[year2], EK$3))</f>
        <v>#N/A</v>
      </c>
      <c r="EO10" s="61" t="e">
        <f>IF(COUNTIFS(allFYsTable[Code], SummaryTable[[#This Row],[Code]], allFYsTable[year2], EK$3)=0, NotFound, SUMIFS(allFYsTable[Actual], allFYsTable[Code], SummaryTable[[#This Row],[Code]], allFYsTable[year2], EK$3))</f>
        <v>#N/A</v>
      </c>
      <c r="EP10" s="61" t="e">
        <f>IF(COUNTIFS(allFYsTable[Code], SummaryTable[[#This Row],[Code]], allFYsTable[year2], EK$3)=0, NotFound, SUMIFS(allFYsTable[DiffAmount], allFYsTable[Code], SummaryTable[[#This Row],[Code]], allFYsTable[year2], EK$3))</f>
        <v>#N/A</v>
      </c>
      <c r="EQ10" s="63" t="e">
        <f>IF(SummaryTable[[#This Row],[OriginalBudget09]]=0, IF(SummaryTable[[#This Row],[DiffAmount09]]=0, ZeroBudgetNoSpending, ZeroBudgetWithSpending), SummaryTable[[#This Row],[DiffAmount09]]/SummaryTable[[#This Row],[OriginalBudget09]])</f>
        <v>#N/A</v>
      </c>
      <c r="ER10" s="62" t="e">
        <f>IF(COUNTIFS(allFYsTable[Code], SummaryTable[[#This Row],[Code]], allFYsTable[year2], ER$3)=0, NotFound, SUMIFS(allFYsTable[OriginalBudget], allFYsTable[Code], SummaryTable[[#This Row],[Code]], allFYsTable[year2], ER$3))</f>
        <v>#N/A</v>
      </c>
      <c r="ES10" s="61" t="e">
        <f>SummaryTable[[#This Row],[OriginalBudget08]]-SummaryTable[[#This Row],[OriginalBudget07]]</f>
        <v>#N/A</v>
      </c>
      <c r="ET10" s="54" t="e">
        <f>SummaryTable[[#This Row],[BudgetIncreaseAmount08]]/SummaryTable[[#This Row],[OriginalBudget07]]</f>
        <v>#N/A</v>
      </c>
      <c r="EU10" s="61" t="e">
        <f>IF(COUNTIFS(allFYsTable[Code], SummaryTable[[#This Row],[Code]], allFYsTable[year2], ER$3)=0, NotFound, SUMIFS(allFYsTable[RevisedBudget], allFYsTable[Code], SummaryTable[[#This Row],[Code]], allFYsTable[year2], ER$3))</f>
        <v>#N/A</v>
      </c>
      <c r="EV10" s="61" t="e">
        <f>IF(COUNTIFS(allFYsTable[Code], SummaryTable[[#This Row],[Code]], allFYsTable[year2], ER$3)=0, NotFound, SUMIFS(allFYsTable[Actual], allFYsTable[Code], SummaryTable[[#This Row],[Code]], allFYsTable[year2], ER$3))</f>
        <v>#N/A</v>
      </c>
      <c r="EW10" s="61" t="e">
        <f>IF(COUNTIFS(allFYsTable[Code], SummaryTable[[#This Row],[Code]], allFYsTable[year2], ER$3)=0, NotFound, SUMIFS(allFYsTable[DiffAmount], allFYsTable[Code], SummaryTable[[#This Row],[Code]], allFYsTable[year2], ER$3))</f>
        <v>#N/A</v>
      </c>
      <c r="EX10" s="63" t="e">
        <f>IF(SummaryTable[[#This Row],[OriginalBudget08]]=0, IF(SummaryTable[[#This Row],[DiffAmount08]]=0, ZeroBudgetNoSpending, ZeroBudgetWithSpending), SummaryTable[[#This Row],[DiffAmount08]]/SummaryTable[[#This Row],[OriginalBudget08]])</f>
        <v>#N/A</v>
      </c>
      <c r="EY10" s="62" t="e">
        <f>IF(COUNTIFS(allFYsTable[Code], SummaryTable[[#This Row],[Code]], allFYsTable[year2], EY$3)=0, NotFound, SUMIFS(allFYsTable[OriginalBudget], allFYsTable[Code], SummaryTable[[#This Row],[Code]], allFYsTable[year2], EY$3))</f>
        <v>#N/A</v>
      </c>
      <c r="EZ10" s="61" t="e">
        <f>SummaryTable[[#This Row],[OriginalBudget07]]-SummaryTable[[#This Row],[OriginalBudget06]]</f>
        <v>#N/A</v>
      </c>
      <c r="FA10" s="54" t="e">
        <f>SummaryTable[[#This Row],[BudgetIncreaseAmount07]]/SummaryTable[[#This Row],[OriginalBudget06]]</f>
        <v>#N/A</v>
      </c>
      <c r="FB10" s="61" t="e">
        <f>IF(COUNTIFS(allFYsTable[Code], SummaryTable[[#This Row],[Code]], allFYsTable[year2], EY$3)=0, NotFound, SUMIFS(allFYsTable[RevisedBudget], allFYsTable[Code], SummaryTable[[#This Row],[Code]], allFYsTable[year2], EY$3))</f>
        <v>#N/A</v>
      </c>
      <c r="FC10" s="61" t="e">
        <f>IF(COUNTIFS(allFYsTable[Code], SummaryTable[[#This Row],[Code]], allFYsTable[year2], EY$3)=0, NotFound, SUMIFS(allFYsTable[Actual], allFYsTable[Code], SummaryTable[[#This Row],[Code]], allFYsTable[year2], EY$3))</f>
        <v>#N/A</v>
      </c>
      <c r="FD10" s="61" t="e">
        <f>IF(COUNTIFS(allFYsTable[Code], SummaryTable[[#This Row],[Code]], allFYsTable[year2], EY$3)=0, NotFound, SUMIFS(allFYsTable[DiffAmount], allFYsTable[Code], SummaryTable[[#This Row],[Code]], allFYsTable[year2], EY$3))</f>
        <v>#N/A</v>
      </c>
      <c r="FE10" s="63" t="e">
        <f>IF(SummaryTable[[#This Row],[OriginalBudget07]]=0, IF(SummaryTable[[#This Row],[DiffAmount07]]=0, ZeroBudgetNoSpending, ZeroBudgetWithSpending), SummaryTable[[#This Row],[DiffAmount07]]/SummaryTable[[#This Row],[OriginalBudget07]])</f>
        <v>#N/A</v>
      </c>
      <c r="FF10" s="62" t="e">
        <f>IF(COUNTIFS(allFYsTable[Code], SummaryTable[[#This Row],[Code]], allFYsTable[year2], FF$3)=0, NotFound, SUMIFS(allFYsTable[OriginalBudget], allFYsTable[Code], SummaryTable[[#This Row],[Code]], allFYsTable[year2], FF$3))</f>
        <v>#N/A</v>
      </c>
      <c r="FI10" s="61" t="e">
        <f>IF(COUNTIFS(allFYsTable[Code], SummaryTable[[#This Row],[Code]], allFYsTable[year2], FF$3)=0, NotFound, SUMIFS(allFYsTable[RevisedBudget], allFYsTable[Code], SummaryTable[[#This Row],[Code]], allFYsTable[year2], FF$3))</f>
        <v>#N/A</v>
      </c>
      <c r="FJ10" s="61" t="e">
        <f>IF(COUNTIFS(allFYsTable[Code], SummaryTable[[#This Row],[Code]], allFYsTable[year2], FF$3)=0, NotFound, SUMIFS(allFYsTable[Actual], allFYsTable[Code], SummaryTable[[#This Row],[Code]], allFYsTable[year2], FF$3))</f>
        <v>#N/A</v>
      </c>
      <c r="FK10" s="61" t="e">
        <f>IF(COUNTIFS(allFYsTable[Code], SummaryTable[[#This Row],[Code]], allFYsTable[year2], FF$3)=0, NotFound, SUMIFS(allFYsTable[DiffAmount], allFYsTable[Code], SummaryTable[[#This Row],[Code]], allFYsTable[year2], FF$3))</f>
        <v>#N/A</v>
      </c>
      <c r="FL10" s="63" t="e">
        <f>IF(SummaryTable[[#This Row],[OriginalBudget06]]=0, IF(SummaryTable[[#This Row],[DiffAmount06]]=0, ZeroBudgetNoSpending, ZeroBudgetWithSpending), SummaryTable[[#This Row],[DiffAmount06]]/SummaryTable[[#This Row],[OriginalBudget06]])</f>
        <v>#N/A</v>
      </c>
    </row>
    <row r="11" spans="1:168" x14ac:dyDescent="0.45">
      <c r="A11" t="s">
        <v>701</v>
      </c>
      <c r="B11">
        <f>_xlfn.MAXIFS(allFYsTable[year2], allFYsTable[Code], SummaryTable[[#This Row],[Code]])</f>
        <v>2025</v>
      </c>
      <c r="C11" t="str">
        <f>_xlfn.XLOOKUP(SummaryTable[[#This Row],[Code]], NameCodingTable[Code], NameCodingTable[Most Recent Category per allFYs])</f>
        <v>Governmental direction and support</v>
      </c>
      <c r="D11" t="str">
        <f>_xlfn.XLOOKUP(SummaryTable[[#This Row],[Code]], NameCodingTable[Code], NameCodingTable[Unit Display Name])</f>
        <v>Captive Insurance Agency</v>
      </c>
      <c r="E11" t="str">
        <f>_xlfn.XLOOKUP(SummaryTable[[#This Row],[Code]], NameCodingTable[Code], NameCodingTable[Type])</f>
        <v>agency</v>
      </c>
      <c r="F1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17</v>
      </c>
      <c r="G1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9</v>
      </c>
      <c r="H11" s="54">
        <f>SummaryTable[[#This Row],['# Over]]/SummaryTable[[#This Row],[Count]]</f>
        <v>0.52941176470588236</v>
      </c>
      <c r="I1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7</v>
      </c>
      <c r="J11" s="54">
        <f>SummaryTable[[#This Row],['# Under]]/SummaryTable[[#This Row],[Count]]</f>
        <v>0.41176470588235292</v>
      </c>
      <c r="K1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1" s="54">
        <f>SummaryTable[[#This Row],['# Equal]]/SummaryTable[[#This Row],[Count]]</f>
        <v>5.8823529411764705E-2</v>
      </c>
      <c r="M11" s="61">
        <f>SUMIFS(allFYsTable[OriginalBudget],allFYsTable[Code],SummaryTable[[#This Row],[Code]])/SummaryTable[[#This Row],[Count]]</f>
        <v>3515.1176470588234</v>
      </c>
      <c r="N11" s="61">
        <f>SUMIFS(allFYsTable[Actual],allFYsTable[Code],SummaryTable[[#This Row],[Code]])/SummaryTable[[#This Row],[Count]]</f>
        <v>3560.0588235294117</v>
      </c>
      <c r="O11" s="61">
        <f>SummaryTable[[#This Row],[AvgActAmt]]-SummaryTable[[#This Row],[AvgBudAmt]]</f>
        <v>44.941176470588289</v>
      </c>
      <c r="P11" s="54">
        <f>IF(SummaryTable[[#This Row],[AvgBudAmt]]=0, IF(SummaryTable[[#This Row],[AvgDiff'#]]=0, 0, NamedFields!$C$3), SummaryTable[[#This Row],[AvgDiff'#]]/SummaryTable[[#This Row],[AvgBudAmt]])</f>
        <v>1.2785113041150006E-2</v>
      </c>
      <c r="Q11" s="61">
        <f>IFERROR(SUMIFS(allFYsTable[OriginalBudget],allFYsTable[Code],SummaryTable[[#This Row],[Code]],allFYsTable[DiffAmount], "&gt;0")/SummaryTable[[#This Row],['# Over]], 0)</f>
        <v>3122.5555555555557</v>
      </c>
      <c r="R11" s="61">
        <f>IFERROR(SUMIFS(allFYsTable[Actual],allFYsTable[Code],SummaryTable[[#This Row],[Code]],allFYsTable[DiffAmount], "&gt;0")/SummaryTable[[#This Row],['# Over]], 0)</f>
        <v>4300.1111111111113</v>
      </c>
      <c r="S11" s="61">
        <f>SummaryTable[[#This Row],[OverAvgAct]]-SummaryTable[[#This Row],[OverAvgBud]]</f>
        <v>1177.5555555555557</v>
      </c>
      <c r="T11" s="54">
        <f>IF(SummaryTable[[#This Row],[OverAvgBud]]=0, IF(SummaryTable[[#This Row],[OverAvgDiff'#]]=0, ZeroBudgetNoSpending, ZeroBudgetWithSpending), SummaryTable[[#This Row],[OverAvgDiff'#]]/SummaryTable[[#This Row],[OverAvgBud]])</f>
        <v>0.37711276376187597</v>
      </c>
      <c r="U11" s="61">
        <f>IFERROR(SUMIFS(allFYsTable[OriginalBudget],allFYsTable[Code],SummaryTable[[#This Row],[Code]],allFYsTable[DiffAmount], "&lt;0")/SummaryTable[[#This Row],['# Under]], 0)</f>
        <v>4522</v>
      </c>
      <c r="V11" s="61">
        <f>IFERROR( SUMIFS(allFYsTable[Actual],allFYsTable[Code],SummaryTable[[#This Row],[Code]],allFYsTable[DiffAmount], "&lt;0")/SummaryTable[[#This Row],['# Under]], 0)</f>
        <v>3117.1428571428573</v>
      </c>
      <c r="W11" s="61">
        <f>SummaryTable[[#This Row],[UnderAvgAct]]-SummaryTable[[#This Row],[UnderAvgBud]]</f>
        <v>-1404.8571428571427</v>
      </c>
      <c r="X11" s="54">
        <f>IF(SummaryTable[[#This Row],[UnderAvgBud]]=0, IF(SummaryTable[[#This Row],[UnderAvgDiff'#]]=0, ZeroBudgetNoSpending, NamedFields!$C$3), SummaryTable[[#This Row],[UnderAvgDiff'#]]/SummaryTable[[#This Row],[UnderAvgBud]])</f>
        <v>-0.31067163707588297</v>
      </c>
      <c r="Y1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1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2</v>
      </c>
      <c r="AA11" s="54">
        <f>IF(SummaryTable[[#This Row],[IncreaseYears]]=0, ZeroBudgetNoSpending, SummaryTable[[#This Row],[OSinIncreaseYear'#]]/SummaryTable[[#This Row],[IncreaseYears]])</f>
        <v>0.5</v>
      </c>
      <c r="AB11" s="58" t="str">
        <f>SummaryTable[[#This Row],[Code]]</f>
        <v>RJ0</v>
      </c>
      <c r="AC11" s="62">
        <f>IF(COUNTIFS(allFYsTable[Code], SummaryTable[[#This Row],[Code]], allFYsTable[year2], AC$3)=0, NotFound, SUMIFS(allFYsTable[OriginalBudget], allFYsTable[Code], SummaryTable[[#This Row],[Code]], allFYsTable[year2], AC$3))</f>
        <v>10522</v>
      </c>
      <c r="AD11" s="61">
        <f>SummaryTable[[#This Row],[OriginalBudget25]]-SummaryTable[[#This Row],[OriginalBudget24]]</f>
        <v>713</v>
      </c>
      <c r="AE11" s="54">
        <f>SummaryTable[[#This Row],[BudgetIncreaseAmount25]]/SummaryTable[[#This Row],[OriginalBudget24]]</f>
        <v>7.2688347436028131E-2</v>
      </c>
      <c r="AF11" s="61">
        <f>IF(COUNTIFS(allFYsTable[Code], SummaryTable[[#This Row],[Code]], allFYsTable[year2], AC$3)=0, NotFound, SUMIFS(allFYsTable[RevisedBudget], allFYsTable[Code], SummaryTable[[#This Row],[Code]], allFYsTable[year2], AC$3))</f>
        <v>9347</v>
      </c>
      <c r="AG11" s="61">
        <f>IF(COUNTIFS(allFYsTable[Code], SummaryTable[[#This Row],[Code]], allFYsTable[year2], AC$3)=0, NotFound, SUMIFS(allFYsTable[Actual], allFYsTable[Code], SummaryTable[[#This Row],[Code]], allFYsTable[year2], AC$3))</f>
        <v>8943</v>
      </c>
      <c r="AH11" s="61">
        <f>IF(COUNTIFS(allFYsTable[Code], SummaryTable[[#This Row],[Code]], allFYsTable[year2], AC$3)=0, NotFound, SUMIFS(allFYsTable[DiffAmount], allFYsTable[Code], SummaryTable[[#This Row],[Code]], allFYsTable[year2], AC$3))</f>
        <v>-1579</v>
      </c>
      <c r="AI11" s="63">
        <f>IF(SummaryTable[[#This Row],[OriginalBudget25]]=0, IF(SummaryTable[[#This Row],[DiffAmount25]]=0, ZeroBudgetNoSpending, ZeroBudgetWithSpending), SummaryTable[[#This Row],[DiffAmount25]]/SummaryTable[[#This Row],[OriginalBudget25]])</f>
        <v>-0.15006652727618325</v>
      </c>
      <c r="AJ11" s="62">
        <f>IF(COUNTIFS(allFYsTable[Code], SummaryTable[[#This Row],[Code]], allFYsTable[year2], AJ$3)=0, NotFound, SUMIFS(allFYsTable[OriginalBudget], allFYsTable[Code], SummaryTable[[#This Row],[Code]], allFYsTable[year2], AJ$3))</f>
        <v>9809</v>
      </c>
      <c r="AK11" s="61">
        <f>SummaryTable[[#This Row],[OriginalBudget24]]-SummaryTable[[#This Row],[OriginalBudget23]]</f>
        <v>16</v>
      </c>
      <c r="AL11" s="54">
        <f>SummaryTable[[#This Row],[BudgetIncreaseAmount24]]/SummaryTable[[#This Row],[OriginalBudget23]]</f>
        <v>1.6338200755641784E-3</v>
      </c>
      <c r="AM11" s="61">
        <f>IF(COUNTIFS(allFYsTable[Code], SummaryTable[[#This Row],[Code]], allFYsTable[year2], AK$3)=0, NotFound, SUMIFS(allFYsTable[RevisedBudget], allFYsTable[Code], SummaryTable[[#This Row],[Code]], allFYsTable[year2], AJ$3))</f>
        <v>10525</v>
      </c>
      <c r="AN11" s="61">
        <f>IF(COUNTIFS(allFYsTable[Code], SummaryTable[[#This Row],[Code]], allFYsTable[year2], AJ$3)=0, NotFound, SUMIFS(allFYsTable[Actual], allFYsTable[Code], SummaryTable[[#This Row],[Code]], allFYsTable[year2], AJ$3))</f>
        <v>10449</v>
      </c>
      <c r="AO11" s="61">
        <f>IF(COUNTIFS(allFYsTable[Code], SummaryTable[[#This Row],[Code]], allFYsTable[year2], AJ$3)=0, NotFound, SUMIFS(allFYsTable[DiffAmount], allFYsTable[Code], SummaryTable[[#This Row],[Code]], allFYsTable[year2], AJ$3))</f>
        <v>640</v>
      </c>
      <c r="AP11" s="63">
        <f>IF(SummaryTable[[#This Row],[OriginalBudget24]]=0, IF(SummaryTable[[#This Row],[DiffAmount24]]=0, ZeroBudgetNoSpending, ZeroBudgetWithSpending), SummaryTable[[#This Row],[DiffAmount24]]/SummaryTable[[#This Row],[OriginalBudget24]])</f>
        <v>6.5246202467122025E-2</v>
      </c>
      <c r="AQ11" s="62">
        <f>IF(COUNTIFS(allFYsTable[Code], SummaryTable[[#This Row],[Code]], allFYsTable[year2], AQ$3)=0, NotFound, SUMIFS(allFYsTable[OriginalBudget], allFYsTable[Code], SummaryTable[[#This Row],[Code]], allFYsTable[year2], AQ$3))</f>
        <v>9793</v>
      </c>
      <c r="AR11" s="61">
        <f>SummaryTable[[#This Row],[OriginalBudget23]]-SummaryTable[[#This Row],[OriginalBudget22]]</f>
        <v>4580</v>
      </c>
      <c r="AS11" s="54">
        <f>SummaryTable[[#This Row],[BudgetIncreaseAmount23]]/SummaryTable[[#This Row],[OriginalBudget22]]</f>
        <v>0.87857279877229999</v>
      </c>
      <c r="AT11" s="61">
        <f>IF(COUNTIFS(allFYsTable[Code], SummaryTable[[#This Row],[Code]], allFYsTable[year2], AQ$3)=0, NotFound, SUMIFS(allFYsTable[RevisedBudget], allFYsTable[Code], SummaryTable[[#This Row],[Code]], allFYsTable[year2], AQ$3))</f>
        <v>9793</v>
      </c>
      <c r="AU11" s="61">
        <f>IF(COUNTIFS(allFYsTable[Code], SummaryTable[[#This Row],[Code]], allFYsTable[year2], AQ$3)=0, NotFound, SUMIFS(allFYsTable[Actual], allFYsTable[Code], SummaryTable[[#This Row],[Code]], allFYsTable[year2], AQ$3))</f>
        <v>9208</v>
      </c>
      <c r="AV11" s="61">
        <f>IF(COUNTIFS(allFYsTable[Code], SummaryTable[[#This Row],[Code]], allFYsTable[year2], AQ$3)=0, NotFound, SUMIFS(allFYsTable[DiffAmount], allFYsTable[Code], SummaryTable[[#This Row],[Code]], allFYsTable[year2], AQ$3))</f>
        <v>-585</v>
      </c>
      <c r="AW11" s="63">
        <f>IF(SummaryTable[[#This Row],[OriginalBudget23]]=0, IF(SummaryTable[[#This Row],[DiffAmount23]]=0, ZeroBudgetNoSpending, ZeroBudgetWithSpending), SummaryTable[[#This Row],[DiffAmount23]]/SummaryTable[[#This Row],[OriginalBudget23]])</f>
        <v>-5.9736546512815278E-2</v>
      </c>
      <c r="AX11" s="62">
        <f>IF(COUNTIFS(allFYsTable[Code], SummaryTable[[#This Row],[Code]], allFYsTable[year2], AX$3)=0, NotFound, SUMIFS(allFYsTable[OriginalBudget], allFYsTable[Code], SummaryTable[[#This Row],[Code]], allFYsTable[year2], AX$3))</f>
        <v>5213</v>
      </c>
      <c r="AY11" s="61">
        <f>SummaryTable[[#This Row],[OriginalBudget22]]-SummaryTable[[#This Row],[OriginalBudget21]]</f>
        <v>1469</v>
      </c>
      <c r="AZ11" s="54">
        <f>SummaryTable[[#This Row],[BudgetIncreaseAmount22]]/SummaryTable[[#This Row],[OriginalBudget21]]</f>
        <v>0.3923611111111111</v>
      </c>
      <c r="BA11" s="61">
        <f>IF(COUNTIFS(allFYsTable[Code], SummaryTable[[#This Row],[Code]], allFYsTable[year2], AX$3)=0, NotFound, SUMIFS(allFYsTable[RevisedBudget], allFYsTable[Code], SummaryTable[[#This Row],[Code]], allFYsTable[year2], AX$3))</f>
        <v>7933</v>
      </c>
      <c r="BB11" s="61">
        <f>IF(COUNTIFS(allFYsTable[Code], SummaryTable[[#This Row],[Code]], allFYsTable[year2], AX$3)=0, NotFound, SUMIFS(allFYsTable[Actual], allFYsTable[Code], SummaryTable[[#This Row],[Code]], allFYsTable[year2], AX$3))</f>
        <v>7796</v>
      </c>
      <c r="BC11" s="61">
        <f>IF(COUNTIFS(allFYsTable[Code], SummaryTable[[#This Row],[Code]], allFYsTable[year2], AX$3)=0, NotFound, SUMIFS(allFYsTable[DiffAmount], allFYsTable[Code], SummaryTable[[#This Row],[Code]], allFYsTable[year2], AX$3))</f>
        <v>2583</v>
      </c>
      <c r="BD11" s="63">
        <f>IF(SummaryTable[[#This Row],[OriginalBudget22]]=0, IF(SummaryTable[[#This Row],[DiffAmount22]]=0, ZeroBudgetNoSpending, ZeroBudgetWithSpending), SummaryTable[[#This Row],[DiffAmount22]]/SummaryTable[[#This Row],[OriginalBudget22]])</f>
        <v>0.49549203913293688</v>
      </c>
      <c r="BE11" s="62">
        <f>IF(COUNTIFS(allFYsTable[Code], SummaryTable[[#This Row],[Code]], allFYsTable[year2], BE$3)=0, NotFound, SUMIFS(allFYsTable[OriginalBudget], allFYsTable[Code], SummaryTable[[#This Row],[Code]], allFYsTable[year2], BE$3))</f>
        <v>3744</v>
      </c>
      <c r="BF11" s="61">
        <f>SummaryTable[[#This Row],[OriginalBudget21]]-SummaryTable[[#This Row],[OriginalBudget20]]</f>
        <v>1592</v>
      </c>
      <c r="BG11" s="54">
        <f>SummaryTable[[#This Row],[BudgetIncreaseAmount21]]/SummaryTable[[#This Row],[OriginalBudget20]]</f>
        <v>0.7397769516728625</v>
      </c>
      <c r="BH11" s="61">
        <f>IF(COUNTIFS(allFYsTable[Code], SummaryTable[[#This Row],[Code]], allFYsTable[year2], BE$3)=0, NotFound, SUMIFS(allFYsTable[RevisedBudget], allFYsTable[Code], SummaryTable[[#This Row],[Code]], allFYsTable[year2], BE$3))</f>
        <v>6970</v>
      </c>
      <c r="BI11" s="61">
        <f>IF(COUNTIFS(allFYsTable[Code], SummaryTable[[#This Row],[Code]], allFYsTable[year2], BE$3)=0, NotFound, SUMIFS(allFYsTable[Actual], allFYsTable[Code], SummaryTable[[#This Row],[Code]], allFYsTable[year2], BE$3))</f>
        <v>6864</v>
      </c>
      <c r="BJ11" s="61">
        <f>IF(COUNTIFS(allFYsTable[Code], SummaryTable[[#This Row],[Code]], allFYsTable[year2], BE$3)=0, NotFound, SUMIFS(allFYsTable[DiffAmount], allFYsTable[Code], SummaryTable[[#This Row],[Code]], allFYsTable[year2], BE$3))</f>
        <v>3120</v>
      </c>
      <c r="BK11" s="63">
        <f>IF(SummaryTable[[#This Row],[OriginalBudget21]]=0, IF(SummaryTable[[#This Row],[DiffAmount21]]=0, ZeroBudgetNoSpending, ZeroBudgetWithSpending), SummaryTable[[#This Row],[DiffAmount21]]/SummaryTable[[#This Row],[OriginalBudget21]])</f>
        <v>0.83333333333333337</v>
      </c>
      <c r="BL11" s="62">
        <f>IF(COUNTIFS(allFYsTable[Code], SummaryTable[[#This Row],[Code]], allFYsTable[year2], BL$3)=0, NotFound, SUMIFS(allFYsTable[OriginalBudget], allFYsTable[Code], SummaryTable[[#This Row],[Code]], allFYsTable[year2], BL$3))</f>
        <v>2152</v>
      </c>
      <c r="BM11" s="61">
        <f>SummaryTable[[#This Row],[OriginalBudget20]]-SummaryTable[[#This Row],[OriginalBudget19]]</f>
        <v>57</v>
      </c>
      <c r="BN11" s="54">
        <f>SummaryTable[[#This Row],[BudgetIncreaseAmount20]]/SummaryTable[[#This Row],[OriginalBudget19]]</f>
        <v>2.720763723150358E-2</v>
      </c>
      <c r="BO11" s="61">
        <f>IF(COUNTIFS(allFYsTable[Code], SummaryTable[[#This Row],[Code]], allFYsTable[year2], BL$3)=0, NotFound, SUMIFS(allFYsTable[RevisedBudget], allFYsTable[Code], SummaryTable[[#This Row],[Code]], allFYsTable[year2], BL$3))</f>
        <v>3422</v>
      </c>
      <c r="BP11" s="61">
        <f>IF(COUNTIFS(allFYsTable[Code], SummaryTable[[#This Row],[Code]], allFYsTable[year2], BL$3)=0, NotFound, SUMIFS(allFYsTable[Actual], allFYsTable[Code], SummaryTable[[#This Row],[Code]], allFYsTable[year2], BL$3))</f>
        <v>3296</v>
      </c>
      <c r="BQ11" s="61">
        <f>IF(COUNTIFS(allFYsTable[Code], SummaryTable[[#This Row],[Code]], allFYsTable[year2], BL$3)=0, NotFound, SUMIFS(allFYsTable[DiffAmount], allFYsTable[Code], SummaryTable[[#This Row],[Code]], allFYsTable[year2], BL$3))</f>
        <v>1144</v>
      </c>
      <c r="BR11" s="63">
        <f>IF(SummaryTable[[#This Row],[OriginalBudget20]]=0, IF(SummaryTable[[#This Row],[DiffAmount20]]=0, ZeroBudgetNoSpending, ZeroBudgetWithSpending), SummaryTable[[#This Row],[DiffAmount20]]/SummaryTable[[#This Row],[OriginalBudget20]])</f>
        <v>0.53159851301115246</v>
      </c>
      <c r="BS11" s="62">
        <f>IF(COUNTIFS(allFYsTable[Code], SummaryTable[[#This Row],[Code]], allFYsTable[year2], BS$3)=0, NotFound, SUMIFS(allFYsTable[OriginalBudget], allFYsTable[Code], SummaryTable[[#This Row],[Code]], allFYsTable[year2], BS$3))</f>
        <v>2095</v>
      </c>
      <c r="BT11" s="61">
        <f>SummaryTable[[#This Row],[OriginalBudget19]]-SummaryTable[[#This Row],[OriginalBudget18]]</f>
        <v>-28</v>
      </c>
      <c r="BU11" s="54">
        <f>SummaryTable[[#This Row],[BudgetIncreaseAmount19]]/SummaryTable[[#This Row],[OriginalBudget18]]</f>
        <v>-1.3188883655204899E-2</v>
      </c>
      <c r="BV11" s="61">
        <f>IF(COUNTIFS(allFYsTable[Code], SummaryTable[[#This Row],[Code]], allFYsTable[year2], BS$3)=0, NotFound, SUMIFS(allFYsTable[RevisedBudget], allFYsTable[Code], SummaryTable[[#This Row],[Code]], allFYsTable[year2], BS$3))</f>
        <v>3416</v>
      </c>
      <c r="BW11" s="61">
        <f>IF(COUNTIFS(allFYsTable[Code], SummaryTable[[#This Row],[Code]], allFYsTable[year2], BS$3)=0, NotFound, SUMIFS(allFYsTable[Actual], allFYsTable[Code], SummaryTable[[#This Row],[Code]], allFYsTable[year2], BS$3))</f>
        <v>3401</v>
      </c>
      <c r="BX11" s="61">
        <f>IF(COUNTIFS(allFYsTable[Code], SummaryTable[[#This Row],[Code]], allFYsTable[year2], BS$3)=0, NotFound, SUMIFS(allFYsTable[DiffAmount], allFYsTable[Code], SummaryTable[[#This Row],[Code]], allFYsTable[year2], BS$3))</f>
        <v>1306</v>
      </c>
      <c r="BY11" s="63">
        <f>IF(SummaryTable[[#This Row],[OriginalBudget19]]=0, IF(SummaryTable[[#This Row],[DiffAmount19]]=0, ZeroBudgetNoSpending, ZeroBudgetWithSpending), SummaryTable[[#This Row],[DiffAmount19]]/SummaryTable[[#This Row],[OriginalBudget19]])</f>
        <v>0.62338902147971365</v>
      </c>
      <c r="BZ11" s="62">
        <f>IF(COUNTIFS(allFYsTable[Code], SummaryTable[[#This Row],[Code]], allFYsTable[year2], BZ$3)=0, NotFound, SUMIFS(allFYsTable[OriginalBudget], allFYsTable[Code], SummaryTable[[#This Row],[Code]], allFYsTable[year2], BZ$3))</f>
        <v>2123</v>
      </c>
      <c r="CA11" s="61">
        <f>SummaryTable[[#This Row],[OriginalBudget18]]-SummaryTable[[#This Row],[OriginalBudget17]]</f>
        <v>51</v>
      </c>
      <c r="CB11" s="54">
        <f>SummaryTable[[#This Row],[BudgetIncreaseAmount18]]/SummaryTable[[#This Row],[OriginalBudget17]]</f>
        <v>2.4613899613899613E-2</v>
      </c>
      <c r="CC11" s="61">
        <f>IF(COUNTIFS(allFYsTable[Code], SummaryTable[[#This Row],[Code]], allFYsTable[year2], BZ$3)=0, NotFound, SUMIFS(allFYsTable[RevisedBudget], allFYsTable[Code], SummaryTable[[#This Row],[Code]], allFYsTable[year2], BZ$3))</f>
        <v>2479</v>
      </c>
      <c r="CD11" s="61">
        <f>IF(COUNTIFS(allFYsTable[Code], SummaryTable[[#This Row],[Code]], allFYsTable[year2], BZ$3)=0, NotFound, SUMIFS(allFYsTable[Actual], allFYsTable[Code], SummaryTable[[#This Row],[Code]], allFYsTable[year2], BZ$3))</f>
        <v>2479</v>
      </c>
      <c r="CE11" s="61">
        <f>IF(COUNTIFS(allFYsTable[Code], SummaryTable[[#This Row],[Code]], allFYsTable[year2], BZ$3)=0, NotFound, SUMIFS(allFYsTable[DiffAmount], allFYsTable[Code], SummaryTable[[#This Row],[Code]], allFYsTable[year2], BZ$3))</f>
        <v>356</v>
      </c>
      <c r="CF11" s="63">
        <f>IF(SummaryTable[[#This Row],[OriginalBudget18]]=0, IF(SummaryTable[[#This Row],[DiffAmount18]]=0, ZeroBudgetNoSpending, ZeroBudgetWithSpending), SummaryTable[[#This Row],[DiffAmount18]]/SummaryTable[[#This Row],[OriginalBudget18]])</f>
        <v>0.167687235044748</v>
      </c>
      <c r="CG11" s="62">
        <f>IF(COUNTIFS(allFYsTable[Code], SummaryTable[[#This Row],[Code]], allFYsTable[year2], CG$3)=0, NotFound, SUMIFS(allFYsTable[OriginalBudget], allFYsTable[Code], SummaryTable[[#This Row],[Code]], allFYsTable[year2], CG$3))</f>
        <v>2072</v>
      </c>
      <c r="CH11" s="61">
        <f>SummaryTable[[#This Row],[OriginalBudget17]]-SummaryTable[[#This Row],[OriginalBudget16]]</f>
        <v>650</v>
      </c>
      <c r="CI11" s="54">
        <f>SummaryTable[[#This Row],[BudgetIncreaseAmount17]]/SummaryTable[[#This Row],[OriginalBudget16]]</f>
        <v>0.4571026722925457</v>
      </c>
      <c r="CJ11" s="61">
        <f>IF(COUNTIFS(allFYsTable[Code], SummaryTable[[#This Row],[Code]], allFYsTable[year2], CG$3)=0, NotFound, SUMIFS(allFYsTable[RevisedBudget], allFYsTable[Code], SummaryTable[[#This Row],[Code]], allFYsTable[year2], CG$3))</f>
        <v>1870</v>
      </c>
      <c r="CK11" s="61">
        <f>IF(COUNTIFS(allFYsTable[Code], SummaryTable[[#This Row],[Code]], allFYsTable[year2], CG$3)=0, NotFound, SUMIFS(allFYsTable[Actual], allFYsTable[Code], SummaryTable[[#This Row],[Code]], allFYsTable[year2], CG$3))</f>
        <v>1869</v>
      </c>
      <c r="CL11" s="61">
        <f>IF(COUNTIFS(allFYsTable[Code], SummaryTable[[#This Row],[Code]], allFYsTable[year2], CG$3)=0, NotFound, SUMIFS(allFYsTable[DiffAmount], allFYsTable[Code], SummaryTable[[#This Row],[Code]], allFYsTable[year2], CG$3))</f>
        <v>-203</v>
      </c>
      <c r="CM11" s="63">
        <f>IF(SummaryTable[[#This Row],[OriginalBudget17]]=0, IF(SummaryTable[[#This Row],[DiffAmount17]]=0, ZeroBudgetNoSpending, ZeroBudgetWithSpending), SummaryTable[[#This Row],[DiffAmount17]]/SummaryTable[[#This Row],[OriginalBudget17]])</f>
        <v>-9.7972972972972971E-2</v>
      </c>
      <c r="CN11" s="62">
        <f>IF(COUNTIFS(allFYsTable[Code], SummaryTable[[#This Row],[Code]], allFYsTable[year2], CN$3)=0, NotFound, SUMIFS(allFYsTable[OriginalBudget], allFYsTable[Code], SummaryTable[[#This Row],[Code]], allFYsTable[year2], CN$3))</f>
        <v>1422</v>
      </c>
      <c r="CO11" s="61">
        <f>SummaryTable[[#This Row],[OriginalBudget16]]-SummaryTable[[#This Row],[OriginalBudget15]]</f>
        <v>-123</v>
      </c>
      <c r="CP11" s="54">
        <f>SummaryTable[[#This Row],[BudgetIncreaseAmount16]]/SummaryTable[[#This Row],[OriginalBudget15]]</f>
        <v>-7.9611650485436891E-2</v>
      </c>
      <c r="CQ11" s="61">
        <f>IF(COUNTIFS(allFYsTable[Code], SummaryTable[[#This Row],[Code]], allFYsTable[year2], CN$3)=0, NotFound, SUMIFS(allFYsTable[RevisedBudget], allFYsTable[Code], SummaryTable[[#This Row],[Code]], allFYsTable[year2], CN$3))</f>
        <v>2008</v>
      </c>
      <c r="CR11" s="61">
        <f>IF(COUNTIFS(allFYsTable[Code], SummaryTable[[#This Row],[Code]], allFYsTable[year2], CN$3)=0, NotFound, SUMIFS(allFYsTable[Actual], allFYsTable[Code], SummaryTable[[#This Row],[Code]], allFYsTable[year2], CN$3))</f>
        <v>2007</v>
      </c>
      <c r="CS11" s="61">
        <f>IF(COUNTIFS(allFYsTable[Code], SummaryTable[[#This Row],[Code]], allFYsTable[year2], CN$3)=0, NotFound, SUMIFS(allFYsTable[DiffAmount], allFYsTable[Code], SummaryTable[[#This Row],[Code]], allFYsTable[year2], CN$3))</f>
        <v>585</v>
      </c>
      <c r="CT11" s="63">
        <f>IF(SummaryTable[[#This Row],[OriginalBudget16]]=0, IF(SummaryTable[[#This Row],[DiffAmount16]]=0, ZeroBudgetNoSpending, ZeroBudgetWithSpending), SummaryTable[[#This Row],[DiffAmount16]]/SummaryTable[[#This Row],[OriginalBudget16]])</f>
        <v>0.41139240506329117</v>
      </c>
      <c r="CU11" s="62">
        <f>IF(COUNTIFS(allFYsTable[Code], SummaryTable[[#This Row],[Code]], allFYsTable[year2], CU$3)=0, NotFound, SUMIFS(allFYsTable[OriginalBudget], allFYsTable[Code], SummaryTable[[#This Row],[Code]], allFYsTable[year2], CU$3))</f>
        <v>1545</v>
      </c>
      <c r="CV11" s="61">
        <f>SummaryTable[[#This Row],[OriginalBudget15]]-SummaryTable[[#This Row],[OriginalBudget14]]</f>
        <v>-208</v>
      </c>
      <c r="CW11" s="54">
        <f>SummaryTable[[#This Row],[BudgetIncreaseAmount15]]/SummaryTable[[#This Row],[OriginalBudget14]]</f>
        <v>-0.11865373645179692</v>
      </c>
      <c r="CX11" s="61">
        <f>IF(COUNTIFS(allFYsTable[Code], SummaryTable[[#This Row],[Code]], allFYsTable[year2], CU$3)=0, NotFound, SUMIFS(allFYsTable[RevisedBudget], allFYsTable[Code], SummaryTable[[#This Row],[Code]], allFYsTable[year2], CU$3))</f>
        <v>2211</v>
      </c>
      <c r="CY11" s="61">
        <f>IF(COUNTIFS(allFYsTable[Code], SummaryTable[[#This Row],[Code]], allFYsTable[year2], CU$3)=0, NotFound, SUMIFS(allFYsTable[Actual], allFYsTable[Code], SummaryTable[[#This Row],[Code]], allFYsTable[year2], CU$3))</f>
        <v>2211</v>
      </c>
      <c r="CZ11" s="61">
        <f>IF(COUNTIFS(allFYsTable[Code], SummaryTable[[#This Row],[Code]], allFYsTable[year2], CU$3)=0, NotFound, SUMIFS(allFYsTable[DiffAmount], allFYsTable[Code], SummaryTable[[#This Row],[Code]], allFYsTable[year2], CU$3))</f>
        <v>666</v>
      </c>
      <c r="DA11" s="63">
        <f>IF(SummaryTable[[#This Row],[OriginalBudget15]]=0, IF(SummaryTable[[#This Row],[DiffAmount15]]=0, ZeroBudgetNoSpending, ZeroBudgetWithSpending), SummaryTable[[#This Row],[DiffAmount15]]/SummaryTable[[#This Row],[OriginalBudget15]])</f>
        <v>0.43106796116504853</v>
      </c>
      <c r="DB11" s="62">
        <f>IF(COUNTIFS(allFYsTable[Code], SummaryTable[[#This Row],[Code]], allFYsTable[year2], DB$3)=0, NotFound, SUMIFS(allFYsTable[OriginalBudget], allFYsTable[Code], SummaryTable[[#This Row],[Code]], allFYsTable[year2], DB$3))</f>
        <v>1753</v>
      </c>
      <c r="DC11" s="61">
        <f>SummaryTable[[#This Row],[OriginalBudget14]]-SummaryTable[[#This Row],[OriginalBudget13]]</f>
        <v>-677</v>
      </c>
      <c r="DD11" s="54">
        <f>SummaryTable[[#This Row],[BudgetIncreaseAmount14]]/SummaryTable[[#This Row],[OriginalBudget13]]</f>
        <v>-0.27860082304526751</v>
      </c>
      <c r="DE11" s="61">
        <f>IF(COUNTIFS(allFYsTable[Code], SummaryTable[[#This Row],[Code]], allFYsTable[year2], DB$3)=0, NotFound, SUMIFS(allFYsTable[RevisedBudget], allFYsTable[Code], SummaryTable[[#This Row],[Code]], allFYsTable[year2], DB$3))</f>
        <v>929</v>
      </c>
      <c r="DF11" s="61">
        <f>IF(COUNTIFS(allFYsTable[Code], SummaryTable[[#This Row],[Code]], allFYsTable[year2], DB$3)=0, NotFound, SUMIFS(allFYsTable[Actual], allFYsTable[Code], SummaryTable[[#This Row],[Code]], allFYsTable[year2], DB$3))</f>
        <v>929</v>
      </c>
      <c r="DG11" s="61">
        <f>IF(COUNTIFS(allFYsTable[Code], SummaryTable[[#This Row],[Code]], allFYsTable[year2], DB$3)=0, NotFound, SUMIFS(allFYsTable[DiffAmount], allFYsTable[Code], SummaryTable[[#This Row],[Code]], allFYsTable[year2], DB$3))</f>
        <v>-824</v>
      </c>
      <c r="DH11" s="63">
        <f>IF(SummaryTable[[#This Row],[OriginalBudget14]]=0, IF(SummaryTable[[#This Row],[DiffAmount14]]=0, ZeroBudgetNoSpending, ZeroBudgetWithSpending), SummaryTable[[#This Row],[DiffAmount14]]/SummaryTable[[#This Row],[OriginalBudget14]])</f>
        <v>-0.47005134055904163</v>
      </c>
      <c r="DI11" s="62">
        <f>IF(COUNTIFS(allFYsTable[Code], SummaryTable[[#This Row],[Code]], allFYsTable[year2], DI$3)=0, NotFound, SUMIFS(allFYsTable[OriginalBudget], allFYsTable[Code], SummaryTable[[#This Row],[Code]], allFYsTable[year2], DI$3))</f>
        <v>2430</v>
      </c>
      <c r="DJ11" s="61">
        <f>SummaryTable[[#This Row],[OriginalBudget13]]-SummaryTable[[#This Row],[OriginalBudget12]]</f>
        <v>-154</v>
      </c>
      <c r="DK11" s="54">
        <f>SummaryTable[[#This Row],[BudgetIncreaseAmount13]]/SummaryTable[[#This Row],[OriginalBudget12]]</f>
        <v>-5.9597523219814243E-2</v>
      </c>
      <c r="DL11" s="61">
        <f>IF(COUNTIFS(allFYsTable[Code], SummaryTable[[#This Row],[Code]], allFYsTable[year2], DI$3)=0, NotFound, SUMIFS(allFYsTable[RevisedBudget], allFYsTable[Code], SummaryTable[[#This Row],[Code]], allFYsTable[year2], DI$3))</f>
        <v>498</v>
      </c>
      <c r="DM11" s="61">
        <f>IF(COUNTIFS(allFYsTable[Code], SummaryTable[[#This Row],[Code]], allFYsTable[year2], DI$3)=0, NotFound, SUMIFS(allFYsTable[Actual], allFYsTable[Code], SummaryTable[[#This Row],[Code]], allFYsTable[year2], DI$3))</f>
        <v>498</v>
      </c>
      <c r="DN11" s="61">
        <f>IF(COUNTIFS(allFYsTable[Code], SummaryTable[[#This Row],[Code]], allFYsTable[year2], DI$3)=0, NotFound, SUMIFS(allFYsTable[DiffAmount], allFYsTable[Code], SummaryTable[[#This Row],[Code]], allFYsTable[year2], DI$3))</f>
        <v>-1932</v>
      </c>
      <c r="DO11" s="63">
        <f>IF(SummaryTable[[#This Row],[OriginalBudget13]]=0, IF(SummaryTable[[#This Row],[DiffAmount13]]=0, ZeroBudgetNoSpending, ZeroBudgetWithSpending), SummaryTable[[#This Row],[DiffAmount13]]/SummaryTable[[#This Row],[OriginalBudget13]])</f>
        <v>-0.79506172839506173</v>
      </c>
      <c r="DP11" s="62">
        <f>IF(COUNTIFS(allFYsTable[Code], SummaryTable[[#This Row],[Code]], allFYsTable[year2], DP$3)=0, NotFound, SUMIFS(allFYsTable[OriginalBudget], allFYsTable[Code], SummaryTable[[#This Row],[Code]], allFYsTable[year2], DP$3))</f>
        <v>2584</v>
      </c>
      <c r="DQ11" s="61">
        <f>SummaryTable[[#This Row],[OriginalBudget12]]-SummaryTable[[#This Row],[OriginalBudget11]]</f>
        <v>84</v>
      </c>
      <c r="DR11" s="54">
        <f>SummaryTable[[#This Row],[BudgetIncreaseAmount12]]/SummaryTable[[#This Row],[OriginalBudget11]]</f>
        <v>3.3599999999999998E-2</v>
      </c>
      <c r="DS11" s="61">
        <f>IF(COUNTIFS(allFYsTable[Code], SummaryTable[[#This Row],[Code]], allFYsTable[year2], DP$3)=0, NotFound, SUMIFS(allFYsTable[RevisedBudget], allFYsTable[Code], SummaryTable[[#This Row],[Code]], allFYsTable[year2], DP$3))</f>
        <v>177</v>
      </c>
      <c r="DT11" s="61">
        <f>IF(COUNTIFS(allFYsTable[Code], SummaryTable[[#This Row],[Code]], allFYsTable[year2], DP$3)=0, NotFound, SUMIFS(allFYsTable[Actual], allFYsTable[Code], SummaryTable[[#This Row],[Code]], allFYsTable[year2], DP$3))</f>
        <v>177</v>
      </c>
      <c r="DU11" s="61">
        <f>IF(COUNTIFS(allFYsTable[Code], SummaryTable[[#This Row],[Code]], allFYsTable[year2], DP$3)=0, NotFound, SUMIFS(allFYsTable[DiffAmount], allFYsTable[Code], SummaryTable[[#This Row],[Code]], allFYsTable[year2], DP$3))</f>
        <v>-2407</v>
      </c>
      <c r="DV11" s="63">
        <f>IF(SummaryTable[[#This Row],[OriginalBudget12]]=0, IF(SummaryTable[[#This Row],[DiffAmount12]]=0, ZeroBudgetNoSpending, ZeroBudgetWithSpending), SummaryTable[[#This Row],[DiffAmount12]]/SummaryTable[[#This Row],[OriginalBudget12]])</f>
        <v>-0.93150154798761609</v>
      </c>
      <c r="DW11" s="62">
        <f>IF(COUNTIFS(allFYsTable[Code], SummaryTable[[#This Row],[Code]], allFYsTable[year2], DW$3)=0, NotFound, SUMIFS(allFYsTable[OriginalBudget], allFYsTable[Code], SummaryTable[[#This Row],[Code]], allFYsTable[year2], DW$3))</f>
        <v>2500</v>
      </c>
      <c r="DX11" s="61">
        <f>SummaryTable[[#This Row],[OriginalBudget11]]-SummaryTable[[#This Row],[OriginalBudget10]]</f>
        <v>2500</v>
      </c>
      <c r="DY11" s="54" t="e">
        <f>SummaryTable[[#This Row],[BudgetIncreaseAmount11]]/SummaryTable[[#This Row],[OriginalBudget10]]</f>
        <v>#DIV/0!</v>
      </c>
      <c r="DZ11" s="61">
        <f>IF(COUNTIFS(allFYsTable[Code], SummaryTable[[#This Row],[Code]], allFYsTable[year2], DW$3)=0, NotFound, SUMIFS(allFYsTable[RevisedBudget], allFYsTable[Code], SummaryTable[[#This Row],[Code]], allFYsTable[year2], DW$3))</f>
        <v>2500</v>
      </c>
      <c r="EA11" s="61">
        <f>IF(COUNTIFS(allFYsTable[Code], SummaryTable[[#This Row],[Code]], allFYsTable[year2], DW$3)=0, NotFound, SUMIFS(allFYsTable[Actual], allFYsTable[Code], SummaryTable[[#This Row],[Code]], allFYsTable[year2], DW$3))</f>
        <v>196</v>
      </c>
      <c r="EB11" s="61">
        <f>IF(COUNTIFS(allFYsTable[Code], SummaryTable[[#This Row],[Code]], allFYsTable[year2], DW$3)=0, NotFound, SUMIFS(allFYsTable[DiffAmount], allFYsTable[Code], SummaryTable[[#This Row],[Code]], allFYsTable[year2], DW$3))</f>
        <v>-2304</v>
      </c>
      <c r="EC11" s="63">
        <f>IF(SummaryTable[[#This Row],[OriginalBudget11]]=0, IF(SummaryTable[[#This Row],[DiffAmount11]]=0, ZeroBudgetNoSpending, ZeroBudgetWithSpending), SummaryTable[[#This Row],[DiffAmount11]]/SummaryTable[[#This Row],[OriginalBudget11]])</f>
        <v>-0.92159999999999997</v>
      </c>
      <c r="ED11" s="62">
        <f>IF(COUNTIFS(allFYsTable[Code], SummaryTable[[#This Row],[Code]], allFYsTable[year2], ED$3)=0, NotFound, SUMIFS(allFYsTable[OriginalBudget], allFYsTable[Code], SummaryTable[[#This Row],[Code]], allFYsTable[year2], ED$3))</f>
        <v>0</v>
      </c>
      <c r="EE11" s="61">
        <f>SummaryTable[[#This Row],[OriginalBudget10]]-SummaryTable[[#This Row],[OriginalBudget09]]</f>
        <v>0</v>
      </c>
      <c r="EF11" s="54" t="e">
        <f>SummaryTable[[#This Row],[BudgetIncreaseAmount10]]/SummaryTable[[#This Row],[OriginalBudget09]]</f>
        <v>#DIV/0!</v>
      </c>
      <c r="EG11" s="61">
        <f>IF(COUNTIFS(allFYsTable[Code], SummaryTable[[#This Row],[Code]], allFYsTable[year2], ED$3)=0, NotFound, SUMIFS(allFYsTable[RevisedBudget], allFYsTable[Code], SummaryTable[[#This Row],[Code]], allFYsTable[year2], ED$3))</f>
        <v>0</v>
      </c>
      <c r="EH11" s="61">
        <f>IF(COUNTIFS(allFYsTable[Code], SummaryTable[[#This Row],[Code]], allFYsTable[year2], ED$3)=0, NotFound, SUMIFS(allFYsTable[Actual], allFYsTable[Code], SummaryTable[[#This Row],[Code]], allFYsTable[year2], ED$3))</f>
        <v>0</v>
      </c>
      <c r="EI11" s="61">
        <f>IF(COUNTIFS(allFYsTable[Code], SummaryTable[[#This Row],[Code]], allFYsTable[year2], ED$3)=0, NotFound, SUMIFS(allFYsTable[DiffAmount], allFYsTable[Code], SummaryTable[[#This Row],[Code]], allFYsTable[year2], ED$3))</f>
        <v>0</v>
      </c>
      <c r="EJ11" s="63">
        <f>IF(SummaryTable[[#This Row],[OriginalBudget10]]=0, IF(SummaryTable[[#This Row],[DiffAmount10]]=0, ZeroBudgetNoSpending, ZeroBudgetWithSpending), SummaryTable[[#This Row],[DiffAmount10]]/SummaryTable[[#This Row],[OriginalBudget10]])</f>
        <v>0</v>
      </c>
      <c r="EK11" s="62">
        <f>IF(COUNTIFS(allFYsTable[Code], SummaryTable[[#This Row],[Code]], allFYsTable[year2], EK$3)=0, NotFound, SUMIFS(allFYsTable[OriginalBudget], allFYsTable[Code], SummaryTable[[#This Row],[Code]], allFYsTable[year2], EK$3))</f>
        <v>0</v>
      </c>
      <c r="EL11" s="61" t="e">
        <f>SummaryTable[[#This Row],[OriginalBudget09]]-SummaryTable[[#This Row],[OriginalBudget08]]</f>
        <v>#N/A</v>
      </c>
      <c r="EM11" s="54" t="e">
        <f>SummaryTable[[#This Row],[BudgetIncreaseAmount09]]/SummaryTable[[#This Row],[OriginalBudget08]]</f>
        <v>#N/A</v>
      </c>
      <c r="EN11" s="61">
        <f>IF(COUNTIFS(allFYsTable[Code], SummaryTable[[#This Row],[Code]], allFYsTable[year2], EK$3)=0, NotFound, SUMIFS(allFYsTable[RevisedBudget], allFYsTable[Code], SummaryTable[[#This Row],[Code]], allFYsTable[year2], EK$3))</f>
        <v>198</v>
      </c>
      <c r="EO11" s="61">
        <f>IF(COUNTIFS(allFYsTable[Code], SummaryTable[[#This Row],[Code]], allFYsTable[year2], EK$3)=0, NotFound, SUMIFS(allFYsTable[Actual], allFYsTable[Code], SummaryTable[[#This Row],[Code]], allFYsTable[year2], EK$3))</f>
        <v>198</v>
      </c>
      <c r="EP11" s="61">
        <f>IF(COUNTIFS(allFYsTable[Code], SummaryTable[[#This Row],[Code]], allFYsTable[year2], EK$3)=0, NotFound, SUMIFS(allFYsTable[DiffAmount], allFYsTable[Code], SummaryTable[[#This Row],[Code]], allFYsTable[year2], EK$3))</f>
        <v>198</v>
      </c>
      <c r="EQ11" s="63">
        <f>IF(SummaryTable[[#This Row],[OriginalBudget09]]=0, IF(SummaryTable[[#This Row],[DiffAmount09]]=0, ZeroBudgetNoSpending, ZeroBudgetWithSpending), SummaryTable[[#This Row],[DiffAmount09]]/SummaryTable[[#This Row],[OriginalBudget09]])</f>
        <v>99.99</v>
      </c>
      <c r="ER11" s="62" t="e">
        <f>IF(COUNTIFS(allFYsTable[Code], SummaryTable[[#This Row],[Code]], allFYsTable[year2], ER$3)=0, NotFound, SUMIFS(allFYsTable[OriginalBudget], allFYsTable[Code], SummaryTable[[#This Row],[Code]], allFYsTable[year2], ER$3))</f>
        <v>#N/A</v>
      </c>
      <c r="ES11" s="61" t="e">
        <f>SummaryTable[[#This Row],[OriginalBudget08]]-SummaryTable[[#This Row],[OriginalBudget07]]</f>
        <v>#N/A</v>
      </c>
      <c r="ET11" s="54" t="e">
        <f>SummaryTable[[#This Row],[BudgetIncreaseAmount08]]/SummaryTable[[#This Row],[OriginalBudget07]]</f>
        <v>#N/A</v>
      </c>
      <c r="EU11" s="61" t="e">
        <f>IF(COUNTIFS(allFYsTable[Code], SummaryTable[[#This Row],[Code]], allFYsTable[year2], ER$3)=0, NotFound, SUMIFS(allFYsTable[RevisedBudget], allFYsTable[Code], SummaryTable[[#This Row],[Code]], allFYsTable[year2], ER$3))</f>
        <v>#N/A</v>
      </c>
      <c r="EV11" s="61" t="e">
        <f>IF(COUNTIFS(allFYsTable[Code], SummaryTable[[#This Row],[Code]], allFYsTable[year2], ER$3)=0, NotFound, SUMIFS(allFYsTable[Actual], allFYsTable[Code], SummaryTable[[#This Row],[Code]], allFYsTable[year2], ER$3))</f>
        <v>#N/A</v>
      </c>
      <c r="EW11" s="61" t="e">
        <f>IF(COUNTIFS(allFYsTable[Code], SummaryTable[[#This Row],[Code]], allFYsTable[year2], ER$3)=0, NotFound, SUMIFS(allFYsTable[DiffAmount], allFYsTable[Code], SummaryTable[[#This Row],[Code]], allFYsTable[year2], ER$3))</f>
        <v>#N/A</v>
      </c>
      <c r="EX11" s="63" t="e">
        <f>IF(SummaryTable[[#This Row],[OriginalBudget08]]=0, IF(SummaryTable[[#This Row],[DiffAmount08]]=0, ZeroBudgetNoSpending, ZeroBudgetWithSpending), SummaryTable[[#This Row],[DiffAmount08]]/SummaryTable[[#This Row],[OriginalBudget08]])</f>
        <v>#N/A</v>
      </c>
      <c r="EY11" s="62" t="e">
        <f>IF(COUNTIFS(allFYsTable[Code], SummaryTable[[#This Row],[Code]], allFYsTable[year2], EY$3)=0, NotFound, SUMIFS(allFYsTable[OriginalBudget], allFYsTable[Code], SummaryTable[[#This Row],[Code]], allFYsTable[year2], EY$3))</f>
        <v>#N/A</v>
      </c>
      <c r="EZ11" s="61" t="e">
        <f>SummaryTable[[#This Row],[OriginalBudget07]]-SummaryTable[[#This Row],[OriginalBudget06]]</f>
        <v>#N/A</v>
      </c>
      <c r="FA11" s="54" t="e">
        <f>SummaryTable[[#This Row],[BudgetIncreaseAmount07]]/SummaryTable[[#This Row],[OriginalBudget06]]</f>
        <v>#N/A</v>
      </c>
      <c r="FB11" s="61" t="e">
        <f>IF(COUNTIFS(allFYsTable[Code], SummaryTable[[#This Row],[Code]], allFYsTable[year2], EY$3)=0, NotFound, SUMIFS(allFYsTable[RevisedBudget], allFYsTable[Code], SummaryTable[[#This Row],[Code]], allFYsTable[year2], EY$3))</f>
        <v>#N/A</v>
      </c>
      <c r="FC11" s="61" t="e">
        <f>IF(COUNTIFS(allFYsTable[Code], SummaryTable[[#This Row],[Code]], allFYsTable[year2], EY$3)=0, NotFound, SUMIFS(allFYsTable[Actual], allFYsTable[Code], SummaryTable[[#This Row],[Code]], allFYsTable[year2], EY$3))</f>
        <v>#N/A</v>
      </c>
      <c r="FD11" s="61" t="e">
        <f>IF(COUNTIFS(allFYsTable[Code], SummaryTable[[#This Row],[Code]], allFYsTable[year2], EY$3)=0, NotFound, SUMIFS(allFYsTable[DiffAmount], allFYsTable[Code], SummaryTable[[#This Row],[Code]], allFYsTable[year2], EY$3))</f>
        <v>#N/A</v>
      </c>
      <c r="FE11" s="63" t="e">
        <f>IF(SummaryTable[[#This Row],[OriginalBudget07]]=0, IF(SummaryTable[[#This Row],[DiffAmount07]]=0, ZeroBudgetNoSpending, ZeroBudgetWithSpending), SummaryTable[[#This Row],[DiffAmount07]]/SummaryTable[[#This Row],[OriginalBudget07]])</f>
        <v>#N/A</v>
      </c>
      <c r="FF11" s="62" t="e">
        <f>IF(COUNTIFS(allFYsTable[Code], SummaryTable[[#This Row],[Code]], allFYsTable[year2], FF$3)=0, NotFound, SUMIFS(allFYsTable[OriginalBudget], allFYsTable[Code], SummaryTable[[#This Row],[Code]], allFYsTable[year2], FF$3))</f>
        <v>#N/A</v>
      </c>
      <c r="FI11" s="61" t="e">
        <f>IF(COUNTIFS(allFYsTable[Code], SummaryTable[[#This Row],[Code]], allFYsTable[year2], FF$3)=0, NotFound, SUMIFS(allFYsTable[RevisedBudget], allFYsTable[Code], SummaryTable[[#This Row],[Code]], allFYsTable[year2], FF$3))</f>
        <v>#N/A</v>
      </c>
      <c r="FJ11" s="61" t="e">
        <f>IF(COUNTIFS(allFYsTable[Code], SummaryTable[[#This Row],[Code]], allFYsTable[year2], FF$3)=0, NotFound, SUMIFS(allFYsTable[Actual], allFYsTable[Code], SummaryTable[[#This Row],[Code]], allFYsTable[year2], FF$3))</f>
        <v>#N/A</v>
      </c>
      <c r="FK11" s="61" t="e">
        <f>IF(COUNTIFS(allFYsTable[Code], SummaryTable[[#This Row],[Code]], allFYsTable[year2], FF$3)=0, NotFound, SUMIFS(allFYsTable[DiffAmount], allFYsTable[Code], SummaryTable[[#This Row],[Code]], allFYsTable[year2], FF$3))</f>
        <v>#N/A</v>
      </c>
      <c r="FL11" s="63" t="e">
        <f>IF(SummaryTable[[#This Row],[OriginalBudget06]]=0, IF(SummaryTable[[#This Row],[DiffAmount06]]=0, ZeroBudgetNoSpending, ZeroBudgetWithSpending), SummaryTable[[#This Row],[DiffAmount06]]/SummaryTable[[#This Row],[OriginalBudget06]])</f>
        <v>#N/A</v>
      </c>
    </row>
    <row r="12" spans="1:168" x14ac:dyDescent="0.45">
      <c r="A12" t="s">
        <v>785</v>
      </c>
      <c r="B12">
        <f>_xlfn.MAXIFS(allFYsTable[year2], allFYsTable[Code], SummaryTable[[#This Row],[Code]])</f>
        <v>2025</v>
      </c>
      <c r="C12" t="str">
        <f>_xlfn.XLOOKUP(SummaryTable[[#This Row],[Code]], NameCodingTable[Code], NameCodingTable[Most Recent Category per allFYs])</f>
        <v>Human support services</v>
      </c>
      <c r="D12" t="str">
        <f>_xlfn.XLOOKUP(SummaryTable[[#This Row],[Code]], NameCodingTable[Code], NameCodingTable[Unit Display Name])</f>
        <v>Child and Family Services Agency (CFSA)</v>
      </c>
      <c r="E12" t="str">
        <f>_xlfn.XLOOKUP(SummaryTable[[#This Row],[Code]], NameCodingTable[Code], NameCodingTable[Type])</f>
        <v>agency</v>
      </c>
      <c r="F1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12" s="54">
        <f>SummaryTable[[#This Row],['# Over]]/SummaryTable[[#This Row],[Count]]</f>
        <v>0.3</v>
      </c>
      <c r="I1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14</v>
      </c>
      <c r="J12" s="54">
        <f>SummaryTable[[#This Row],['# Under]]/SummaryTable[[#This Row],[Count]]</f>
        <v>0.7</v>
      </c>
      <c r="K1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2" s="54">
        <f>SummaryTable[[#This Row],['# Equal]]/SummaryTable[[#This Row],[Count]]</f>
        <v>0</v>
      </c>
      <c r="M12" s="61">
        <f>SUMIFS(allFYsTable[OriginalBudget],allFYsTable[Code],SummaryTable[[#This Row],[Code]])/SummaryTable[[#This Row],[Count]]</f>
        <v>178511.15</v>
      </c>
      <c r="N12" s="61">
        <f>SUMIFS(allFYsTable[Actual],allFYsTable[Code],SummaryTable[[#This Row],[Code]])/SummaryTable[[#This Row],[Count]]</f>
        <v>177158.3</v>
      </c>
      <c r="O12" s="61">
        <f>SummaryTable[[#This Row],[AvgActAmt]]-SummaryTable[[#This Row],[AvgBudAmt]]</f>
        <v>-1352.8500000000058</v>
      </c>
      <c r="P12" s="54">
        <f>IF(SummaryTable[[#This Row],[AvgBudAmt]]=0, IF(SummaryTable[[#This Row],[AvgDiff'#]]=0, 0, NamedFields!$C$3), SummaryTable[[#This Row],[AvgDiff'#]]/SummaryTable[[#This Row],[AvgBudAmt]])</f>
        <v>-7.5785182046051794E-3</v>
      </c>
      <c r="Q12" s="61">
        <f>IFERROR(SUMIFS(allFYsTable[OriginalBudget],allFYsTable[Code],SummaryTable[[#This Row],[Code]],allFYsTable[DiffAmount], "&gt;0")/SummaryTable[[#This Row],['# Over]], 0)</f>
        <v>198844</v>
      </c>
      <c r="R12" s="61">
        <f>IFERROR(SUMIFS(allFYsTable[Actual],allFYsTable[Code],SummaryTable[[#This Row],[Code]],allFYsTable[DiffAmount], "&gt;0")/SummaryTable[[#This Row],['# Over]], 0)</f>
        <v>211673.83333333334</v>
      </c>
      <c r="S12" s="61">
        <f>SummaryTable[[#This Row],[OverAvgAct]]-SummaryTable[[#This Row],[OverAvgBud]]</f>
        <v>12829.833333333343</v>
      </c>
      <c r="T12" s="54">
        <f>IF(SummaryTable[[#This Row],[OverAvgBud]]=0, IF(SummaryTable[[#This Row],[OverAvgDiff'#]]=0, ZeroBudgetNoSpending, ZeroBudgetWithSpending), SummaryTable[[#This Row],[OverAvgDiff'#]]/SummaryTable[[#This Row],[OverAvgBud]])</f>
        <v>6.4522104430273702E-2</v>
      </c>
      <c r="U12" s="61">
        <f>IFERROR(SUMIFS(allFYsTable[OriginalBudget],allFYsTable[Code],SummaryTable[[#This Row],[Code]],allFYsTable[DiffAmount], "&lt;0")/SummaryTable[[#This Row],['# Under]], 0)</f>
        <v>169797.07142857142</v>
      </c>
      <c r="V12" s="61">
        <f>IFERROR( SUMIFS(allFYsTable[Actual],allFYsTable[Code],SummaryTable[[#This Row],[Code]],allFYsTable[DiffAmount], "&lt;0")/SummaryTable[[#This Row],['# Under]], 0)</f>
        <v>162365.92857142858</v>
      </c>
      <c r="W12" s="61">
        <f>SummaryTable[[#This Row],[UnderAvgAct]]-SummaryTable[[#This Row],[UnderAvgBud]]</f>
        <v>-7431.1428571428405</v>
      </c>
      <c r="X12" s="54">
        <f>IF(SummaryTable[[#This Row],[UnderAvgBud]]=0, IF(SummaryTable[[#This Row],[UnderAvgDiff'#]]=0, ZeroBudgetNoSpending, NamedFields!$C$3), SummaryTable[[#This Row],[UnderAvgDiff'#]]/SummaryTable[[#This Row],[UnderAvgBud]])</f>
        <v>-4.3764847029584379E-2</v>
      </c>
      <c r="Y1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1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2" s="54">
        <f>IF(SummaryTable[[#This Row],[IncreaseYears]]=0, ZeroBudgetNoSpending, SummaryTable[[#This Row],[OSinIncreaseYear'#]]/SummaryTable[[#This Row],[IncreaseYears]])</f>
        <v>0</v>
      </c>
      <c r="AB12" s="58" t="str">
        <f>SummaryTable[[#This Row],[Code]]</f>
        <v>RL0</v>
      </c>
      <c r="AC12" s="62">
        <f>IF(COUNTIFS(allFYsTable[Code], SummaryTable[[#This Row],[Code]], allFYsTable[year2], AC$3)=0, NotFound, SUMIFS(allFYsTable[OriginalBudget], allFYsTable[Code], SummaryTable[[#This Row],[Code]], allFYsTable[year2], AC$3))</f>
        <v>173682</v>
      </c>
      <c r="AD12" s="61">
        <f>SummaryTable[[#This Row],[OriginalBudget25]]-SummaryTable[[#This Row],[OriginalBudget24]]</f>
        <v>7360</v>
      </c>
      <c r="AE12" s="54">
        <f>SummaryTable[[#This Row],[BudgetIncreaseAmount25]]/SummaryTable[[#This Row],[OriginalBudget24]]</f>
        <v>4.4251512127078799E-2</v>
      </c>
      <c r="AF12" s="61">
        <f>IF(COUNTIFS(allFYsTable[Code], SummaryTable[[#This Row],[Code]], allFYsTable[year2], AC$3)=0, NotFound, SUMIFS(allFYsTable[RevisedBudget], allFYsTable[Code], SummaryTable[[#This Row],[Code]], allFYsTable[year2], AC$3))</f>
        <v>169504</v>
      </c>
      <c r="AG12" s="61">
        <f>IF(COUNTIFS(allFYsTable[Code], SummaryTable[[#This Row],[Code]], allFYsTable[year2], AC$3)=0, NotFound, SUMIFS(allFYsTable[Actual], allFYsTable[Code], SummaryTable[[#This Row],[Code]], allFYsTable[year2], AC$3))</f>
        <v>169064</v>
      </c>
      <c r="AH12" s="61">
        <f>IF(COUNTIFS(allFYsTable[Code], SummaryTable[[#This Row],[Code]], allFYsTable[year2], AC$3)=0, NotFound, SUMIFS(allFYsTable[DiffAmount], allFYsTable[Code], SummaryTable[[#This Row],[Code]], allFYsTable[year2], AC$3))</f>
        <v>-4618</v>
      </c>
      <c r="AI12" s="63">
        <f>IF(SummaryTable[[#This Row],[OriginalBudget25]]=0, IF(SummaryTable[[#This Row],[DiffAmount25]]=0, ZeroBudgetNoSpending, ZeroBudgetWithSpending), SummaryTable[[#This Row],[DiffAmount25]]/SummaryTable[[#This Row],[OriginalBudget25]])</f>
        <v>-2.6588823251689871E-2</v>
      </c>
      <c r="AJ12" s="62">
        <f>IF(COUNTIFS(allFYsTable[Code], SummaryTable[[#This Row],[Code]], allFYsTable[year2], AJ$3)=0, NotFound, SUMIFS(allFYsTable[OriginalBudget], allFYsTable[Code], SummaryTable[[#This Row],[Code]], allFYsTable[year2], AJ$3))</f>
        <v>166322</v>
      </c>
      <c r="AK12" s="61">
        <f>SummaryTable[[#This Row],[OriginalBudget24]]-SummaryTable[[#This Row],[OriginalBudget23]]</f>
        <v>5257</v>
      </c>
      <c r="AL12" s="54">
        <f>SummaryTable[[#This Row],[BudgetIncreaseAmount24]]/SummaryTable[[#This Row],[OriginalBudget23]]</f>
        <v>3.2638996678359671E-2</v>
      </c>
      <c r="AM12" s="61">
        <f>IF(COUNTIFS(allFYsTable[Code], SummaryTable[[#This Row],[Code]], allFYsTable[year2], AK$3)=0, NotFound, SUMIFS(allFYsTable[RevisedBudget], allFYsTable[Code], SummaryTable[[#This Row],[Code]], allFYsTable[year2], AJ$3))</f>
        <v>163906</v>
      </c>
      <c r="AN12" s="61">
        <f>IF(COUNTIFS(allFYsTable[Code], SummaryTable[[#This Row],[Code]], allFYsTable[year2], AJ$3)=0, NotFound, SUMIFS(allFYsTable[Actual], allFYsTable[Code], SummaryTable[[#This Row],[Code]], allFYsTable[year2], AJ$3))</f>
        <v>163548</v>
      </c>
      <c r="AO12" s="61">
        <f>IF(COUNTIFS(allFYsTable[Code], SummaryTable[[#This Row],[Code]], allFYsTable[year2], AJ$3)=0, NotFound, SUMIFS(allFYsTable[DiffAmount], allFYsTable[Code], SummaryTable[[#This Row],[Code]], allFYsTable[year2], AJ$3))</f>
        <v>-2774</v>
      </c>
      <c r="AP12" s="63">
        <f>IF(SummaryTable[[#This Row],[OriginalBudget24]]=0, IF(SummaryTable[[#This Row],[DiffAmount24]]=0, ZeroBudgetNoSpending, ZeroBudgetWithSpending), SummaryTable[[#This Row],[DiffAmount24]]/SummaryTable[[#This Row],[OriginalBudget24]])</f>
        <v>-1.6678491119635406E-2</v>
      </c>
      <c r="AQ12" s="62">
        <f>IF(COUNTIFS(allFYsTable[Code], SummaryTable[[#This Row],[Code]], allFYsTable[year2], AQ$3)=0, NotFound, SUMIFS(allFYsTable[OriginalBudget], allFYsTable[Code], SummaryTable[[#This Row],[Code]], allFYsTable[year2], AQ$3))</f>
        <v>161065</v>
      </c>
      <c r="AR12" s="61">
        <f>SummaryTable[[#This Row],[OriginalBudget23]]-SummaryTable[[#This Row],[OriginalBudget22]]</f>
        <v>16073</v>
      </c>
      <c r="AS12" s="54">
        <f>SummaryTable[[#This Row],[BudgetIncreaseAmount23]]/SummaryTable[[#This Row],[OriginalBudget22]]</f>
        <v>0.11085439196645332</v>
      </c>
      <c r="AT12" s="61">
        <f>IF(COUNTIFS(allFYsTable[Code], SummaryTable[[#This Row],[Code]], allFYsTable[year2], AQ$3)=0, NotFound, SUMIFS(allFYsTable[RevisedBudget], allFYsTable[Code], SummaryTable[[#This Row],[Code]], allFYsTable[year2], AQ$3))</f>
        <v>160667</v>
      </c>
      <c r="AU12" s="61">
        <f>IF(COUNTIFS(allFYsTable[Code], SummaryTable[[#This Row],[Code]], allFYsTable[year2], AQ$3)=0, NotFound, SUMIFS(allFYsTable[Actual], allFYsTable[Code], SummaryTable[[#This Row],[Code]], allFYsTable[year2], AQ$3))</f>
        <v>160615</v>
      </c>
      <c r="AV12" s="61">
        <f>IF(COUNTIFS(allFYsTable[Code], SummaryTable[[#This Row],[Code]], allFYsTable[year2], AQ$3)=0, NotFound, SUMIFS(allFYsTable[DiffAmount], allFYsTable[Code], SummaryTable[[#This Row],[Code]], allFYsTable[year2], AQ$3))</f>
        <v>-450</v>
      </c>
      <c r="AW12" s="63">
        <f>IF(SummaryTable[[#This Row],[OriginalBudget23]]=0, IF(SummaryTable[[#This Row],[DiffAmount23]]=0, ZeroBudgetNoSpending, ZeroBudgetWithSpending), SummaryTable[[#This Row],[DiffAmount23]]/SummaryTable[[#This Row],[OriginalBudget23]])</f>
        <v>-2.7939030826064012E-3</v>
      </c>
      <c r="AX12" s="62">
        <f>IF(COUNTIFS(allFYsTable[Code], SummaryTable[[#This Row],[Code]], allFYsTable[year2], AX$3)=0, NotFound, SUMIFS(allFYsTable[OriginalBudget], allFYsTable[Code], SummaryTable[[#This Row],[Code]], allFYsTable[year2], AX$3))</f>
        <v>144992</v>
      </c>
      <c r="AY12" s="61">
        <f>SummaryTable[[#This Row],[OriginalBudget22]]-SummaryTable[[#This Row],[OriginalBudget21]]</f>
        <v>-6747</v>
      </c>
      <c r="AZ12" s="54">
        <f>SummaryTable[[#This Row],[BudgetIncreaseAmount22]]/SummaryTable[[#This Row],[OriginalBudget21]]</f>
        <v>-4.4464508135680349E-2</v>
      </c>
      <c r="BA12" s="61">
        <f>IF(COUNTIFS(allFYsTable[Code], SummaryTable[[#This Row],[Code]], allFYsTable[year2], AX$3)=0, NotFound, SUMIFS(allFYsTable[RevisedBudget], allFYsTable[Code], SummaryTable[[#This Row],[Code]], allFYsTable[year2], AX$3))</f>
        <v>146296</v>
      </c>
      <c r="BB12" s="61">
        <f>IF(COUNTIFS(allFYsTable[Code], SummaryTable[[#This Row],[Code]], allFYsTable[year2], AX$3)=0, NotFound, SUMIFS(allFYsTable[Actual], allFYsTable[Code], SummaryTable[[#This Row],[Code]], allFYsTable[year2], AX$3))</f>
        <v>146204</v>
      </c>
      <c r="BC12" s="61">
        <f>IF(COUNTIFS(allFYsTable[Code], SummaryTable[[#This Row],[Code]], allFYsTable[year2], AX$3)=0, NotFound, SUMIFS(allFYsTable[DiffAmount], allFYsTable[Code], SummaryTable[[#This Row],[Code]], allFYsTable[year2], AX$3))</f>
        <v>1212</v>
      </c>
      <c r="BD12" s="63">
        <f>IF(SummaryTable[[#This Row],[OriginalBudget22]]=0, IF(SummaryTable[[#This Row],[DiffAmount22]]=0, ZeroBudgetNoSpending, ZeroBudgetWithSpending), SummaryTable[[#This Row],[DiffAmount22]]/SummaryTable[[#This Row],[OriginalBudget22]])</f>
        <v>8.3590818803796069E-3</v>
      </c>
      <c r="BE12" s="62">
        <f>IF(COUNTIFS(allFYsTable[Code], SummaryTable[[#This Row],[Code]], allFYsTable[year2], BE$3)=0, NotFound, SUMIFS(allFYsTable[OriginalBudget], allFYsTable[Code], SummaryTable[[#This Row],[Code]], allFYsTable[year2], BE$3))</f>
        <v>151739</v>
      </c>
      <c r="BF12" s="61">
        <f>SummaryTable[[#This Row],[OriginalBudget21]]-SummaryTable[[#This Row],[OriginalBudget20]]</f>
        <v>-8576</v>
      </c>
      <c r="BG12" s="54">
        <f>SummaryTable[[#This Row],[BudgetIncreaseAmount21]]/SummaryTable[[#This Row],[OriginalBudget20]]</f>
        <v>-5.3494682344134986E-2</v>
      </c>
      <c r="BH12" s="61">
        <f>IF(COUNTIFS(allFYsTable[Code], SummaryTable[[#This Row],[Code]], allFYsTable[year2], BE$3)=0, NotFound, SUMIFS(allFYsTable[RevisedBudget], allFYsTable[Code], SummaryTable[[#This Row],[Code]], allFYsTable[year2], BE$3))</f>
        <v>143233</v>
      </c>
      <c r="BI12" s="61">
        <f>IF(COUNTIFS(allFYsTable[Code], SummaryTable[[#This Row],[Code]], allFYsTable[year2], BE$3)=0, NotFound, SUMIFS(allFYsTable[Actual], allFYsTable[Code], SummaryTable[[#This Row],[Code]], allFYsTable[year2], BE$3))</f>
        <v>143084</v>
      </c>
      <c r="BJ12" s="61">
        <f>IF(COUNTIFS(allFYsTable[Code], SummaryTable[[#This Row],[Code]], allFYsTable[year2], BE$3)=0, NotFound, SUMIFS(allFYsTable[DiffAmount], allFYsTable[Code], SummaryTable[[#This Row],[Code]], allFYsTable[year2], BE$3))</f>
        <v>-8655</v>
      </c>
      <c r="BK12" s="63">
        <f>IF(SummaryTable[[#This Row],[OriginalBudget21]]=0, IF(SummaryTable[[#This Row],[DiffAmount21]]=0, ZeroBudgetNoSpending, ZeroBudgetWithSpending), SummaryTable[[#This Row],[DiffAmount21]]/SummaryTable[[#This Row],[OriginalBudget21]])</f>
        <v>-5.7038730978851843E-2</v>
      </c>
      <c r="BL12" s="62">
        <f>IF(COUNTIFS(allFYsTable[Code], SummaryTable[[#This Row],[Code]], allFYsTable[year2], BL$3)=0, NotFound, SUMIFS(allFYsTable[OriginalBudget], allFYsTable[Code], SummaryTable[[#This Row],[Code]], allFYsTable[year2], BL$3))</f>
        <v>160315</v>
      </c>
      <c r="BM12" s="61">
        <f>SummaryTable[[#This Row],[OriginalBudget20]]-SummaryTable[[#This Row],[OriginalBudget19]]</f>
        <v>-924</v>
      </c>
      <c r="BN12" s="54">
        <f>SummaryTable[[#This Row],[BudgetIncreaseAmount20]]/SummaryTable[[#This Row],[OriginalBudget19]]</f>
        <v>-5.7306234843927341E-3</v>
      </c>
      <c r="BO12" s="61">
        <f>IF(COUNTIFS(allFYsTable[Code], SummaryTable[[#This Row],[Code]], allFYsTable[year2], BL$3)=0, NotFound, SUMIFS(allFYsTable[RevisedBudget], allFYsTable[Code], SummaryTable[[#This Row],[Code]], allFYsTable[year2], BL$3))</f>
        <v>154816</v>
      </c>
      <c r="BP12" s="61">
        <f>IF(COUNTIFS(allFYsTable[Code], SummaryTable[[#This Row],[Code]], allFYsTable[year2], BL$3)=0, NotFound, SUMIFS(allFYsTable[Actual], allFYsTable[Code], SummaryTable[[#This Row],[Code]], allFYsTable[year2], BL$3))</f>
        <v>154094</v>
      </c>
      <c r="BQ12" s="61">
        <f>IF(COUNTIFS(allFYsTable[Code], SummaryTable[[#This Row],[Code]], allFYsTable[year2], BL$3)=0, NotFound, SUMIFS(allFYsTable[DiffAmount], allFYsTable[Code], SummaryTable[[#This Row],[Code]], allFYsTable[year2], BL$3))</f>
        <v>-6221</v>
      </c>
      <c r="BR12" s="63">
        <f>IF(SummaryTable[[#This Row],[OriginalBudget20]]=0, IF(SummaryTable[[#This Row],[DiffAmount20]]=0, ZeroBudgetNoSpending, ZeroBudgetWithSpending), SummaryTable[[#This Row],[DiffAmount20]]/SummaryTable[[#This Row],[OriginalBudget20]])</f>
        <v>-3.8804852945763031E-2</v>
      </c>
      <c r="BS12" s="62">
        <f>IF(COUNTIFS(allFYsTable[Code], SummaryTable[[#This Row],[Code]], allFYsTable[year2], BS$3)=0, NotFound, SUMIFS(allFYsTable[OriginalBudget], allFYsTable[Code], SummaryTable[[#This Row],[Code]], allFYsTable[year2], BS$3))</f>
        <v>161239</v>
      </c>
      <c r="BT12" s="61">
        <f>SummaryTable[[#This Row],[OriginalBudget19]]-SummaryTable[[#This Row],[OriginalBudget18]]</f>
        <v>2606</v>
      </c>
      <c r="BU12" s="54">
        <f>SummaryTable[[#This Row],[BudgetIncreaseAmount19]]/SummaryTable[[#This Row],[OriginalBudget18]]</f>
        <v>1.6427855490345641E-2</v>
      </c>
      <c r="BV12" s="61">
        <f>IF(COUNTIFS(allFYsTable[Code], SummaryTable[[#This Row],[Code]], allFYsTable[year2], BS$3)=0, NotFound, SUMIFS(allFYsTable[RevisedBudget], allFYsTable[Code], SummaryTable[[#This Row],[Code]], allFYsTable[year2], BS$3))</f>
        <v>157055</v>
      </c>
      <c r="BW12" s="61">
        <f>IF(COUNTIFS(allFYsTable[Code], SummaryTable[[#This Row],[Code]], allFYsTable[year2], BS$3)=0, NotFound, SUMIFS(allFYsTable[Actual], allFYsTable[Code], SummaryTable[[#This Row],[Code]], allFYsTable[year2], BS$3))</f>
        <v>156747</v>
      </c>
      <c r="BX12" s="61">
        <f>IF(COUNTIFS(allFYsTable[Code], SummaryTable[[#This Row],[Code]], allFYsTable[year2], BS$3)=0, NotFound, SUMIFS(allFYsTable[DiffAmount], allFYsTable[Code], SummaryTable[[#This Row],[Code]], allFYsTable[year2], BS$3))</f>
        <v>-4492</v>
      </c>
      <c r="BY12" s="63">
        <f>IF(SummaryTable[[#This Row],[OriginalBudget19]]=0, IF(SummaryTable[[#This Row],[DiffAmount19]]=0, ZeroBudgetNoSpending, ZeroBudgetWithSpending), SummaryTable[[#This Row],[DiffAmount19]]/SummaryTable[[#This Row],[OriginalBudget19]])</f>
        <v>-2.7859264818065107E-2</v>
      </c>
      <c r="BZ12" s="62">
        <f>IF(COUNTIFS(allFYsTable[Code], SummaryTable[[#This Row],[Code]], allFYsTable[year2], BZ$3)=0, NotFound, SUMIFS(allFYsTable[OriginalBudget], allFYsTable[Code], SummaryTable[[#This Row],[Code]], allFYsTable[year2], BZ$3))</f>
        <v>158633</v>
      </c>
      <c r="CA12" s="61">
        <f>SummaryTable[[#This Row],[OriginalBudget18]]-SummaryTable[[#This Row],[OriginalBudget17]]</f>
        <v>-7920</v>
      </c>
      <c r="CB12" s="54">
        <f>SummaryTable[[#This Row],[BudgetIncreaseAmount18]]/SummaryTable[[#This Row],[OriginalBudget17]]</f>
        <v>-4.7552430757776806E-2</v>
      </c>
      <c r="CC12" s="61">
        <f>IF(COUNTIFS(allFYsTable[Code], SummaryTable[[#This Row],[Code]], allFYsTable[year2], BZ$3)=0, NotFound, SUMIFS(allFYsTable[RevisedBudget], allFYsTable[Code], SummaryTable[[#This Row],[Code]], allFYsTable[year2], BZ$3))</f>
        <v>157950</v>
      </c>
      <c r="CD12" s="61">
        <f>IF(COUNTIFS(allFYsTable[Code], SummaryTable[[#This Row],[Code]], allFYsTable[year2], BZ$3)=0, NotFound, SUMIFS(allFYsTable[Actual], allFYsTable[Code], SummaryTable[[#This Row],[Code]], allFYsTable[year2], BZ$3))</f>
        <v>157641</v>
      </c>
      <c r="CE12" s="61">
        <f>IF(COUNTIFS(allFYsTable[Code], SummaryTable[[#This Row],[Code]], allFYsTable[year2], BZ$3)=0, NotFound, SUMIFS(allFYsTable[DiffAmount], allFYsTable[Code], SummaryTable[[#This Row],[Code]], allFYsTable[year2], BZ$3))</f>
        <v>-992</v>
      </c>
      <c r="CF12" s="63">
        <f>IF(SummaryTable[[#This Row],[OriginalBudget18]]=0, IF(SummaryTable[[#This Row],[DiffAmount18]]=0, ZeroBudgetNoSpending, ZeroBudgetWithSpending), SummaryTable[[#This Row],[DiffAmount18]]/SummaryTable[[#This Row],[OriginalBudget18]])</f>
        <v>-6.2534277231093153E-3</v>
      </c>
      <c r="CG12" s="62">
        <f>IF(COUNTIFS(allFYsTable[Code], SummaryTable[[#This Row],[Code]], allFYsTable[year2], CG$3)=0, NotFound, SUMIFS(allFYsTable[OriginalBudget], allFYsTable[Code], SummaryTable[[#This Row],[Code]], allFYsTable[year2], CG$3))</f>
        <v>166553</v>
      </c>
      <c r="CH12" s="61">
        <f>SummaryTable[[#This Row],[OriginalBudget17]]-SummaryTable[[#This Row],[OriginalBudget16]]</f>
        <v>2558</v>
      </c>
      <c r="CI12" s="54">
        <f>SummaryTable[[#This Row],[BudgetIncreaseAmount17]]/SummaryTable[[#This Row],[OriginalBudget16]]</f>
        <v>1.5598036525503827E-2</v>
      </c>
      <c r="CJ12" s="61">
        <f>IF(COUNTIFS(allFYsTable[Code], SummaryTable[[#This Row],[Code]], allFYsTable[year2], CG$3)=0, NotFound, SUMIFS(allFYsTable[RevisedBudget], allFYsTable[Code], SummaryTable[[#This Row],[Code]], allFYsTable[year2], CG$3))</f>
        <v>163970</v>
      </c>
      <c r="CK12" s="61">
        <f>IF(COUNTIFS(allFYsTable[Code], SummaryTable[[#This Row],[Code]], allFYsTable[year2], CG$3)=0, NotFound, SUMIFS(allFYsTable[Actual], allFYsTable[Code], SummaryTable[[#This Row],[Code]], allFYsTable[year2], CG$3))</f>
        <v>163432</v>
      </c>
      <c r="CL12" s="61">
        <f>IF(COUNTIFS(allFYsTable[Code], SummaryTable[[#This Row],[Code]], allFYsTable[year2], CG$3)=0, NotFound, SUMIFS(allFYsTable[DiffAmount], allFYsTable[Code], SummaryTable[[#This Row],[Code]], allFYsTable[year2], CG$3))</f>
        <v>-3121</v>
      </c>
      <c r="CM12" s="63">
        <f>IF(SummaryTable[[#This Row],[OriginalBudget17]]=0, IF(SummaryTable[[#This Row],[DiffAmount17]]=0, ZeroBudgetNoSpending, ZeroBudgetWithSpending), SummaryTable[[#This Row],[DiffAmount17]]/SummaryTable[[#This Row],[OriginalBudget17]])</f>
        <v>-1.8738779847856237E-2</v>
      </c>
      <c r="CN12" s="62">
        <f>IF(COUNTIFS(allFYsTable[Code], SummaryTable[[#This Row],[Code]], allFYsTable[year2], CN$3)=0, NotFound, SUMIFS(allFYsTable[OriginalBudget], allFYsTable[Code], SummaryTable[[#This Row],[Code]], allFYsTable[year2], CN$3))</f>
        <v>163995</v>
      </c>
      <c r="CO12" s="61">
        <f>SummaryTable[[#This Row],[OriginalBudget16]]-SummaryTable[[#This Row],[OriginalBudget15]]</f>
        <v>-4383</v>
      </c>
      <c r="CP12" s="54">
        <f>SummaryTable[[#This Row],[BudgetIncreaseAmount16]]/SummaryTable[[#This Row],[OriginalBudget15]]</f>
        <v>-2.6030716601931368E-2</v>
      </c>
      <c r="CQ12" s="61">
        <f>IF(COUNTIFS(allFYsTable[Code], SummaryTable[[#This Row],[Code]], allFYsTable[year2], CN$3)=0, NotFound, SUMIFS(allFYsTable[RevisedBudget], allFYsTable[Code], SummaryTable[[#This Row],[Code]], allFYsTable[year2], CN$3))</f>
        <v>159145</v>
      </c>
      <c r="CR12" s="61">
        <f>IF(COUNTIFS(allFYsTable[Code], SummaryTable[[#This Row],[Code]], allFYsTable[year2], CN$3)=0, NotFound, SUMIFS(allFYsTable[Actual], allFYsTable[Code], SummaryTable[[#This Row],[Code]], allFYsTable[year2], CN$3))</f>
        <v>155353</v>
      </c>
      <c r="CS12" s="61">
        <f>IF(COUNTIFS(allFYsTable[Code], SummaryTable[[#This Row],[Code]], allFYsTable[year2], CN$3)=0, NotFound, SUMIFS(allFYsTable[DiffAmount], allFYsTable[Code], SummaryTable[[#This Row],[Code]], allFYsTable[year2], CN$3))</f>
        <v>-8642</v>
      </c>
      <c r="CT12" s="63">
        <f>IF(SummaryTable[[#This Row],[OriginalBudget16]]=0, IF(SummaryTable[[#This Row],[DiffAmount16]]=0, ZeroBudgetNoSpending, ZeroBudgetWithSpending), SummaryTable[[#This Row],[DiffAmount16]]/SummaryTable[[#This Row],[OriginalBudget16]])</f>
        <v>-5.2696728558797527E-2</v>
      </c>
      <c r="CU12" s="62">
        <f>IF(COUNTIFS(allFYsTable[Code], SummaryTable[[#This Row],[Code]], allFYsTable[year2], CU$3)=0, NotFound, SUMIFS(allFYsTable[OriginalBudget], allFYsTable[Code], SummaryTable[[#This Row],[Code]], allFYsTable[year2], CU$3))</f>
        <v>168378</v>
      </c>
      <c r="CV12" s="61">
        <f>SummaryTable[[#This Row],[OriginalBudget15]]-SummaryTable[[#This Row],[OriginalBudget14]]</f>
        <v>-2515</v>
      </c>
      <c r="CW12" s="54">
        <f>SummaryTable[[#This Row],[BudgetIncreaseAmount15]]/SummaryTable[[#This Row],[OriginalBudget14]]</f>
        <v>-1.4716811104024155E-2</v>
      </c>
      <c r="CX12" s="61">
        <f>IF(COUNTIFS(allFYsTable[Code], SummaryTable[[#This Row],[Code]], allFYsTable[year2], CU$3)=0, NotFound, SUMIFS(allFYsTable[RevisedBudget], allFYsTable[Code], SummaryTable[[#This Row],[Code]], allFYsTable[year2], CU$3))</f>
        <v>167791</v>
      </c>
      <c r="CY12" s="61">
        <f>IF(COUNTIFS(allFYsTable[Code], SummaryTable[[#This Row],[Code]], allFYsTable[year2], CU$3)=0, NotFound, SUMIFS(allFYsTable[Actual], allFYsTable[Code], SummaryTable[[#This Row],[Code]], allFYsTable[year2], CU$3))</f>
        <v>164796</v>
      </c>
      <c r="CZ12" s="61">
        <f>IF(COUNTIFS(allFYsTable[Code], SummaryTable[[#This Row],[Code]], allFYsTable[year2], CU$3)=0, NotFound, SUMIFS(allFYsTable[DiffAmount], allFYsTable[Code], SummaryTable[[#This Row],[Code]], allFYsTable[year2], CU$3))</f>
        <v>-3582</v>
      </c>
      <c r="DA12" s="63">
        <f>IF(SummaryTable[[#This Row],[OriginalBudget15]]=0, IF(SummaryTable[[#This Row],[DiffAmount15]]=0, ZeroBudgetNoSpending, ZeroBudgetWithSpending), SummaryTable[[#This Row],[DiffAmount15]]/SummaryTable[[#This Row],[OriginalBudget15]])</f>
        <v>-2.127356305455582E-2</v>
      </c>
      <c r="DB12" s="62">
        <f>IF(COUNTIFS(allFYsTable[Code], SummaryTable[[#This Row],[Code]], allFYsTable[year2], DB$3)=0, NotFound, SUMIFS(allFYsTable[OriginalBudget], allFYsTable[Code], SummaryTable[[#This Row],[Code]], allFYsTable[year2], DB$3))</f>
        <v>170893</v>
      </c>
      <c r="DC12" s="61">
        <f>SummaryTable[[#This Row],[OriginalBudget14]]-SummaryTable[[#This Row],[OriginalBudget13]]</f>
        <v>-20260</v>
      </c>
      <c r="DD12" s="54">
        <f>SummaryTable[[#This Row],[BudgetIncreaseAmount14]]/SummaryTable[[#This Row],[OriginalBudget13]]</f>
        <v>-0.10598839672932153</v>
      </c>
      <c r="DE12" s="61">
        <f>IF(COUNTIFS(allFYsTable[Code], SummaryTable[[#This Row],[Code]], allFYsTable[year2], DB$3)=0, NotFound, SUMIFS(allFYsTable[RevisedBudget], allFYsTable[Code], SummaryTable[[#This Row],[Code]], allFYsTable[year2], DB$3))</f>
        <v>164576</v>
      </c>
      <c r="DF12" s="61">
        <f>IF(COUNTIFS(allFYsTable[Code], SummaryTable[[#This Row],[Code]], allFYsTable[year2], DB$3)=0, NotFound, SUMIFS(allFYsTable[Actual], allFYsTable[Code], SummaryTable[[#This Row],[Code]], allFYsTable[year2], DB$3))</f>
        <v>156889</v>
      </c>
      <c r="DG12" s="61">
        <f>IF(COUNTIFS(allFYsTable[Code], SummaryTable[[#This Row],[Code]], allFYsTable[year2], DB$3)=0, NotFound, SUMIFS(allFYsTable[DiffAmount], allFYsTable[Code], SummaryTable[[#This Row],[Code]], allFYsTable[year2], DB$3))</f>
        <v>-14004</v>
      </c>
      <c r="DH12" s="63">
        <f>IF(SummaryTable[[#This Row],[OriginalBudget14]]=0, IF(SummaryTable[[#This Row],[DiffAmount14]]=0, ZeroBudgetNoSpending, ZeroBudgetWithSpending), SummaryTable[[#This Row],[DiffAmount14]]/SummaryTable[[#This Row],[OriginalBudget14]])</f>
        <v>-8.1946013002287987E-2</v>
      </c>
      <c r="DI12" s="62">
        <f>IF(COUNTIFS(allFYsTable[Code], SummaryTable[[#This Row],[Code]], allFYsTable[year2], DI$3)=0, NotFound, SUMIFS(allFYsTable[OriginalBudget], allFYsTable[Code], SummaryTable[[#This Row],[Code]], allFYsTable[year2], DI$3))</f>
        <v>191153</v>
      </c>
      <c r="DJ12" s="61">
        <f>SummaryTable[[#This Row],[OriginalBudget13]]-SummaryTable[[#This Row],[OriginalBudget12]]</f>
        <v>-443</v>
      </c>
      <c r="DK12" s="54">
        <f>SummaryTable[[#This Row],[BudgetIncreaseAmount13]]/SummaryTable[[#This Row],[OriginalBudget12]]</f>
        <v>-2.312156829996451E-3</v>
      </c>
      <c r="DL12" s="61">
        <f>IF(COUNTIFS(allFYsTable[Code], SummaryTable[[#This Row],[Code]], allFYsTable[year2], DI$3)=0, NotFound, SUMIFS(allFYsTable[RevisedBudget], allFYsTable[Code], SummaryTable[[#This Row],[Code]], allFYsTable[year2], DI$3))</f>
        <v>170151</v>
      </c>
      <c r="DM12" s="61">
        <f>IF(COUNTIFS(allFYsTable[Code], SummaryTable[[#This Row],[Code]], allFYsTable[year2], DI$3)=0, NotFound, SUMIFS(allFYsTable[Actual], allFYsTable[Code], SummaryTable[[#This Row],[Code]], allFYsTable[year2], DI$3))</f>
        <v>164934</v>
      </c>
      <c r="DN12" s="61">
        <f>IF(COUNTIFS(allFYsTable[Code], SummaryTable[[#This Row],[Code]], allFYsTable[year2], DI$3)=0, NotFound, SUMIFS(allFYsTable[DiffAmount], allFYsTable[Code], SummaryTable[[#This Row],[Code]], allFYsTable[year2], DI$3))</f>
        <v>-26219</v>
      </c>
      <c r="DO12" s="63">
        <f>IF(SummaryTable[[#This Row],[OriginalBudget13]]=0, IF(SummaryTable[[#This Row],[DiffAmount13]]=0, ZeroBudgetNoSpending, ZeroBudgetWithSpending), SummaryTable[[#This Row],[DiffAmount13]]/SummaryTable[[#This Row],[OriginalBudget13]])</f>
        <v>-0.13716237778114912</v>
      </c>
      <c r="DP12" s="62">
        <f>IF(COUNTIFS(allFYsTable[Code], SummaryTable[[#This Row],[Code]], allFYsTable[year2], DP$3)=0, NotFound, SUMIFS(allFYsTable[OriginalBudget], allFYsTable[Code], SummaryTable[[#This Row],[Code]], allFYsTable[year2], DP$3))</f>
        <v>191596</v>
      </c>
      <c r="DQ12" s="61">
        <f>SummaryTable[[#This Row],[OriginalBudget12]]-SummaryTable[[#This Row],[OriginalBudget11]]</f>
        <v>0</v>
      </c>
      <c r="DR12" s="54">
        <f>SummaryTable[[#This Row],[BudgetIncreaseAmount12]]/SummaryTable[[#This Row],[OriginalBudget11]]</f>
        <v>0</v>
      </c>
      <c r="DS12" s="61">
        <f>IF(COUNTIFS(allFYsTable[Code], SummaryTable[[#This Row],[Code]], allFYsTable[year2], DP$3)=0, NotFound, SUMIFS(allFYsTable[RevisedBudget], allFYsTable[Code], SummaryTable[[#This Row],[Code]], allFYsTable[year2], DP$3))</f>
        <v>177783</v>
      </c>
      <c r="DT12" s="61">
        <f>IF(COUNTIFS(allFYsTable[Code], SummaryTable[[#This Row],[Code]], allFYsTable[year2], DP$3)=0, NotFound, SUMIFS(allFYsTable[Actual], allFYsTable[Code], SummaryTable[[#This Row],[Code]], allFYsTable[year2], DP$3))</f>
        <v>174538</v>
      </c>
      <c r="DU12" s="61">
        <f>IF(COUNTIFS(allFYsTable[Code], SummaryTable[[#This Row],[Code]], allFYsTable[year2], DP$3)=0, NotFound, SUMIFS(allFYsTable[DiffAmount], allFYsTable[Code], SummaryTable[[#This Row],[Code]], allFYsTable[year2], DP$3))</f>
        <v>-17058</v>
      </c>
      <c r="DV12" s="63">
        <f>IF(SummaryTable[[#This Row],[OriginalBudget12]]=0, IF(SummaryTable[[#This Row],[DiffAmount12]]=0, ZeroBudgetNoSpending, ZeroBudgetWithSpending), SummaryTable[[#This Row],[DiffAmount12]]/SummaryTable[[#This Row],[OriginalBudget12]])</f>
        <v>-8.9031086243971685E-2</v>
      </c>
      <c r="DW12" s="62">
        <f>IF(COUNTIFS(allFYsTable[Code], SummaryTable[[#This Row],[Code]], allFYsTable[year2], DW$3)=0, NotFound, SUMIFS(allFYsTable[OriginalBudget], allFYsTable[Code], SummaryTable[[#This Row],[Code]], allFYsTable[year2], DW$3))</f>
        <v>191596</v>
      </c>
      <c r="DX12" s="61">
        <f>SummaryTable[[#This Row],[OriginalBudget11]]-SummaryTable[[#This Row],[OriginalBudget10]]</f>
        <v>-2565</v>
      </c>
      <c r="DY12" s="54">
        <f>SummaryTable[[#This Row],[BudgetIncreaseAmount11]]/SummaryTable[[#This Row],[OriginalBudget10]]</f>
        <v>-1.3210685977101478E-2</v>
      </c>
      <c r="DZ12" s="61">
        <f>IF(COUNTIFS(allFYsTable[Code], SummaryTable[[#This Row],[Code]], allFYsTable[year2], DW$3)=0, NotFound, SUMIFS(allFYsTable[RevisedBudget], allFYsTable[Code], SummaryTable[[#This Row],[Code]], allFYsTable[year2], DW$3))</f>
        <v>191596</v>
      </c>
      <c r="EA12" s="61">
        <f>IF(COUNTIFS(allFYsTable[Code], SummaryTable[[#This Row],[Code]], allFYsTable[year2], DW$3)=0, NotFound, SUMIFS(allFYsTable[Actual], allFYsTable[Code], SummaryTable[[#This Row],[Code]], allFYsTable[year2], DW$3))</f>
        <v>188388</v>
      </c>
      <c r="EB12" s="61">
        <f>IF(COUNTIFS(allFYsTable[Code], SummaryTable[[#This Row],[Code]], allFYsTable[year2], DW$3)=0, NotFound, SUMIFS(allFYsTable[DiffAmount], allFYsTable[Code], SummaryTable[[#This Row],[Code]], allFYsTable[year2], DW$3))</f>
        <v>-3208</v>
      </c>
      <c r="EC12" s="63">
        <f>IF(SummaryTable[[#This Row],[OriginalBudget11]]=0, IF(SummaryTable[[#This Row],[DiffAmount11]]=0, ZeroBudgetNoSpending, ZeroBudgetWithSpending), SummaryTable[[#This Row],[DiffAmount11]]/SummaryTable[[#This Row],[OriginalBudget11]])</f>
        <v>-1.6743564583811772E-2</v>
      </c>
      <c r="ED12" s="62">
        <f>IF(COUNTIFS(allFYsTable[Code], SummaryTable[[#This Row],[Code]], allFYsTable[year2], ED$3)=0, NotFound, SUMIFS(allFYsTable[OriginalBudget], allFYsTable[Code], SummaryTable[[#This Row],[Code]], allFYsTable[year2], ED$3))</f>
        <v>194161</v>
      </c>
      <c r="EE12" s="61">
        <f>SummaryTable[[#This Row],[OriginalBudget10]]-SummaryTable[[#This Row],[OriginalBudget09]]</f>
        <v>-2664</v>
      </c>
      <c r="EF12" s="54">
        <f>SummaryTable[[#This Row],[BudgetIncreaseAmount10]]/SummaryTable[[#This Row],[OriginalBudget09]]</f>
        <v>-1.3534865997713705E-2</v>
      </c>
      <c r="EG12" s="61">
        <f>IF(COUNTIFS(allFYsTable[Code], SummaryTable[[#This Row],[Code]], allFYsTable[year2], ED$3)=0, NotFound, SUMIFS(allFYsTable[RevisedBudget], allFYsTable[Code], SummaryTable[[#This Row],[Code]], allFYsTable[year2], ED$3))</f>
        <v>207690</v>
      </c>
      <c r="EH12" s="61">
        <f>IF(COUNTIFS(allFYsTable[Code], SummaryTable[[#This Row],[Code]], allFYsTable[year2], ED$3)=0, NotFound, SUMIFS(allFYsTable[Actual], allFYsTable[Code], SummaryTable[[#This Row],[Code]], allFYsTable[year2], ED$3))</f>
        <v>206400</v>
      </c>
      <c r="EI12" s="61">
        <f>IF(COUNTIFS(allFYsTable[Code], SummaryTable[[#This Row],[Code]], allFYsTable[year2], ED$3)=0, NotFound, SUMIFS(allFYsTable[DiffAmount], allFYsTable[Code], SummaryTable[[#This Row],[Code]], allFYsTable[year2], ED$3))</f>
        <v>12239</v>
      </c>
      <c r="EJ12" s="63">
        <f>IF(SummaryTable[[#This Row],[OriginalBudget10]]=0, IF(SummaryTable[[#This Row],[DiffAmount10]]=0, ZeroBudgetNoSpending, ZeroBudgetWithSpending), SummaryTable[[#This Row],[DiffAmount10]]/SummaryTable[[#This Row],[OriginalBudget10]])</f>
        <v>6.3035316052142298E-2</v>
      </c>
      <c r="EK12" s="62">
        <f>IF(COUNTIFS(allFYsTable[Code], SummaryTable[[#This Row],[Code]], allFYsTable[year2], EK$3)=0, NotFound, SUMIFS(allFYsTable[OriginalBudget], allFYsTable[Code], SummaryTable[[#This Row],[Code]], allFYsTable[year2], EK$3))</f>
        <v>196825</v>
      </c>
      <c r="EL12" s="61">
        <f>SummaryTable[[#This Row],[OriginalBudget09]]-SummaryTable[[#This Row],[OriginalBudget08]]</f>
        <v>8519</v>
      </c>
      <c r="EM12" s="54">
        <f>SummaryTable[[#This Row],[BudgetIncreaseAmount09]]/SummaryTable[[#This Row],[OriginalBudget08]]</f>
        <v>4.5240194152071631E-2</v>
      </c>
      <c r="EN12" s="61">
        <f>IF(COUNTIFS(allFYsTable[Code], SummaryTable[[#This Row],[Code]], allFYsTable[year2], EK$3)=0, NotFound, SUMIFS(allFYsTable[RevisedBudget], allFYsTable[Code], SummaryTable[[#This Row],[Code]], allFYsTable[year2], EK$3))</f>
        <v>229025</v>
      </c>
      <c r="EO12" s="61">
        <f>IF(COUNTIFS(allFYsTable[Code], SummaryTable[[#This Row],[Code]], allFYsTable[year2], EK$3)=0, NotFound, SUMIFS(allFYsTable[Actual], allFYsTable[Code], SummaryTable[[#This Row],[Code]], allFYsTable[year2], EK$3))</f>
        <v>220372</v>
      </c>
      <c r="EP12" s="61">
        <f>IF(COUNTIFS(allFYsTable[Code], SummaryTable[[#This Row],[Code]], allFYsTable[year2], EK$3)=0, NotFound, SUMIFS(allFYsTable[DiffAmount], allFYsTable[Code], SummaryTable[[#This Row],[Code]], allFYsTable[year2], EK$3))</f>
        <v>23547</v>
      </c>
      <c r="EQ12" s="63">
        <f>IF(SummaryTable[[#This Row],[OriginalBudget09]]=0, IF(SummaryTable[[#This Row],[DiffAmount09]]=0, ZeroBudgetNoSpending, ZeroBudgetWithSpending), SummaryTable[[#This Row],[DiffAmount09]]/SummaryTable[[#This Row],[OriginalBudget09]])</f>
        <v>0.11963419281087261</v>
      </c>
      <c r="ER12" s="62">
        <f>IF(COUNTIFS(allFYsTable[Code], SummaryTable[[#This Row],[Code]], allFYsTable[year2], ER$3)=0, NotFound, SUMIFS(allFYsTable[OriginalBudget], allFYsTable[Code], SummaryTable[[#This Row],[Code]], allFYsTable[year2], ER$3))</f>
        <v>188306</v>
      </c>
      <c r="ES12" s="61">
        <f>SummaryTable[[#This Row],[OriginalBudget08]]-SummaryTable[[#This Row],[OriginalBudget07]]</f>
        <v>14604</v>
      </c>
      <c r="ET12" s="54">
        <f>SummaryTable[[#This Row],[BudgetIncreaseAmount08]]/SummaryTable[[#This Row],[OriginalBudget07]]</f>
        <v>8.4075025042889551E-2</v>
      </c>
      <c r="EU12" s="61">
        <f>IF(COUNTIFS(allFYsTable[Code], SummaryTable[[#This Row],[Code]], allFYsTable[year2], ER$3)=0, NotFound, SUMIFS(allFYsTable[RevisedBudget], allFYsTable[Code], SummaryTable[[#This Row],[Code]], allFYsTable[year2], ER$3))</f>
        <v>195136</v>
      </c>
      <c r="EV12" s="61">
        <f>IF(COUNTIFS(allFYsTable[Code], SummaryTable[[#This Row],[Code]], allFYsTable[year2], ER$3)=0, NotFound, SUMIFS(allFYsTable[Actual], allFYsTable[Code], SummaryTable[[#This Row],[Code]], allFYsTable[year2], ER$3))</f>
        <v>191390</v>
      </c>
      <c r="EW12" s="61">
        <f>IF(COUNTIFS(allFYsTable[Code], SummaryTable[[#This Row],[Code]], allFYsTable[year2], ER$3)=0, NotFound, SUMIFS(allFYsTable[DiffAmount], allFYsTable[Code], SummaryTable[[#This Row],[Code]], allFYsTable[year2], ER$3))</f>
        <v>3084</v>
      </c>
      <c r="EX12" s="63">
        <f>IF(SummaryTable[[#This Row],[OriginalBudget08]]=0, IF(SummaryTable[[#This Row],[DiffAmount08]]=0, ZeroBudgetNoSpending, ZeroBudgetWithSpending), SummaryTable[[#This Row],[DiffAmount08]]/SummaryTable[[#This Row],[OriginalBudget08]])</f>
        <v>1.6377598164689387E-2</v>
      </c>
      <c r="EY12" s="62">
        <f>IF(COUNTIFS(allFYsTable[Code], SummaryTable[[#This Row],[Code]], allFYsTable[year2], EY$3)=0, NotFound, SUMIFS(allFYsTable[OriginalBudget], allFYsTable[Code], SummaryTable[[#This Row],[Code]], allFYsTable[year2], EY$3))</f>
        <v>173702</v>
      </c>
      <c r="EZ12" s="61">
        <f>SummaryTable[[#This Row],[OriginalBudget07]]-SummaryTable[[#This Row],[OriginalBudget06]]</f>
        <v>20859</v>
      </c>
      <c r="FA12" s="54">
        <f>SummaryTable[[#This Row],[BudgetIncreaseAmount07]]/SummaryTable[[#This Row],[OriginalBudget06]]</f>
        <v>0.13647337463933579</v>
      </c>
      <c r="FB12" s="61">
        <f>IF(COUNTIFS(allFYsTable[Code], SummaryTable[[#This Row],[Code]], allFYsTable[year2], EY$3)=0, NotFound, SUMIFS(allFYsTable[RevisedBudget], allFYsTable[Code], SummaryTable[[#This Row],[Code]], allFYsTable[year2], EY$3))</f>
        <v>181298</v>
      </c>
      <c r="FC12" s="61">
        <f>IF(COUNTIFS(allFYsTable[Code], SummaryTable[[#This Row],[Code]], allFYsTable[year2], EY$3)=0, NotFound, SUMIFS(allFYsTable[Actual], allFYsTable[Code], SummaryTable[[#This Row],[Code]], allFYsTable[year2], EY$3))</f>
        <v>181226</v>
      </c>
      <c r="FD12" s="61">
        <f>IF(COUNTIFS(allFYsTable[Code], SummaryTable[[#This Row],[Code]], allFYsTable[year2], EY$3)=0, NotFound, SUMIFS(allFYsTable[DiffAmount], allFYsTable[Code], SummaryTable[[#This Row],[Code]], allFYsTable[year2], EY$3))</f>
        <v>7524</v>
      </c>
      <c r="FE12" s="63">
        <f>IF(SummaryTable[[#This Row],[OriginalBudget07]]=0, IF(SummaryTable[[#This Row],[DiffAmount07]]=0, ZeroBudgetNoSpending, ZeroBudgetWithSpending), SummaryTable[[#This Row],[DiffAmount07]]/SummaryTable[[#This Row],[OriginalBudget07]])</f>
        <v>4.3315563436229866E-2</v>
      </c>
      <c r="FF12" s="62">
        <f>IF(COUNTIFS(allFYsTable[Code], SummaryTable[[#This Row],[Code]], allFYsTable[year2], FF$3)=0, NotFound, SUMIFS(allFYsTable[OriginalBudget], allFYsTable[Code], SummaryTable[[#This Row],[Code]], allFYsTable[year2], FF$3))</f>
        <v>152843</v>
      </c>
      <c r="FI12" s="61">
        <f>IF(COUNTIFS(allFYsTable[Code], SummaryTable[[#This Row],[Code]], allFYsTable[year2], FF$3)=0, NotFound, SUMIFS(allFYsTable[RevisedBudget], allFYsTable[Code], SummaryTable[[#This Row],[Code]], allFYsTable[year2], FF$3))</f>
        <v>166525</v>
      </c>
      <c r="FJ12" s="61">
        <f>IF(COUNTIFS(allFYsTable[Code], SummaryTable[[#This Row],[Code]], allFYsTable[year2], FF$3)=0, NotFound, SUMIFS(allFYsTable[Actual], allFYsTable[Code], SummaryTable[[#This Row],[Code]], allFYsTable[year2], FF$3))</f>
        <v>165874</v>
      </c>
      <c r="FK12" s="61">
        <f>IF(COUNTIFS(allFYsTable[Code], SummaryTable[[#This Row],[Code]], allFYsTable[year2], FF$3)=0, NotFound, SUMIFS(allFYsTable[DiffAmount], allFYsTable[Code], SummaryTable[[#This Row],[Code]], allFYsTable[year2], FF$3))</f>
        <v>13031</v>
      </c>
      <c r="FL12" s="63">
        <f>IF(SummaryTable[[#This Row],[OriginalBudget06]]=0, IF(SummaryTable[[#This Row],[DiffAmount06]]=0, ZeroBudgetNoSpending, ZeroBudgetWithSpending), SummaryTable[[#This Row],[DiffAmount06]]/SummaryTable[[#This Row],[OriginalBudget06]])</f>
        <v>8.5257421013719956E-2</v>
      </c>
    </row>
    <row r="13" spans="1:168" x14ac:dyDescent="0.45">
      <c r="A13" t="s">
        <v>818</v>
      </c>
      <c r="B13">
        <f>_xlfn.MAXIFS(allFYsTable[year2], allFYsTable[Code], SummaryTable[[#This Row],[Code]])</f>
        <v>2025</v>
      </c>
      <c r="C13" t="str">
        <f>_xlfn.XLOOKUP(SummaryTable[[#This Row],[Code]], NameCodingTable[Code], NameCodingTable[Most Recent Category per allFYs])</f>
        <v>Debt service - issuance costs</v>
      </c>
      <c r="D13" t="str">
        <f>_xlfn.XLOOKUP(SummaryTable[[#This Row],[Code]], NameCodingTable[Code], NameCodingTable[Unit Display Name])</f>
        <v>Commercial Paper Program</v>
      </c>
      <c r="E13" t="str">
        <f>_xlfn.XLOOKUP(SummaryTable[[#This Row],[Code]], NameCodingTable[Code], NameCodingTable[Type])</f>
        <v>xother</v>
      </c>
      <c r="F1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8</v>
      </c>
      <c r="G1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13" s="54">
        <f>SummaryTable[[#This Row],['# Over]]/SummaryTable[[#This Row],[Count]]</f>
        <v>0.25</v>
      </c>
      <c r="I1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6</v>
      </c>
      <c r="J13" s="54">
        <f>SummaryTable[[#This Row],['# Under]]/SummaryTable[[#This Row],[Count]]</f>
        <v>0.75</v>
      </c>
      <c r="K1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3" s="54">
        <f>SummaryTable[[#This Row],['# Equal]]/SummaryTable[[#This Row],[Count]]</f>
        <v>0</v>
      </c>
      <c r="M13" s="61">
        <f>SUMIFS(allFYsTable[OriginalBudget],allFYsTable[Code],SummaryTable[[#This Row],[Code]])/SummaryTable[[#This Row],[Count]]</f>
        <v>7500.375</v>
      </c>
      <c r="N13" s="61">
        <f>SUMIFS(allFYsTable[Actual],allFYsTable[Code],SummaryTable[[#This Row],[Code]])/SummaryTable[[#This Row],[Count]]</f>
        <v>5278.375</v>
      </c>
      <c r="O13" s="61">
        <f>SummaryTable[[#This Row],[AvgActAmt]]-SummaryTable[[#This Row],[AvgBudAmt]]</f>
        <v>-2222</v>
      </c>
      <c r="P13" s="54">
        <f>IF(SummaryTable[[#This Row],[AvgBudAmt]]=0, IF(SummaryTable[[#This Row],[AvgDiff'#]]=0, 0, NamedFields!$C$3), SummaryTable[[#This Row],[AvgDiff'#]]/SummaryTable[[#This Row],[AvgBudAmt]])</f>
        <v>-0.29625185407396298</v>
      </c>
      <c r="Q13" s="61">
        <f>IFERROR(SUMIFS(allFYsTable[OriginalBudget],allFYsTable[Code],SummaryTable[[#This Row],[Code]],allFYsTable[DiffAmount], "&gt;0")/SummaryTable[[#This Row],['# Over]], 0)</f>
        <v>5625</v>
      </c>
      <c r="R13" s="61">
        <f>IFERROR(SUMIFS(allFYsTable[Actual],allFYsTable[Code],SummaryTable[[#This Row],[Code]],allFYsTable[DiffAmount], "&gt;0")/SummaryTable[[#This Row],['# Over]], 0)</f>
        <v>9638</v>
      </c>
      <c r="S13" s="61">
        <f>SummaryTable[[#This Row],[OverAvgAct]]-SummaryTable[[#This Row],[OverAvgBud]]</f>
        <v>4013</v>
      </c>
      <c r="T13" s="54">
        <f>IF(SummaryTable[[#This Row],[OverAvgBud]]=0, IF(SummaryTable[[#This Row],[OverAvgDiff'#]]=0, ZeroBudgetNoSpending, ZeroBudgetWithSpending), SummaryTable[[#This Row],[OverAvgDiff'#]]/SummaryTable[[#This Row],[OverAvgBud]])</f>
        <v>0.71342222222222218</v>
      </c>
      <c r="U13" s="61">
        <f>IFERROR(SUMIFS(allFYsTable[OriginalBudget],allFYsTable[Code],SummaryTable[[#This Row],[Code]],allFYsTable[DiffAmount], "&lt;0")/SummaryTable[[#This Row],['# Under]], 0)</f>
        <v>8125.5</v>
      </c>
      <c r="V13" s="61">
        <f>IFERROR( SUMIFS(allFYsTable[Actual],allFYsTable[Code],SummaryTable[[#This Row],[Code]],allFYsTable[DiffAmount], "&lt;0")/SummaryTable[[#This Row],['# Under]], 0)</f>
        <v>3825.1666666666665</v>
      </c>
      <c r="W13" s="61">
        <f>SummaryTable[[#This Row],[UnderAvgAct]]-SummaryTable[[#This Row],[UnderAvgBud]]</f>
        <v>-4300.3333333333339</v>
      </c>
      <c r="X13" s="54">
        <f>IF(SummaryTable[[#This Row],[UnderAvgBud]]=0, IF(SummaryTable[[#This Row],[UnderAvgDiff'#]]=0, ZeroBudgetNoSpending, NamedFields!$C$3), SummaryTable[[#This Row],[UnderAvgDiff'#]]/SummaryTable[[#This Row],[UnderAvgBud]])</f>
        <v>-0.52923922630402243</v>
      </c>
      <c r="Y1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1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 s="54">
        <f>IF(SummaryTable[[#This Row],[IncreaseYears]]=0, ZeroBudgetNoSpending, SummaryTable[[#This Row],[OSinIncreaseYear'#]]/SummaryTable[[#This Row],[IncreaseYears]])</f>
        <v>0</v>
      </c>
      <c r="AB13" s="58" t="str">
        <f>SummaryTable[[#This Row],[Code]]</f>
        <v>ZC0</v>
      </c>
      <c r="AC13" s="62">
        <f>IF(COUNTIFS(allFYsTable[Code], SummaryTable[[#This Row],[Code]], allFYsTable[year2], AC$3)=0, NotFound, SUMIFS(allFYsTable[OriginalBudget], allFYsTable[Code], SummaryTable[[#This Row],[Code]], allFYsTable[year2], AC$3))</f>
        <v>7500</v>
      </c>
      <c r="AD13" s="61">
        <f>SummaryTable[[#This Row],[OriginalBudget25]]-SummaryTable[[#This Row],[OriginalBudget24]]</f>
        <v>0</v>
      </c>
      <c r="AE13" s="54">
        <f>SummaryTable[[#This Row],[BudgetIncreaseAmount25]]/SummaryTable[[#This Row],[OriginalBudget24]]</f>
        <v>0</v>
      </c>
      <c r="AF13" s="61">
        <f>IF(COUNTIFS(allFYsTable[Code], SummaryTable[[#This Row],[Code]], allFYsTable[year2], AC$3)=0, NotFound, SUMIFS(allFYsTable[RevisedBudget], allFYsTable[Code], SummaryTable[[#This Row],[Code]], allFYsTable[year2], AC$3))</f>
        <v>14500</v>
      </c>
      <c r="AG13" s="61">
        <f>IF(COUNTIFS(allFYsTable[Code], SummaryTable[[#This Row],[Code]], allFYsTable[year2], AC$3)=0, NotFound, SUMIFS(allFYsTable[Actual], allFYsTable[Code], SummaryTable[[#This Row],[Code]], allFYsTable[year2], AC$3))</f>
        <v>14411</v>
      </c>
      <c r="AH13" s="61">
        <f>IF(COUNTIFS(allFYsTable[Code], SummaryTable[[#This Row],[Code]], allFYsTable[year2], AC$3)=0, NotFound, SUMIFS(allFYsTable[DiffAmount], allFYsTable[Code], SummaryTable[[#This Row],[Code]], allFYsTable[year2], AC$3))</f>
        <v>6911</v>
      </c>
      <c r="AI13" s="63">
        <f>IF(SummaryTable[[#This Row],[OriginalBudget25]]=0, IF(SummaryTable[[#This Row],[DiffAmount25]]=0, ZeroBudgetNoSpending, ZeroBudgetWithSpending), SummaryTable[[#This Row],[DiffAmount25]]/SummaryTable[[#This Row],[OriginalBudget25]])</f>
        <v>0.92146666666666666</v>
      </c>
      <c r="AJ13" s="62">
        <f>IF(COUNTIFS(allFYsTable[Code], SummaryTable[[#This Row],[Code]], allFYsTable[year2], AJ$3)=0, NotFound, SUMIFS(allFYsTable[OriginalBudget], allFYsTable[Code], SummaryTable[[#This Row],[Code]], allFYsTable[year2], AJ$3))</f>
        <v>7500</v>
      </c>
      <c r="AK13" s="61">
        <f>SummaryTable[[#This Row],[OriginalBudget24]]-SummaryTable[[#This Row],[OriginalBudget23]]</f>
        <v>3750</v>
      </c>
      <c r="AL13" s="54">
        <f>SummaryTable[[#This Row],[BudgetIncreaseAmount24]]/SummaryTable[[#This Row],[OriginalBudget23]]</f>
        <v>1</v>
      </c>
      <c r="AM13" s="61">
        <f>IF(COUNTIFS(allFYsTable[Code], SummaryTable[[#This Row],[Code]], allFYsTable[year2], AK$3)=0, NotFound, SUMIFS(allFYsTable[RevisedBudget], allFYsTable[Code], SummaryTable[[#This Row],[Code]], allFYsTable[year2], AJ$3))</f>
        <v>4479</v>
      </c>
      <c r="AN13" s="61">
        <f>IF(COUNTIFS(allFYsTable[Code], SummaryTable[[#This Row],[Code]], allFYsTable[year2], AJ$3)=0, NotFound, SUMIFS(allFYsTable[Actual], allFYsTable[Code], SummaryTable[[#This Row],[Code]], allFYsTable[year2], AJ$3))</f>
        <v>4008</v>
      </c>
      <c r="AO13" s="61">
        <f>IF(COUNTIFS(allFYsTable[Code], SummaryTable[[#This Row],[Code]], allFYsTable[year2], AJ$3)=0, NotFound, SUMIFS(allFYsTable[DiffAmount], allFYsTable[Code], SummaryTable[[#This Row],[Code]], allFYsTable[year2], AJ$3))</f>
        <v>-3492</v>
      </c>
      <c r="AP13" s="63">
        <f>IF(SummaryTable[[#This Row],[OriginalBudget24]]=0, IF(SummaryTable[[#This Row],[DiffAmount24]]=0, ZeroBudgetNoSpending, ZeroBudgetWithSpending), SummaryTable[[#This Row],[DiffAmount24]]/SummaryTable[[#This Row],[OriginalBudget24]])</f>
        <v>-0.46560000000000001</v>
      </c>
      <c r="AQ13" s="62">
        <f>IF(COUNTIFS(allFYsTable[Code], SummaryTable[[#This Row],[Code]], allFYsTable[year2], AQ$3)=0, NotFound, SUMIFS(allFYsTable[OriginalBudget], allFYsTable[Code], SummaryTable[[#This Row],[Code]], allFYsTable[year2], AQ$3))</f>
        <v>3750</v>
      </c>
      <c r="AR13" s="61">
        <f>SummaryTable[[#This Row],[OriginalBudget23]]-SummaryTable[[#This Row],[OriginalBudget22]]</f>
        <v>-3000</v>
      </c>
      <c r="AS13" s="54">
        <f>SummaryTable[[#This Row],[BudgetIncreaseAmount23]]/SummaryTable[[#This Row],[OriginalBudget22]]</f>
        <v>-0.44444444444444442</v>
      </c>
      <c r="AT13" s="61">
        <f>IF(COUNTIFS(allFYsTable[Code], SummaryTable[[#This Row],[Code]], allFYsTable[year2], AQ$3)=0, NotFound, SUMIFS(allFYsTable[RevisedBudget], allFYsTable[Code], SummaryTable[[#This Row],[Code]], allFYsTable[year2], AQ$3))</f>
        <v>4865</v>
      </c>
      <c r="AU13" s="61">
        <f>IF(COUNTIFS(allFYsTable[Code], SummaryTable[[#This Row],[Code]], allFYsTable[year2], AQ$3)=0, NotFound, SUMIFS(allFYsTable[Actual], allFYsTable[Code], SummaryTable[[#This Row],[Code]], allFYsTable[year2], AQ$3))</f>
        <v>4865</v>
      </c>
      <c r="AV13" s="61">
        <f>IF(COUNTIFS(allFYsTable[Code], SummaryTable[[#This Row],[Code]], allFYsTable[year2], AQ$3)=0, NotFound, SUMIFS(allFYsTable[DiffAmount], allFYsTable[Code], SummaryTable[[#This Row],[Code]], allFYsTable[year2], AQ$3))</f>
        <v>1115</v>
      </c>
      <c r="AW13" s="63">
        <f>IF(SummaryTable[[#This Row],[OriginalBudget23]]=0, IF(SummaryTable[[#This Row],[DiffAmount23]]=0, ZeroBudgetNoSpending, ZeroBudgetWithSpending), SummaryTable[[#This Row],[DiffAmount23]]/SummaryTable[[#This Row],[OriginalBudget23]])</f>
        <v>0.29733333333333334</v>
      </c>
      <c r="AX13" s="62">
        <f>IF(COUNTIFS(allFYsTable[Code], SummaryTable[[#This Row],[Code]], allFYsTable[year2], AX$3)=0, NotFound, SUMIFS(allFYsTable[OriginalBudget], allFYsTable[Code], SummaryTable[[#This Row],[Code]], allFYsTable[year2], AX$3))</f>
        <v>6750</v>
      </c>
      <c r="AY13" s="61">
        <f>SummaryTable[[#This Row],[OriginalBudget22]]-SummaryTable[[#This Row],[OriginalBudget21]]</f>
        <v>750</v>
      </c>
      <c r="AZ13" s="54">
        <f>SummaryTable[[#This Row],[BudgetIncreaseAmount22]]/SummaryTable[[#This Row],[OriginalBudget21]]</f>
        <v>0.125</v>
      </c>
      <c r="BA13" s="61">
        <f>IF(COUNTIFS(allFYsTable[Code], SummaryTable[[#This Row],[Code]], allFYsTable[year2], AX$3)=0, NotFound, SUMIFS(allFYsTable[RevisedBudget], allFYsTable[Code], SummaryTable[[#This Row],[Code]], allFYsTable[year2], AX$3))</f>
        <v>2589</v>
      </c>
      <c r="BB13" s="61">
        <f>IF(COUNTIFS(allFYsTable[Code], SummaryTable[[#This Row],[Code]], allFYsTable[year2], AX$3)=0, NotFound, SUMIFS(allFYsTable[Actual], allFYsTable[Code], SummaryTable[[#This Row],[Code]], allFYsTable[year2], AX$3))</f>
        <v>2589</v>
      </c>
      <c r="BC13" s="61">
        <f>IF(COUNTIFS(allFYsTable[Code], SummaryTable[[#This Row],[Code]], allFYsTable[year2], AX$3)=0, NotFound, SUMIFS(allFYsTable[DiffAmount], allFYsTable[Code], SummaryTable[[#This Row],[Code]], allFYsTable[year2], AX$3))</f>
        <v>-4161</v>
      </c>
      <c r="BD13" s="63">
        <f>IF(SummaryTable[[#This Row],[OriginalBudget22]]=0, IF(SummaryTable[[#This Row],[DiffAmount22]]=0, ZeroBudgetNoSpending, ZeroBudgetWithSpending), SummaryTable[[#This Row],[DiffAmount22]]/SummaryTable[[#This Row],[OriginalBudget22]])</f>
        <v>-0.61644444444444446</v>
      </c>
      <c r="BE13" s="62">
        <f>IF(COUNTIFS(allFYsTable[Code], SummaryTable[[#This Row],[Code]], allFYsTable[year2], BE$3)=0, NotFound, SUMIFS(allFYsTable[OriginalBudget], allFYsTable[Code], SummaryTable[[#This Row],[Code]], allFYsTable[year2], BE$3))</f>
        <v>6000</v>
      </c>
      <c r="BF13" s="61">
        <f>SummaryTable[[#This Row],[OriginalBudget21]]-SummaryTable[[#This Row],[OriginalBudget20]]</f>
        <v>-4000</v>
      </c>
      <c r="BG13" s="54">
        <f>SummaryTable[[#This Row],[BudgetIncreaseAmount21]]/SummaryTable[[#This Row],[OriginalBudget20]]</f>
        <v>-0.4</v>
      </c>
      <c r="BH13" s="61">
        <f>IF(COUNTIFS(allFYsTable[Code], SummaryTable[[#This Row],[Code]], allFYsTable[year2], BE$3)=0, NotFound, SUMIFS(allFYsTable[RevisedBudget], allFYsTable[Code], SummaryTable[[#This Row],[Code]], allFYsTable[year2], BE$3))</f>
        <v>1853</v>
      </c>
      <c r="BI13" s="61">
        <f>IF(COUNTIFS(allFYsTable[Code], SummaryTable[[#This Row],[Code]], allFYsTable[year2], BE$3)=0, NotFound, SUMIFS(allFYsTable[Actual], allFYsTable[Code], SummaryTable[[#This Row],[Code]], allFYsTable[year2], BE$3))</f>
        <v>1853</v>
      </c>
      <c r="BJ13" s="61">
        <f>IF(COUNTIFS(allFYsTable[Code], SummaryTable[[#This Row],[Code]], allFYsTable[year2], BE$3)=0, NotFound, SUMIFS(allFYsTable[DiffAmount], allFYsTable[Code], SummaryTable[[#This Row],[Code]], allFYsTable[year2], BE$3))</f>
        <v>-4147</v>
      </c>
      <c r="BK13" s="63">
        <f>IF(SummaryTable[[#This Row],[OriginalBudget21]]=0, IF(SummaryTable[[#This Row],[DiffAmount21]]=0, ZeroBudgetNoSpending, ZeroBudgetWithSpending), SummaryTable[[#This Row],[DiffAmount21]]/SummaryTable[[#This Row],[OriginalBudget21]])</f>
        <v>-0.69116666666666671</v>
      </c>
      <c r="BL13" s="62">
        <f>IF(COUNTIFS(allFYsTable[Code], SummaryTable[[#This Row],[Code]], allFYsTable[year2], BL$3)=0, NotFound, SUMIFS(allFYsTable[OriginalBudget], allFYsTable[Code], SummaryTable[[#This Row],[Code]], allFYsTable[year2], BL$3))</f>
        <v>10000</v>
      </c>
      <c r="BM13" s="61">
        <f>SummaryTable[[#This Row],[OriginalBudget20]]-SummaryTable[[#This Row],[OriginalBudget19]]</f>
        <v>0</v>
      </c>
      <c r="BN13" s="54">
        <f>SummaryTable[[#This Row],[BudgetIncreaseAmount20]]/SummaryTable[[#This Row],[OriginalBudget19]]</f>
        <v>0</v>
      </c>
      <c r="BO13" s="61">
        <f>IF(COUNTIFS(allFYsTable[Code], SummaryTable[[#This Row],[Code]], allFYsTable[year2], BL$3)=0, NotFound, SUMIFS(allFYsTable[RevisedBudget], allFYsTable[Code], SummaryTable[[#This Row],[Code]], allFYsTable[year2], BL$3))</f>
        <v>4841</v>
      </c>
      <c r="BP13" s="61">
        <f>IF(COUNTIFS(allFYsTable[Code], SummaryTable[[#This Row],[Code]], allFYsTable[year2], BL$3)=0, NotFound, SUMIFS(allFYsTable[Actual], allFYsTable[Code], SummaryTable[[#This Row],[Code]], allFYsTable[year2], BL$3))</f>
        <v>4841</v>
      </c>
      <c r="BQ13" s="61">
        <f>IF(COUNTIFS(allFYsTable[Code], SummaryTable[[#This Row],[Code]], allFYsTable[year2], BL$3)=0, NotFound, SUMIFS(allFYsTable[DiffAmount], allFYsTable[Code], SummaryTable[[#This Row],[Code]], allFYsTable[year2], BL$3))</f>
        <v>-5159</v>
      </c>
      <c r="BR13" s="63">
        <f>IF(SummaryTable[[#This Row],[OriginalBudget20]]=0, IF(SummaryTable[[#This Row],[DiffAmount20]]=0, ZeroBudgetNoSpending, ZeroBudgetWithSpending), SummaryTable[[#This Row],[DiffAmount20]]/SummaryTable[[#This Row],[OriginalBudget20]])</f>
        <v>-0.51590000000000003</v>
      </c>
      <c r="BS13" s="62">
        <f>IF(COUNTIFS(allFYsTable[Code], SummaryTable[[#This Row],[Code]], allFYsTable[year2], BS$3)=0, NotFound, SUMIFS(allFYsTable[OriginalBudget], allFYsTable[Code], SummaryTable[[#This Row],[Code]], allFYsTable[year2], BS$3))</f>
        <v>10000</v>
      </c>
      <c r="BT13" s="61">
        <f>SummaryTable[[#This Row],[OriginalBudget19]]-SummaryTable[[#This Row],[OriginalBudget18]]</f>
        <v>1497</v>
      </c>
      <c r="BU13" s="54">
        <f>SummaryTable[[#This Row],[BudgetIncreaseAmount19]]/SummaryTable[[#This Row],[OriginalBudget18]]</f>
        <v>0.17605550982006352</v>
      </c>
      <c r="BV13" s="61">
        <f>IF(COUNTIFS(allFYsTable[Code], SummaryTable[[#This Row],[Code]], allFYsTable[year2], BS$3)=0, NotFound, SUMIFS(allFYsTable[RevisedBudget], allFYsTable[Code], SummaryTable[[#This Row],[Code]], allFYsTable[year2], BS$3))</f>
        <v>6779</v>
      </c>
      <c r="BW13" s="61">
        <f>IF(COUNTIFS(allFYsTable[Code], SummaryTable[[#This Row],[Code]], allFYsTable[year2], BS$3)=0, NotFound, SUMIFS(allFYsTable[Actual], allFYsTable[Code], SummaryTable[[#This Row],[Code]], allFYsTable[year2], BS$3))</f>
        <v>6779</v>
      </c>
      <c r="BX13" s="61">
        <f>IF(COUNTIFS(allFYsTable[Code], SummaryTable[[#This Row],[Code]], allFYsTable[year2], BS$3)=0, NotFound, SUMIFS(allFYsTable[DiffAmount], allFYsTable[Code], SummaryTable[[#This Row],[Code]], allFYsTable[year2], BS$3))</f>
        <v>-3221</v>
      </c>
      <c r="BY13" s="63">
        <f>IF(SummaryTable[[#This Row],[OriginalBudget19]]=0, IF(SummaryTable[[#This Row],[DiffAmount19]]=0, ZeroBudgetNoSpending, ZeroBudgetWithSpending), SummaryTable[[#This Row],[DiffAmount19]]/SummaryTable[[#This Row],[OriginalBudget19]])</f>
        <v>-0.3221</v>
      </c>
      <c r="BZ13" s="62">
        <f>IF(COUNTIFS(allFYsTable[Code], SummaryTable[[#This Row],[Code]], allFYsTable[year2], BZ$3)=0, NotFound, SUMIFS(allFYsTable[OriginalBudget], allFYsTable[Code], SummaryTable[[#This Row],[Code]], allFYsTable[year2], BZ$3))</f>
        <v>8503</v>
      </c>
      <c r="CA13" s="61" t="e">
        <f>SummaryTable[[#This Row],[OriginalBudget18]]-SummaryTable[[#This Row],[OriginalBudget17]]</f>
        <v>#N/A</v>
      </c>
      <c r="CB13" s="54" t="e">
        <f>SummaryTable[[#This Row],[BudgetIncreaseAmount18]]/SummaryTable[[#This Row],[OriginalBudget17]]</f>
        <v>#N/A</v>
      </c>
      <c r="CC13" s="61">
        <f>IF(COUNTIFS(allFYsTable[Code], SummaryTable[[#This Row],[Code]], allFYsTable[year2], BZ$3)=0, NotFound, SUMIFS(allFYsTable[RevisedBudget], allFYsTable[Code], SummaryTable[[#This Row],[Code]], allFYsTable[year2], BZ$3))</f>
        <v>2881</v>
      </c>
      <c r="CD13" s="61">
        <f>IF(COUNTIFS(allFYsTable[Code], SummaryTable[[#This Row],[Code]], allFYsTable[year2], BZ$3)=0, NotFound, SUMIFS(allFYsTable[Actual], allFYsTable[Code], SummaryTable[[#This Row],[Code]], allFYsTable[year2], BZ$3))</f>
        <v>2881</v>
      </c>
      <c r="CE13" s="61">
        <f>IF(COUNTIFS(allFYsTable[Code], SummaryTable[[#This Row],[Code]], allFYsTable[year2], BZ$3)=0, NotFound, SUMIFS(allFYsTable[DiffAmount], allFYsTable[Code], SummaryTable[[#This Row],[Code]], allFYsTable[year2], BZ$3))</f>
        <v>-5622</v>
      </c>
      <c r="CF13" s="63">
        <f>IF(SummaryTable[[#This Row],[OriginalBudget18]]=0, IF(SummaryTable[[#This Row],[DiffAmount18]]=0, ZeroBudgetNoSpending, ZeroBudgetWithSpending), SummaryTable[[#This Row],[DiffAmount18]]/SummaryTable[[#This Row],[OriginalBudget18]])</f>
        <v>-0.66117840762083968</v>
      </c>
      <c r="CG13" s="62" t="e">
        <f>IF(COUNTIFS(allFYsTable[Code], SummaryTable[[#This Row],[Code]], allFYsTable[year2], CG$3)=0, NotFound, SUMIFS(allFYsTable[OriginalBudget], allFYsTable[Code], SummaryTable[[#This Row],[Code]], allFYsTable[year2], CG$3))</f>
        <v>#N/A</v>
      </c>
      <c r="CH13" s="61" t="e">
        <f>SummaryTable[[#This Row],[OriginalBudget17]]-SummaryTable[[#This Row],[OriginalBudget16]]</f>
        <v>#N/A</v>
      </c>
      <c r="CI13" s="54" t="e">
        <f>SummaryTable[[#This Row],[BudgetIncreaseAmount17]]/SummaryTable[[#This Row],[OriginalBudget16]]</f>
        <v>#N/A</v>
      </c>
      <c r="CJ13" s="61" t="e">
        <f>IF(COUNTIFS(allFYsTable[Code], SummaryTable[[#This Row],[Code]], allFYsTable[year2], CG$3)=0, NotFound, SUMIFS(allFYsTable[RevisedBudget], allFYsTable[Code], SummaryTable[[#This Row],[Code]], allFYsTable[year2], CG$3))</f>
        <v>#N/A</v>
      </c>
      <c r="CK13" s="61" t="e">
        <f>IF(COUNTIFS(allFYsTable[Code], SummaryTable[[#This Row],[Code]], allFYsTable[year2], CG$3)=0, NotFound, SUMIFS(allFYsTable[Actual], allFYsTable[Code], SummaryTable[[#This Row],[Code]], allFYsTable[year2], CG$3))</f>
        <v>#N/A</v>
      </c>
      <c r="CL13" s="61" t="e">
        <f>IF(COUNTIFS(allFYsTable[Code], SummaryTable[[#This Row],[Code]], allFYsTable[year2], CG$3)=0, NotFound, SUMIFS(allFYsTable[DiffAmount], allFYsTable[Code], SummaryTable[[#This Row],[Code]], allFYsTable[year2], CG$3))</f>
        <v>#N/A</v>
      </c>
      <c r="CM13" s="63" t="e">
        <f>IF(SummaryTable[[#This Row],[OriginalBudget17]]=0, IF(SummaryTable[[#This Row],[DiffAmount17]]=0, ZeroBudgetNoSpending, ZeroBudgetWithSpending), SummaryTable[[#This Row],[DiffAmount17]]/SummaryTable[[#This Row],[OriginalBudget17]])</f>
        <v>#N/A</v>
      </c>
      <c r="CN13" s="62" t="e">
        <f>IF(COUNTIFS(allFYsTable[Code], SummaryTable[[#This Row],[Code]], allFYsTable[year2], CN$3)=0, NotFound, SUMIFS(allFYsTable[OriginalBudget], allFYsTable[Code], SummaryTable[[#This Row],[Code]], allFYsTable[year2], CN$3))</f>
        <v>#N/A</v>
      </c>
      <c r="CO13" s="61" t="e">
        <f>SummaryTable[[#This Row],[OriginalBudget16]]-SummaryTable[[#This Row],[OriginalBudget15]]</f>
        <v>#N/A</v>
      </c>
      <c r="CP13" s="54" t="e">
        <f>SummaryTable[[#This Row],[BudgetIncreaseAmount16]]/SummaryTable[[#This Row],[OriginalBudget15]]</f>
        <v>#N/A</v>
      </c>
      <c r="CQ13" s="61" t="e">
        <f>IF(COUNTIFS(allFYsTable[Code], SummaryTable[[#This Row],[Code]], allFYsTable[year2], CN$3)=0, NotFound, SUMIFS(allFYsTable[RevisedBudget], allFYsTable[Code], SummaryTable[[#This Row],[Code]], allFYsTable[year2], CN$3))</f>
        <v>#N/A</v>
      </c>
      <c r="CR13" s="61" t="e">
        <f>IF(COUNTIFS(allFYsTable[Code], SummaryTable[[#This Row],[Code]], allFYsTable[year2], CN$3)=0, NotFound, SUMIFS(allFYsTable[Actual], allFYsTable[Code], SummaryTable[[#This Row],[Code]], allFYsTable[year2], CN$3))</f>
        <v>#N/A</v>
      </c>
      <c r="CS13" s="61" t="e">
        <f>IF(COUNTIFS(allFYsTable[Code], SummaryTable[[#This Row],[Code]], allFYsTable[year2], CN$3)=0, NotFound, SUMIFS(allFYsTable[DiffAmount], allFYsTable[Code], SummaryTable[[#This Row],[Code]], allFYsTable[year2], CN$3))</f>
        <v>#N/A</v>
      </c>
      <c r="CT13" s="63" t="e">
        <f>IF(SummaryTable[[#This Row],[OriginalBudget16]]=0, IF(SummaryTable[[#This Row],[DiffAmount16]]=0, ZeroBudgetNoSpending, ZeroBudgetWithSpending), SummaryTable[[#This Row],[DiffAmount16]]/SummaryTable[[#This Row],[OriginalBudget16]])</f>
        <v>#N/A</v>
      </c>
      <c r="CU13" s="62" t="e">
        <f>IF(COUNTIFS(allFYsTable[Code], SummaryTable[[#This Row],[Code]], allFYsTable[year2], CU$3)=0, NotFound, SUMIFS(allFYsTable[OriginalBudget], allFYsTable[Code], SummaryTable[[#This Row],[Code]], allFYsTable[year2], CU$3))</f>
        <v>#N/A</v>
      </c>
      <c r="CV13" s="61" t="e">
        <f>SummaryTable[[#This Row],[OriginalBudget15]]-SummaryTable[[#This Row],[OriginalBudget14]]</f>
        <v>#N/A</v>
      </c>
      <c r="CW13" s="54" t="e">
        <f>SummaryTable[[#This Row],[BudgetIncreaseAmount15]]/SummaryTable[[#This Row],[OriginalBudget14]]</f>
        <v>#N/A</v>
      </c>
      <c r="CX13" s="61" t="e">
        <f>IF(COUNTIFS(allFYsTable[Code], SummaryTable[[#This Row],[Code]], allFYsTable[year2], CU$3)=0, NotFound, SUMIFS(allFYsTable[RevisedBudget], allFYsTable[Code], SummaryTable[[#This Row],[Code]], allFYsTable[year2], CU$3))</f>
        <v>#N/A</v>
      </c>
      <c r="CY13" s="61" t="e">
        <f>IF(COUNTIFS(allFYsTable[Code], SummaryTable[[#This Row],[Code]], allFYsTable[year2], CU$3)=0, NotFound, SUMIFS(allFYsTable[Actual], allFYsTable[Code], SummaryTable[[#This Row],[Code]], allFYsTable[year2], CU$3))</f>
        <v>#N/A</v>
      </c>
      <c r="CZ13" s="61" t="e">
        <f>IF(COUNTIFS(allFYsTable[Code], SummaryTable[[#This Row],[Code]], allFYsTable[year2], CU$3)=0, NotFound, SUMIFS(allFYsTable[DiffAmount], allFYsTable[Code], SummaryTable[[#This Row],[Code]], allFYsTable[year2], CU$3))</f>
        <v>#N/A</v>
      </c>
      <c r="DA13" s="63" t="e">
        <f>IF(SummaryTable[[#This Row],[OriginalBudget15]]=0, IF(SummaryTable[[#This Row],[DiffAmount15]]=0, ZeroBudgetNoSpending, ZeroBudgetWithSpending), SummaryTable[[#This Row],[DiffAmount15]]/SummaryTable[[#This Row],[OriginalBudget15]])</f>
        <v>#N/A</v>
      </c>
      <c r="DB13" s="62" t="e">
        <f>IF(COUNTIFS(allFYsTable[Code], SummaryTable[[#This Row],[Code]], allFYsTable[year2], DB$3)=0, NotFound, SUMIFS(allFYsTable[OriginalBudget], allFYsTable[Code], SummaryTable[[#This Row],[Code]], allFYsTable[year2], DB$3))</f>
        <v>#N/A</v>
      </c>
      <c r="DC13" s="61" t="e">
        <f>SummaryTable[[#This Row],[OriginalBudget14]]-SummaryTable[[#This Row],[OriginalBudget13]]</f>
        <v>#N/A</v>
      </c>
      <c r="DD13" s="54" t="e">
        <f>SummaryTable[[#This Row],[BudgetIncreaseAmount14]]/SummaryTable[[#This Row],[OriginalBudget13]]</f>
        <v>#N/A</v>
      </c>
      <c r="DE13" s="61" t="e">
        <f>IF(COUNTIFS(allFYsTable[Code], SummaryTable[[#This Row],[Code]], allFYsTable[year2], DB$3)=0, NotFound, SUMIFS(allFYsTable[RevisedBudget], allFYsTable[Code], SummaryTable[[#This Row],[Code]], allFYsTable[year2], DB$3))</f>
        <v>#N/A</v>
      </c>
      <c r="DF13" s="61" t="e">
        <f>IF(COUNTIFS(allFYsTable[Code], SummaryTable[[#This Row],[Code]], allFYsTable[year2], DB$3)=0, NotFound, SUMIFS(allFYsTable[Actual], allFYsTable[Code], SummaryTable[[#This Row],[Code]], allFYsTable[year2], DB$3))</f>
        <v>#N/A</v>
      </c>
      <c r="DG13" s="61" t="e">
        <f>IF(COUNTIFS(allFYsTable[Code], SummaryTable[[#This Row],[Code]], allFYsTable[year2], DB$3)=0, NotFound, SUMIFS(allFYsTable[DiffAmount], allFYsTable[Code], SummaryTable[[#This Row],[Code]], allFYsTable[year2], DB$3))</f>
        <v>#N/A</v>
      </c>
      <c r="DH13" s="63" t="e">
        <f>IF(SummaryTable[[#This Row],[OriginalBudget14]]=0, IF(SummaryTable[[#This Row],[DiffAmount14]]=0, ZeroBudgetNoSpending, ZeroBudgetWithSpending), SummaryTable[[#This Row],[DiffAmount14]]/SummaryTable[[#This Row],[OriginalBudget14]])</f>
        <v>#N/A</v>
      </c>
      <c r="DI13" s="62" t="e">
        <f>IF(COUNTIFS(allFYsTable[Code], SummaryTable[[#This Row],[Code]], allFYsTable[year2], DI$3)=0, NotFound, SUMIFS(allFYsTable[OriginalBudget], allFYsTable[Code], SummaryTable[[#This Row],[Code]], allFYsTable[year2], DI$3))</f>
        <v>#N/A</v>
      </c>
      <c r="DJ13" s="61" t="e">
        <f>SummaryTable[[#This Row],[OriginalBudget13]]-SummaryTable[[#This Row],[OriginalBudget12]]</f>
        <v>#N/A</v>
      </c>
      <c r="DK13" s="54" t="e">
        <f>SummaryTable[[#This Row],[BudgetIncreaseAmount13]]/SummaryTable[[#This Row],[OriginalBudget12]]</f>
        <v>#N/A</v>
      </c>
      <c r="DL13" s="61" t="e">
        <f>IF(COUNTIFS(allFYsTable[Code], SummaryTable[[#This Row],[Code]], allFYsTable[year2], DI$3)=0, NotFound, SUMIFS(allFYsTable[RevisedBudget], allFYsTable[Code], SummaryTable[[#This Row],[Code]], allFYsTable[year2], DI$3))</f>
        <v>#N/A</v>
      </c>
      <c r="DM13" s="61" t="e">
        <f>IF(COUNTIFS(allFYsTable[Code], SummaryTable[[#This Row],[Code]], allFYsTable[year2], DI$3)=0, NotFound, SUMIFS(allFYsTable[Actual], allFYsTable[Code], SummaryTable[[#This Row],[Code]], allFYsTable[year2], DI$3))</f>
        <v>#N/A</v>
      </c>
      <c r="DN13" s="61" t="e">
        <f>IF(COUNTIFS(allFYsTable[Code], SummaryTable[[#This Row],[Code]], allFYsTable[year2], DI$3)=0, NotFound, SUMIFS(allFYsTable[DiffAmount], allFYsTable[Code], SummaryTable[[#This Row],[Code]], allFYsTable[year2], DI$3))</f>
        <v>#N/A</v>
      </c>
      <c r="DO13" s="63" t="e">
        <f>IF(SummaryTable[[#This Row],[OriginalBudget13]]=0, IF(SummaryTable[[#This Row],[DiffAmount13]]=0, ZeroBudgetNoSpending, ZeroBudgetWithSpending), SummaryTable[[#This Row],[DiffAmount13]]/SummaryTable[[#This Row],[OriginalBudget13]])</f>
        <v>#N/A</v>
      </c>
      <c r="DP13" s="62" t="e">
        <f>IF(COUNTIFS(allFYsTable[Code], SummaryTable[[#This Row],[Code]], allFYsTable[year2], DP$3)=0, NotFound, SUMIFS(allFYsTable[OriginalBudget], allFYsTable[Code], SummaryTable[[#This Row],[Code]], allFYsTable[year2], DP$3))</f>
        <v>#N/A</v>
      </c>
      <c r="DQ13" s="61" t="e">
        <f>SummaryTable[[#This Row],[OriginalBudget12]]-SummaryTable[[#This Row],[OriginalBudget11]]</f>
        <v>#N/A</v>
      </c>
      <c r="DR13" s="54" t="e">
        <f>SummaryTable[[#This Row],[BudgetIncreaseAmount12]]/SummaryTable[[#This Row],[OriginalBudget11]]</f>
        <v>#N/A</v>
      </c>
      <c r="DS13" s="61" t="e">
        <f>IF(COUNTIFS(allFYsTable[Code], SummaryTable[[#This Row],[Code]], allFYsTable[year2], DP$3)=0, NotFound, SUMIFS(allFYsTable[RevisedBudget], allFYsTable[Code], SummaryTable[[#This Row],[Code]], allFYsTable[year2], DP$3))</f>
        <v>#N/A</v>
      </c>
      <c r="DT13" s="61" t="e">
        <f>IF(COUNTIFS(allFYsTable[Code], SummaryTable[[#This Row],[Code]], allFYsTable[year2], DP$3)=0, NotFound, SUMIFS(allFYsTable[Actual], allFYsTable[Code], SummaryTable[[#This Row],[Code]], allFYsTable[year2], DP$3))</f>
        <v>#N/A</v>
      </c>
      <c r="DU13" s="61" t="e">
        <f>IF(COUNTIFS(allFYsTable[Code], SummaryTable[[#This Row],[Code]], allFYsTable[year2], DP$3)=0, NotFound, SUMIFS(allFYsTable[DiffAmount], allFYsTable[Code], SummaryTable[[#This Row],[Code]], allFYsTable[year2], DP$3))</f>
        <v>#N/A</v>
      </c>
      <c r="DV13" s="63" t="e">
        <f>IF(SummaryTable[[#This Row],[OriginalBudget12]]=0, IF(SummaryTable[[#This Row],[DiffAmount12]]=0, ZeroBudgetNoSpending, ZeroBudgetWithSpending), SummaryTable[[#This Row],[DiffAmount12]]/SummaryTable[[#This Row],[OriginalBudget12]])</f>
        <v>#N/A</v>
      </c>
      <c r="DW13" s="62" t="e">
        <f>IF(COUNTIFS(allFYsTable[Code], SummaryTable[[#This Row],[Code]], allFYsTable[year2], DW$3)=0, NotFound, SUMIFS(allFYsTable[OriginalBudget], allFYsTable[Code], SummaryTable[[#This Row],[Code]], allFYsTable[year2], DW$3))</f>
        <v>#N/A</v>
      </c>
      <c r="DX13" s="61" t="e">
        <f>SummaryTable[[#This Row],[OriginalBudget11]]-SummaryTable[[#This Row],[OriginalBudget10]]</f>
        <v>#N/A</v>
      </c>
      <c r="DY13" s="54" t="e">
        <f>SummaryTable[[#This Row],[BudgetIncreaseAmount11]]/SummaryTable[[#This Row],[OriginalBudget10]]</f>
        <v>#N/A</v>
      </c>
      <c r="DZ13" s="61" t="e">
        <f>IF(COUNTIFS(allFYsTable[Code], SummaryTable[[#This Row],[Code]], allFYsTable[year2], DW$3)=0, NotFound, SUMIFS(allFYsTable[RevisedBudget], allFYsTable[Code], SummaryTable[[#This Row],[Code]], allFYsTable[year2], DW$3))</f>
        <v>#N/A</v>
      </c>
      <c r="EA13" s="61" t="e">
        <f>IF(COUNTIFS(allFYsTable[Code], SummaryTable[[#This Row],[Code]], allFYsTable[year2], DW$3)=0, NotFound, SUMIFS(allFYsTable[Actual], allFYsTable[Code], SummaryTable[[#This Row],[Code]], allFYsTable[year2], DW$3))</f>
        <v>#N/A</v>
      </c>
      <c r="EB13" s="61" t="e">
        <f>IF(COUNTIFS(allFYsTable[Code], SummaryTable[[#This Row],[Code]], allFYsTable[year2], DW$3)=0, NotFound, SUMIFS(allFYsTable[DiffAmount], allFYsTable[Code], SummaryTable[[#This Row],[Code]], allFYsTable[year2], DW$3))</f>
        <v>#N/A</v>
      </c>
      <c r="EC13" s="63" t="e">
        <f>IF(SummaryTable[[#This Row],[OriginalBudget11]]=0, IF(SummaryTable[[#This Row],[DiffAmount11]]=0, ZeroBudgetNoSpending, ZeroBudgetWithSpending), SummaryTable[[#This Row],[DiffAmount11]]/SummaryTable[[#This Row],[OriginalBudget11]])</f>
        <v>#N/A</v>
      </c>
      <c r="ED13" s="62" t="e">
        <f>IF(COUNTIFS(allFYsTable[Code], SummaryTable[[#This Row],[Code]], allFYsTable[year2], ED$3)=0, NotFound, SUMIFS(allFYsTable[OriginalBudget], allFYsTable[Code], SummaryTable[[#This Row],[Code]], allFYsTable[year2], ED$3))</f>
        <v>#N/A</v>
      </c>
      <c r="EE13" s="61" t="e">
        <f>SummaryTable[[#This Row],[OriginalBudget10]]-SummaryTable[[#This Row],[OriginalBudget09]]</f>
        <v>#N/A</v>
      </c>
      <c r="EF13" s="54" t="e">
        <f>SummaryTable[[#This Row],[BudgetIncreaseAmount10]]/SummaryTable[[#This Row],[OriginalBudget09]]</f>
        <v>#N/A</v>
      </c>
      <c r="EG13" s="61" t="e">
        <f>IF(COUNTIFS(allFYsTable[Code], SummaryTable[[#This Row],[Code]], allFYsTable[year2], ED$3)=0, NotFound, SUMIFS(allFYsTable[RevisedBudget], allFYsTable[Code], SummaryTable[[#This Row],[Code]], allFYsTable[year2], ED$3))</f>
        <v>#N/A</v>
      </c>
      <c r="EH13" s="61" t="e">
        <f>IF(COUNTIFS(allFYsTable[Code], SummaryTable[[#This Row],[Code]], allFYsTable[year2], ED$3)=0, NotFound, SUMIFS(allFYsTable[Actual], allFYsTable[Code], SummaryTable[[#This Row],[Code]], allFYsTable[year2], ED$3))</f>
        <v>#N/A</v>
      </c>
      <c r="EI13" s="61" t="e">
        <f>IF(COUNTIFS(allFYsTable[Code], SummaryTable[[#This Row],[Code]], allFYsTable[year2], ED$3)=0, NotFound, SUMIFS(allFYsTable[DiffAmount], allFYsTable[Code], SummaryTable[[#This Row],[Code]], allFYsTable[year2], ED$3))</f>
        <v>#N/A</v>
      </c>
      <c r="EJ13" s="63" t="e">
        <f>IF(SummaryTable[[#This Row],[OriginalBudget10]]=0, IF(SummaryTable[[#This Row],[DiffAmount10]]=0, ZeroBudgetNoSpending, ZeroBudgetWithSpending), SummaryTable[[#This Row],[DiffAmount10]]/SummaryTable[[#This Row],[OriginalBudget10]])</f>
        <v>#N/A</v>
      </c>
      <c r="EK13" s="62" t="e">
        <f>IF(COUNTIFS(allFYsTable[Code], SummaryTable[[#This Row],[Code]], allFYsTable[year2], EK$3)=0, NotFound, SUMIFS(allFYsTable[OriginalBudget], allFYsTable[Code], SummaryTable[[#This Row],[Code]], allFYsTable[year2], EK$3))</f>
        <v>#N/A</v>
      </c>
      <c r="EL13" s="61" t="e">
        <f>SummaryTable[[#This Row],[OriginalBudget09]]-SummaryTable[[#This Row],[OriginalBudget08]]</f>
        <v>#N/A</v>
      </c>
      <c r="EM13" s="54" t="e">
        <f>SummaryTable[[#This Row],[BudgetIncreaseAmount09]]/SummaryTable[[#This Row],[OriginalBudget08]]</f>
        <v>#N/A</v>
      </c>
      <c r="EN13" s="61" t="e">
        <f>IF(COUNTIFS(allFYsTable[Code], SummaryTable[[#This Row],[Code]], allFYsTable[year2], EK$3)=0, NotFound, SUMIFS(allFYsTable[RevisedBudget], allFYsTable[Code], SummaryTable[[#This Row],[Code]], allFYsTable[year2], EK$3))</f>
        <v>#N/A</v>
      </c>
      <c r="EO13" s="61" t="e">
        <f>IF(COUNTIFS(allFYsTable[Code], SummaryTable[[#This Row],[Code]], allFYsTable[year2], EK$3)=0, NotFound, SUMIFS(allFYsTable[Actual], allFYsTable[Code], SummaryTable[[#This Row],[Code]], allFYsTable[year2], EK$3))</f>
        <v>#N/A</v>
      </c>
      <c r="EP13" s="61" t="e">
        <f>IF(COUNTIFS(allFYsTable[Code], SummaryTable[[#This Row],[Code]], allFYsTable[year2], EK$3)=0, NotFound, SUMIFS(allFYsTable[DiffAmount], allFYsTable[Code], SummaryTable[[#This Row],[Code]], allFYsTable[year2], EK$3))</f>
        <v>#N/A</v>
      </c>
      <c r="EQ13" s="63" t="e">
        <f>IF(SummaryTable[[#This Row],[OriginalBudget09]]=0, IF(SummaryTable[[#This Row],[DiffAmount09]]=0, ZeroBudgetNoSpending, ZeroBudgetWithSpending), SummaryTable[[#This Row],[DiffAmount09]]/SummaryTable[[#This Row],[OriginalBudget09]])</f>
        <v>#N/A</v>
      </c>
      <c r="ER13" s="62" t="e">
        <f>IF(COUNTIFS(allFYsTable[Code], SummaryTable[[#This Row],[Code]], allFYsTable[year2], ER$3)=0, NotFound, SUMIFS(allFYsTable[OriginalBudget], allFYsTable[Code], SummaryTable[[#This Row],[Code]], allFYsTable[year2], ER$3))</f>
        <v>#N/A</v>
      </c>
      <c r="ES13" s="61" t="e">
        <f>SummaryTable[[#This Row],[OriginalBudget08]]-SummaryTable[[#This Row],[OriginalBudget07]]</f>
        <v>#N/A</v>
      </c>
      <c r="ET13" s="54" t="e">
        <f>SummaryTable[[#This Row],[BudgetIncreaseAmount08]]/SummaryTable[[#This Row],[OriginalBudget07]]</f>
        <v>#N/A</v>
      </c>
      <c r="EU13" s="61" t="e">
        <f>IF(COUNTIFS(allFYsTable[Code], SummaryTable[[#This Row],[Code]], allFYsTable[year2], ER$3)=0, NotFound, SUMIFS(allFYsTable[RevisedBudget], allFYsTable[Code], SummaryTable[[#This Row],[Code]], allFYsTable[year2], ER$3))</f>
        <v>#N/A</v>
      </c>
      <c r="EV13" s="61" t="e">
        <f>IF(COUNTIFS(allFYsTable[Code], SummaryTable[[#This Row],[Code]], allFYsTable[year2], ER$3)=0, NotFound, SUMIFS(allFYsTable[Actual], allFYsTable[Code], SummaryTable[[#This Row],[Code]], allFYsTable[year2], ER$3))</f>
        <v>#N/A</v>
      </c>
      <c r="EW13" s="61" t="e">
        <f>IF(COUNTIFS(allFYsTable[Code], SummaryTable[[#This Row],[Code]], allFYsTable[year2], ER$3)=0, NotFound, SUMIFS(allFYsTable[DiffAmount], allFYsTable[Code], SummaryTable[[#This Row],[Code]], allFYsTable[year2], ER$3))</f>
        <v>#N/A</v>
      </c>
      <c r="EX13" s="63" t="e">
        <f>IF(SummaryTable[[#This Row],[OriginalBudget08]]=0, IF(SummaryTable[[#This Row],[DiffAmount08]]=0, ZeroBudgetNoSpending, ZeroBudgetWithSpending), SummaryTable[[#This Row],[DiffAmount08]]/SummaryTable[[#This Row],[OriginalBudget08]])</f>
        <v>#N/A</v>
      </c>
      <c r="EY13" s="62" t="e">
        <f>IF(COUNTIFS(allFYsTable[Code], SummaryTable[[#This Row],[Code]], allFYsTable[year2], EY$3)=0, NotFound, SUMIFS(allFYsTable[OriginalBudget], allFYsTable[Code], SummaryTable[[#This Row],[Code]], allFYsTable[year2], EY$3))</f>
        <v>#N/A</v>
      </c>
      <c r="EZ13" s="61" t="e">
        <f>SummaryTable[[#This Row],[OriginalBudget07]]-SummaryTable[[#This Row],[OriginalBudget06]]</f>
        <v>#N/A</v>
      </c>
      <c r="FA13" s="54" t="e">
        <f>SummaryTable[[#This Row],[BudgetIncreaseAmount07]]/SummaryTable[[#This Row],[OriginalBudget06]]</f>
        <v>#N/A</v>
      </c>
      <c r="FB13" s="61" t="e">
        <f>IF(COUNTIFS(allFYsTable[Code], SummaryTable[[#This Row],[Code]], allFYsTable[year2], EY$3)=0, NotFound, SUMIFS(allFYsTable[RevisedBudget], allFYsTable[Code], SummaryTable[[#This Row],[Code]], allFYsTable[year2], EY$3))</f>
        <v>#N/A</v>
      </c>
      <c r="FC13" s="61" t="e">
        <f>IF(COUNTIFS(allFYsTable[Code], SummaryTable[[#This Row],[Code]], allFYsTable[year2], EY$3)=0, NotFound, SUMIFS(allFYsTable[Actual], allFYsTable[Code], SummaryTable[[#This Row],[Code]], allFYsTable[year2], EY$3))</f>
        <v>#N/A</v>
      </c>
      <c r="FD13" s="61" t="e">
        <f>IF(COUNTIFS(allFYsTable[Code], SummaryTable[[#This Row],[Code]], allFYsTable[year2], EY$3)=0, NotFound, SUMIFS(allFYsTable[DiffAmount], allFYsTable[Code], SummaryTable[[#This Row],[Code]], allFYsTable[year2], EY$3))</f>
        <v>#N/A</v>
      </c>
      <c r="FE13" s="63" t="e">
        <f>IF(SummaryTable[[#This Row],[OriginalBudget07]]=0, IF(SummaryTable[[#This Row],[DiffAmount07]]=0, ZeroBudgetNoSpending, ZeroBudgetWithSpending), SummaryTable[[#This Row],[DiffAmount07]]/SummaryTable[[#This Row],[OriginalBudget07]])</f>
        <v>#N/A</v>
      </c>
      <c r="FF13" s="62" t="e">
        <f>IF(COUNTIFS(allFYsTable[Code], SummaryTable[[#This Row],[Code]], allFYsTable[year2], FF$3)=0, NotFound, SUMIFS(allFYsTable[OriginalBudget], allFYsTable[Code], SummaryTable[[#This Row],[Code]], allFYsTable[year2], FF$3))</f>
        <v>#N/A</v>
      </c>
      <c r="FI13" s="61" t="e">
        <f>IF(COUNTIFS(allFYsTable[Code], SummaryTable[[#This Row],[Code]], allFYsTable[year2], FF$3)=0, NotFound, SUMIFS(allFYsTable[RevisedBudget], allFYsTable[Code], SummaryTable[[#This Row],[Code]], allFYsTable[year2], FF$3))</f>
        <v>#N/A</v>
      </c>
      <c r="FJ13" s="61" t="e">
        <f>IF(COUNTIFS(allFYsTable[Code], SummaryTable[[#This Row],[Code]], allFYsTable[year2], FF$3)=0, NotFound, SUMIFS(allFYsTable[Actual], allFYsTable[Code], SummaryTable[[#This Row],[Code]], allFYsTable[year2], FF$3))</f>
        <v>#N/A</v>
      </c>
      <c r="FK13" s="61" t="e">
        <f>IF(COUNTIFS(allFYsTable[Code], SummaryTable[[#This Row],[Code]], allFYsTable[year2], FF$3)=0, NotFound, SUMIFS(allFYsTable[DiffAmount], allFYsTable[Code], SummaryTable[[#This Row],[Code]], allFYsTable[year2], FF$3))</f>
        <v>#N/A</v>
      </c>
      <c r="FL13" s="63" t="e">
        <f>IF(SummaryTable[[#This Row],[OriginalBudget06]]=0, IF(SummaryTable[[#This Row],[DiffAmount06]]=0, ZeroBudgetNoSpending, ZeroBudgetWithSpending), SummaryTable[[#This Row],[DiffAmount06]]/SummaryTable[[#This Row],[OriginalBudget06]])</f>
        <v>#N/A</v>
      </c>
    </row>
    <row r="14" spans="1:168" x14ac:dyDescent="0.45">
      <c r="A14" t="s">
        <v>746</v>
      </c>
      <c r="B14">
        <f>_xlfn.MAXIFS(allFYsTable[year2], allFYsTable[Code], SummaryTable[[#This Row],[Code]])</f>
        <v>2025</v>
      </c>
      <c r="C14" t="str">
        <f>_xlfn.XLOOKUP(SummaryTable[[#This Row],[Code]], NameCodingTable[Code], NameCodingTable[Most Recent Category per allFYs])</f>
        <v>Public safety and justice</v>
      </c>
      <c r="D14" t="str">
        <f>_xlfn.XLOOKUP(SummaryTable[[#This Row],[Code]], NameCodingTable[Code], NameCodingTable[Unit Display Name])</f>
        <v>Commission on Judicial Disabilities and Tenure</v>
      </c>
      <c r="E14" t="str">
        <f>_xlfn.XLOOKUP(SummaryTable[[#This Row],[Code]], NameCodingTable[Code], NameCodingTable[Type])</f>
        <v>agency</v>
      </c>
      <c r="F1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8</v>
      </c>
      <c r="H14" s="54">
        <f>SummaryTable[[#This Row],['# Over]]/SummaryTable[[#This Row],[Count]]</f>
        <v>0.4</v>
      </c>
      <c r="I1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v>
      </c>
      <c r="J14" s="54">
        <f>SummaryTable[[#This Row],['# Under]]/SummaryTable[[#This Row],[Count]]</f>
        <v>0.1</v>
      </c>
      <c r="K1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10</v>
      </c>
      <c r="L14" s="54">
        <f>SummaryTable[[#This Row],['# Equal]]/SummaryTable[[#This Row],[Count]]</f>
        <v>0.5</v>
      </c>
      <c r="M14" s="61">
        <f>SUMIFS(allFYsTable[OriginalBudget],allFYsTable[Code],SummaryTable[[#This Row],[Code]])/SummaryTable[[#This Row],[Count]]</f>
        <v>138.05000000000001</v>
      </c>
      <c r="N14" s="61">
        <f>SUMIFS(allFYsTable[Actual],allFYsTable[Code],SummaryTable[[#This Row],[Code]])/SummaryTable[[#This Row],[Count]]</f>
        <v>152.25</v>
      </c>
      <c r="O14" s="61">
        <f>SummaryTable[[#This Row],[AvgActAmt]]-SummaryTable[[#This Row],[AvgBudAmt]]</f>
        <v>14.199999999999989</v>
      </c>
      <c r="P14" s="54">
        <f>IF(SummaryTable[[#This Row],[AvgBudAmt]]=0, IF(SummaryTable[[#This Row],[AvgDiff'#]]=0, 0, NamedFields!$C$3), SummaryTable[[#This Row],[AvgDiff'#]]/SummaryTable[[#This Row],[AvgBudAmt]])</f>
        <v>0.10286128214415058</v>
      </c>
      <c r="Q14" s="61">
        <f>IFERROR(SUMIFS(allFYsTable[OriginalBudget],allFYsTable[Code],SummaryTable[[#This Row],[Code]],allFYsTable[DiffAmount], "&gt;0")/SummaryTable[[#This Row],['# Over]], 0)</f>
        <v>214.625</v>
      </c>
      <c r="R14" s="61">
        <f>IFERROR(SUMIFS(allFYsTable[Actual],allFYsTable[Code],SummaryTable[[#This Row],[Code]],allFYsTable[DiffAmount], "&gt;0")/SummaryTable[[#This Row],['# Over]], 0)</f>
        <v>254.375</v>
      </c>
      <c r="S14" s="61">
        <f>SummaryTable[[#This Row],[OverAvgAct]]-SummaryTable[[#This Row],[OverAvgBud]]</f>
        <v>39.75</v>
      </c>
      <c r="T14" s="54">
        <f>IF(SummaryTable[[#This Row],[OverAvgBud]]=0, IF(SummaryTable[[#This Row],[OverAvgDiff'#]]=0, ZeroBudgetNoSpending, ZeroBudgetWithSpending), SummaryTable[[#This Row],[OverAvgDiff'#]]/SummaryTable[[#This Row],[OverAvgBud]])</f>
        <v>0.18520675596971461</v>
      </c>
      <c r="U14" s="61">
        <f>IFERROR(SUMIFS(allFYsTable[OriginalBudget],allFYsTable[Code],SummaryTable[[#This Row],[Code]],allFYsTable[DiffAmount], "&lt;0")/SummaryTable[[#This Row],['# Under]], 0)</f>
        <v>180</v>
      </c>
      <c r="V14" s="61">
        <f>IFERROR( SUMIFS(allFYsTable[Actual],allFYsTable[Code],SummaryTable[[#This Row],[Code]],allFYsTable[DiffAmount], "&lt;0")/SummaryTable[[#This Row],['# Under]], 0)</f>
        <v>163</v>
      </c>
      <c r="W14" s="61">
        <f>SummaryTable[[#This Row],[UnderAvgAct]]-SummaryTable[[#This Row],[UnderAvgBud]]</f>
        <v>-17</v>
      </c>
      <c r="X14" s="54">
        <f>IF(SummaryTable[[#This Row],[UnderAvgBud]]=0, IF(SummaryTable[[#This Row],[UnderAvgDiff'#]]=0, ZeroBudgetNoSpending, NamedFields!$C$3), SummaryTable[[#This Row],[UnderAvgDiff'#]]/SummaryTable[[#This Row],[UnderAvgBud]])</f>
        <v>-9.4444444444444442E-2</v>
      </c>
      <c r="Y1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1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 s="54">
        <f>IF(SummaryTable[[#This Row],[IncreaseYears]]=0, ZeroBudgetNoSpending, SummaryTable[[#This Row],[OSinIncreaseYear'#]]/SummaryTable[[#This Row],[IncreaseYears]])</f>
        <v>0</v>
      </c>
      <c r="AB14" s="58" t="str">
        <f>SummaryTable[[#This Row],[Code]]</f>
        <v>DQ0</v>
      </c>
      <c r="AC14" s="62">
        <f>IF(COUNTIFS(allFYsTable[Code], SummaryTable[[#This Row],[Code]], allFYsTable[year2], AC$3)=0, NotFound, SUMIFS(allFYsTable[OriginalBudget], allFYsTable[Code], SummaryTable[[#This Row],[Code]], allFYsTable[year2], AC$3))</f>
        <v>376</v>
      </c>
      <c r="AD14" s="61">
        <f>SummaryTable[[#This Row],[OriginalBudget25]]-SummaryTable[[#This Row],[OriginalBudget24]]</f>
        <v>0</v>
      </c>
      <c r="AE14" s="54">
        <f>SummaryTable[[#This Row],[BudgetIncreaseAmount25]]/SummaryTable[[#This Row],[OriginalBudget24]]</f>
        <v>0</v>
      </c>
      <c r="AF14" s="61">
        <f>IF(COUNTIFS(allFYsTable[Code], SummaryTable[[#This Row],[Code]], allFYsTable[year2], AC$3)=0, NotFound, SUMIFS(allFYsTable[RevisedBudget], allFYsTable[Code], SummaryTable[[#This Row],[Code]], allFYsTable[year2], AC$3))</f>
        <v>388</v>
      </c>
      <c r="AG14" s="61">
        <f>IF(COUNTIFS(allFYsTable[Code], SummaryTable[[#This Row],[Code]], allFYsTable[year2], AC$3)=0, NotFound, SUMIFS(allFYsTable[Actual], allFYsTable[Code], SummaryTable[[#This Row],[Code]], allFYsTable[year2], AC$3))</f>
        <v>388</v>
      </c>
      <c r="AH14" s="61">
        <f>IF(COUNTIFS(allFYsTable[Code], SummaryTable[[#This Row],[Code]], allFYsTable[year2], AC$3)=0, NotFound, SUMIFS(allFYsTable[DiffAmount], allFYsTable[Code], SummaryTable[[#This Row],[Code]], allFYsTable[year2], AC$3))</f>
        <v>12</v>
      </c>
      <c r="AI14" s="63">
        <f>IF(SummaryTable[[#This Row],[OriginalBudget25]]=0, IF(SummaryTable[[#This Row],[DiffAmount25]]=0, ZeroBudgetNoSpending, ZeroBudgetWithSpending), SummaryTable[[#This Row],[DiffAmount25]]/SummaryTable[[#This Row],[OriginalBudget25]])</f>
        <v>3.1914893617021274E-2</v>
      </c>
      <c r="AJ14" s="62">
        <f>IF(COUNTIFS(allFYsTable[Code], SummaryTable[[#This Row],[Code]], allFYsTable[year2], AJ$3)=0, NotFound, SUMIFS(allFYsTable[OriginalBudget], allFYsTable[Code], SummaryTable[[#This Row],[Code]], allFYsTable[year2], AJ$3))</f>
        <v>376</v>
      </c>
      <c r="AK14" s="61">
        <f>SummaryTable[[#This Row],[OriginalBudget24]]-SummaryTable[[#This Row],[OriginalBudget23]]</f>
        <v>-273</v>
      </c>
      <c r="AL14" s="54">
        <f>SummaryTable[[#This Row],[BudgetIncreaseAmount24]]/SummaryTable[[#This Row],[OriginalBudget23]]</f>
        <v>-0.4206471494607088</v>
      </c>
      <c r="AM14" s="61">
        <f>IF(COUNTIFS(allFYsTable[Code], SummaryTable[[#This Row],[Code]], allFYsTable[year2], AK$3)=0, NotFound, SUMIFS(allFYsTable[RevisedBudget], allFYsTable[Code], SummaryTable[[#This Row],[Code]], allFYsTable[year2], AJ$3))</f>
        <v>644</v>
      </c>
      <c r="AN14" s="61">
        <f>IF(COUNTIFS(allFYsTable[Code], SummaryTable[[#This Row],[Code]], allFYsTable[year2], AJ$3)=0, NotFound, SUMIFS(allFYsTable[Actual], allFYsTable[Code], SummaryTable[[#This Row],[Code]], allFYsTable[year2], AJ$3))</f>
        <v>644</v>
      </c>
      <c r="AO14" s="61">
        <f>IF(COUNTIFS(allFYsTable[Code], SummaryTable[[#This Row],[Code]], allFYsTable[year2], AJ$3)=0, NotFound, SUMIFS(allFYsTable[DiffAmount], allFYsTable[Code], SummaryTable[[#This Row],[Code]], allFYsTable[year2], AJ$3))</f>
        <v>268</v>
      </c>
      <c r="AP14" s="63">
        <f>IF(SummaryTable[[#This Row],[OriginalBudget24]]=0, IF(SummaryTable[[#This Row],[DiffAmount24]]=0, ZeroBudgetNoSpending, ZeroBudgetWithSpending), SummaryTable[[#This Row],[DiffAmount24]]/SummaryTable[[#This Row],[OriginalBudget24]])</f>
        <v>0.71276595744680848</v>
      </c>
      <c r="AQ14" s="62">
        <f>IF(COUNTIFS(allFYsTable[Code], SummaryTable[[#This Row],[Code]], allFYsTable[year2], AQ$3)=0, NotFound, SUMIFS(allFYsTable[OriginalBudget], allFYsTable[Code], SummaryTable[[#This Row],[Code]], allFYsTable[year2], AQ$3))</f>
        <v>649</v>
      </c>
      <c r="AR14" s="61">
        <f>SummaryTable[[#This Row],[OriginalBudget23]]-SummaryTable[[#This Row],[OriginalBudget22]]</f>
        <v>584</v>
      </c>
      <c r="AS14" s="54">
        <f>SummaryTable[[#This Row],[BudgetIncreaseAmount23]]/SummaryTable[[#This Row],[OriginalBudget22]]</f>
        <v>8.9846153846153847</v>
      </c>
      <c r="AT14" s="61">
        <f>IF(COUNTIFS(allFYsTable[Code], SummaryTable[[#This Row],[Code]], allFYsTable[year2], AQ$3)=0, NotFound, SUMIFS(allFYsTable[RevisedBudget], allFYsTable[Code], SummaryTable[[#This Row],[Code]], allFYsTable[year2], AQ$3))</f>
        <v>649</v>
      </c>
      <c r="AU14" s="61">
        <f>IF(COUNTIFS(allFYsTable[Code], SummaryTable[[#This Row],[Code]], allFYsTable[year2], AQ$3)=0, NotFound, SUMIFS(allFYsTable[Actual], allFYsTable[Code], SummaryTable[[#This Row],[Code]], allFYsTable[year2], AQ$3))</f>
        <v>649</v>
      </c>
      <c r="AV14" s="61">
        <f>IF(COUNTIFS(allFYsTable[Code], SummaryTable[[#This Row],[Code]], allFYsTable[year2], AQ$3)=0, NotFound, SUMIFS(allFYsTable[DiffAmount], allFYsTable[Code], SummaryTable[[#This Row],[Code]], allFYsTable[year2], AQ$3))</f>
        <v>0</v>
      </c>
      <c r="AW14" s="63">
        <f>IF(SummaryTable[[#This Row],[OriginalBudget23]]=0, IF(SummaryTable[[#This Row],[DiffAmount23]]=0, ZeroBudgetNoSpending, ZeroBudgetWithSpending), SummaryTable[[#This Row],[DiffAmount23]]/SummaryTable[[#This Row],[OriginalBudget23]])</f>
        <v>0</v>
      </c>
      <c r="AX14" s="62">
        <f>IF(COUNTIFS(allFYsTable[Code], SummaryTable[[#This Row],[Code]], allFYsTable[year2], AX$3)=0, NotFound, SUMIFS(allFYsTable[OriginalBudget], allFYsTable[Code], SummaryTable[[#This Row],[Code]], allFYsTable[year2], AX$3))</f>
        <v>65</v>
      </c>
      <c r="AY14" s="61">
        <f>SummaryTable[[#This Row],[OriginalBudget22]]-SummaryTable[[#This Row],[OriginalBudget21]]</f>
        <v>-17</v>
      </c>
      <c r="AZ14" s="54">
        <f>SummaryTable[[#This Row],[BudgetIncreaseAmount22]]/SummaryTable[[#This Row],[OriginalBudget21]]</f>
        <v>-0.2073170731707317</v>
      </c>
      <c r="BA14" s="61">
        <f>IF(COUNTIFS(allFYsTable[Code], SummaryTable[[#This Row],[Code]], allFYsTable[year2], AX$3)=0, NotFound, SUMIFS(allFYsTable[RevisedBudget], allFYsTable[Code], SummaryTable[[#This Row],[Code]], allFYsTable[year2], AX$3))</f>
        <v>65</v>
      </c>
      <c r="BB14" s="61">
        <f>IF(COUNTIFS(allFYsTable[Code], SummaryTable[[#This Row],[Code]], allFYsTable[year2], AX$3)=0, NotFound, SUMIFS(allFYsTable[Actual], allFYsTable[Code], SummaryTable[[#This Row],[Code]], allFYsTable[year2], AX$3))</f>
        <v>54</v>
      </c>
      <c r="BC14" s="61">
        <f>IF(COUNTIFS(allFYsTable[Code], SummaryTable[[#This Row],[Code]], allFYsTable[year2], AX$3)=0, NotFound, SUMIFS(allFYsTable[DiffAmount], allFYsTable[Code], SummaryTable[[#This Row],[Code]], allFYsTable[year2], AX$3))</f>
        <v>-11</v>
      </c>
      <c r="BD14" s="63">
        <f>IF(SummaryTable[[#This Row],[OriginalBudget22]]=0, IF(SummaryTable[[#This Row],[DiffAmount22]]=0, ZeroBudgetNoSpending, ZeroBudgetWithSpending), SummaryTable[[#This Row],[DiffAmount22]]/SummaryTable[[#This Row],[OriginalBudget22]])</f>
        <v>-0.16923076923076924</v>
      </c>
      <c r="BE14" s="62">
        <f>IF(COUNTIFS(allFYsTable[Code], SummaryTable[[#This Row],[Code]], allFYsTable[year2], BE$3)=0, NotFound, SUMIFS(allFYsTable[OriginalBudget], allFYsTable[Code], SummaryTable[[#This Row],[Code]], allFYsTable[year2], BE$3))</f>
        <v>82</v>
      </c>
      <c r="BF14" s="61">
        <f>SummaryTable[[#This Row],[OriginalBudget21]]-SummaryTable[[#This Row],[OriginalBudget20]]</f>
        <v>47</v>
      </c>
      <c r="BG14" s="54">
        <f>SummaryTable[[#This Row],[BudgetIncreaseAmount21]]/SummaryTable[[#This Row],[OriginalBudget20]]</f>
        <v>1.3428571428571427</v>
      </c>
      <c r="BH14" s="61">
        <f>IF(COUNTIFS(allFYsTable[Code], SummaryTable[[#This Row],[Code]], allFYsTable[year2], BE$3)=0, NotFound, SUMIFS(allFYsTable[RevisedBudget], allFYsTable[Code], SummaryTable[[#This Row],[Code]], allFYsTable[year2], BE$3))</f>
        <v>82</v>
      </c>
      <c r="BI14" s="61">
        <f>IF(COUNTIFS(allFYsTable[Code], SummaryTable[[#This Row],[Code]], allFYsTable[year2], BE$3)=0, NotFound, SUMIFS(allFYsTable[Actual], allFYsTable[Code], SummaryTable[[#This Row],[Code]], allFYsTable[year2], BE$3))</f>
        <v>68</v>
      </c>
      <c r="BJ14" s="61">
        <f>IF(COUNTIFS(allFYsTable[Code], SummaryTable[[#This Row],[Code]], allFYsTable[year2], BE$3)=0, NotFound, SUMIFS(allFYsTable[DiffAmount], allFYsTable[Code], SummaryTable[[#This Row],[Code]], allFYsTable[year2], BE$3))</f>
        <v>-14</v>
      </c>
      <c r="BK14" s="63">
        <f>IF(SummaryTable[[#This Row],[OriginalBudget21]]=0, IF(SummaryTable[[#This Row],[DiffAmount21]]=0, ZeroBudgetNoSpending, ZeroBudgetWithSpending), SummaryTable[[#This Row],[DiffAmount21]]/SummaryTable[[#This Row],[OriginalBudget21]])</f>
        <v>-0.17073170731707318</v>
      </c>
      <c r="BL14" s="62">
        <f>IF(COUNTIFS(allFYsTable[Code], SummaryTable[[#This Row],[Code]], allFYsTable[year2], BL$3)=0, NotFound, SUMIFS(allFYsTable[OriginalBudget], allFYsTable[Code], SummaryTable[[#This Row],[Code]], allFYsTable[year2], BL$3))</f>
        <v>35</v>
      </c>
      <c r="BM14" s="61">
        <f>SummaryTable[[#This Row],[OriginalBudget20]]-SummaryTable[[#This Row],[OriginalBudget19]]</f>
        <v>35</v>
      </c>
      <c r="BN14" s="54" t="e">
        <f>SummaryTable[[#This Row],[BudgetIncreaseAmount20]]/SummaryTable[[#This Row],[OriginalBudget19]]</f>
        <v>#DIV/0!</v>
      </c>
      <c r="BO14" s="61">
        <f>IF(COUNTIFS(allFYsTable[Code], SummaryTable[[#This Row],[Code]], allFYsTable[year2], BL$3)=0, NotFound, SUMIFS(allFYsTable[RevisedBudget], allFYsTable[Code], SummaryTable[[#This Row],[Code]], allFYsTable[year2], BL$3))</f>
        <v>35</v>
      </c>
      <c r="BP14" s="61">
        <f>IF(COUNTIFS(allFYsTable[Code], SummaryTable[[#This Row],[Code]], allFYsTable[year2], BL$3)=0, NotFound, SUMIFS(allFYsTable[Actual], allFYsTable[Code], SummaryTable[[#This Row],[Code]], allFYsTable[year2], BL$3))</f>
        <v>35</v>
      </c>
      <c r="BQ14" s="61">
        <f>IF(COUNTIFS(allFYsTable[Code], SummaryTable[[#This Row],[Code]], allFYsTable[year2], BL$3)=0, NotFound, SUMIFS(allFYsTable[DiffAmount], allFYsTable[Code], SummaryTable[[#This Row],[Code]], allFYsTable[year2], BL$3))</f>
        <v>0</v>
      </c>
      <c r="BR14" s="63">
        <f>IF(SummaryTable[[#This Row],[OriginalBudget20]]=0, IF(SummaryTable[[#This Row],[DiffAmount20]]=0, ZeroBudgetNoSpending, ZeroBudgetWithSpending), SummaryTable[[#This Row],[DiffAmount20]]/SummaryTable[[#This Row],[OriginalBudget20]])</f>
        <v>0</v>
      </c>
      <c r="BS14" s="62">
        <f>IF(COUNTIFS(allFYsTable[Code], SummaryTable[[#This Row],[Code]], allFYsTable[year2], BS$3)=0, NotFound, SUMIFS(allFYsTable[OriginalBudget], allFYsTable[Code], SummaryTable[[#This Row],[Code]], allFYsTable[year2], BS$3))</f>
        <v>0</v>
      </c>
      <c r="BT14" s="61">
        <f>SummaryTable[[#This Row],[OriginalBudget19]]-SummaryTable[[#This Row],[OriginalBudget18]]</f>
        <v>0</v>
      </c>
      <c r="BU14" s="54" t="e">
        <f>SummaryTable[[#This Row],[BudgetIncreaseAmount19]]/SummaryTable[[#This Row],[OriginalBudget18]]</f>
        <v>#DIV/0!</v>
      </c>
      <c r="BV14" s="61">
        <f>IF(COUNTIFS(allFYsTable[Code], SummaryTable[[#This Row],[Code]], allFYsTable[year2], BS$3)=0, NotFound, SUMIFS(allFYsTable[RevisedBudget], allFYsTable[Code], SummaryTable[[#This Row],[Code]], allFYsTable[year2], BS$3))</f>
        <v>9</v>
      </c>
      <c r="BW14" s="61">
        <f>IF(COUNTIFS(allFYsTable[Code], SummaryTable[[#This Row],[Code]], allFYsTable[year2], BS$3)=0, NotFound, SUMIFS(allFYsTable[Actual], allFYsTable[Code], SummaryTable[[#This Row],[Code]], allFYsTable[year2], BS$3))</f>
        <v>9</v>
      </c>
      <c r="BX14" s="61">
        <f>IF(COUNTIFS(allFYsTable[Code], SummaryTable[[#This Row],[Code]], allFYsTable[year2], BS$3)=0, NotFound, SUMIFS(allFYsTable[DiffAmount], allFYsTable[Code], SummaryTable[[#This Row],[Code]], allFYsTable[year2], BS$3))</f>
        <v>9</v>
      </c>
      <c r="BY14" s="63">
        <f>IF(SummaryTable[[#This Row],[OriginalBudget19]]=0, IF(SummaryTable[[#This Row],[DiffAmount19]]=0, ZeroBudgetNoSpending, ZeroBudgetWithSpending), SummaryTable[[#This Row],[DiffAmount19]]/SummaryTable[[#This Row],[OriginalBudget19]])</f>
        <v>99.99</v>
      </c>
      <c r="BZ14" s="62">
        <f>IF(COUNTIFS(allFYsTable[Code], SummaryTable[[#This Row],[Code]], allFYsTable[year2], BZ$3)=0, NotFound, SUMIFS(allFYsTable[OriginalBudget], allFYsTable[Code], SummaryTable[[#This Row],[Code]], allFYsTable[year2], BZ$3))</f>
        <v>0</v>
      </c>
      <c r="CA14" s="61">
        <f>SummaryTable[[#This Row],[OriginalBudget18]]-SummaryTable[[#This Row],[OriginalBudget17]]</f>
        <v>0</v>
      </c>
      <c r="CB14" s="54" t="e">
        <f>SummaryTable[[#This Row],[BudgetIncreaseAmount18]]/SummaryTable[[#This Row],[OriginalBudget17]]</f>
        <v>#DIV/0!</v>
      </c>
      <c r="CC14" s="61">
        <f>IF(COUNTIFS(allFYsTable[Code], SummaryTable[[#This Row],[Code]], allFYsTable[year2], BZ$3)=0, NotFound, SUMIFS(allFYsTable[RevisedBudget], allFYsTable[Code], SummaryTable[[#This Row],[Code]], allFYsTable[year2], BZ$3))</f>
        <v>20</v>
      </c>
      <c r="CD14" s="61">
        <f>IF(COUNTIFS(allFYsTable[Code], SummaryTable[[#This Row],[Code]], allFYsTable[year2], BZ$3)=0, NotFound, SUMIFS(allFYsTable[Actual], allFYsTable[Code], SummaryTable[[#This Row],[Code]], allFYsTable[year2], BZ$3))</f>
        <v>8</v>
      </c>
      <c r="CE14" s="61">
        <f>IF(COUNTIFS(allFYsTable[Code], SummaryTable[[#This Row],[Code]], allFYsTable[year2], BZ$3)=0, NotFound, SUMIFS(allFYsTable[DiffAmount], allFYsTable[Code], SummaryTable[[#This Row],[Code]], allFYsTable[year2], BZ$3))</f>
        <v>8</v>
      </c>
      <c r="CF14" s="63">
        <f>IF(SummaryTable[[#This Row],[OriginalBudget18]]=0, IF(SummaryTable[[#This Row],[DiffAmount18]]=0, ZeroBudgetNoSpending, ZeroBudgetWithSpending), SummaryTable[[#This Row],[DiffAmount18]]/SummaryTable[[#This Row],[OriginalBudget18]])</f>
        <v>99.99</v>
      </c>
      <c r="CG14" s="62">
        <f>IF(COUNTIFS(allFYsTable[Code], SummaryTable[[#This Row],[Code]], allFYsTable[year2], CG$3)=0, NotFound, SUMIFS(allFYsTable[OriginalBudget], allFYsTable[Code], SummaryTable[[#This Row],[Code]], allFYsTable[year2], CG$3))</f>
        <v>0</v>
      </c>
      <c r="CH14" s="61">
        <f>SummaryTable[[#This Row],[OriginalBudget17]]-SummaryTable[[#This Row],[OriginalBudget16]]</f>
        <v>0</v>
      </c>
      <c r="CI14" s="54" t="e">
        <f>SummaryTable[[#This Row],[BudgetIncreaseAmount17]]/SummaryTable[[#This Row],[OriginalBudget16]]</f>
        <v>#DIV/0!</v>
      </c>
      <c r="CJ14" s="61">
        <f>IF(COUNTIFS(allFYsTable[Code], SummaryTable[[#This Row],[Code]], allFYsTable[year2], CG$3)=0, NotFound, SUMIFS(allFYsTable[RevisedBudget], allFYsTable[Code], SummaryTable[[#This Row],[Code]], allFYsTable[year2], CG$3))</f>
        <v>0</v>
      </c>
      <c r="CK14" s="61">
        <f>IF(COUNTIFS(allFYsTable[Code], SummaryTable[[#This Row],[Code]], allFYsTable[year2], CG$3)=0, NotFound, SUMIFS(allFYsTable[Actual], allFYsTable[Code], SummaryTable[[#This Row],[Code]], allFYsTable[year2], CG$3))</f>
        <v>0</v>
      </c>
      <c r="CL14" s="61">
        <f>IF(COUNTIFS(allFYsTable[Code], SummaryTable[[#This Row],[Code]], allFYsTable[year2], CG$3)=0, NotFound, SUMIFS(allFYsTable[DiffAmount], allFYsTable[Code], SummaryTable[[#This Row],[Code]], allFYsTable[year2], CG$3))</f>
        <v>0</v>
      </c>
      <c r="CM14" s="63">
        <f>IF(SummaryTable[[#This Row],[OriginalBudget17]]=0, IF(SummaryTable[[#This Row],[DiffAmount17]]=0, ZeroBudgetNoSpending, ZeroBudgetWithSpending), SummaryTable[[#This Row],[DiffAmount17]]/SummaryTable[[#This Row],[OriginalBudget17]])</f>
        <v>0</v>
      </c>
      <c r="CN14" s="62">
        <f>IF(COUNTIFS(allFYsTable[Code], SummaryTable[[#This Row],[Code]], allFYsTable[year2], CN$3)=0, NotFound, SUMIFS(allFYsTable[OriginalBudget], allFYsTable[Code], SummaryTable[[#This Row],[Code]], allFYsTable[year2], CN$3))</f>
        <v>0</v>
      </c>
      <c r="CO14" s="61">
        <f>SummaryTable[[#This Row],[OriginalBudget16]]-SummaryTable[[#This Row],[OriginalBudget15]]</f>
        <v>0</v>
      </c>
      <c r="CP14" s="54" t="e">
        <f>SummaryTable[[#This Row],[BudgetIncreaseAmount16]]/SummaryTable[[#This Row],[OriginalBudget15]]</f>
        <v>#DIV/0!</v>
      </c>
      <c r="CQ14" s="61">
        <f>IF(COUNTIFS(allFYsTable[Code], SummaryTable[[#This Row],[Code]], allFYsTable[year2], CN$3)=0, NotFound, SUMIFS(allFYsTable[RevisedBudget], allFYsTable[Code], SummaryTable[[#This Row],[Code]], allFYsTable[year2], CN$3))</f>
        <v>0</v>
      </c>
      <c r="CR14" s="61">
        <f>IF(COUNTIFS(allFYsTable[Code], SummaryTable[[#This Row],[Code]], allFYsTable[year2], CN$3)=0, NotFound, SUMIFS(allFYsTable[Actual], allFYsTable[Code], SummaryTable[[#This Row],[Code]], allFYsTable[year2], CN$3))</f>
        <v>0</v>
      </c>
      <c r="CS14" s="61">
        <f>IF(COUNTIFS(allFYsTable[Code], SummaryTable[[#This Row],[Code]], allFYsTable[year2], CN$3)=0, NotFound, SUMIFS(allFYsTable[DiffAmount], allFYsTable[Code], SummaryTable[[#This Row],[Code]], allFYsTable[year2], CN$3))</f>
        <v>0</v>
      </c>
      <c r="CT14" s="63">
        <f>IF(SummaryTable[[#This Row],[OriginalBudget16]]=0, IF(SummaryTable[[#This Row],[DiffAmount16]]=0, ZeroBudgetNoSpending, ZeroBudgetWithSpending), SummaryTable[[#This Row],[DiffAmount16]]/SummaryTable[[#This Row],[OriginalBudget16]])</f>
        <v>0</v>
      </c>
      <c r="CU14" s="62">
        <f>IF(COUNTIFS(allFYsTable[Code], SummaryTable[[#This Row],[Code]], allFYsTable[year2], CU$3)=0, NotFound, SUMIFS(allFYsTable[OriginalBudget], allFYsTable[Code], SummaryTable[[#This Row],[Code]], allFYsTable[year2], CU$3))</f>
        <v>0</v>
      </c>
      <c r="CV14" s="61">
        <f>SummaryTable[[#This Row],[OriginalBudget15]]-SummaryTable[[#This Row],[OriginalBudget14]]</f>
        <v>0</v>
      </c>
      <c r="CW14" s="54" t="e">
        <f>SummaryTable[[#This Row],[BudgetIncreaseAmount15]]/SummaryTable[[#This Row],[OriginalBudget14]]</f>
        <v>#DIV/0!</v>
      </c>
      <c r="CX14" s="61">
        <f>IF(COUNTIFS(allFYsTable[Code], SummaryTable[[#This Row],[Code]], allFYsTable[year2], CU$3)=0, NotFound, SUMIFS(allFYsTable[RevisedBudget], allFYsTable[Code], SummaryTable[[#This Row],[Code]], allFYsTable[year2], CU$3))</f>
        <v>0</v>
      </c>
      <c r="CY14" s="61">
        <f>IF(COUNTIFS(allFYsTable[Code], SummaryTable[[#This Row],[Code]], allFYsTable[year2], CU$3)=0, NotFound, SUMIFS(allFYsTable[Actual], allFYsTable[Code], SummaryTable[[#This Row],[Code]], allFYsTable[year2], CU$3))</f>
        <v>0</v>
      </c>
      <c r="CZ14" s="61">
        <f>IF(COUNTIFS(allFYsTable[Code], SummaryTable[[#This Row],[Code]], allFYsTable[year2], CU$3)=0, NotFound, SUMIFS(allFYsTable[DiffAmount], allFYsTable[Code], SummaryTable[[#This Row],[Code]], allFYsTable[year2], CU$3))</f>
        <v>0</v>
      </c>
      <c r="DA14" s="63">
        <f>IF(SummaryTable[[#This Row],[OriginalBudget15]]=0, IF(SummaryTable[[#This Row],[DiffAmount15]]=0, ZeroBudgetNoSpending, ZeroBudgetWithSpending), SummaryTable[[#This Row],[DiffAmount15]]/SummaryTable[[#This Row],[OriginalBudget15]])</f>
        <v>0</v>
      </c>
      <c r="DB14" s="62">
        <f>IF(COUNTIFS(allFYsTable[Code], SummaryTable[[#This Row],[Code]], allFYsTable[year2], DB$3)=0, NotFound, SUMIFS(allFYsTable[OriginalBudget], allFYsTable[Code], SummaryTable[[#This Row],[Code]], allFYsTable[year2], DB$3))</f>
        <v>0</v>
      </c>
      <c r="DC14" s="61">
        <f>SummaryTable[[#This Row],[OriginalBudget14]]-SummaryTable[[#This Row],[OriginalBudget13]]</f>
        <v>0</v>
      </c>
      <c r="DD14" s="54" t="e">
        <f>SummaryTable[[#This Row],[BudgetIncreaseAmount14]]/SummaryTable[[#This Row],[OriginalBudget13]]</f>
        <v>#DIV/0!</v>
      </c>
      <c r="DE14" s="61">
        <f>IF(COUNTIFS(allFYsTable[Code], SummaryTable[[#This Row],[Code]], allFYsTable[year2], DB$3)=0, NotFound, SUMIFS(allFYsTable[RevisedBudget], allFYsTable[Code], SummaryTable[[#This Row],[Code]], allFYsTable[year2], DB$3))</f>
        <v>0</v>
      </c>
      <c r="DF14" s="61">
        <f>IF(COUNTIFS(allFYsTable[Code], SummaryTable[[#This Row],[Code]], allFYsTable[year2], DB$3)=0, NotFound, SUMIFS(allFYsTable[Actual], allFYsTable[Code], SummaryTable[[#This Row],[Code]], allFYsTable[year2], DB$3))</f>
        <v>0</v>
      </c>
      <c r="DG14" s="61">
        <f>IF(COUNTIFS(allFYsTable[Code], SummaryTable[[#This Row],[Code]], allFYsTable[year2], DB$3)=0, NotFound, SUMIFS(allFYsTable[DiffAmount], allFYsTable[Code], SummaryTable[[#This Row],[Code]], allFYsTable[year2], DB$3))</f>
        <v>0</v>
      </c>
      <c r="DH14" s="63">
        <f>IF(SummaryTable[[#This Row],[OriginalBudget14]]=0, IF(SummaryTable[[#This Row],[DiffAmount14]]=0, ZeroBudgetNoSpending, ZeroBudgetWithSpending), SummaryTable[[#This Row],[DiffAmount14]]/SummaryTable[[#This Row],[OriginalBudget14]])</f>
        <v>0</v>
      </c>
      <c r="DI14" s="62">
        <f>IF(COUNTIFS(allFYsTable[Code], SummaryTable[[#This Row],[Code]], allFYsTable[year2], DI$3)=0, NotFound, SUMIFS(allFYsTable[OriginalBudget], allFYsTable[Code], SummaryTable[[#This Row],[Code]], allFYsTable[year2], DI$3))</f>
        <v>0</v>
      </c>
      <c r="DJ14" s="61">
        <f>SummaryTable[[#This Row],[OriginalBudget13]]-SummaryTable[[#This Row],[OriginalBudget12]]</f>
        <v>0</v>
      </c>
      <c r="DK14" s="54" t="e">
        <f>SummaryTable[[#This Row],[BudgetIncreaseAmount13]]/SummaryTable[[#This Row],[OriginalBudget12]]</f>
        <v>#DIV/0!</v>
      </c>
      <c r="DL14" s="61">
        <f>IF(COUNTIFS(allFYsTable[Code], SummaryTable[[#This Row],[Code]], allFYsTable[year2], DI$3)=0, NotFound, SUMIFS(allFYsTable[RevisedBudget], allFYsTable[Code], SummaryTable[[#This Row],[Code]], allFYsTable[year2], DI$3))</f>
        <v>0</v>
      </c>
      <c r="DM14" s="61">
        <f>IF(COUNTIFS(allFYsTable[Code], SummaryTable[[#This Row],[Code]], allFYsTable[year2], DI$3)=0, NotFound, SUMIFS(allFYsTable[Actual], allFYsTable[Code], SummaryTable[[#This Row],[Code]], allFYsTable[year2], DI$3))</f>
        <v>0</v>
      </c>
      <c r="DN14" s="61">
        <f>IF(COUNTIFS(allFYsTable[Code], SummaryTable[[#This Row],[Code]], allFYsTable[year2], DI$3)=0, NotFound, SUMIFS(allFYsTable[DiffAmount], allFYsTable[Code], SummaryTable[[#This Row],[Code]], allFYsTable[year2], DI$3))</f>
        <v>0</v>
      </c>
      <c r="DO14" s="63">
        <f>IF(SummaryTable[[#This Row],[OriginalBudget13]]=0, IF(SummaryTable[[#This Row],[DiffAmount13]]=0, ZeroBudgetNoSpending, ZeroBudgetWithSpending), SummaryTable[[#This Row],[DiffAmount13]]/SummaryTable[[#This Row],[OriginalBudget13]])</f>
        <v>0</v>
      </c>
      <c r="DP14" s="62">
        <f>IF(COUNTIFS(allFYsTable[Code], SummaryTable[[#This Row],[Code]], allFYsTable[year2], DP$3)=0, NotFound, SUMIFS(allFYsTable[OriginalBudget], allFYsTable[Code], SummaryTable[[#This Row],[Code]], allFYsTable[year2], DP$3))</f>
        <v>0</v>
      </c>
      <c r="DQ14" s="61">
        <f>SummaryTable[[#This Row],[OriginalBudget12]]-SummaryTable[[#This Row],[OriginalBudget11]]</f>
        <v>0</v>
      </c>
      <c r="DR14" s="54" t="e">
        <f>SummaryTable[[#This Row],[BudgetIncreaseAmount12]]/SummaryTable[[#This Row],[OriginalBudget11]]</f>
        <v>#DIV/0!</v>
      </c>
      <c r="DS14" s="61">
        <f>IF(COUNTIFS(allFYsTable[Code], SummaryTable[[#This Row],[Code]], allFYsTable[year2], DP$3)=0, NotFound, SUMIFS(allFYsTable[RevisedBudget], allFYsTable[Code], SummaryTable[[#This Row],[Code]], allFYsTable[year2], DP$3))</f>
        <v>0</v>
      </c>
      <c r="DT14" s="61">
        <f>IF(COUNTIFS(allFYsTable[Code], SummaryTable[[#This Row],[Code]], allFYsTable[year2], DP$3)=0, NotFound, SUMIFS(allFYsTable[Actual], allFYsTable[Code], SummaryTable[[#This Row],[Code]], allFYsTable[year2], DP$3))</f>
        <v>0</v>
      </c>
      <c r="DU14" s="61">
        <f>IF(COUNTIFS(allFYsTable[Code], SummaryTable[[#This Row],[Code]], allFYsTable[year2], DP$3)=0, NotFound, SUMIFS(allFYsTable[DiffAmount], allFYsTable[Code], SummaryTable[[#This Row],[Code]], allFYsTable[year2], DP$3))</f>
        <v>0</v>
      </c>
      <c r="DV14" s="63">
        <f>IF(SummaryTable[[#This Row],[OriginalBudget12]]=0, IF(SummaryTable[[#This Row],[DiffAmount12]]=0, ZeroBudgetNoSpending, ZeroBudgetWithSpending), SummaryTable[[#This Row],[DiffAmount12]]/SummaryTable[[#This Row],[OriginalBudget12]])</f>
        <v>0</v>
      </c>
      <c r="DW14" s="62">
        <f>IF(COUNTIFS(allFYsTable[Code], SummaryTable[[#This Row],[Code]], allFYsTable[year2], DW$3)=0, NotFound, SUMIFS(allFYsTable[OriginalBudget], allFYsTable[Code], SummaryTable[[#This Row],[Code]], allFYsTable[year2], DW$3))</f>
        <v>0</v>
      </c>
      <c r="DX14" s="61">
        <f>SummaryTable[[#This Row],[OriginalBudget11]]-SummaryTable[[#This Row],[OriginalBudget10]]</f>
        <v>0</v>
      </c>
      <c r="DY14" s="54" t="e">
        <f>SummaryTable[[#This Row],[BudgetIncreaseAmount11]]/SummaryTable[[#This Row],[OriginalBudget10]]</f>
        <v>#DIV/0!</v>
      </c>
      <c r="DZ14" s="61">
        <f>IF(COUNTIFS(allFYsTable[Code], SummaryTable[[#This Row],[Code]], allFYsTable[year2], DW$3)=0, NotFound, SUMIFS(allFYsTable[RevisedBudget], allFYsTable[Code], SummaryTable[[#This Row],[Code]], allFYsTable[year2], DW$3))</f>
        <v>0</v>
      </c>
      <c r="EA14" s="61">
        <f>IF(COUNTIFS(allFYsTable[Code], SummaryTable[[#This Row],[Code]], allFYsTable[year2], DW$3)=0, NotFound, SUMIFS(allFYsTable[Actual], allFYsTable[Code], SummaryTable[[#This Row],[Code]], allFYsTable[year2], DW$3))</f>
        <v>0</v>
      </c>
      <c r="EB14" s="61">
        <f>IF(COUNTIFS(allFYsTable[Code], SummaryTable[[#This Row],[Code]], allFYsTable[year2], DW$3)=0, NotFound, SUMIFS(allFYsTable[DiffAmount], allFYsTable[Code], SummaryTable[[#This Row],[Code]], allFYsTable[year2], DW$3))</f>
        <v>0</v>
      </c>
      <c r="EC14" s="63">
        <f>IF(SummaryTable[[#This Row],[OriginalBudget11]]=0, IF(SummaryTable[[#This Row],[DiffAmount11]]=0, ZeroBudgetNoSpending, ZeroBudgetWithSpending), SummaryTable[[#This Row],[DiffAmount11]]/SummaryTable[[#This Row],[OriginalBudget11]])</f>
        <v>0</v>
      </c>
      <c r="ED14" s="62">
        <f>IF(COUNTIFS(allFYsTable[Code], SummaryTable[[#This Row],[Code]], allFYsTable[year2], ED$3)=0, NotFound, SUMIFS(allFYsTable[OriginalBudget], allFYsTable[Code], SummaryTable[[#This Row],[Code]], allFYsTable[year2], ED$3))</f>
        <v>0</v>
      </c>
      <c r="EE14" s="61">
        <f>SummaryTable[[#This Row],[OriginalBudget10]]-SummaryTable[[#This Row],[OriginalBudget09]]</f>
        <v>-271</v>
      </c>
      <c r="EF14" s="54">
        <f>SummaryTable[[#This Row],[BudgetIncreaseAmount10]]/SummaryTable[[#This Row],[OriginalBudget09]]</f>
        <v>-1</v>
      </c>
      <c r="EG14" s="61">
        <f>IF(COUNTIFS(allFYsTable[Code], SummaryTable[[#This Row],[Code]], allFYsTable[year2], ED$3)=0, NotFound, SUMIFS(allFYsTable[RevisedBudget], allFYsTable[Code], SummaryTable[[#This Row],[Code]], allFYsTable[year2], ED$3))</f>
        <v>0</v>
      </c>
      <c r="EH14" s="61">
        <f>IF(COUNTIFS(allFYsTable[Code], SummaryTable[[#This Row],[Code]], allFYsTable[year2], ED$3)=0, NotFound, SUMIFS(allFYsTable[Actual], allFYsTable[Code], SummaryTable[[#This Row],[Code]], allFYsTable[year2], ED$3))</f>
        <v>0</v>
      </c>
      <c r="EI14" s="61">
        <f>IF(COUNTIFS(allFYsTable[Code], SummaryTable[[#This Row],[Code]], allFYsTable[year2], ED$3)=0, NotFound, SUMIFS(allFYsTable[DiffAmount], allFYsTable[Code], SummaryTable[[#This Row],[Code]], allFYsTable[year2], ED$3))</f>
        <v>0</v>
      </c>
      <c r="EJ14" s="63">
        <f>IF(SummaryTable[[#This Row],[OriginalBudget10]]=0, IF(SummaryTable[[#This Row],[DiffAmount10]]=0, ZeroBudgetNoSpending, ZeroBudgetWithSpending), SummaryTable[[#This Row],[DiffAmount10]]/SummaryTable[[#This Row],[OriginalBudget10]])</f>
        <v>0</v>
      </c>
      <c r="EK14" s="62">
        <f>IF(COUNTIFS(allFYsTable[Code], SummaryTable[[#This Row],[Code]], allFYsTable[year2], EK$3)=0, NotFound, SUMIFS(allFYsTable[OriginalBudget], allFYsTable[Code], SummaryTable[[#This Row],[Code]], allFYsTable[year2], EK$3))</f>
        <v>271</v>
      </c>
      <c r="EL14" s="61">
        <f>SummaryTable[[#This Row],[OriginalBudget09]]-SummaryTable[[#This Row],[OriginalBudget08]]</f>
        <v>23</v>
      </c>
      <c r="EM14" s="54">
        <f>SummaryTable[[#This Row],[BudgetIncreaseAmount09]]/SummaryTable[[#This Row],[OriginalBudget08]]</f>
        <v>9.2741935483870969E-2</v>
      </c>
      <c r="EN14" s="61">
        <f>IF(COUNTIFS(allFYsTable[Code], SummaryTable[[#This Row],[Code]], allFYsTable[year2], EK$3)=0, NotFound, SUMIFS(allFYsTable[RevisedBudget], allFYsTable[Code], SummaryTable[[#This Row],[Code]], allFYsTable[year2], EK$3))</f>
        <v>275</v>
      </c>
      <c r="EO14" s="61">
        <f>IF(COUNTIFS(allFYsTable[Code], SummaryTable[[#This Row],[Code]], allFYsTable[year2], EK$3)=0, NotFound, SUMIFS(allFYsTable[Actual], allFYsTable[Code], SummaryTable[[#This Row],[Code]], allFYsTable[year2], EK$3))</f>
        <v>272</v>
      </c>
      <c r="EP14" s="61">
        <f>IF(COUNTIFS(allFYsTable[Code], SummaryTable[[#This Row],[Code]], allFYsTable[year2], EK$3)=0, NotFound, SUMIFS(allFYsTable[DiffAmount], allFYsTable[Code], SummaryTable[[#This Row],[Code]], allFYsTable[year2], EK$3))</f>
        <v>1</v>
      </c>
      <c r="EQ14" s="63">
        <f>IF(SummaryTable[[#This Row],[OriginalBudget09]]=0, IF(SummaryTable[[#This Row],[DiffAmount09]]=0, ZeroBudgetNoSpending, ZeroBudgetWithSpending), SummaryTable[[#This Row],[DiffAmount09]]/SummaryTable[[#This Row],[OriginalBudget09]])</f>
        <v>3.6900369003690036E-3</v>
      </c>
      <c r="ER14" s="62">
        <f>IF(COUNTIFS(allFYsTable[Code], SummaryTable[[#This Row],[Code]], allFYsTable[year2], ER$3)=0, NotFound, SUMIFS(allFYsTable[OriginalBudget], allFYsTable[Code], SummaryTable[[#This Row],[Code]], allFYsTable[year2], ER$3))</f>
        <v>248</v>
      </c>
      <c r="ES14" s="61">
        <f>SummaryTable[[#This Row],[OriginalBudget08]]-SummaryTable[[#This Row],[OriginalBudget07]]</f>
        <v>20</v>
      </c>
      <c r="ET14" s="54">
        <f>SummaryTable[[#This Row],[BudgetIncreaseAmount08]]/SummaryTable[[#This Row],[OriginalBudget07]]</f>
        <v>8.771929824561403E-2</v>
      </c>
      <c r="EU14" s="61">
        <f>IF(COUNTIFS(allFYsTable[Code], SummaryTable[[#This Row],[Code]], allFYsTable[year2], ER$3)=0, NotFound, SUMIFS(allFYsTable[RevisedBudget], allFYsTable[Code], SummaryTable[[#This Row],[Code]], allFYsTable[year2], ER$3))</f>
        <v>264</v>
      </c>
      <c r="EV14" s="61">
        <f>IF(COUNTIFS(allFYsTable[Code], SummaryTable[[#This Row],[Code]], allFYsTable[year2], ER$3)=0, NotFound, SUMIFS(allFYsTable[Actual], allFYsTable[Code], SummaryTable[[#This Row],[Code]], allFYsTable[year2], ER$3))</f>
        <v>249</v>
      </c>
      <c r="EW14" s="61">
        <f>IF(COUNTIFS(allFYsTable[Code], SummaryTable[[#This Row],[Code]], allFYsTable[year2], ER$3)=0, NotFound, SUMIFS(allFYsTable[DiffAmount], allFYsTable[Code], SummaryTable[[#This Row],[Code]], allFYsTable[year2], ER$3))</f>
        <v>1</v>
      </c>
      <c r="EX14" s="63">
        <f>IF(SummaryTable[[#This Row],[OriginalBudget08]]=0, IF(SummaryTable[[#This Row],[DiffAmount08]]=0, ZeroBudgetNoSpending, ZeroBudgetWithSpending), SummaryTable[[#This Row],[DiffAmount08]]/SummaryTable[[#This Row],[OriginalBudget08]])</f>
        <v>4.0322580645161289E-3</v>
      </c>
      <c r="EY14" s="62">
        <f>IF(COUNTIFS(allFYsTable[Code], SummaryTable[[#This Row],[Code]], allFYsTable[year2], EY$3)=0, NotFound, SUMIFS(allFYsTable[OriginalBudget], allFYsTable[Code], SummaryTable[[#This Row],[Code]], allFYsTable[year2], EY$3))</f>
        <v>228</v>
      </c>
      <c r="EZ14" s="61">
        <f>SummaryTable[[#This Row],[OriginalBudget07]]-SummaryTable[[#This Row],[OriginalBudget06]]</f>
        <v>10</v>
      </c>
      <c r="FA14" s="54">
        <f>SummaryTable[[#This Row],[BudgetIncreaseAmount07]]/SummaryTable[[#This Row],[OriginalBudget06]]</f>
        <v>4.5871559633027525E-2</v>
      </c>
      <c r="FB14" s="61">
        <f>IF(COUNTIFS(allFYsTable[Code], SummaryTable[[#This Row],[Code]], allFYsTable[year2], EY$3)=0, NotFound, SUMIFS(allFYsTable[RevisedBudget], allFYsTable[Code], SummaryTable[[#This Row],[Code]], allFYsTable[year2], EY$3))</f>
        <v>259</v>
      </c>
      <c r="FC14" s="61">
        <f>IF(COUNTIFS(allFYsTable[Code], SummaryTable[[#This Row],[Code]], allFYsTable[year2], EY$3)=0, NotFound, SUMIFS(allFYsTable[Actual], allFYsTable[Code], SummaryTable[[#This Row],[Code]], allFYsTable[year2], EY$3))</f>
        <v>238</v>
      </c>
      <c r="FD14" s="61">
        <f>IF(COUNTIFS(allFYsTable[Code], SummaryTable[[#This Row],[Code]], allFYsTable[year2], EY$3)=0, NotFound, SUMIFS(allFYsTable[DiffAmount], allFYsTable[Code], SummaryTable[[#This Row],[Code]], allFYsTable[year2], EY$3))</f>
        <v>10</v>
      </c>
      <c r="FE14" s="63">
        <f>IF(SummaryTable[[#This Row],[OriginalBudget07]]=0, IF(SummaryTable[[#This Row],[DiffAmount07]]=0, ZeroBudgetNoSpending, ZeroBudgetWithSpending), SummaryTable[[#This Row],[DiffAmount07]]/SummaryTable[[#This Row],[OriginalBudget07]])</f>
        <v>4.3859649122807015E-2</v>
      </c>
      <c r="FF14" s="62">
        <f>IF(COUNTIFS(allFYsTable[Code], SummaryTable[[#This Row],[Code]], allFYsTable[year2], FF$3)=0, NotFound, SUMIFS(allFYsTable[OriginalBudget], allFYsTable[Code], SummaryTable[[#This Row],[Code]], allFYsTable[year2], FF$3))</f>
        <v>218</v>
      </c>
      <c r="FI14" s="61">
        <f>IF(COUNTIFS(allFYsTable[Code], SummaryTable[[#This Row],[Code]], allFYsTable[year2], FF$3)=0, NotFound, SUMIFS(allFYsTable[RevisedBudget], allFYsTable[Code], SummaryTable[[#This Row],[Code]], allFYsTable[year2], FF$3))</f>
        <v>227</v>
      </c>
      <c r="FJ14" s="61">
        <f>IF(COUNTIFS(allFYsTable[Code], SummaryTable[[#This Row],[Code]], allFYsTable[year2], FF$3)=0, NotFound, SUMIFS(allFYsTable[Actual], allFYsTable[Code], SummaryTable[[#This Row],[Code]], allFYsTable[year2], FF$3))</f>
        <v>227</v>
      </c>
      <c r="FK14" s="61">
        <f>IF(COUNTIFS(allFYsTable[Code], SummaryTable[[#This Row],[Code]], allFYsTable[year2], FF$3)=0, NotFound, SUMIFS(allFYsTable[DiffAmount], allFYsTable[Code], SummaryTable[[#This Row],[Code]], allFYsTable[year2], FF$3))</f>
        <v>9</v>
      </c>
      <c r="FL14" s="63">
        <f>IF(SummaryTable[[#This Row],[OriginalBudget06]]=0, IF(SummaryTable[[#This Row],[DiffAmount06]]=0, ZeroBudgetNoSpending, ZeroBudgetWithSpending), SummaryTable[[#This Row],[DiffAmount06]]/SummaryTable[[#This Row],[OriginalBudget06]])</f>
        <v>4.1284403669724773E-2</v>
      </c>
    </row>
    <row r="15" spans="1:168" x14ac:dyDescent="0.45">
      <c r="A15" t="s">
        <v>736</v>
      </c>
      <c r="B15">
        <f>_xlfn.MAXIFS(allFYsTable[year2], allFYsTable[Code], SummaryTable[[#This Row],[Code]])</f>
        <v>2025</v>
      </c>
      <c r="C15" t="str">
        <f>_xlfn.XLOOKUP(SummaryTable[[#This Row],[Code]], NameCodingTable[Code], NameCodingTable[Most Recent Category per allFYs])</f>
        <v>Economic development and regulation</v>
      </c>
      <c r="D15" t="str">
        <f>_xlfn.XLOOKUP(SummaryTable[[#This Row],[Code]], NameCodingTable[Code], NameCodingTable[Unit Display Name])</f>
        <v>Commission on the Arts and Humanities</v>
      </c>
      <c r="E15" t="str">
        <f>_xlfn.XLOOKUP(SummaryTable[[#This Row],[Code]], NameCodingTable[Code], NameCodingTable[Type])</f>
        <v>agency</v>
      </c>
      <c r="F1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5</v>
      </c>
      <c r="H15" s="54">
        <f>SummaryTable[[#This Row],['# Over]]/SummaryTable[[#This Row],[Count]]</f>
        <v>0.25</v>
      </c>
      <c r="I1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15</v>
      </c>
      <c r="J15" s="54">
        <f>SummaryTable[[#This Row],['# Under]]/SummaryTable[[#This Row],[Count]]</f>
        <v>0.75</v>
      </c>
      <c r="K1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5" s="54">
        <f>SummaryTable[[#This Row],['# Equal]]/SummaryTable[[#This Row],[Count]]</f>
        <v>0</v>
      </c>
      <c r="M15" s="61">
        <f>SUMIFS(allFYsTable[OriginalBudget],allFYsTable[Code],SummaryTable[[#This Row],[Code]])/SummaryTable[[#This Row],[Count]]</f>
        <v>21969.9</v>
      </c>
      <c r="N15" s="61">
        <f>SUMIFS(allFYsTable[Actual],allFYsTable[Code],SummaryTable[[#This Row],[Code]])/SummaryTable[[#This Row],[Count]]</f>
        <v>20870.25</v>
      </c>
      <c r="O15" s="61">
        <f>SummaryTable[[#This Row],[AvgActAmt]]-SummaryTable[[#This Row],[AvgBudAmt]]</f>
        <v>-1099.6500000000015</v>
      </c>
      <c r="P15" s="54">
        <f>IF(SummaryTable[[#This Row],[AvgBudAmt]]=0, IF(SummaryTable[[#This Row],[AvgDiff'#]]=0, 0, NamedFields!$C$3), SummaryTable[[#This Row],[AvgDiff'#]]/SummaryTable[[#This Row],[AvgBudAmt]])</f>
        <v>-5.0052571927956042E-2</v>
      </c>
      <c r="Q15" s="61">
        <f>IFERROR(SUMIFS(allFYsTable[OriginalBudget],allFYsTable[Code],SummaryTable[[#This Row],[Code]],allFYsTable[DiffAmount], "&gt;0")/SummaryTable[[#This Row],['# Over]], 0)</f>
        <v>14541.6</v>
      </c>
      <c r="R15" s="61">
        <f>IFERROR(SUMIFS(allFYsTable[Actual],allFYsTable[Code],SummaryTable[[#This Row],[Code]],allFYsTable[DiffAmount], "&gt;0")/SummaryTable[[#This Row],['# Over]], 0)</f>
        <v>15711</v>
      </c>
      <c r="S15" s="61">
        <f>SummaryTable[[#This Row],[OverAvgAct]]-SummaryTable[[#This Row],[OverAvgBud]]</f>
        <v>1169.3999999999996</v>
      </c>
      <c r="T15" s="54">
        <f>IF(SummaryTable[[#This Row],[OverAvgBud]]=0, IF(SummaryTable[[#This Row],[OverAvgDiff'#]]=0, ZeroBudgetNoSpending, ZeroBudgetWithSpending), SummaryTable[[#This Row],[OverAvgDiff'#]]/SummaryTable[[#This Row],[OverAvgBud]])</f>
        <v>8.0417560653573167E-2</v>
      </c>
      <c r="U15" s="61">
        <f>IFERROR(SUMIFS(allFYsTable[OriginalBudget],allFYsTable[Code],SummaryTable[[#This Row],[Code]],allFYsTable[DiffAmount], "&lt;0")/SummaryTable[[#This Row],['# Under]], 0)</f>
        <v>24446</v>
      </c>
      <c r="V15" s="61">
        <f>IFERROR( SUMIFS(allFYsTable[Actual],allFYsTable[Code],SummaryTable[[#This Row],[Code]],allFYsTable[DiffAmount], "&lt;0")/SummaryTable[[#This Row],['# Under]], 0)</f>
        <v>22590</v>
      </c>
      <c r="W15" s="61">
        <f>SummaryTable[[#This Row],[UnderAvgAct]]-SummaryTable[[#This Row],[UnderAvgBud]]</f>
        <v>-1856</v>
      </c>
      <c r="X15" s="54">
        <f>IF(SummaryTable[[#This Row],[UnderAvgBud]]=0, IF(SummaryTable[[#This Row],[UnderAvgDiff'#]]=0, ZeroBudgetNoSpending, NamedFields!$C$3), SummaryTable[[#This Row],[UnderAvgDiff'#]]/SummaryTable[[#This Row],[UnderAvgBud]])</f>
        <v>-7.5922441299190055E-2</v>
      </c>
      <c r="Y1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9</v>
      </c>
      <c r="Z1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 s="54">
        <f>IF(SummaryTable[[#This Row],[IncreaseYears]]=0, ZeroBudgetNoSpending, SummaryTable[[#This Row],[OSinIncreaseYear'#]]/SummaryTable[[#This Row],[IncreaseYears]])</f>
        <v>0</v>
      </c>
      <c r="AB15" s="58" t="str">
        <f>SummaryTable[[#This Row],[Code]]</f>
        <v>BX0</v>
      </c>
      <c r="AC15" s="62">
        <f>IF(COUNTIFS(allFYsTable[Code], SummaryTable[[#This Row],[Code]], allFYsTable[year2], AC$3)=0, NotFound, SUMIFS(allFYsTable[OriginalBudget], allFYsTable[Code], SummaryTable[[#This Row],[Code]], allFYsTable[year2], AC$3))</f>
        <v>47201</v>
      </c>
      <c r="AD15" s="61">
        <f>SummaryTable[[#This Row],[OriginalBudget25]]-SummaryTable[[#This Row],[OriginalBudget24]]</f>
        <v>-2876</v>
      </c>
      <c r="AE15" s="54">
        <f>SummaryTable[[#This Row],[BudgetIncreaseAmount25]]/SummaryTable[[#This Row],[OriginalBudget24]]</f>
        <v>-5.7431555404676801E-2</v>
      </c>
      <c r="AF15" s="61">
        <f>IF(COUNTIFS(allFYsTable[Code], SummaryTable[[#This Row],[Code]], allFYsTable[year2], AC$3)=0, NotFound, SUMIFS(allFYsTable[RevisedBudget], allFYsTable[Code], SummaryTable[[#This Row],[Code]], allFYsTable[year2], AC$3))</f>
        <v>45229</v>
      </c>
      <c r="AG15" s="61">
        <f>IF(COUNTIFS(allFYsTable[Code], SummaryTable[[#This Row],[Code]], allFYsTable[year2], AC$3)=0, NotFound, SUMIFS(allFYsTable[Actual], allFYsTable[Code], SummaryTable[[#This Row],[Code]], allFYsTable[year2], AC$3))</f>
        <v>45229</v>
      </c>
      <c r="AH15" s="61">
        <f>IF(COUNTIFS(allFYsTable[Code], SummaryTable[[#This Row],[Code]], allFYsTable[year2], AC$3)=0, NotFound, SUMIFS(allFYsTable[DiffAmount], allFYsTable[Code], SummaryTable[[#This Row],[Code]], allFYsTable[year2], AC$3))</f>
        <v>-1972</v>
      </c>
      <c r="AI15" s="63">
        <f>IF(SummaryTable[[#This Row],[OriginalBudget25]]=0, IF(SummaryTable[[#This Row],[DiffAmount25]]=0, ZeroBudgetNoSpending, ZeroBudgetWithSpending), SummaryTable[[#This Row],[DiffAmount25]]/SummaryTable[[#This Row],[OriginalBudget25]])</f>
        <v>-4.1778775873392515E-2</v>
      </c>
      <c r="AJ15" s="62">
        <f>IF(COUNTIFS(allFYsTable[Code], SummaryTable[[#This Row],[Code]], allFYsTable[year2], AJ$3)=0, NotFound, SUMIFS(allFYsTable[OriginalBudget], allFYsTable[Code], SummaryTable[[#This Row],[Code]], allFYsTable[year2], AJ$3))</f>
        <v>50077</v>
      </c>
      <c r="AK15" s="61">
        <f>SummaryTable[[#This Row],[OriginalBudget24]]-SummaryTable[[#This Row],[OriginalBudget23]]</f>
        <v>5678</v>
      </c>
      <c r="AL15" s="54">
        <f>SummaryTable[[#This Row],[BudgetIncreaseAmount24]]/SummaryTable[[#This Row],[OriginalBudget23]]</f>
        <v>0.12788576319286471</v>
      </c>
      <c r="AM15" s="61">
        <f>IF(COUNTIFS(allFYsTable[Code], SummaryTable[[#This Row],[Code]], allFYsTable[year2], AK$3)=0, NotFound, SUMIFS(allFYsTable[RevisedBudget], allFYsTable[Code], SummaryTable[[#This Row],[Code]], allFYsTable[year2], AJ$3))</f>
        <v>41103</v>
      </c>
      <c r="AN15" s="61">
        <f>IF(COUNTIFS(allFYsTable[Code], SummaryTable[[#This Row],[Code]], allFYsTable[year2], AJ$3)=0, NotFound, SUMIFS(allFYsTable[Actual], allFYsTable[Code], SummaryTable[[#This Row],[Code]], allFYsTable[year2], AJ$3))</f>
        <v>41103</v>
      </c>
      <c r="AO15" s="61">
        <f>IF(COUNTIFS(allFYsTable[Code], SummaryTable[[#This Row],[Code]], allFYsTable[year2], AJ$3)=0, NotFound, SUMIFS(allFYsTable[DiffAmount], allFYsTable[Code], SummaryTable[[#This Row],[Code]], allFYsTable[year2], AJ$3))</f>
        <v>-8974</v>
      </c>
      <c r="AP15" s="63">
        <f>IF(SummaryTable[[#This Row],[OriginalBudget24]]=0, IF(SummaryTable[[#This Row],[DiffAmount24]]=0, ZeroBudgetNoSpending, ZeroBudgetWithSpending), SummaryTable[[#This Row],[DiffAmount24]]/SummaryTable[[#This Row],[OriginalBudget24]])</f>
        <v>-0.17920402580026759</v>
      </c>
      <c r="AQ15" s="62">
        <f>IF(COUNTIFS(allFYsTable[Code], SummaryTable[[#This Row],[Code]], allFYsTable[year2], AQ$3)=0, NotFound, SUMIFS(allFYsTable[OriginalBudget], allFYsTable[Code], SummaryTable[[#This Row],[Code]], allFYsTable[year2], AQ$3))</f>
        <v>44399</v>
      </c>
      <c r="AR15" s="61">
        <f>SummaryTable[[#This Row],[OriginalBudget23]]-SummaryTable[[#This Row],[OriginalBudget22]]</f>
        <v>6876</v>
      </c>
      <c r="AS15" s="54">
        <f>SummaryTable[[#This Row],[BudgetIncreaseAmount23]]/SummaryTable[[#This Row],[OriginalBudget22]]</f>
        <v>0.18324760813367802</v>
      </c>
      <c r="AT15" s="61">
        <f>IF(COUNTIFS(allFYsTable[Code], SummaryTable[[#This Row],[Code]], allFYsTable[year2], AQ$3)=0, NotFound, SUMIFS(allFYsTable[RevisedBudget], allFYsTable[Code], SummaryTable[[#This Row],[Code]], allFYsTable[year2], AQ$3))</f>
        <v>42268</v>
      </c>
      <c r="AU15" s="61">
        <f>IF(COUNTIFS(allFYsTable[Code], SummaryTable[[#This Row],[Code]], allFYsTable[year2], AQ$3)=0, NotFound, SUMIFS(allFYsTable[Actual], allFYsTable[Code], SummaryTable[[#This Row],[Code]], allFYsTable[year2], AQ$3))</f>
        <v>41956</v>
      </c>
      <c r="AV15" s="61">
        <f>IF(COUNTIFS(allFYsTable[Code], SummaryTable[[#This Row],[Code]], allFYsTable[year2], AQ$3)=0, NotFound, SUMIFS(allFYsTable[DiffAmount], allFYsTable[Code], SummaryTable[[#This Row],[Code]], allFYsTable[year2], AQ$3))</f>
        <v>-2443</v>
      </c>
      <c r="AW15" s="63">
        <f>IF(SummaryTable[[#This Row],[OriginalBudget23]]=0, IF(SummaryTable[[#This Row],[DiffAmount23]]=0, ZeroBudgetNoSpending, ZeroBudgetWithSpending), SummaryTable[[#This Row],[DiffAmount23]]/SummaryTable[[#This Row],[OriginalBudget23]])</f>
        <v>-5.5023761796436858E-2</v>
      </c>
      <c r="AX15" s="62">
        <f>IF(COUNTIFS(allFYsTable[Code], SummaryTable[[#This Row],[Code]], allFYsTable[year2], AX$3)=0, NotFound, SUMIFS(allFYsTable[OriginalBudget], allFYsTable[Code], SummaryTable[[#This Row],[Code]], allFYsTable[year2], AX$3))</f>
        <v>37523</v>
      </c>
      <c r="AY15" s="61">
        <f>SummaryTable[[#This Row],[OriginalBudget22]]-SummaryTable[[#This Row],[OriginalBudget21]]</f>
        <v>-325</v>
      </c>
      <c r="AZ15" s="54">
        <f>SummaryTable[[#This Row],[BudgetIncreaseAmount22]]/SummaryTable[[#This Row],[OriginalBudget21]]</f>
        <v>-8.5869794969351092E-3</v>
      </c>
      <c r="BA15" s="61">
        <f>IF(COUNTIFS(allFYsTable[Code], SummaryTable[[#This Row],[Code]], allFYsTable[year2], AX$3)=0, NotFound, SUMIFS(allFYsTable[RevisedBudget], allFYsTable[Code], SummaryTable[[#This Row],[Code]], allFYsTable[year2], AX$3))</f>
        <v>42323</v>
      </c>
      <c r="BB15" s="61">
        <f>IF(COUNTIFS(allFYsTable[Code], SummaryTable[[#This Row],[Code]], allFYsTable[year2], AX$3)=0, NotFound, SUMIFS(allFYsTable[Actual], allFYsTable[Code], SummaryTable[[#This Row],[Code]], allFYsTable[year2], AX$3))</f>
        <v>38535</v>
      </c>
      <c r="BC15" s="61">
        <f>IF(COUNTIFS(allFYsTable[Code], SummaryTable[[#This Row],[Code]], allFYsTable[year2], AX$3)=0, NotFound, SUMIFS(allFYsTable[DiffAmount], allFYsTable[Code], SummaryTable[[#This Row],[Code]], allFYsTable[year2], AX$3))</f>
        <v>1012</v>
      </c>
      <c r="BD15" s="63">
        <f>IF(SummaryTable[[#This Row],[OriginalBudget22]]=0, IF(SummaryTable[[#This Row],[DiffAmount22]]=0, ZeroBudgetNoSpending, ZeroBudgetWithSpending), SummaryTable[[#This Row],[DiffAmount22]]/SummaryTable[[#This Row],[OriginalBudget22]])</f>
        <v>2.6970124990006131E-2</v>
      </c>
      <c r="BE15" s="62">
        <f>IF(COUNTIFS(allFYsTable[Code], SummaryTable[[#This Row],[Code]], allFYsTable[year2], BE$3)=0, NotFound, SUMIFS(allFYsTable[OriginalBudget], allFYsTable[Code], SummaryTable[[#This Row],[Code]], allFYsTable[year2], BE$3))</f>
        <v>37848</v>
      </c>
      <c r="BF15" s="61">
        <f>SummaryTable[[#This Row],[OriginalBudget21]]-SummaryTable[[#This Row],[OriginalBudget20]]</f>
        <v>3826</v>
      </c>
      <c r="BG15" s="54">
        <f>SummaryTable[[#This Row],[BudgetIncreaseAmount21]]/SummaryTable[[#This Row],[OriginalBudget20]]</f>
        <v>0.11245664569984128</v>
      </c>
      <c r="BH15" s="61">
        <f>IF(COUNTIFS(allFYsTable[Code], SummaryTable[[#This Row],[Code]], allFYsTable[year2], BE$3)=0, NotFound, SUMIFS(allFYsTable[RevisedBudget], allFYsTable[Code], SummaryTable[[#This Row],[Code]], allFYsTable[year2], BE$3))</f>
        <v>37848</v>
      </c>
      <c r="BI15" s="61">
        <f>IF(COUNTIFS(allFYsTable[Code], SummaryTable[[#This Row],[Code]], allFYsTable[year2], BE$3)=0, NotFound, SUMIFS(allFYsTable[Actual], allFYsTable[Code], SummaryTable[[#This Row],[Code]], allFYsTable[year2], BE$3))</f>
        <v>34103</v>
      </c>
      <c r="BJ15" s="61">
        <f>IF(COUNTIFS(allFYsTable[Code], SummaryTable[[#This Row],[Code]], allFYsTable[year2], BE$3)=0, NotFound, SUMIFS(allFYsTable[DiffAmount], allFYsTable[Code], SummaryTable[[#This Row],[Code]], allFYsTable[year2], BE$3))</f>
        <v>-3745</v>
      </c>
      <c r="BK15" s="63">
        <f>IF(SummaryTable[[#This Row],[OriginalBudget21]]=0, IF(SummaryTable[[#This Row],[DiffAmount21]]=0, ZeroBudgetNoSpending, ZeroBudgetWithSpending), SummaryTable[[#This Row],[DiffAmount21]]/SummaryTable[[#This Row],[OriginalBudget21]])</f>
        <v>-9.8948425280067642E-2</v>
      </c>
      <c r="BL15" s="62">
        <f>IF(COUNTIFS(allFYsTable[Code], SummaryTable[[#This Row],[Code]], allFYsTable[year2], BL$3)=0, NotFound, SUMIFS(allFYsTable[OriginalBudget], allFYsTable[Code], SummaryTable[[#This Row],[Code]], allFYsTable[year2], BL$3))</f>
        <v>34022</v>
      </c>
      <c r="BM15" s="61">
        <f>SummaryTable[[#This Row],[OriginalBudget20]]-SummaryTable[[#This Row],[OriginalBudget19]]</f>
        <v>3022</v>
      </c>
      <c r="BN15" s="54">
        <f>SummaryTable[[#This Row],[BudgetIncreaseAmount20]]/SummaryTable[[#This Row],[OriginalBudget19]]</f>
        <v>9.7483870967741942E-2</v>
      </c>
      <c r="BO15" s="61">
        <f>IF(COUNTIFS(allFYsTable[Code], SummaryTable[[#This Row],[Code]], allFYsTable[year2], BL$3)=0, NotFound, SUMIFS(allFYsTable[RevisedBudget], allFYsTable[Code], SummaryTable[[#This Row],[Code]], allFYsTable[year2], BL$3))</f>
        <v>33039</v>
      </c>
      <c r="BP15" s="61">
        <f>IF(COUNTIFS(allFYsTable[Code], SummaryTable[[#This Row],[Code]], allFYsTable[year2], BL$3)=0, NotFound, SUMIFS(allFYsTable[Actual], allFYsTable[Code], SummaryTable[[#This Row],[Code]], allFYsTable[year2], BL$3))</f>
        <v>30221</v>
      </c>
      <c r="BQ15" s="61">
        <f>IF(COUNTIFS(allFYsTable[Code], SummaryTable[[#This Row],[Code]], allFYsTable[year2], BL$3)=0, NotFound, SUMIFS(allFYsTable[DiffAmount], allFYsTable[Code], SummaryTable[[#This Row],[Code]], allFYsTable[year2], BL$3))</f>
        <v>-3801</v>
      </c>
      <c r="BR15" s="63">
        <f>IF(SummaryTable[[#This Row],[OriginalBudget20]]=0, IF(SummaryTable[[#This Row],[DiffAmount20]]=0, ZeroBudgetNoSpending, ZeroBudgetWithSpending), SummaryTable[[#This Row],[DiffAmount20]]/SummaryTable[[#This Row],[OriginalBudget20]])</f>
        <v>-0.1117218270530833</v>
      </c>
      <c r="BS15" s="62">
        <f>IF(COUNTIFS(allFYsTable[Code], SummaryTable[[#This Row],[Code]], allFYsTable[year2], BS$3)=0, NotFound, SUMIFS(allFYsTable[OriginalBudget], allFYsTable[Code], SummaryTable[[#This Row],[Code]], allFYsTable[year2], BS$3))</f>
        <v>31000</v>
      </c>
      <c r="BT15" s="61">
        <f>SummaryTable[[#This Row],[OriginalBudget19]]-SummaryTable[[#This Row],[OriginalBudget18]]</f>
        <v>2165</v>
      </c>
      <c r="BU15" s="54">
        <f>SummaryTable[[#This Row],[BudgetIncreaseAmount19]]/SummaryTable[[#This Row],[OriginalBudget18]]</f>
        <v>7.5082365181203398E-2</v>
      </c>
      <c r="BV15" s="61">
        <f>IF(COUNTIFS(allFYsTable[Code], SummaryTable[[#This Row],[Code]], allFYsTable[year2], BS$3)=0, NotFound, SUMIFS(allFYsTable[RevisedBudget], allFYsTable[Code], SummaryTable[[#This Row],[Code]], allFYsTable[year2], BS$3))</f>
        <v>30314</v>
      </c>
      <c r="BW15" s="61">
        <f>IF(COUNTIFS(allFYsTable[Code], SummaryTable[[#This Row],[Code]], allFYsTable[year2], BS$3)=0, NotFound, SUMIFS(allFYsTable[Actual], allFYsTable[Code], SummaryTable[[#This Row],[Code]], allFYsTable[year2], BS$3))</f>
        <v>29883</v>
      </c>
      <c r="BX15" s="61">
        <f>IF(COUNTIFS(allFYsTable[Code], SummaryTable[[#This Row],[Code]], allFYsTable[year2], BS$3)=0, NotFound, SUMIFS(allFYsTable[DiffAmount], allFYsTable[Code], SummaryTable[[#This Row],[Code]], allFYsTable[year2], BS$3))</f>
        <v>-1117</v>
      </c>
      <c r="BY15" s="63">
        <f>IF(SummaryTable[[#This Row],[OriginalBudget19]]=0, IF(SummaryTable[[#This Row],[DiffAmount19]]=0, ZeroBudgetNoSpending, ZeroBudgetWithSpending), SummaryTable[[#This Row],[DiffAmount19]]/SummaryTable[[#This Row],[OriginalBudget19]])</f>
        <v>-3.6032258064516126E-2</v>
      </c>
      <c r="BZ15" s="62">
        <f>IF(COUNTIFS(allFYsTable[Code], SummaryTable[[#This Row],[Code]], allFYsTable[year2], BZ$3)=0, NotFound, SUMIFS(allFYsTable[OriginalBudget], allFYsTable[Code], SummaryTable[[#This Row],[Code]], allFYsTable[year2], BZ$3))</f>
        <v>28835</v>
      </c>
      <c r="CA15" s="61">
        <f>SummaryTable[[#This Row],[OriginalBudget18]]-SummaryTable[[#This Row],[OriginalBudget17]]</f>
        <v>7780</v>
      </c>
      <c r="CB15" s="54">
        <f>SummaryTable[[#This Row],[BudgetIncreaseAmount18]]/SummaryTable[[#This Row],[OriginalBudget17]]</f>
        <v>0.36950843030159108</v>
      </c>
      <c r="CC15" s="61">
        <f>IF(COUNTIFS(allFYsTable[Code], SummaryTable[[#This Row],[Code]], allFYsTable[year2], BZ$3)=0, NotFound, SUMIFS(allFYsTable[RevisedBudget], allFYsTable[Code], SummaryTable[[#This Row],[Code]], allFYsTable[year2], BZ$3))</f>
        <v>28010</v>
      </c>
      <c r="CD15" s="61">
        <f>IF(COUNTIFS(allFYsTable[Code], SummaryTable[[#This Row],[Code]], allFYsTable[year2], BZ$3)=0, NotFound, SUMIFS(allFYsTable[Actual], allFYsTable[Code], SummaryTable[[#This Row],[Code]], allFYsTable[year2], BZ$3))</f>
        <v>27758</v>
      </c>
      <c r="CE15" s="61">
        <f>IF(COUNTIFS(allFYsTable[Code], SummaryTable[[#This Row],[Code]], allFYsTable[year2], BZ$3)=0, NotFound, SUMIFS(allFYsTable[DiffAmount], allFYsTable[Code], SummaryTable[[#This Row],[Code]], allFYsTable[year2], BZ$3))</f>
        <v>-1077</v>
      </c>
      <c r="CF15" s="63">
        <f>IF(SummaryTable[[#This Row],[OriginalBudget18]]=0, IF(SummaryTable[[#This Row],[DiffAmount18]]=0, ZeroBudgetNoSpending, ZeroBudgetWithSpending), SummaryTable[[#This Row],[DiffAmount18]]/SummaryTable[[#This Row],[OriginalBudget18]])</f>
        <v>-3.7350442170972775E-2</v>
      </c>
      <c r="CG15" s="62">
        <f>IF(COUNTIFS(allFYsTable[Code], SummaryTable[[#This Row],[Code]], allFYsTable[year2], CG$3)=0, NotFound, SUMIFS(allFYsTable[OriginalBudget], allFYsTable[Code], SummaryTable[[#This Row],[Code]], allFYsTable[year2], CG$3))</f>
        <v>21055</v>
      </c>
      <c r="CH15" s="61">
        <f>SummaryTable[[#This Row],[OriginalBudget17]]-SummaryTable[[#This Row],[OriginalBudget16]]</f>
        <v>6359</v>
      </c>
      <c r="CI15" s="54">
        <f>SummaryTable[[#This Row],[BudgetIncreaseAmount17]]/SummaryTable[[#This Row],[OriginalBudget16]]</f>
        <v>0.43270277626565051</v>
      </c>
      <c r="CJ15" s="61">
        <f>IF(COUNTIFS(allFYsTable[Code], SummaryTable[[#This Row],[Code]], allFYsTable[year2], CG$3)=0, NotFound, SUMIFS(allFYsTable[RevisedBudget], allFYsTable[Code], SummaryTable[[#This Row],[Code]], allFYsTable[year2], CG$3))</f>
        <v>20135</v>
      </c>
      <c r="CK15" s="61">
        <f>IF(COUNTIFS(allFYsTable[Code], SummaryTable[[#This Row],[Code]], allFYsTable[year2], CG$3)=0, NotFound, SUMIFS(allFYsTable[Actual], allFYsTable[Code], SummaryTable[[#This Row],[Code]], allFYsTable[year2], CG$3))</f>
        <v>19884</v>
      </c>
      <c r="CL15" s="61">
        <f>IF(COUNTIFS(allFYsTable[Code], SummaryTable[[#This Row],[Code]], allFYsTable[year2], CG$3)=0, NotFound, SUMIFS(allFYsTable[DiffAmount], allFYsTable[Code], SummaryTable[[#This Row],[Code]], allFYsTable[year2], CG$3))</f>
        <v>-1171</v>
      </c>
      <c r="CM15" s="63">
        <f>IF(SummaryTable[[#This Row],[OriginalBudget17]]=0, IF(SummaryTable[[#This Row],[DiffAmount17]]=0, ZeroBudgetNoSpending, ZeroBudgetWithSpending), SummaryTable[[#This Row],[DiffAmount17]]/SummaryTable[[#This Row],[OriginalBudget17]])</f>
        <v>-5.5616243172643076E-2</v>
      </c>
      <c r="CN15" s="62">
        <f>IF(COUNTIFS(allFYsTable[Code], SummaryTable[[#This Row],[Code]], allFYsTable[year2], CN$3)=0, NotFound, SUMIFS(allFYsTable[OriginalBudget], allFYsTable[Code], SummaryTable[[#This Row],[Code]], allFYsTable[year2], CN$3))</f>
        <v>14696</v>
      </c>
      <c r="CO15" s="61">
        <f>SummaryTable[[#This Row],[OriginalBudget16]]-SummaryTable[[#This Row],[OriginalBudget15]]</f>
        <v>-907</v>
      </c>
      <c r="CP15" s="54">
        <f>SummaryTable[[#This Row],[BudgetIncreaseAmount16]]/SummaryTable[[#This Row],[OriginalBudget15]]</f>
        <v>-5.8129846824328653E-2</v>
      </c>
      <c r="CQ15" s="61">
        <f>IF(COUNTIFS(allFYsTable[Code], SummaryTable[[#This Row],[Code]], allFYsTable[year2], CN$3)=0, NotFound, SUMIFS(allFYsTable[RevisedBudget], allFYsTable[Code], SummaryTable[[#This Row],[Code]], allFYsTable[year2], CN$3))</f>
        <v>14629</v>
      </c>
      <c r="CR15" s="61">
        <f>IF(COUNTIFS(allFYsTable[Code], SummaryTable[[#This Row],[Code]], allFYsTable[year2], CN$3)=0, NotFound, SUMIFS(allFYsTable[Actual], allFYsTable[Code], SummaryTable[[#This Row],[Code]], allFYsTable[year2], CN$3))</f>
        <v>14336</v>
      </c>
      <c r="CS15" s="61">
        <f>IF(COUNTIFS(allFYsTable[Code], SummaryTable[[#This Row],[Code]], allFYsTable[year2], CN$3)=0, NotFound, SUMIFS(allFYsTable[DiffAmount], allFYsTable[Code], SummaryTable[[#This Row],[Code]], allFYsTable[year2], CN$3))</f>
        <v>-360</v>
      </c>
      <c r="CT15" s="63">
        <f>IF(SummaryTable[[#This Row],[OriginalBudget16]]=0, IF(SummaryTable[[#This Row],[DiffAmount16]]=0, ZeroBudgetNoSpending, ZeroBudgetWithSpending), SummaryTable[[#This Row],[DiffAmount16]]/SummaryTable[[#This Row],[OriginalBudget16]])</f>
        <v>-2.4496461622210124E-2</v>
      </c>
      <c r="CU15" s="62">
        <f>IF(COUNTIFS(allFYsTable[Code], SummaryTable[[#This Row],[Code]], allFYsTable[year2], CU$3)=0, NotFound, SUMIFS(allFYsTable[OriginalBudget], allFYsTable[Code], SummaryTable[[#This Row],[Code]], allFYsTable[year2], CU$3))</f>
        <v>15603</v>
      </c>
      <c r="CV15" s="61">
        <f>SummaryTable[[#This Row],[OriginalBudget15]]-SummaryTable[[#This Row],[OriginalBudget14]]</f>
        <v>4796</v>
      </c>
      <c r="CW15" s="54">
        <f>SummaryTable[[#This Row],[BudgetIncreaseAmount15]]/SummaryTable[[#This Row],[OriginalBudget14]]</f>
        <v>0.4437864347182382</v>
      </c>
      <c r="CX15" s="61">
        <f>IF(COUNTIFS(allFYsTable[Code], SummaryTable[[#This Row],[Code]], allFYsTable[year2], CU$3)=0, NotFound, SUMIFS(allFYsTable[RevisedBudget], allFYsTable[Code], SummaryTable[[#This Row],[Code]], allFYsTable[year2], CU$3))</f>
        <v>14403</v>
      </c>
      <c r="CY15" s="61">
        <f>IF(COUNTIFS(allFYsTable[Code], SummaryTable[[#This Row],[Code]], allFYsTable[year2], CU$3)=0, NotFound, SUMIFS(allFYsTable[Actual], allFYsTable[Code], SummaryTable[[#This Row],[Code]], allFYsTable[year2], CU$3))</f>
        <v>13640</v>
      </c>
      <c r="CZ15" s="61">
        <f>IF(COUNTIFS(allFYsTable[Code], SummaryTable[[#This Row],[Code]], allFYsTable[year2], CU$3)=0, NotFound, SUMIFS(allFYsTable[DiffAmount], allFYsTable[Code], SummaryTable[[#This Row],[Code]], allFYsTable[year2], CU$3))</f>
        <v>-1963</v>
      </c>
      <c r="DA15" s="63">
        <f>IF(SummaryTable[[#This Row],[OriginalBudget15]]=0, IF(SummaryTable[[#This Row],[DiffAmount15]]=0, ZeroBudgetNoSpending, ZeroBudgetWithSpending), SummaryTable[[#This Row],[DiffAmount15]]/SummaryTable[[#This Row],[OriginalBudget15]])</f>
        <v>-0.12580913926808948</v>
      </c>
      <c r="DB15" s="62">
        <f>IF(COUNTIFS(allFYsTable[Code], SummaryTable[[#This Row],[Code]], allFYsTable[year2], DB$3)=0, NotFound, SUMIFS(allFYsTable[OriginalBudget], allFYsTable[Code], SummaryTable[[#This Row],[Code]], allFYsTable[year2], DB$3))</f>
        <v>10807</v>
      </c>
      <c r="DC15" s="61">
        <f>SummaryTable[[#This Row],[OriginalBudget14]]-SummaryTable[[#This Row],[OriginalBudget13]]</f>
        <v>-283</v>
      </c>
      <c r="DD15" s="54">
        <f>SummaryTable[[#This Row],[BudgetIncreaseAmount14]]/SummaryTable[[#This Row],[OriginalBudget13]]</f>
        <v>-2.5518485121731289E-2</v>
      </c>
      <c r="DE15" s="61">
        <f>IF(COUNTIFS(allFYsTable[Code], SummaryTable[[#This Row],[Code]], allFYsTable[year2], DB$3)=0, NotFound, SUMIFS(allFYsTable[RevisedBudget], allFYsTable[Code], SummaryTable[[#This Row],[Code]], allFYsTable[year2], DB$3))</f>
        <v>15143</v>
      </c>
      <c r="DF15" s="61">
        <f>IF(COUNTIFS(allFYsTable[Code], SummaryTable[[#This Row],[Code]], allFYsTable[year2], DB$3)=0, NotFound, SUMIFS(allFYsTable[Actual], allFYsTable[Code], SummaryTable[[#This Row],[Code]], allFYsTable[year2], DB$3))</f>
        <v>14935</v>
      </c>
      <c r="DG15" s="61">
        <f>IF(COUNTIFS(allFYsTable[Code], SummaryTable[[#This Row],[Code]], allFYsTable[year2], DB$3)=0, NotFound, SUMIFS(allFYsTable[DiffAmount], allFYsTable[Code], SummaryTable[[#This Row],[Code]], allFYsTable[year2], DB$3))</f>
        <v>4128</v>
      </c>
      <c r="DH15" s="63">
        <f>IF(SummaryTable[[#This Row],[OriginalBudget14]]=0, IF(SummaryTable[[#This Row],[DiffAmount14]]=0, ZeroBudgetNoSpending, ZeroBudgetWithSpending), SummaryTable[[#This Row],[DiffAmount14]]/SummaryTable[[#This Row],[OriginalBudget14]])</f>
        <v>0.38197464606273712</v>
      </c>
      <c r="DI15" s="62">
        <f>IF(COUNTIFS(allFYsTable[Code], SummaryTable[[#This Row],[Code]], allFYsTable[year2], DI$3)=0, NotFound, SUMIFS(allFYsTable[OriginalBudget], allFYsTable[Code], SummaryTable[[#This Row],[Code]], allFYsTable[year2], DI$3))</f>
        <v>11090</v>
      </c>
      <c r="DJ15" s="61">
        <f>SummaryTable[[#This Row],[OriginalBudget13]]-SummaryTable[[#This Row],[OriginalBudget12]]</f>
        <v>7170</v>
      </c>
      <c r="DK15" s="54">
        <f>SummaryTable[[#This Row],[BudgetIncreaseAmount13]]/SummaryTable[[#This Row],[OriginalBudget12]]</f>
        <v>1.8290816326530612</v>
      </c>
      <c r="DL15" s="61">
        <f>IF(COUNTIFS(allFYsTable[Code], SummaryTable[[#This Row],[Code]], allFYsTable[year2], DI$3)=0, NotFound, SUMIFS(allFYsTable[RevisedBudget], allFYsTable[Code], SummaryTable[[#This Row],[Code]], allFYsTable[year2], DI$3))</f>
        <v>11315</v>
      </c>
      <c r="DM15" s="61">
        <f>IF(COUNTIFS(allFYsTable[Code], SummaryTable[[#This Row],[Code]], allFYsTable[year2], DI$3)=0, NotFound, SUMIFS(allFYsTable[Actual], allFYsTable[Code], SummaryTable[[#This Row],[Code]], allFYsTable[year2], DI$3))</f>
        <v>11126</v>
      </c>
      <c r="DN15" s="61">
        <f>IF(COUNTIFS(allFYsTable[Code], SummaryTable[[#This Row],[Code]], allFYsTable[year2], DI$3)=0, NotFound, SUMIFS(allFYsTable[DiffAmount], allFYsTable[Code], SummaryTable[[#This Row],[Code]], allFYsTable[year2], DI$3))</f>
        <v>36</v>
      </c>
      <c r="DO15" s="63">
        <f>IF(SummaryTable[[#This Row],[OriginalBudget13]]=0, IF(SummaryTable[[#This Row],[DiffAmount13]]=0, ZeroBudgetNoSpending, ZeroBudgetWithSpending), SummaryTable[[#This Row],[DiffAmount13]]/SummaryTable[[#This Row],[OriginalBudget13]])</f>
        <v>3.2461677186654643E-3</v>
      </c>
      <c r="DP15" s="62">
        <f>IF(COUNTIFS(allFYsTable[Code], SummaryTable[[#This Row],[Code]], allFYsTable[year2], DP$3)=0, NotFound, SUMIFS(allFYsTable[OriginalBudget], allFYsTable[Code], SummaryTable[[#This Row],[Code]], allFYsTable[year2], DP$3))</f>
        <v>3920</v>
      </c>
      <c r="DQ15" s="61">
        <f>SummaryTable[[#This Row],[OriginalBudget12]]-SummaryTable[[#This Row],[OriginalBudget11]]</f>
        <v>-442</v>
      </c>
      <c r="DR15" s="54">
        <f>SummaryTable[[#This Row],[BudgetIncreaseAmount12]]/SummaryTable[[#This Row],[OriginalBudget11]]</f>
        <v>-0.10132966529115085</v>
      </c>
      <c r="DS15" s="61">
        <f>IF(COUNTIFS(allFYsTable[Code], SummaryTable[[#This Row],[Code]], allFYsTable[year2], DP$3)=0, NotFound, SUMIFS(allFYsTable[RevisedBudget], allFYsTable[Code], SummaryTable[[#This Row],[Code]], allFYsTable[year2], DP$3))</f>
        <v>4020</v>
      </c>
      <c r="DT15" s="61">
        <f>IF(COUNTIFS(allFYsTable[Code], SummaryTable[[#This Row],[Code]], allFYsTable[year2], DP$3)=0, NotFound, SUMIFS(allFYsTable[Actual], allFYsTable[Code], SummaryTable[[#This Row],[Code]], allFYsTable[year2], DP$3))</f>
        <v>3927</v>
      </c>
      <c r="DU15" s="61">
        <f>IF(COUNTIFS(allFYsTable[Code], SummaryTable[[#This Row],[Code]], allFYsTable[year2], DP$3)=0, NotFound, SUMIFS(allFYsTable[DiffAmount], allFYsTable[Code], SummaryTable[[#This Row],[Code]], allFYsTable[year2], DP$3))</f>
        <v>7</v>
      </c>
      <c r="DV15" s="63">
        <f>IF(SummaryTable[[#This Row],[OriginalBudget12]]=0, IF(SummaryTable[[#This Row],[DiffAmount12]]=0, ZeroBudgetNoSpending, ZeroBudgetWithSpending), SummaryTable[[#This Row],[DiffAmount12]]/SummaryTable[[#This Row],[OriginalBudget12]])</f>
        <v>1.7857142857142857E-3</v>
      </c>
      <c r="DW15" s="62">
        <f>IF(COUNTIFS(allFYsTable[Code], SummaryTable[[#This Row],[Code]], allFYsTable[year2], DW$3)=0, NotFound, SUMIFS(allFYsTable[OriginalBudget], allFYsTable[Code], SummaryTable[[#This Row],[Code]], allFYsTable[year2], DW$3))</f>
        <v>4362</v>
      </c>
      <c r="DX15" s="61">
        <f>SummaryTable[[#This Row],[OriginalBudget11]]-SummaryTable[[#This Row],[OriginalBudget10]]</f>
        <v>-1072</v>
      </c>
      <c r="DY15" s="54">
        <f>SummaryTable[[#This Row],[BudgetIncreaseAmount11]]/SummaryTable[[#This Row],[OriginalBudget10]]</f>
        <v>-0.1972764078027236</v>
      </c>
      <c r="DZ15" s="61">
        <f>IF(COUNTIFS(allFYsTable[Code], SummaryTable[[#This Row],[Code]], allFYsTable[year2], DW$3)=0, NotFound, SUMIFS(allFYsTable[RevisedBudget], allFYsTable[Code], SummaryTable[[#This Row],[Code]], allFYsTable[year2], DW$3))</f>
        <v>4362</v>
      </c>
      <c r="EA15" s="61">
        <f>IF(COUNTIFS(allFYsTable[Code], SummaryTable[[#This Row],[Code]], allFYsTable[year2], DW$3)=0, NotFound, SUMIFS(allFYsTable[Actual], allFYsTable[Code], SummaryTable[[#This Row],[Code]], allFYsTable[year2], DW$3))</f>
        <v>4182</v>
      </c>
      <c r="EB15" s="61">
        <f>IF(COUNTIFS(allFYsTable[Code], SummaryTable[[#This Row],[Code]], allFYsTable[year2], DW$3)=0, NotFound, SUMIFS(allFYsTable[DiffAmount], allFYsTable[Code], SummaryTable[[#This Row],[Code]], allFYsTable[year2], DW$3))</f>
        <v>-180</v>
      </c>
      <c r="EC15" s="63">
        <f>IF(SummaryTable[[#This Row],[OriginalBudget11]]=0, IF(SummaryTable[[#This Row],[DiffAmount11]]=0, ZeroBudgetNoSpending, ZeroBudgetWithSpending), SummaryTable[[#This Row],[DiffAmount11]]/SummaryTable[[#This Row],[OriginalBudget11]])</f>
        <v>-4.1265474552957357E-2</v>
      </c>
      <c r="ED15" s="62">
        <f>IF(COUNTIFS(allFYsTable[Code], SummaryTable[[#This Row],[Code]], allFYsTable[year2], ED$3)=0, NotFound, SUMIFS(allFYsTable[OriginalBudget], allFYsTable[Code], SummaryTable[[#This Row],[Code]], allFYsTable[year2], ED$3))</f>
        <v>5434</v>
      </c>
      <c r="EE15" s="61">
        <f>SummaryTable[[#This Row],[OriginalBudget10]]-SummaryTable[[#This Row],[OriginalBudget09]]</f>
        <v>-7793</v>
      </c>
      <c r="EF15" s="54">
        <f>SummaryTable[[#This Row],[BudgetIncreaseAmount10]]/SummaryTable[[#This Row],[OriginalBudget09]]</f>
        <v>-0.58917365993800563</v>
      </c>
      <c r="EG15" s="61">
        <f>IF(COUNTIFS(allFYsTable[Code], SummaryTable[[#This Row],[Code]], allFYsTable[year2], ED$3)=0, NotFound, SUMIFS(allFYsTable[RevisedBudget], allFYsTable[Code], SummaryTable[[#This Row],[Code]], allFYsTable[year2], ED$3))</f>
        <v>5390</v>
      </c>
      <c r="EH15" s="61">
        <f>IF(COUNTIFS(allFYsTable[Code], SummaryTable[[#This Row],[Code]], allFYsTable[year2], ED$3)=0, NotFound, SUMIFS(allFYsTable[Actual], allFYsTable[Code], SummaryTable[[#This Row],[Code]], allFYsTable[year2], ED$3))</f>
        <v>5160</v>
      </c>
      <c r="EI15" s="61">
        <f>IF(COUNTIFS(allFYsTable[Code], SummaryTable[[#This Row],[Code]], allFYsTable[year2], ED$3)=0, NotFound, SUMIFS(allFYsTable[DiffAmount], allFYsTable[Code], SummaryTable[[#This Row],[Code]], allFYsTable[year2], ED$3))</f>
        <v>-274</v>
      </c>
      <c r="EJ15" s="63">
        <f>IF(SummaryTable[[#This Row],[OriginalBudget10]]=0, IF(SummaryTable[[#This Row],[DiffAmount10]]=0, ZeroBudgetNoSpending, ZeroBudgetWithSpending), SummaryTable[[#This Row],[DiffAmount10]]/SummaryTable[[#This Row],[OriginalBudget10]])</f>
        <v>-5.0423260949576741E-2</v>
      </c>
      <c r="EK15" s="62">
        <f>IF(COUNTIFS(allFYsTable[Code], SummaryTable[[#This Row],[Code]], allFYsTable[year2], EK$3)=0, NotFound, SUMIFS(allFYsTable[OriginalBudget], allFYsTable[Code], SummaryTable[[#This Row],[Code]], allFYsTable[year2], EK$3))</f>
        <v>13227</v>
      </c>
      <c r="EL15" s="61">
        <f>SummaryTable[[#This Row],[OriginalBudget09]]-SummaryTable[[#This Row],[OriginalBudget08]]</f>
        <v>2848</v>
      </c>
      <c r="EM15" s="54">
        <f>SummaryTable[[#This Row],[BudgetIncreaseAmount09]]/SummaryTable[[#This Row],[OriginalBudget08]]</f>
        <v>0.27440023123614993</v>
      </c>
      <c r="EN15" s="61">
        <f>IF(COUNTIFS(allFYsTable[Code], SummaryTable[[#This Row],[Code]], allFYsTable[year2], EK$3)=0, NotFound, SUMIFS(allFYsTable[RevisedBudget], allFYsTable[Code], SummaryTable[[#This Row],[Code]], allFYsTable[year2], EK$3))</f>
        <v>13165</v>
      </c>
      <c r="EO15" s="61">
        <f>IF(COUNTIFS(allFYsTable[Code], SummaryTable[[#This Row],[Code]], allFYsTable[year2], EK$3)=0, NotFound, SUMIFS(allFYsTable[Actual], allFYsTable[Code], SummaryTable[[#This Row],[Code]], allFYsTable[year2], EK$3))</f>
        <v>13018</v>
      </c>
      <c r="EP15" s="61">
        <f>IF(COUNTIFS(allFYsTable[Code], SummaryTable[[#This Row],[Code]], allFYsTable[year2], EK$3)=0, NotFound, SUMIFS(allFYsTable[DiffAmount], allFYsTable[Code], SummaryTable[[#This Row],[Code]], allFYsTable[year2], EK$3))</f>
        <v>-209</v>
      </c>
      <c r="EQ15" s="63">
        <f>IF(SummaryTable[[#This Row],[OriginalBudget09]]=0, IF(SummaryTable[[#This Row],[DiffAmount09]]=0, ZeroBudgetNoSpending, ZeroBudgetWithSpending), SummaryTable[[#This Row],[DiffAmount09]]/SummaryTable[[#This Row],[OriginalBudget09]])</f>
        <v>-1.5801013079307476E-2</v>
      </c>
      <c r="ER15" s="62">
        <f>IF(COUNTIFS(allFYsTable[Code], SummaryTable[[#This Row],[Code]], allFYsTable[year2], ER$3)=0, NotFound, SUMIFS(allFYsTable[OriginalBudget], allFYsTable[Code], SummaryTable[[#This Row],[Code]], allFYsTable[year2], ER$3))</f>
        <v>10379</v>
      </c>
      <c r="ES15" s="61">
        <f>SummaryTable[[#This Row],[OriginalBudget08]]-SummaryTable[[#This Row],[OriginalBudget07]]</f>
        <v>1011</v>
      </c>
      <c r="ET15" s="54">
        <f>SummaryTable[[#This Row],[BudgetIncreaseAmount08]]/SummaryTable[[#This Row],[OriginalBudget07]]</f>
        <v>0.10792058070025619</v>
      </c>
      <c r="EU15" s="61">
        <f>IF(COUNTIFS(allFYsTable[Code], SummaryTable[[#This Row],[Code]], allFYsTable[year2], ER$3)=0, NotFound, SUMIFS(allFYsTable[RevisedBudget], allFYsTable[Code], SummaryTable[[#This Row],[Code]], allFYsTable[year2], ER$3))</f>
        <v>10235</v>
      </c>
      <c r="EV15" s="61">
        <f>IF(COUNTIFS(allFYsTable[Code], SummaryTable[[#This Row],[Code]], allFYsTable[year2], ER$3)=0, NotFound, SUMIFS(allFYsTable[Actual], allFYsTable[Code], SummaryTable[[#This Row],[Code]], allFYsTable[year2], ER$3))</f>
        <v>9887</v>
      </c>
      <c r="EW15" s="61">
        <f>IF(COUNTIFS(allFYsTable[Code], SummaryTable[[#This Row],[Code]], allFYsTable[year2], ER$3)=0, NotFound, SUMIFS(allFYsTable[DiffAmount], allFYsTable[Code], SummaryTable[[#This Row],[Code]], allFYsTable[year2], ER$3))</f>
        <v>-492</v>
      </c>
      <c r="EX15" s="63">
        <f>IF(SummaryTable[[#This Row],[OriginalBudget08]]=0, IF(SummaryTable[[#This Row],[DiffAmount08]]=0, ZeroBudgetNoSpending, ZeroBudgetWithSpending), SummaryTable[[#This Row],[DiffAmount08]]/SummaryTable[[#This Row],[OriginalBudget08]])</f>
        <v>-4.740341073321129E-2</v>
      </c>
      <c r="EY15" s="62">
        <f>IF(COUNTIFS(allFYsTable[Code], SummaryTable[[#This Row],[Code]], allFYsTable[year2], EY$3)=0, NotFound, SUMIFS(allFYsTable[OriginalBudget], allFYsTable[Code], SummaryTable[[#This Row],[Code]], allFYsTable[year2], EY$3))</f>
        <v>9368</v>
      </c>
      <c r="EZ15" s="61">
        <f>SummaryTable[[#This Row],[OriginalBudget07]]-SummaryTable[[#This Row],[OriginalBudget06]]</f>
        <v>816</v>
      </c>
      <c r="FA15" s="54">
        <f>SummaryTable[[#This Row],[BudgetIncreaseAmount07]]/SummaryTable[[#This Row],[OriginalBudget06]]</f>
        <v>9.5416276894293731E-2</v>
      </c>
      <c r="FB15" s="61">
        <f>IF(COUNTIFS(allFYsTable[Code], SummaryTable[[#This Row],[Code]], allFYsTable[year2], EY$3)=0, NotFound, SUMIFS(allFYsTable[RevisedBudget], allFYsTable[Code], SummaryTable[[#This Row],[Code]], allFYsTable[year2], EY$3))</f>
        <v>10147</v>
      </c>
      <c r="FC15" s="61">
        <f>IF(COUNTIFS(allFYsTable[Code], SummaryTable[[#This Row],[Code]], allFYsTable[year2], EY$3)=0, NotFound, SUMIFS(allFYsTable[Actual], allFYsTable[Code], SummaryTable[[#This Row],[Code]], allFYsTable[year2], EY$3))</f>
        <v>10032</v>
      </c>
      <c r="FD15" s="61">
        <f>IF(COUNTIFS(allFYsTable[Code], SummaryTable[[#This Row],[Code]], allFYsTable[year2], EY$3)=0, NotFound, SUMIFS(allFYsTable[DiffAmount], allFYsTable[Code], SummaryTable[[#This Row],[Code]], allFYsTable[year2], EY$3))</f>
        <v>664</v>
      </c>
      <c r="FE15" s="63">
        <f>IF(SummaryTable[[#This Row],[OriginalBudget07]]=0, IF(SummaryTable[[#This Row],[DiffAmount07]]=0, ZeroBudgetNoSpending, ZeroBudgetWithSpending), SummaryTable[[#This Row],[DiffAmount07]]/SummaryTable[[#This Row],[OriginalBudget07]])</f>
        <v>7.0879590093936809E-2</v>
      </c>
      <c r="FF15" s="62">
        <f>IF(COUNTIFS(allFYsTable[Code], SummaryTable[[#This Row],[Code]], allFYsTable[year2], FF$3)=0, NotFound, SUMIFS(allFYsTable[OriginalBudget], allFYsTable[Code], SummaryTable[[#This Row],[Code]], allFYsTable[year2], FF$3))</f>
        <v>8552</v>
      </c>
      <c r="FI15" s="61">
        <f>IF(COUNTIFS(allFYsTable[Code], SummaryTable[[#This Row],[Code]], allFYsTable[year2], FF$3)=0, NotFound, SUMIFS(allFYsTable[RevisedBudget], allFYsTable[Code], SummaryTable[[#This Row],[Code]], allFYsTable[year2], FF$3))</f>
        <v>8552</v>
      </c>
      <c r="FJ15" s="61">
        <f>IF(COUNTIFS(allFYsTable[Code], SummaryTable[[#This Row],[Code]], allFYsTable[year2], FF$3)=0, NotFound, SUMIFS(allFYsTable[Actual], allFYsTable[Code], SummaryTable[[#This Row],[Code]], allFYsTable[year2], FF$3))</f>
        <v>8490</v>
      </c>
      <c r="FK15" s="61">
        <f>IF(COUNTIFS(allFYsTable[Code], SummaryTable[[#This Row],[Code]], allFYsTable[year2], FF$3)=0, NotFound, SUMIFS(allFYsTable[DiffAmount], allFYsTable[Code], SummaryTable[[#This Row],[Code]], allFYsTable[year2], FF$3))</f>
        <v>-62</v>
      </c>
      <c r="FL15" s="63">
        <f>IF(SummaryTable[[#This Row],[OriginalBudget06]]=0, IF(SummaryTable[[#This Row],[DiffAmount06]]=0, ZeroBudgetNoSpending, ZeroBudgetWithSpending), SummaryTable[[#This Row],[DiffAmount06]]/SummaryTable[[#This Row],[OriginalBudget06]])</f>
        <v>-7.2497661365762394E-3</v>
      </c>
    </row>
    <row r="16" spans="1:168" x14ac:dyDescent="0.45">
      <c r="A16" t="s">
        <v>702</v>
      </c>
      <c r="B16">
        <f>_xlfn.MAXIFS(allFYsTable[year2], allFYsTable[Code], SummaryTable[[#This Row],[Code]])</f>
        <v>2025</v>
      </c>
      <c r="C16" t="str">
        <f>_xlfn.XLOOKUP(SummaryTable[[#This Row],[Code]], NameCodingTable[Code], NameCodingTable[Most Recent Category per allFYs])</f>
        <v>Governmental direction and support</v>
      </c>
      <c r="D16" t="str">
        <f>_xlfn.XLOOKUP(SummaryTable[[#This Row],[Code]], NameCodingTable[Code], NameCodingTable[Unit Display Name])</f>
        <v>Contract Appeals Board (CAB)</v>
      </c>
      <c r="E16" t="str">
        <f>_xlfn.XLOOKUP(SummaryTable[[#This Row],[Code]], NameCodingTable[Code], NameCodingTable[Type])</f>
        <v>agency</v>
      </c>
      <c r="F1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4</v>
      </c>
      <c r="H16" s="54">
        <f>SummaryTable[[#This Row],['# Over]]/SummaryTable[[#This Row],[Count]]</f>
        <v>0.2</v>
      </c>
      <c r="I1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16</v>
      </c>
      <c r="J16" s="54">
        <f>SummaryTable[[#This Row],['# Under]]/SummaryTable[[#This Row],[Count]]</f>
        <v>0.8</v>
      </c>
      <c r="K1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6" s="54">
        <f>SummaryTable[[#This Row],['# Equal]]/SummaryTable[[#This Row],[Count]]</f>
        <v>0</v>
      </c>
      <c r="M16" s="61">
        <f>SUMIFS(allFYsTable[OriginalBudget],allFYsTable[Code],SummaryTable[[#This Row],[Code]])/SummaryTable[[#This Row],[Count]]</f>
        <v>1400.45</v>
      </c>
      <c r="N16" s="61">
        <f>SUMIFS(allFYsTable[Actual],allFYsTable[Code],SummaryTable[[#This Row],[Code]])/SummaryTable[[#This Row],[Count]]</f>
        <v>1357.6</v>
      </c>
      <c r="O16" s="61">
        <f>SummaryTable[[#This Row],[AvgActAmt]]-SummaryTable[[#This Row],[AvgBudAmt]]</f>
        <v>-42.850000000000136</v>
      </c>
      <c r="P16" s="54">
        <f>IF(SummaryTable[[#This Row],[AvgBudAmt]]=0, IF(SummaryTable[[#This Row],[AvgDiff'#]]=0, 0, NamedFields!$C$3), SummaryTable[[#This Row],[AvgDiff'#]]/SummaryTable[[#This Row],[AvgBudAmt]])</f>
        <v>-3.0597308008140336E-2</v>
      </c>
      <c r="Q16" s="61">
        <f>IFERROR(SUMIFS(allFYsTable[OriginalBudget],allFYsTable[Code],SummaryTable[[#This Row],[Code]],allFYsTable[DiffAmount], "&gt;0")/SummaryTable[[#This Row],['# Over]], 0)</f>
        <v>1574</v>
      </c>
      <c r="R16" s="61">
        <f>IFERROR(SUMIFS(allFYsTable[Actual],allFYsTable[Code],SummaryTable[[#This Row],[Code]],allFYsTable[DiffAmount], "&gt;0")/SummaryTable[[#This Row],['# Over]], 0)</f>
        <v>1598.25</v>
      </c>
      <c r="S16" s="61">
        <f>SummaryTable[[#This Row],[OverAvgAct]]-SummaryTable[[#This Row],[OverAvgBud]]</f>
        <v>24.25</v>
      </c>
      <c r="T16" s="54">
        <f>IF(SummaryTable[[#This Row],[OverAvgBud]]=0, IF(SummaryTable[[#This Row],[OverAvgDiff'#]]=0, ZeroBudgetNoSpending, ZeroBudgetWithSpending), SummaryTable[[#This Row],[OverAvgDiff'#]]/SummaryTable[[#This Row],[OverAvgBud]])</f>
        <v>1.5406607369758577E-2</v>
      </c>
      <c r="U16" s="61">
        <f>IFERROR(SUMIFS(allFYsTable[OriginalBudget],allFYsTable[Code],SummaryTable[[#This Row],[Code]],allFYsTable[DiffAmount], "&lt;0")/SummaryTable[[#This Row],['# Under]], 0)</f>
        <v>1357.0625</v>
      </c>
      <c r="V16" s="61">
        <f>IFERROR( SUMIFS(allFYsTable[Actual],allFYsTable[Code],SummaryTable[[#This Row],[Code]],allFYsTable[DiffAmount], "&lt;0")/SummaryTable[[#This Row],['# Under]], 0)</f>
        <v>1297.4375</v>
      </c>
      <c r="W16" s="61">
        <f>SummaryTable[[#This Row],[UnderAvgAct]]-SummaryTable[[#This Row],[UnderAvgBud]]</f>
        <v>-59.625</v>
      </c>
      <c r="X16" s="54">
        <f>IF(SummaryTable[[#This Row],[UnderAvgBud]]=0, IF(SummaryTable[[#This Row],[UnderAvgDiff'#]]=0, ZeroBudgetNoSpending, NamedFields!$C$3), SummaryTable[[#This Row],[UnderAvgDiff'#]]/SummaryTable[[#This Row],[UnderAvgBud]])</f>
        <v>-4.3936812048081794E-2</v>
      </c>
      <c r="Y1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1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6" s="54">
        <f>IF(SummaryTable[[#This Row],[IncreaseYears]]=0, ZeroBudgetNoSpending, SummaryTable[[#This Row],[OSinIncreaseYear'#]]/SummaryTable[[#This Row],[IncreaseYears]])</f>
        <v>0</v>
      </c>
      <c r="AB16" s="58" t="str">
        <f>SummaryTable[[#This Row],[Code]]</f>
        <v>AF0</v>
      </c>
      <c r="AC16" s="62">
        <f>IF(COUNTIFS(allFYsTable[Code], SummaryTable[[#This Row],[Code]], allFYsTable[year2], AC$3)=0, NotFound, SUMIFS(allFYsTable[OriginalBudget], allFYsTable[Code], SummaryTable[[#This Row],[Code]], allFYsTable[year2], AC$3))</f>
        <v>1973</v>
      </c>
      <c r="AD16" s="61">
        <f>SummaryTable[[#This Row],[OriginalBudget25]]-SummaryTable[[#This Row],[OriginalBudget24]]</f>
        <v>5</v>
      </c>
      <c r="AE16" s="54">
        <f>SummaryTable[[#This Row],[BudgetIncreaseAmount25]]/SummaryTable[[#This Row],[OriginalBudget24]]</f>
        <v>2.540650406504065E-3</v>
      </c>
      <c r="AF16" s="61">
        <f>IF(COUNTIFS(allFYsTable[Code], SummaryTable[[#This Row],[Code]], allFYsTable[year2], AC$3)=0, NotFound, SUMIFS(allFYsTable[RevisedBudget], allFYsTable[Code], SummaryTable[[#This Row],[Code]], allFYsTable[year2], AC$3))</f>
        <v>1944</v>
      </c>
      <c r="AG16" s="61">
        <f>IF(COUNTIFS(allFYsTable[Code], SummaryTable[[#This Row],[Code]], allFYsTable[year2], AC$3)=0, NotFound, SUMIFS(allFYsTable[Actual], allFYsTable[Code], SummaryTable[[#This Row],[Code]], allFYsTable[year2], AC$3))</f>
        <v>1893</v>
      </c>
      <c r="AH16" s="61">
        <f>IF(COUNTIFS(allFYsTable[Code], SummaryTable[[#This Row],[Code]], allFYsTable[year2], AC$3)=0, NotFound, SUMIFS(allFYsTable[DiffAmount], allFYsTable[Code], SummaryTable[[#This Row],[Code]], allFYsTable[year2], AC$3))</f>
        <v>-80</v>
      </c>
      <c r="AI16" s="63">
        <f>IF(SummaryTable[[#This Row],[OriginalBudget25]]=0, IF(SummaryTable[[#This Row],[DiffAmount25]]=0, ZeroBudgetNoSpending, ZeroBudgetWithSpending), SummaryTable[[#This Row],[DiffAmount25]]/SummaryTable[[#This Row],[OriginalBudget25]])</f>
        <v>-4.0547389761784083E-2</v>
      </c>
      <c r="AJ16" s="62">
        <f>IF(COUNTIFS(allFYsTable[Code], SummaryTable[[#This Row],[Code]], allFYsTable[year2], AJ$3)=0, NotFound, SUMIFS(allFYsTable[OriginalBudget], allFYsTable[Code], SummaryTable[[#This Row],[Code]], allFYsTable[year2], AJ$3))</f>
        <v>1968</v>
      </c>
      <c r="AK16" s="61">
        <f>SummaryTable[[#This Row],[OriginalBudget24]]-SummaryTable[[#This Row],[OriginalBudget23]]</f>
        <v>-16</v>
      </c>
      <c r="AL16" s="54">
        <f>SummaryTable[[#This Row],[BudgetIncreaseAmount24]]/SummaryTable[[#This Row],[OriginalBudget23]]</f>
        <v>-8.0645161290322578E-3</v>
      </c>
      <c r="AM16" s="61">
        <f>IF(COUNTIFS(allFYsTable[Code], SummaryTable[[#This Row],[Code]], allFYsTable[year2], AK$3)=0, NotFound, SUMIFS(allFYsTable[RevisedBudget], allFYsTable[Code], SummaryTable[[#This Row],[Code]], allFYsTable[year2], AJ$3))</f>
        <v>1968</v>
      </c>
      <c r="AN16" s="61">
        <f>IF(COUNTIFS(allFYsTable[Code], SummaryTable[[#This Row],[Code]], allFYsTable[year2], AJ$3)=0, NotFound, SUMIFS(allFYsTable[Actual], allFYsTable[Code], SummaryTable[[#This Row],[Code]], allFYsTable[year2], AJ$3))</f>
        <v>1908</v>
      </c>
      <c r="AO16" s="61">
        <f>IF(COUNTIFS(allFYsTable[Code], SummaryTable[[#This Row],[Code]], allFYsTable[year2], AJ$3)=0, NotFound, SUMIFS(allFYsTable[DiffAmount], allFYsTable[Code], SummaryTable[[#This Row],[Code]], allFYsTable[year2], AJ$3))</f>
        <v>-60</v>
      </c>
      <c r="AP16" s="63">
        <f>IF(SummaryTable[[#This Row],[OriginalBudget24]]=0, IF(SummaryTable[[#This Row],[DiffAmount24]]=0, ZeroBudgetNoSpending, ZeroBudgetWithSpending), SummaryTable[[#This Row],[DiffAmount24]]/SummaryTable[[#This Row],[OriginalBudget24]])</f>
        <v>-3.048780487804878E-2</v>
      </c>
      <c r="AQ16" s="62">
        <f>IF(COUNTIFS(allFYsTable[Code], SummaryTable[[#This Row],[Code]], allFYsTable[year2], AQ$3)=0, NotFound, SUMIFS(allFYsTable[OriginalBudget], allFYsTable[Code], SummaryTable[[#This Row],[Code]], allFYsTable[year2], AQ$3))</f>
        <v>1984</v>
      </c>
      <c r="AR16" s="61">
        <f>SummaryTable[[#This Row],[OriginalBudget23]]-SummaryTable[[#This Row],[OriginalBudget22]]</f>
        <v>87</v>
      </c>
      <c r="AS16" s="54">
        <f>SummaryTable[[#This Row],[BudgetIncreaseAmount23]]/SummaryTable[[#This Row],[OriginalBudget22]]</f>
        <v>4.5861887190300474E-2</v>
      </c>
      <c r="AT16" s="61">
        <f>IF(COUNTIFS(allFYsTable[Code], SummaryTable[[#This Row],[Code]], allFYsTable[year2], AQ$3)=0, NotFound, SUMIFS(allFYsTable[RevisedBudget], allFYsTable[Code], SummaryTable[[#This Row],[Code]], allFYsTable[year2], AQ$3))</f>
        <v>1961</v>
      </c>
      <c r="AU16" s="61">
        <f>IF(COUNTIFS(allFYsTable[Code], SummaryTable[[#This Row],[Code]], allFYsTable[year2], AQ$3)=0, NotFound, SUMIFS(allFYsTable[Actual], allFYsTable[Code], SummaryTable[[#This Row],[Code]], allFYsTable[year2], AQ$3))</f>
        <v>1898</v>
      </c>
      <c r="AV16" s="61">
        <f>IF(COUNTIFS(allFYsTable[Code], SummaryTable[[#This Row],[Code]], allFYsTable[year2], AQ$3)=0, NotFound, SUMIFS(allFYsTable[DiffAmount], allFYsTable[Code], SummaryTable[[#This Row],[Code]], allFYsTable[year2], AQ$3))</f>
        <v>-86</v>
      </c>
      <c r="AW16" s="63">
        <f>IF(SummaryTable[[#This Row],[OriginalBudget23]]=0, IF(SummaryTable[[#This Row],[DiffAmount23]]=0, ZeroBudgetNoSpending, ZeroBudgetWithSpending), SummaryTable[[#This Row],[DiffAmount23]]/SummaryTable[[#This Row],[OriginalBudget23]])</f>
        <v>-4.334677419354839E-2</v>
      </c>
      <c r="AX16" s="62">
        <f>IF(COUNTIFS(allFYsTable[Code], SummaryTable[[#This Row],[Code]], allFYsTable[year2], AX$3)=0, NotFound, SUMIFS(allFYsTable[OriginalBudget], allFYsTable[Code], SummaryTable[[#This Row],[Code]], allFYsTable[year2], AX$3))</f>
        <v>1897</v>
      </c>
      <c r="AY16" s="61">
        <f>SummaryTable[[#This Row],[OriginalBudget22]]-SummaryTable[[#This Row],[OriginalBudget21]]</f>
        <v>117</v>
      </c>
      <c r="AZ16" s="54">
        <f>SummaryTable[[#This Row],[BudgetIncreaseAmount22]]/SummaryTable[[#This Row],[OriginalBudget21]]</f>
        <v>6.5730337078651682E-2</v>
      </c>
      <c r="BA16" s="61">
        <f>IF(COUNTIFS(allFYsTable[Code], SummaryTable[[#This Row],[Code]], allFYsTable[year2], AX$3)=0, NotFound, SUMIFS(allFYsTable[RevisedBudget], allFYsTable[Code], SummaryTable[[#This Row],[Code]], allFYsTable[year2], AX$3))</f>
        <v>1956</v>
      </c>
      <c r="BB16" s="61">
        <f>IF(COUNTIFS(allFYsTable[Code], SummaryTable[[#This Row],[Code]], allFYsTable[year2], AX$3)=0, NotFound, SUMIFS(allFYsTable[Actual], allFYsTable[Code], SummaryTable[[#This Row],[Code]], allFYsTable[year2], AX$3))</f>
        <v>1942</v>
      </c>
      <c r="BC16" s="61">
        <f>IF(COUNTIFS(allFYsTable[Code], SummaryTable[[#This Row],[Code]], allFYsTable[year2], AX$3)=0, NotFound, SUMIFS(allFYsTable[DiffAmount], allFYsTable[Code], SummaryTable[[#This Row],[Code]], allFYsTable[year2], AX$3))</f>
        <v>45</v>
      </c>
      <c r="BD16" s="63">
        <f>IF(SummaryTable[[#This Row],[OriginalBudget22]]=0, IF(SummaryTable[[#This Row],[DiffAmount22]]=0, ZeroBudgetNoSpending, ZeroBudgetWithSpending), SummaryTable[[#This Row],[DiffAmount22]]/SummaryTable[[#This Row],[OriginalBudget22]])</f>
        <v>2.3721665788086453E-2</v>
      </c>
      <c r="BE16" s="62">
        <f>IF(COUNTIFS(allFYsTable[Code], SummaryTable[[#This Row],[Code]], allFYsTable[year2], BE$3)=0, NotFound, SUMIFS(allFYsTable[OriginalBudget], allFYsTable[Code], SummaryTable[[#This Row],[Code]], allFYsTable[year2], BE$3))</f>
        <v>1780</v>
      </c>
      <c r="BF16" s="61">
        <f>SummaryTable[[#This Row],[OriginalBudget21]]-SummaryTable[[#This Row],[OriginalBudget20]]</f>
        <v>-44</v>
      </c>
      <c r="BG16" s="54">
        <f>SummaryTable[[#This Row],[BudgetIncreaseAmount21]]/SummaryTable[[#This Row],[OriginalBudget20]]</f>
        <v>-2.4122807017543858E-2</v>
      </c>
      <c r="BH16" s="61">
        <f>IF(COUNTIFS(allFYsTable[Code], SummaryTable[[#This Row],[Code]], allFYsTable[year2], BE$3)=0, NotFound, SUMIFS(allFYsTable[RevisedBudget], allFYsTable[Code], SummaryTable[[#This Row],[Code]], allFYsTable[year2], BE$3))</f>
        <v>1809</v>
      </c>
      <c r="BI16" s="61">
        <f>IF(COUNTIFS(allFYsTable[Code], SummaryTable[[#This Row],[Code]], allFYsTable[year2], BE$3)=0, NotFound, SUMIFS(allFYsTable[Actual], allFYsTable[Code], SummaryTable[[#This Row],[Code]], allFYsTable[year2], BE$3))</f>
        <v>1783</v>
      </c>
      <c r="BJ16" s="61">
        <f>IF(COUNTIFS(allFYsTable[Code], SummaryTable[[#This Row],[Code]], allFYsTable[year2], BE$3)=0, NotFound, SUMIFS(allFYsTable[DiffAmount], allFYsTable[Code], SummaryTable[[#This Row],[Code]], allFYsTable[year2], BE$3))</f>
        <v>3</v>
      </c>
      <c r="BK16" s="63">
        <f>IF(SummaryTable[[#This Row],[OriginalBudget21]]=0, IF(SummaryTable[[#This Row],[DiffAmount21]]=0, ZeroBudgetNoSpending, ZeroBudgetWithSpending), SummaryTable[[#This Row],[DiffAmount21]]/SummaryTable[[#This Row],[OriginalBudget21]])</f>
        <v>1.6853932584269663E-3</v>
      </c>
      <c r="BL16" s="62">
        <f>IF(COUNTIFS(allFYsTable[Code], SummaryTable[[#This Row],[Code]], allFYsTable[year2], BL$3)=0, NotFound, SUMIFS(allFYsTable[OriginalBudget], allFYsTable[Code], SummaryTable[[#This Row],[Code]], allFYsTable[year2], BL$3))</f>
        <v>1824</v>
      </c>
      <c r="BM16" s="61">
        <f>SummaryTable[[#This Row],[OriginalBudget20]]-SummaryTable[[#This Row],[OriginalBudget19]]</f>
        <v>268</v>
      </c>
      <c r="BN16" s="54">
        <f>SummaryTable[[#This Row],[BudgetIncreaseAmount20]]/SummaryTable[[#This Row],[OriginalBudget19]]</f>
        <v>0.17223650385604114</v>
      </c>
      <c r="BO16" s="61">
        <f>IF(COUNTIFS(allFYsTable[Code], SummaryTable[[#This Row],[Code]], allFYsTable[year2], BL$3)=0, NotFound, SUMIFS(allFYsTable[RevisedBudget], allFYsTable[Code], SummaryTable[[#This Row],[Code]], allFYsTable[year2], BL$3))</f>
        <v>1762</v>
      </c>
      <c r="BP16" s="61">
        <f>IF(COUNTIFS(allFYsTable[Code], SummaryTable[[#This Row],[Code]], allFYsTable[year2], BL$3)=0, NotFound, SUMIFS(allFYsTable[Actual], allFYsTable[Code], SummaryTable[[#This Row],[Code]], allFYsTable[year2], BL$3))</f>
        <v>1760</v>
      </c>
      <c r="BQ16" s="61">
        <f>IF(COUNTIFS(allFYsTable[Code], SummaryTable[[#This Row],[Code]], allFYsTable[year2], BL$3)=0, NotFound, SUMIFS(allFYsTable[DiffAmount], allFYsTable[Code], SummaryTable[[#This Row],[Code]], allFYsTable[year2], BL$3))</f>
        <v>-64</v>
      </c>
      <c r="BR16" s="63">
        <f>IF(SummaryTable[[#This Row],[OriginalBudget20]]=0, IF(SummaryTable[[#This Row],[DiffAmount20]]=0, ZeroBudgetNoSpending, ZeroBudgetWithSpending), SummaryTable[[#This Row],[DiffAmount20]]/SummaryTable[[#This Row],[OriginalBudget20]])</f>
        <v>-3.5087719298245612E-2</v>
      </c>
      <c r="BS16" s="62">
        <f>IF(COUNTIFS(allFYsTable[Code], SummaryTable[[#This Row],[Code]], allFYsTable[year2], BS$3)=0, NotFound, SUMIFS(allFYsTable[OriginalBudget], allFYsTable[Code], SummaryTable[[#This Row],[Code]], allFYsTable[year2], BS$3))</f>
        <v>1556</v>
      </c>
      <c r="BT16" s="61">
        <f>SummaryTable[[#This Row],[OriginalBudget19]]-SummaryTable[[#This Row],[OriginalBudget18]]</f>
        <v>66</v>
      </c>
      <c r="BU16" s="54">
        <f>SummaryTable[[#This Row],[BudgetIncreaseAmount19]]/SummaryTable[[#This Row],[OriginalBudget18]]</f>
        <v>4.429530201342282E-2</v>
      </c>
      <c r="BV16" s="61">
        <f>IF(COUNTIFS(allFYsTable[Code], SummaryTable[[#This Row],[Code]], allFYsTable[year2], BS$3)=0, NotFound, SUMIFS(allFYsTable[RevisedBudget], allFYsTable[Code], SummaryTable[[#This Row],[Code]], allFYsTable[year2], BS$3))</f>
        <v>1556</v>
      </c>
      <c r="BW16" s="61">
        <f>IF(COUNTIFS(allFYsTable[Code], SummaryTable[[#This Row],[Code]], allFYsTable[year2], BS$3)=0, NotFound, SUMIFS(allFYsTable[Actual], allFYsTable[Code], SummaryTable[[#This Row],[Code]], allFYsTable[year2], BS$3))</f>
        <v>1550</v>
      </c>
      <c r="BX16" s="61">
        <f>IF(COUNTIFS(allFYsTable[Code], SummaryTable[[#This Row],[Code]], allFYsTable[year2], BS$3)=0, NotFound, SUMIFS(allFYsTable[DiffAmount], allFYsTable[Code], SummaryTable[[#This Row],[Code]], allFYsTable[year2], BS$3))</f>
        <v>-6</v>
      </c>
      <c r="BY16" s="63">
        <f>IF(SummaryTable[[#This Row],[OriginalBudget19]]=0, IF(SummaryTable[[#This Row],[DiffAmount19]]=0, ZeroBudgetNoSpending, ZeroBudgetWithSpending), SummaryTable[[#This Row],[DiffAmount19]]/SummaryTable[[#This Row],[OriginalBudget19]])</f>
        <v>-3.8560411311053984E-3</v>
      </c>
      <c r="BZ16" s="62">
        <f>IF(COUNTIFS(allFYsTable[Code], SummaryTable[[#This Row],[Code]], allFYsTable[year2], BZ$3)=0, NotFound, SUMIFS(allFYsTable[OriginalBudget], allFYsTable[Code], SummaryTable[[#This Row],[Code]], allFYsTable[year2], BZ$3))</f>
        <v>1490</v>
      </c>
      <c r="CA16" s="61">
        <f>SummaryTable[[#This Row],[OriginalBudget18]]-SummaryTable[[#This Row],[OriginalBudget17]]</f>
        <v>-2</v>
      </c>
      <c r="CB16" s="54">
        <f>SummaryTable[[#This Row],[BudgetIncreaseAmount18]]/SummaryTable[[#This Row],[OriginalBudget17]]</f>
        <v>-1.3404825737265416E-3</v>
      </c>
      <c r="CC16" s="61">
        <f>IF(COUNTIFS(allFYsTable[Code], SummaryTable[[#This Row],[Code]], allFYsTable[year2], BZ$3)=0, NotFound, SUMIFS(allFYsTable[RevisedBudget], allFYsTable[Code], SummaryTable[[#This Row],[Code]], allFYsTable[year2], BZ$3))</f>
        <v>1534</v>
      </c>
      <c r="CD16" s="61">
        <f>IF(COUNTIFS(allFYsTable[Code], SummaryTable[[#This Row],[Code]], allFYsTable[year2], BZ$3)=0, NotFound, SUMIFS(allFYsTable[Actual], allFYsTable[Code], SummaryTable[[#This Row],[Code]], allFYsTable[year2], BZ$3))</f>
        <v>1485</v>
      </c>
      <c r="CE16" s="61">
        <f>IF(COUNTIFS(allFYsTable[Code], SummaryTable[[#This Row],[Code]], allFYsTable[year2], BZ$3)=0, NotFound, SUMIFS(allFYsTable[DiffAmount], allFYsTable[Code], SummaryTable[[#This Row],[Code]], allFYsTable[year2], BZ$3))</f>
        <v>-5</v>
      </c>
      <c r="CF16" s="63">
        <f>IF(SummaryTable[[#This Row],[OriginalBudget18]]=0, IF(SummaryTable[[#This Row],[DiffAmount18]]=0, ZeroBudgetNoSpending, ZeroBudgetWithSpending), SummaryTable[[#This Row],[DiffAmount18]]/SummaryTable[[#This Row],[OriginalBudget18]])</f>
        <v>-3.3557046979865771E-3</v>
      </c>
      <c r="CG16" s="62">
        <f>IF(COUNTIFS(allFYsTable[Code], SummaryTable[[#This Row],[Code]], allFYsTable[year2], CG$3)=0, NotFound, SUMIFS(allFYsTable[OriginalBudget], allFYsTable[Code], SummaryTable[[#This Row],[Code]], allFYsTable[year2], CG$3))</f>
        <v>1492</v>
      </c>
      <c r="CH16" s="61">
        <f>SummaryTable[[#This Row],[OriginalBudget17]]-SummaryTable[[#This Row],[OriginalBudget16]]</f>
        <v>43</v>
      </c>
      <c r="CI16" s="54">
        <f>SummaryTable[[#This Row],[BudgetIncreaseAmount17]]/SummaryTable[[#This Row],[OriginalBudget16]]</f>
        <v>2.9675638371290544E-2</v>
      </c>
      <c r="CJ16" s="61">
        <f>IF(COUNTIFS(allFYsTable[Code], SummaryTable[[#This Row],[Code]], allFYsTable[year2], CG$3)=0, NotFound, SUMIFS(allFYsTable[RevisedBudget], allFYsTable[Code], SummaryTable[[#This Row],[Code]], allFYsTable[year2], CG$3))</f>
        <v>1492</v>
      </c>
      <c r="CK16" s="61">
        <f>IF(COUNTIFS(allFYsTable[Code], SummaryTable[[#This Row],[Code]], allFYsTable[year2], CG$3)=0, NotFound, SUMIFS(allFYsTable[Actual], allFYsTable[Code], SummaryTable[[#This Row],[Code]], allFYsTable[year2], CG$3))</f>
        <v>1453</v>
      </c>
      <c r="CL16" s="61">
        <f>IF(COUNTIFS(allFYsTable[Code], SummaryTable[[#This Row],[Code]], allFYsTable[year2], CG$3)=0, NotFound, SUMIFS(allFYsTable[DiffAmount], allFYsTable[Code], SummaryTable[[#This Row],[Code]], allFYsTable[year2], CG$3))</f>
        <v>-39</v>
      </c>
      <c r="CM16" s="63">
        <f>IF(SummaryTable[[#This Row],[OriginalBudget17]]=0, IF(SummaryTable[[#This Row],[DiffAmount17]]=0, ZeroBudgetNoSpending, ZeroBudgetWithSpending), SummaryTable[[#This Row],[DiffAmount17]]/SummaryTable[[#This Row],[OriginalBudget17]])</f>
        <v>-2.613941018766756E-2</v>
      </c>
      <c r="CN16" s="62">
        <f>IF(COUNTIFS(allFYsTable[Code], SummaryTable[[#This Row],[Code]], allFYsTable[year2], CN$3)=0, NotFound, SUMIFS(allFYsTable[OriginalBudget], allFYsTable[Code], SummaryTable[[#This Row],[Code]], allFYsTable[year2], CN$3))</f>
        <v>1449</v>
      </c>
      <c r="CO16" s="61">
        <f>SummaryTable[[#This Row],[OriginalBudget16]]-SummaryTable[[#This Row],[OriginalBudget15]]</f>
        <v>23</v>
      </c>
      <c r="CP16" s="54">
        <f>SummaryTable[[#This Row],[BudgetIncreaseAmount16]]/SummaryTable[[#This Row],[OriginalBudget15]]</f>
        <v>1.6129032258064516E-2</v>
      </c>
      <c r="CQ16" s="61">
        <f>IF(COUNTIFS(allFYsTable[Code], SummaryTable[[#This Row],[Code]], allFYsTable[year2], CN$3)=0, NotFound, SUMIFS(allFYsTable[RevisedBudget], allFYsTable[Code], SummaryTable[[#This Row],[Code]], allFYsTable[year2], CN$3))</f>
        <v>1449</v>
      </c>
      <c r="CR16" s="61">
        <f>IF(COUNTIFS(allFYsTable[Code], SummaryTable[[#This Row],[Code]], allFYsTable[year2], CN$3)=0, NotFound, SUMIFS(allFYsTable[Actual], allFYsTable[Code], SummaryTable[[#This Row],[Code]], allFYsTable[year2], CN$3))</f>
        <v>1378</v>
      </c>
      <c r="CS16" s="61">
        <f>IF(COUNTIFS(allFYsTable[Code], SummaryTable[[#This Row],[Code]], allFYsTable[year2], CN$3)=0, NotFound, SUMIFS(allFYsTable[DiffAmount], allFYsTable[Code], SummaryTable[[#This Row],[Code]], allFYsTable[year2], CN$3))</f>
        <v>-71</v>
      </c>
      <c r="CT16" s="63">
        <f>IF(SummaryTable[[#This Row],[OriginalBudget16]]=0, IF(SummaryTable[[#This Row],[DiffAmount16]]=0, ZeroBudgetNoSpending, ZeroBudgetWithSpending), SummaryTable[[#This Row],[DiffAmount16]]/SummaryTable[[#This Row],[OriginalBudget16]])</f>
        <v>-4.8999309868875088E-2</v>
      </c>
      <c r="CU16" s="62">
        <f>IF(COUNTIFS(allFYsTable[Code], SummaryTable[[#This Row],[Code]], allFYsTable[year2], CU$3)=0, NotFound, SUMIFS(allFYsTable[OriginalBudget], allFYsTable[Code], SummaryTable[[#This Row],[Code]], allFYsTable[year2], CU$3))</f>
        <v>1426</v>
      </c>
      <c r="CV16" s="61">
        <f>SummaryTable[[#This Row],[OriginalBudget15]]-SummaryTable[[#This Row],[OriginalBudget14]]</f>
        <v>367</v>
      </c>
      <c r="CW16" s="54">
        <f>SummaryTable[[#This Row],[BudgetIncreaseAmount15]]/SummaryTable[[#This Row],[OriginalBudget14]]</f>
        <v>0.34655335221907457</v>
      </c>
      <c r="CX16" s="61">
        <f>IF(COUNTIFS(allFYsTable[Code], SummaryTable[[#This Row],[Code]], allFYsTable[year2], CU$3)=0, NotFound, SUMIFS(allFYsTable[RevisedBudget], allFYsTable[Code], SummaryTable[[#This Row],[Code]], allFYsTable[year2], CU$3))</f>
        <v>1297</v>
      </c>
      <c r="CY16" s="61">
        <f>IF(COUNTIFS(allFYsTable[Code], SummaryTable[[#This Row],[Code]], allFYsTable[year2], CU$3)=0, NotFound, SUMIFS(allFYsTable[Actual], allFYsTable[Code], SummaryTable[[#This Row],[Code]], allFYsTable[year2], CU$3))</f>
        <v>1201</v>
      </c>
      <c r="CZ16" s="61">
        <f>IF(COUNTIFS(allFYsTable[Code], SummaryTable[[#This Row],[Code]], allFYsTable[year2], CU$3)=0, NotFound, SUMIFS(allFYsTable[DiffAmount], allFYsTable[Code], SummaryTable[[#This Row],[Code]], allFYsTable[year2], CU$3))</f>
        <v>-225</v>
      </c>
      <c r="DA16" s="63">
        <f>IF(SummaryTable[[#This Row],[OriginalBudget15]]=0, IF(SummaryTable[[#This Row],[DiffAmount15]]=0, ZeroBudgetNoSpending, ZeroBudgetWithSpending), SummaryTable[[#This Row],[DiffAmount15]]/SummaryTable[[#This Row],[OriginalBudget15]])</f>
        <v>-0.15778401122019636</v>
      </c>
      <c r="DB16" s="62">
        <f>IF(COUNTIFS(allFYsTable[Code], SummaryTable[[#This Row],[Code]], allFYsTable[year2], DB$3)=0, NotFound, SUMIFS(allFYsTable[OriginalBudget], allFYsTable[Code], SummaryTable[[#This Row],[Code]], allFYsTable[year2], DB$3))</f>
        <v>1059</v>
      </c>
      <c r="DC16" s="61">
        <f>SummaryTable[[#This Row],[OriginalBudget14]]-SummaryTable[[#This Row],[OriginalBudget13]]</f>
        <v>8</v>
      </c>
      <c r="DD16" s="54">
        <f>SummaryTable[[#This Row],[BudgetIncreaseAmount14]]/SummaryTable[[#This Row],[OriginalBudget13]]</f>
        <v>7.6117982873453857E-3</v>
      </c>
      <c r="DE16" s="61">
        <f>IF(COUNTIFS(allFYsTable[Code], SummaryTable[[#This Row],[Code]], allFYsTable[year2], DB$3)=0, NotFound, SUMIFS(allFYsTable[RevisedBudget], allFYsTable[Code], SummaryTable[[#This Row],[Code]], allFYsTable[year2], DB$3))</f>
        <v>1090</v>
      </c>
      <c r="DF16" s="61">
        <f>IF(COUNTIFS(allFYsTable[Code], SummaryTable[[#This Row],[Code]], allFYsTable[year2], DB$3)=0, NotFound, SUMIFS(allFYsTable[Actual], allFYsTable[Code], SummaryTable[[#This Row],[Code]], allFYsTable[year2], DB$3))</f>
        <v>1068</v>
      </c>
      <c r="DG16" s="61">
        <f>IF(COUNTIFS(allFYsTable[Code], SummaryTable[[#This Row],[Code]], allFYsTable[year2], DB$3)=0, NotFound, SUMIFS(allFYsTable[DiffAmount], allFYsTable[Code], SummaryTable[[#This Row],[Code]], allFYsTable[year2], DB$3))</f>
        <v>9</v>
      </c>
      <c r="DH16" s="63">
        <f>IF(SummaryTable[[#This Row],[OriginalBudget14]]=0, IF(SummaryTable[[#This Row],[DiffAmount14]]=0, ZeroBudgetNoSpending, ZeroBudgetWithSpending), SummaryTable[[#This Row],[DiffAmount14]]/SummaryTable[[#This Row],[OriginalBudget14]])</f>
        <v>8.4985835694051E-3</v>
      </c>
      <c r="DI16" s="62">
        <f>IF(COUNTIFS(allFYsTable[Code], SummaryTable[[#This Row],[Code]], allFYsTable[year2], DI$3)=0, NotFound, SUMIFS(allFYsTable[OriginalBudget], allFYsTable[Code], SummaryTable[[#This Row],[Code]], allFYsTable[year2], DI$3))</f>
        <v>1051</v>
      </c>
      <c r="DJ16" s="61">
        <f>SummaryTable[[#This Row],[OriginalBudget13]]-SummaryTable[[#This Row],[OriginalBudget12]]</f>
        <v>255</v>
      </c>
      <c r="DK16" s="54">
        <f>SummaryTable[[#This Row],[BudgetIncreaseAmount13]]/SummaryTable[[#This Row],[OriginalBudget12]]</f>
        <v>0.32035175879396988</v>
      </c>
      <c r="DL16" s="61">
        <f>IF(COUNTIFS(allFYsTable[Code], SummaryTable[[#This Row],[Code]], allFYsTable[year2], DI$3)=0, NotFound, SUMIFS(allFYsTable[RevisedBudget], allFYsTable[Code], SummaryTable[[#This Row],[Code]], allFYsTable[year2], DI$3))</f>
        <v>1063</v>
      </c>
      <c r="DM16" s="61">
        <f>IF(COUNTIFS(allFYsTable[Code], SummaryTable[[#This Row],[Code]], allFYsTable[year2], DI$3)=0, NotFound, SUMIFS(allFYsTable[Actual], allFYsTable[Code], SummaryTable[[#This Row],[Code]], allFYsTable[year2], DI$3))</f>
        <v>1041</v>
      </c>
      <c r="DN16" s="61">
        <f>IF(COUNTIFS(allFYsTable[Code], SummaryTable[[#This Row],[Code]], allFYsTable[year2], DI$3)=0, NotFound, SUMIFS(allFYsTable[DiffAmount], allFYsTable[Code], SummaryTable[[#This Row],[Code]], allFYsTable[year2], DI$3))</f>
        <v>-10</v>
      </c>
      <c r="DO16" s="63">
        <f>IF(SummaryTable[[#This Row],[OriginalBudget13]]=0, IF(SummaryTable[[#This Row],[DiffAmount13]]=0, ZeroBudgetNoSpending, ZeroBudgetWithSpending), SummaryTable[[#This Row],[DiffAmount13]]/SummaryTable[[#This Row],[OriginalBudget13]])</f>
        <v>-9.5147478591817315E-3</v>
      </c>
      <c r="DP16" s="62">
        <f>IF(COUNTIFS(allFYsTable[Code], SummaryTable[[#This Row],[Code]], allFYsTable[year2], DP$3)=0, NotFound, SUMIFS(allFYsTable[OriginalBudget], allFYsTable[Code], SummaryTable[[#This Row],[Code]], allFYsTable[year2], DP$3))</f>
        <v>796</v>
      </c>
      <c r="DQ16" s="61">
        <f>SummaryTable[[#This Row],[OriginalBudget12]]-SummaryTable[[#This Row],[OriginalBudget11]]</f>
        <v>22</v>
      </c>
      <c r="DR16" s="54">
        <f>SummaryTable[[#This Row],[BudgetIncreaseAmount12]]/SummaryTable[[#This Row],[OriginalBudget11]]</f>
        <v>2.8423772609819122E-2</v>
      </c>
      <c r="DS16" s="61">
        <f>IF(COUNTIFS(allFYsTable[Code], SummaryTable[[#This Row],[Code]], allFYsTable[year2], DP$3)=0, NotFound, SUMIFS(allFYsTable[RevisedBudget], allFYsTable[Code], SummaryTable[[#This Row],[Code]], allFYsTable[year2], DP$3))</f>
        <v>846</v>
      </c>
      <c r="DT16" s="61">
        <f>IF(COUNTIFS(allFYsTable[Code], SummaryTable[[#This Row],[Code]], allFYsTable[year2], DP$3)=0, NotFound, SUMIFS(allFYsTable[Actual], allFYsTable[Code], SummaryTable[[#This Row],[Code]], allFYsTable[year2], DP$3))</f>
        <v>835</v>
      </c>
      <c r="DU16" s="61">
        <f>IF(COUNTIFS(allFYsTable[Code], SummaryTable[[#This Row],[Code]], allFYsTable[year2], DP$3)=0, NotFound, SUMIFS(allFYsTable[DiffAmount], allFYsTable[Code], SummaryTable[[#This Row],[Code]], allFYsTable[year2], DP$3))</f>
        <v>39</v>
      </c>
      <c r="DV16" s="63">
        <f>IF(SummaryTable[[#This Row],[OriginalBudget12]]=0, IF(SummaryTable[[#This Row],[DiffAmount12]]=0, ZeroBudgetNoSpending, ZeroBudgetWithSpending), SummaryTable[[#This Row],[DiffAmount12]]/SummaryTable[[#This Row],[OriginalBudget12]])</f>
        <v>4.8994974874371856E-2</v>
      </c>
      <c r="DW16" s="62">
        <f>IF(COUNTIFS(allFYsTable[Code], SummaryTable[[#This Row],[Code]], allFYsTable[year2], DW$3)=0, NotFound, SUMIFS(allFYsTable[OriginalBudget], allFYsTable[Code], SummaryTable[[#This Row],[Code]], allFYsTable[year2], DW$3))</f>
        <v>774</v>
      </c>
      <c r="DX16" s="61">
        <f>SummaryTable[[#This Row],[OriginalBudget11]]-SummaryTable[[#This Row],[OriginalBudget10]]</f>
        <v>-326</v>
      </c>
      <c r="DY16" s="54">
        <f>SummaryTable[[#This Row],[BudgetIncreaseAmount11]]/SummaryTable[[#This Row],[OriginalBudget10]]</f>
        <v>-0.29636363636363638</v>
      </c>
      <c r="DZ16" s="61">
        <f>IF(COUNTIFS(allFYsTable[Code], SummaryTable[[#This Row],[Code]], allFYsTable[year2], DW$3)=0, NotFound, SUMIFS(allFYsTable[RevisedBudget], allFYsTable[Code], SummaryTable[[#This Row],[Code]], allFYsTable[year2], DW$3))</f>
        <v>774</v>
      </c>
      <c r="EA16" s="61">
        <f>IF(COUNTIFS(allFYsTable[Code], SummaryTable[[#This Row],[Code]], allFYsTable[year2], DW$3)=0, NotFound, SUMIFS(allFYsTable[Actual], allFYsTable[Code], SummaryTable[[#This Row],[Code]], allFYsTable[year2], DW$3))</f>
        <v>765</v>
      </c>
      <c r="EB16" s="61">
        <f>IF(COUNTIFS(allFYsTable[Code], SummaryTable[[#This Row],[Code]], allFYsTable[year2], DW$3)=0, NotFound, SUMIFS(allFYsTable[DiffAmount], allFYsTable[Code], SummaryTable[[#This Row],[Code]], allFYsTable[year2], DW$3))</f>
        <v>-9</v>
      </c>
      <c r="EC16" s="63">
        <f>IF(SummaryTable[[#This Row],[OriginalBudget11]]=0, IF(SummaryTable[[#This Row],[DiffAmount11]]=0, ZeroBudgetNoSpending, ZeroBudgetWithSpending), SummaryTable[[#This Row],[DiffAmount11]]/SummaryTable[[#This Row],[OriginalBudget11]])</f>
        <v>-1.1627906976744186E-2</v>
      </c>
      <c r="ED16" s="62">
        <f>IF(COUNTIFS(allFYsTable[Code], SummaryTable[[#This Row],[Code]], allFYsTable[year2], ED$3)=0, NotFound, SUMIFS(allFYsTable[OriginalBudget], allFYsTable[Code], SummaryTable[[#This Row],[Code]], allFYsTable[year2], ED$3))</f>
        <v>1100</v>
      </c>
      <c r="EE16" s="61">
        <f>SummaryTable[[#This Row],[OriginalBudget10]]-SummaryTable[[#This Row],[OriginalBudget09]]</f>
        <v>128</v>
      </c>
      <c r="EF16" s="54">
        <f>SummaryTable[[#This Row],[BudgetIncreaseAmount10]]/SummaryTable[[#This Row],[OriginalBudget09]]</f>
        <v>0.13168724279835392</v>
      </c>
      <c r="EG16" s="61">
        <f>IF(COUNTIFS(allFYsTable[Code], SummaryTable[[#This Row],[Code]], allFYsTable[year2], ED$3)=0, NotFound, SUMIFS(allFYsTable[RevisedBudget], allFYsTable[Code], SummaryTable[[#This Row],[Code]], allFYsTable[year2], ED$3))</f>
        <v>1040</v>
      </c>
      <c r="EH16" s="61">
        <f>IF(COUNTIFS(allFYsTable[Code], SummaryTable[[#This Row],[Code]], allFYsTable[year2], ED$3)=0, NotFound, SUMIFS(allFYsTable[Actual], allFYsTable[Code], SummaryTable[[#This Row],[Code]], allFYsTable[year2], ED$3))</f>
        <v>1032</v>
      </c>
      <c r="EI16" s="61">
        <f>IF(COUNTIFS(allFYsTable[Code], SummaryTable[[#This Row],[Code]], allFYsTable[year2], ED$3)=0, NotFound, SUMIFS(allFYsTable[DiffAmount], allFYsTable[Code], SummaryTable[[#This Row],[Code]], allFYsTable[year2], ED$3))</f>
        <v>-68</v>
      </c>
      <c r="EJ16" s="63">
        <f>IF(SummaryTable[[#This Row],[OriginalBudget10]]=0, IF(SummaryTable[[#This Row],[DiffAmount10]]=0, ZeroBudgetNoSpending, ZeroBudgetWithSpending), SummaryTable[[#This Row],[DiffAmount10]]/SummaryTable[[#This Row],[OriginalBudget10]])</f>
        <v>-6.1818181818181821E-2</v>
      </c>
      <c r="EK16" s="62">
        <f>IF(COUNTIFS(allFYsTable[Code], SummaryTable[[#This Row],[Code]], allFYsTable[year2], EK$3)=0, NotFound, SUMIFS(allFYsTable[OriginalBudget], allFYsTable[Code], SummaryTable[[#This Row],[Code]], allFYsTable[year2], EK$3))</f>
        <v>972</v>
      </c>
      <c r="EL16" s="61">
        <f>SummaryTable[[#This Row],[OriginalBudget09]]-SummaryTable[[#This Row],[OriginalBudget08]]</f>
        <v>-27</v>
      </c>
      <c r="EM16" s="54">
        <f>SummaryTable[[#This Row],[BudgetIncreaseAmount09]]/SummaryTable[[#This Row],[OriginalBudget08]]</f>
        <v>-2.7027027027027029E-2</v>
      </c>
      <c r="EN16" s="61">
        <f>IF(COUNTIFS(allFYsTable[Code], SummaryTable[[#This Row],[Code]], allFYsTable[year2], EK$3)=0, NotFound, SUMIFS(allFYsTable[RevisedBudget], allFYsTable[Code], SummaryTable[[#This Row],[Code]], allFYsTable[year2], EK$3))</f>
        <v>934</v>
      </c>
      <c r="EO16" s="61">
        <f>IF(COUNTIFS(allFYsTable[Code], SummaryTable[[#This Row],[Code]], allFYsTable[year2], EK$3)=0, NotFound, SUMIFS(allFYsTable[Actual], allFYsTable[Code], SummaryTable[[#This Row],[Code]], allFYsTable[year2], EK$3))</f>
        <v>933</v>
      </c>
      <c r="EP16" s="61">
        <f>IF(COUNTIFS(allFYsTable[Code], SummaryTable[[#This Row],[Code]], allFYsTable[year2], EK$3)=0, NotFound, SUMIFS(allFYsTable[DiffAmount], allFYsTable[Code], SummaryTable[[#This Row],[Code]], allFYsTable[year2], EK$3))</f>
        <v>-39</v>
      </c>
      <c r="EQ16" s="63">
        <f>IF(SummaryTable[[#This Row],[OriginalBudget09]]=0, IF(SummaryTable[[#This Row],[DiffAmount09]]=0, ZeroBudgetNoSpending, ZeroBudgetWithSpending), SummaryTable[[#This Row],[DiffAmount09]]/SummaryTable[[#This Row],[OriginalBudget09]])</f>
        <v>-4.0123456790123455E-2</v>
      </c>
      <c r="ER16" s="62">
        <f>IF(COUNTIFS(allFYsTable[Code], SummaryTable[[#This Row],[Code]], allFYsTable[year2], ER$3)=0, NotFound, SUMIFS(allFYsTable[OriginalBudget], allFYsTable[Code], SummaryTable[[#This Row],[Code]], allFYsTable[year2], ER$3))</f>
        <v>999</v>
      </c>
      <c r="ES16" s="61">
        <f>SummaryTable[[#This Row],[OriginalBudget08]]-SummaryTable[[#This Row],[OriginalBudget07]]</f>
        <v>150</v>
      </c>
      <c r="ET16" s="54">
        <f>SummaryTable[[#This Row],[BudgetIncreaseAmount08]]/SummaryTable[[#This Row],[OriginalBudget07]]</f>
        <v>0.17667844522968199</v>
      </c>
      <c r="EU16" s="61">
        <f>IF(COUNTIFS(allFYsTable[Code], SummaryTable[[#This Row],[Code]], allFYsTable[year2], ER$3)=0, NotFound, SUMIFS(allFYsTable[RevisedBudget], allFYsTable[Code], SummaryTable[[#This Row],[Code]], allFYsTable[year2], ER$3))</f>
        <v>999</v>
      </c>
      <c r="EV16" s="61">
        <f>IF(COUNTIFS(allFYsTable[Code], SummaryTable[[#This Row],[Code]], allFYsTable[year2], ER$3)=0, NotFound, SUMIFS(allFYsTable[Actual], allFYsTable[Code], SummaryTable[[#This Row],[Code]], allFYsTable[year2], ER$3))</f>
        <v>940</v>
      </c>
      <c r="EW16" s="61">
        <f>IF(COUNTIFS(allFYsTable[Code], SummaryTable[[#This Row],[Code]], allFYsTable[year2], ER$3)=0, NotFound, SUMIFS(allFYsTable[DiffAmount], allFYsTable[Code], SummaryTable[[#This Row],[Code]], allFYsTable[year2], ER$3))</f>
        <v>-59</v>
      </c>
      <c r="EX16" s="63">
        <f>IF(SummaryTable[[#This Row],[OriginalBudget08]]=0, IF(SummaryTable[[#This Row],[DiffAmount08]]=0, ZeroBudgetNoSpending, ZeroBudgetWithSpending), SummaryTable[[#This Row],[DiffAmount08]]/SummaryTable[[#This Row],[OriginalBudget08]])</f>
        <v>-5.905905905905906E-2</v>
      </c>
      <c r="EY16" s="62">
        <f>IF(COUNTIFS(allFYsTable[Code], SummaryTable[[#This Row],[Code]], allFYsTable[year2], EY$3)=0, NotFound, SUMIFS(allFYsTable[OriginalBudget], allFYsTable[Code], SummaryTable[[#This Row],[Code]], allFYsTable[year2], EY$3))</f>
        <v>849</v>
      </c>
      <c r="EZ16" s="61">
        <f>SummaryTable[[#This Row],[OriginalBudget07]]-SummaryTable[[#This Row],[OriginalBudget06]]</f>
        <v>43</v>
      </c>
      <c r="FA16" s="54">
        <f>SummaryTable[[#This Row],[BudgetIncreaseAmount07]]/SummaryTable[[#This Row],[OriginalBudget06]]</f>
        <v>5.3349875930521089E-2</v>
      </c>
      <c r="FB16" s="61">
        <f>IF(COUNTIFS(allFYsTable[Code], SummaryTable[[#This Row],[Code]], allFYsTable[year2], EY$3)=0, NotFound, SUMIFS(allFYsTable[RevisedBudget], allFYsTable[Code], SummaryTable[[#This Row],[Code]], allFYsTable[year2], EY$3))</f>
        <v>871</v>
      </c>
      <c r="FC16" s="61">
        <f>IF(COUNTIFS(allFYsTable[Code], SummaryTable[[#This Row],[Code]], allFYsTable[year2], EY$3)=0, NotFound, SUMIFS(allFYsTable[Actual], allFYsTable[Code], SummaryTable[[#This Row],[Code]], allFYsTable[year2], EY$3))</f>
        <v>776</v>
      </c>
      <c r="FD16" s="61">
        <f>IF(COUNTIFS(allFYsTable[Code], SummaryTable[[#This Row],[Code]], allFYsTable[year2], EY$3)=0, NotFound, SUMIFS(allFYsTable[DiffAmount], allFYsTable[Code], SummaryTable[[#This Row],[Code]], allFYsTable[year2], EY$3))</f>
        <v>-73</v>
      </c>
      <c r="FE16" s="63">
        <f>IF(SummaryTable[[#This Row],[OriginalBudget07]]=0, IF(SummaryTable[[#This Row],[DiffAmount07]]=0, ZeroBudgetNoSpending, ZeroBudgetWithSpending), SummaryTable[[#This Row],[DiffAmount07]]/SummaryTable[[#This Row],[OriginalBudget07]])</f>
        <v>-8.5983510011778563E-2</v>
      </c>
      <c r="FF16" s="62">
        <f>IF(COUNTIFS(allFYsTable[Code], SummaryTable[[#This Row],[Code]], allFYsTable[year2], FF$3)=0, NotFound, SUMIFS(allFYsTable[OriginalBudget], allFYsTable[Code], SummaryTable[[#This Row],[Code]], allFYsTable[year2], FF$3))</f>
        <v>806</v>
      </c>
      <c r="FI16" s="61">
        <f>IF(COUNTIFS(allFYsTable[Code], SummaryTable[[#This Row],[Code]], allFYsTable[year2], FF$3)=0, NotFound, SUMIFS(allFYsTable[RevisedBudget], allFYsTable[Code], SummaryTable[[#This Row],[Code]], allFYsTable[year2], FF$3))</f>
        <v>848</v>
      </c>
      <c r="FJ16" s="61">
        <f>IF(COUNTIFS(allFYsTable[Code], SummaryTable[[#This Row],[Code]], allFYsTable[year2], FF$3)=0, NotFound, SUMIFS(allFYsTable[Actual], allFYsTable[Code], SummaryTable[[#This Row],[Code]], allFYsTable[year2], FF$3))</f>
        <v>746</v>
      </c>
      <c r="FK16" s="61">
        <f>IF(COUNTIFS(allFYsTable[Code], SummaryTable[[#This Row],[Code]], allFYsTable[year2], FF$3)=0, NotFound, SUMIFS(allFYsTable[DiffAmount], allFYsTable[Code], SummaryTable[[#This Row],[Code]], allFYsTable[year2], FF$3))</f>
        <v>-60</v>
      </c>
      <c r="FL16" s="63">
        <f>IF(SummaryTable[[#This Row],[OriginalBudget06]]=0, IF(SummaryTable[[#This Row],[DiffAmount06]]=0, ZeroBudgetNoSpending, ZeroBudgetWithSpending), SummaryTable[[#This Row],[DiffAmount06]]/SummaryTable[[#This Row],[OriginalBudget06]])</f>
        <v>-7.4441687344913146E-2</v>
      </c>
    </row>
    <row r="17" spans="1:168" x14ac:dyDescent="0.45">
      <c r="A17" t="s">
        <v>810</v>
      </c>
      <c r="B17">
        <f>_xlfn.MAXIFS(allFYsTable[year2], allFYsTable[Code], SummaryTable[[#This Row],[Code]])</f>
        <v>2025</v>
      </c>
      <c r="C17" t="str">
        <f>_xlfn.XLOOKUP(SummaryTable[[#This Row],[Code]], NameCodingTable[Code], NameCodingTable[Most Recent Category per allFYs])</f>
        <v>Governmental direction and support</v>
      </c>
      <c r="D17" t="str">
        <f>_xlfn.XLOOKUP(SummaryTable[[#This Row],[Code]], NameCodingTable[Code], NameCodingTable[Unit Display Name])</f>
        <v>Convention Center Transfer</v>
      </c>
      <c r="E17" t="str">
        <f>_xlfn.XLOOKUP(SummaryTable[[#This Row],[Code]], NameCodingTable[Code], NameCodingTable[Type])</f>
        <v>xother</v>
      </c>
      <c r="F1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16</v>
      </c>
      <c r="G1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9</v>
      </c>
      <c r="H17" s="54">
        <f>SummaryTable[[#This Row],['# Over]]/SummaryTable[[#This Row],[Count]]</f>
        <v>0.5625</v>
      </c>
      <c r="I1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6</v>
      </c>
      <c r="J17" s="54">
        <f>SummaryTable[[#This Row],['# Under]]/SummaryTable[[#This Row],[Count]]</f>
        <v>0.375</v>
      </c>
      <c r="K1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7" s="54">
        <f>SummaryTable[[#This Row],['# Equal]]/SummaryTable[[#This Row],[Count]]</f>
        <v>6.25E-2</v>
      </c>
      <c r="M17" s="61">
        <f>SUMIFS(allFYsTable[OriginalBudget],allFYsTable[Code],SummaryTable[[#This Row],[Code]])/SummaryTable[[#This Row],[Count]]</f>
        <v>130607.875</v>
      </c>
      <c r="N17" s="61">
        <f>SUMIFS(allFYsTable[Actual],allFYsTable[Code],SummaryTable[[#This Row],[Code]])/SummaryTable[[#This Row],[Count]]</f>
        <v>132139.1875</v>
      </c>
      <c r="O17" s="61">
        <f>SummaryTable[[#This Row],[AvgActAmt]]-SummaryTable[[#This Row],[AvgBudAmt]]</f>
        <v>1531.3125</v>
      </c>
      <c r="P17" s="54">
        <f>IF(SummaryTable[[#This Row],[AvgBudAmt]]=0, IF(SummaryTable[[#This Row],[AvgDiff'#]]=0, 0, NamedFields!$C$3), SummaryTable[[#This Row],[AvgDiff'#]]/SummaryTable[[#This Row],[AvgBudAmt]])</f>
        <v>1.1724503595208175E-2</v>
      </c>
      <c r="Q17" s="61">
        <f>IFERROR(SUMIFS(allFYsTable[OriginalBudget],allFYsTable[Code],SummaryTable[[#This Row],[Code]],allFYsTable[DiffAmount], "&gt;0")/SummaryTable[[#This Row],['# Over]], 0)</f>
        <v>133535.44444444444</v>
      </c>
      <c r="R17" s="61">
        <f>IFERROR(SUMIFS(allFYsTable[Actual],allFYsTable[Code],SummaryTable[[#This Row],[Code]],allFYsTable[DiffAmount], "&gt;0")/SummaryTable[[#This Row],['# Over]], 0)</f>
        <v>150788.55555555556</v>
      </c>
      <c r="S17" s="61">
        <f>SummaryTable[[#This Row],[OverAvgAct]]-SummaryTable[[#This Row],[OverAvgBud]]</f>
        <v>17253.111111111124</v>
      </c>
      <c r="T17" s="54">
        <f>IF(SummaryTable[[#This Row],[OverAvgBud]]=0, IF(SummaryTable[[#This Row],[OverAvgDiff'#]]=0, ZeroBudgetNoSpending, ZeroBudgetWithSpending), SummaryTable[[#This Row],[OverAvgDiff'#]]/SummaryTable[[#This Row],[OverAvgBud]])</f>
        <v>0.12920248390148609</v>
      </c>
      <c r="U17" s="61">
        <f>IFERROR(SUMIFS(allFYsTable[OriginalBudget],allFYsTable[Code],SummaryTable[[#This Row],[Code]],allFYsTable[DiffAmount], "&lt;0")/SummaryTable[[#This Row],['# Under]], 0)</f>
        <v>132475.5</v>
      </c>
      <c r="V17" s="61">
        <f>IFERROR( SUMIFS(allFYsTable[Actual],allFYsTable[Code],SummaryTable[[#This Row],[Code]],allFYsTable[DiffAmount], "&lt;0")/SummaryTable[[#This Row],['# Under]], 0)</f>
        <v>110679.33333333333</v>
      </c>
      <c r="W17" s="61">
        <f>SummaryTable[[#This Row],[UnderAvgAct]]-SummaryTable[[#This Row],[UnderAvgBud]]</f>
        <v>-21796.166666666672</v>
      </c>
      <c r="X17" s="54">
        <f>IF(SummaryTable[[#This Row],[UnderAvgBud]]=0, IF(SummaryTable[[#This Row],[UnderAvgDiff'#]]=0, ZeroBudgetNoSpending, NamedFields!$C$3), SummaryTable[[#This Row],[UnderAvgDiff'#]]/SummaryTable[[#This Row],[UnderAvgBud]])</f>
        <v>-0.16452979355931227</v>
      </c>
      <c r="Y1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1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17" s="54">
        <f>IF(SummaryTable[[#This Row],[IncreaseYears]]=0, ZeroBudgetNoSpending, SummaryTable[[#This Row],[OSinIncreaseYear'#]]/SummaryTable[[#This Row],[IncreaseYears]])</f>
        <v>0.16666666666666666</v>
      </c>
      <c r="AB17" s="58" t="str">
        <f>SummaryTable[[#This Row],[Code]]</f>
        <v>EZ0</v>
      </c>
      <c r="AC17" s="62">
        <f>IF(COUNTIFS(allFYsTable[Code], SummaryTable[[#This Row],[Code]], allFYsTable[year2], AC$3)=0, NotFound, SUMIFS(allFYsTable[OriginalBudget], allFYsTable[Code], SummaryTable[[#This Row],[Code]], allFYsTable[year2], AC$3))</f>
        <v>199943</v>
      </c>
      <c r="AD17" s="61">
        <f>SummaryTable[[#This Row],[OriginalBudget25]]-SummaryTable[[#This Row],[OriginalBudget24]]</f>
        <v>26223</v>
      </c>
      <c r="AE17" s="54">
        <f>SummaryTable[[#This Row],[BudgetIncreaseAmount25]]/SummaryTable[[#This Row],[OriginalBudget24]]</f>
        <v>0.15094980428275387</v>
      </c>
      <c r="AF17" s="61">
        <f>IF(COUNTIFS(allFYsTable[Code], SummaryTable[[#This Row],[Code]], allFYsTable[year2], AC$3)=0, NotFound, SUMIFS(allFYsTable[RevisedBudget], allFYsTable[Code], SummaryTable[[#This Row],[Code]], allFYsTable[year2], AC$3))</f>
        <v>208836</v>
      </c>
      <c r="AG17" s="61">
        <f>IF(COUNTIFS(allFYsTable[Code], SummaryTable[[#This Row],[Code]], allFYsTable[year2], AC$3)=0, NotFound, SUMIFS(allFYsTable[Actual], allFYsTable[Code], SummaryTable[[#This Row],[Code]], allFYsTable[year2], AC$3))</f>
        <v>208836</v>
      </c>
      <c r="AH17" s="61">
        <f>IF(COUNTIFS(allFYsTable[Code], SummaryTable[[#This Row],[Code]], allFYsTable[year2], AC$3)=0, NotFound, SUMIFS(allFYsTable[DiffAmount], allFYsTable[Code], SummaryTable[[#This Row],[Code]], allFYsTable[year2], AC$3))</f>
        <v>8893</v>
      </c>
      <c r="AI17" s="63">
        <f>IF(SummaryTable[[#This Row],[OriginalBudget25]]=0, IF(SummaryTable[[#This Row],[DiffAmount25]]=0, ZeroBudgetNoSpending, ZeroBudgetWithSpending), SummaryTable[[#This Row],[DiffAmount25]]/SummaryTable[[#This Row],[OriginalBudget25]])</f>
        <v>4.4477676137699242E-2</v>
      </c>
      <c r="AJ17" s="62">
        <f>IF(COUNTIFS(allFYsTable[Code], SummaryTable[[#This Row],[Code]], allFYsTable[year2], AJ$3)=0, NotFound, SUMIFS(allFYsTable[OriginalBudget], allFYsTable[Code], SummaryTable[[#This Row],[Code]], allFYsTable[year2], AJ$3))</f>
        <v>173720</v>
      </c>
      <c r="AK17" s="61">
        <f>SummaryTable[[#This Row],[OriginalBudget24]]-SummaryTable[[#This Row],[OriginalBudget23]]</f>
        <v>56208</v>
      </c>
      <c r="AL17" s="54">
        <f>SummaryTable[[#This Row],[BudgetIncreaseAmount24]]/SummaryTable[[#This Row],[OriginalBudget23]]</f>
        <v>0.47831710804002997</v>
      </c>
      <c r="AM17" s="61">
        <f>IF(COUNTIFS(allFYsTable[Code], SummaryTable[[#This Row],[Code]], allFYsTable[year2], AK$3)=0, NotFound, SUMIFS(allFYsTable[RevisedBudget], allFYsTable[Code], SummaryTable[[#This Row],[Code]], allFYsTable[year2], AJ$3))</f>
        <v>222597</v>
      </c>
      <c r="AN17" s="61">
        <f>IF(COUNTIFS(allFYsTable[Code], SummaryTable[[#This Row],[Code]], allFYsTable[year2], AJ$3)=0, NotFound, SUMIFS(allFYsTable[Actual], allFYsTable[Code], SummaryTable[[#This Row],[Code]], allFYsTable[year2], AJ$3))</f>
        <v>222597</v>
      </c>
      <c r="AO17" s="61">
        <f>IF(COUNTIFS(allFYsTable[Code], SummaryTable[[#This Row],[Code]], allFYsTable[year2], AJ$3)=0, NotFound, SUMIFS(allFYsTable[DiffAmount], allFYsTable[Code], SummaryTable[[#This Row],[Code]], allFYsTable[year2], AJ$3))</f>
        <v>48877</v>
      </c>
      <c r="AP17" s="63">
        <f>IF(SummaryTable[[#This Row],[OriginalBudget24]]=0, IF(SummaryTable[[#This Row],[DiffAmount24]]=0, ZeroBudgetNoSpending, ZeroBudgetWithSpending), SummaryTable[[#This Row],[DiffAmount24]]/SummaryTable[[#This Row],[OriginalBudget24]])</f>
        <v>0.28135505411006217</v>
      </c>
      <c r="AQ17" s="62">
        <f>IF(COUNTIFS(allFYsTable[Code], SummaryTable[[#This Row],[Code]], allFYsTable[year2], AQ$3)=0, NotFound, SUMIFS(allFYsTable[OriginalBudget], allFYsTable[Code], SummaryTable[[#This Row],[Code]], allFYsTable[year2], AQ$3))</f>
        <v>117512</v>
      </c>
      <c r="AR17" s="61">
        <f>SummaryTable[[#This Row],[OriginalBudget23]]-SummaryTable[[#This Row],[OriginalBudget22]]</f>
        <v>-58465</v>
      </c>
      <c r="AS17" s="54">
        <f>SummaryTable[[#This Row],[BudgetIncreaseAmount23]]/SummaryTable[[#This Row],[OriginalBudget22]]</f>
        <v>-0.33223091654022968</v>
      </c>
      <c r="AT17" s="61">
        <f>IF(COUNTIFS(allFYsTable[Code], SummaryTable[[#This Row],[Code]], allFYsTable[year2], AQ$3)=0, NotFound, SUMIFS(allFYsTable[RevisedBudget], allFYsTable[Code], SummaryTable[[#This Row],[Code]], allFYsTable[year2], AQ$3))</f>
        <v>181804</v>
      </c>
      <c r="AU17" s="61">
        <f>IF(COUNTIFS(allFYsTable[Code], SummaryTable[[#This Row],[Code]], allFYsTable[year2], AQ$3)=0, NotFound, SUMIFS(allFYsTable[Actual], allFYsTable[Code], SummaryTable[[#This Row],[Code]], allFYsTable[year2], AQ$3))</f>
        <v>181804</v>
      </c>
      <c r="AV17" s="61">
        <f>IF(COUNTIFS(allFYsTable[Code], SummaryTable[[#This Row],[Code]], allFYsTable[year2], AQ$3)=0, NotFound, SUMIFS(allFYsTable[DiffAmount], allFYsTable[Code], SummaryTable[[#This Row],[Code]], allFYsTable[year2], AQ$3))</f>
        <v>64292</v>
      </c>
      <c r="AW17" s="63">
        <f>IF(SummaryTable[[#This Row],[OriginalBudget23]]=0, IF(SummaryTable[[#This Row],[DiffAmount23]]=0, ZeroBudgetNoSpending, ZeroBudgetWithSpending), SummaryTable[[#This Row],[DiffAmount23]]/SummaryTable[[#This Row],[OriginalBudget23]])</f>
        <v>0.54711008237456604</v>
      </c>
      <c r="AX17" s="62">
        <f>IF(COUNTIFS(allFYsTable[Code], SummaryTable[[#This Row],[Code]], allFYsTable[year2], AX$3)=0, NotFound, SUMIFS(allFYsTable[OriginalBudget], allFYsTable[Code], SummaryTable[[#This Row],[Code]], allFYsTable[year2], AX$3))</f>
        <v>175977</v>
      </c>
      <c r="AY17" s="61">
        <f>SummaryTable[[#This Row],[OriginalBudget22]]-SummaryTable[[#This Row],[OriginalBudget21]]</f>
        <v>82832</v>
      </c>
      <c r="AZ17" s="54">
        <f>SummaryTable[[#This Row],[BudgetIncreaseAmount22]]/SummaryTable[[#This Row],[OriginalBudget21]]</f>
        <v>0.88928015459767029</v>
      </c>
      <c r="BA17" s="61">
        <f>IF(COUNTIFS(allFYsTable[Code], SummaryTable[[#This Row],[Code]], allFYsTable[year2], AX$3)=0, NotFound, SUMIFS(allFYsTable[RevisedBudget], allFYsTable[Code], SummaryTable[[#This Row],[Code]], allFYsTable[year2], AX$3))</f>
        <v>176977</v>
      </c>
      <c r="BB17" s="61">
        <f>IF(COUNTIFS(allFYsTable[Code], SummaryTable[[#This Row],[Code]], allFYsTable[year2], AX$3)=0, NotFound, SUMIFS(allFYsTable[Actual], allFYsTable[Code], SummaryTable[[#This Row],[Code]], allFYsTable[year2], AX$3))</f>
        <v>154349</v>
      </c>
      <c r="BC17" s="61">
        <f>IF(COUNTIFS(allFYsTable[Code], SummaryTable[[#This Row],[Code]], allFYsTable[year2], AX$3)=0, NotFound, SUMIFS(allFYsTable[DiffAmount], allFYsTable[Code], SummaryTable[[#This Row],[Code]], allFYsTable[year2], AX$3))</f>
        <v>-21628</v>
      </c>
      <c r="BD17" s="63">
        <f>IF(SummaryTable[[#This Row],[OriginalBudget22]]=0, IF(SummaryTable[[#This Row],[DiffAmount22]]=0, ZeroBudgetNoSpending, ZeroBudgetWithSpending), SummaryTable[[#This Row],[DiffAmount22]]/SummaryTable[[#This Row],[OriginalBudget22]])</f>
        <v>-0.12290242474868875</v>
      </c>
      <c r="BE17" s="62">
        <f>IF(COUNTIFS(allFYsTable[Code], SummaryTable[[#This Row],[Code]], allFYsTable[year2], BE$3)=0, NotFound, SUMIFS(allFYsTable[OriginalBudget], allFYsTable[Code], SummaryTable[[#This Row],[Code]], allFYsTable[year2], BE$3))</f>
        <v>93145</v>
      </c>
      <c r="BF17" s="61">
        <f>SummaryTable[[#This Row],[OriginalBudget21]]-SummaryTable[[#This Row],[OriginalBudget20]]</f>
        <v>-56352</v>
      </c>
      <c r="BG17" s="54">
        <f>SummaryTable[[#This Row],[BudgetIncreaseAmount21]]/SummaryTable[[#This Row],[OriginalBudget20]]</f>
        <v>-0.37694401894352397</v>
      </c>
      <c r="BH17" s="61">
        <f>IF(COUNTIFS(allFYsTable[Code], SummaryTable[[#This Row],[Code]], allFYsTable[year2], BE$3)=0, NotFound, SUMIFS(allFYsTable[RevisedBudget], allFYsTable[Code], SummaryTable[[#This Row],[Code]], allFYsTable[year2], BE$3))</f>
        <v>110245</v>
      </c>
      <c r="BI17" s="61">
        <f>IF(COUNTIFS(allFYsTable[Code], SummaryTable[[#This Row],[Code]], allFYsTable[year2], BE$3)=0, NotFound, SUMIFS(allFYsTable[Actual], allFYsTable[Code], SummaryTable[[#This Row],[Code]], allFYsTable[year2], BE$3))</f>
        <v>72032</v>
      </c>
      <c r="BJ17" s="61">
        <f>IF(COUNTIFS(allFYsTable[Code], SummaryTable[[#This Row],[Code]], allFYsTable[year2], BE$3)=0, NotFound, SUMIFS(allFYsTable[DiffAmount], allFYsTable[Code], SummaryTable[[#This Row],[Code]], allFYsTable[year2], BE$3))</f>
        <v>-21113</v>
      </c>
      <c r="BK17" s="63">
        <f>IF(SummaryTable[[#This Row],[OriginalBudget21]]=0, IF(SummaryTable[[#This Row],[DiffAmount21]]=0, ZeroBudgetNoSpending, ZeroBudgetWithSpending), SummaryTable[[#This Row],[DiffAmount21]]/SummaryTable[[#This Row],[OriginalBudget21]])</f>
        <v>-0.22666809812657684</v>
      </c>
      <c r="BL17" s="62">
        <f>IF(COUNTIFS(allFYsTable[Code], SummaryTable[[#This Row],[Code]], allFYsTable[year2], BL$3)=0, NotFound, SUMIFS(allFYsTable[OriginalBudget], allFYsTable[Code], SummaryTable[[#This Row],[Code]], allFYsTable[year2], BL$3))</f>
        <v>149497</v>
      </c>
      <c r="BM17" s="61">
        <f>SummaryTable[[#This Row],[OriginalBudget20]]-SummaryTable[[#This Row],[OriginalBudget19]]</f>
        <v>-6046</v>
      </c>
      <c r="BN17" s="54">
        <f>SummaryTable[[#This Row],[BudgetIncreaseAmount20]]/SummaryTable[[#This Row],[OriginalBudget19]]</f>
        <v>-3.8870280244048268E-2</v>
      </c>
      <c r="BO17" s="61">
        <f>IF(COUNTIFS(allFYsTable[Code], SummaryTable[[#This Row],[Code]], allFYsTable[year2], BL$3)=0, NotFound, SUMIFS(allFYsTable[RevisedBudget], allFYsTable[Code], SummaryTable[[#This Row],[Code]], allFYsTable[year2], BL$3))</f>
        <v>84167</v>
      </c>
      <c r="BP17" s="61">
        <f>IF(COUNTIFS(allFYsTable[Code], SummaryTable[[#This Row],[Code]], allFYsTable[year2], BL$3)=0, NotFound, SUMIFS(allFYsTable[Actual], allFYsTable[Code], SummaryTable[[#This Row],[Code]], allFYsTable[year2], BL$3))</f>
        <v>84167</v>
      </c>
      <c r="BQ17" s="61">
        <f>IF(COUNTIFS(allFYsTable[Code], SummaryTable[[#This Row],[Code]], allFYsTable[year2], BL$3)=0, NotFound, SUMIFS(allFYsTable[DiffAmount], allFYsTable[Code], SummaryTable[[#This Row],[Code]], allFYsTable[year2], BL$3))</f>
        <v>-65330</v>
      </c>
      <c r="BR17" s="63">
        <f>IF(SummaryTable[[#This Row],[OriginalBudget20]]=0, IF(SummaryTable[[#This Row],[DiffAmount20]]=0, ZeroBudgetNoSpending, ZeroBudgetWithSpending), SummaryTable[[#This Row],[DiffAmount20]]/SummaryTable[[#This Row],[OriginalBudget20]])</f>
        <v>-0.43699873576058385</v>
      </c>
      <c r="BS17" s="62">
        <f>IF(COUNTIFS(allFYsTable[Code], SummaryTable[[#This Row],[Code]], allFYsTable[year2], BS$3)=0, NotFound, SUMIFS(allFYsTable[OriginalBudget], allFYsTable[Code], SummaryTable[[#This Row],[Code]], allFYsTable[year2], BS$3))</f>
        <v>155543</v>
      </c>
      <c r="BT17" s="61">
        <f>SummaryTable[[#This Row],[OriginalBudget19]]-SummaryTable[[#This Row],[OriginalBudget18]]</f>
        <v>15405</v>
      </c>
      <c r="BU17" s="54">
        <f>SummaryTable[[#This Row],[BudgetIncreaseAmount19]]/SummaryTable[[#This Row],[OriginalBudget18]]</f>
        <v>0.10992735731921392</v>
      </c>
      <c r="BV17" s="61">
        <f>IF(COUNTIFS(allFYsTable[Code], SummaryTable[[#This Row],[Code]], allFYsTable[year2], BS$3)=0, NotFound, SUMIFS(allFYsTable[RevisedBudget], allFYsTable[Code], SummaryTable[[#This Row],[Code]], allFYsTable[year2], BS$3))</f>
        <v>147983</v>
      </c>
      <c r="BW17" s="61">
        <f>IF(COUNTIFS(allFYsTable[Code], SummaryTable[[#This Row],[Code]], allFYsTable[year2], BS$3)=0, NotFound, SUMIFS(allFYsTable[Actual], allFYsTable[Code], SummaryTable[[#This Row],[Code]], allFYsTable[year2], BS$3))</f>
        <v>147983</v>
      </c>
      <c r="BX17" s="61">
        <f>IF(COUNTIFS(allFYsTable[Code], SummaryTable[[#This Row],[Code]], allFYsTable[year2], BS$3)=0, NotFound, SUMIFS(allFYsTable[DiffAmount], allFYsTable[Code], SummaryTable[[#This Row],[Code]], allFYsTable[year2], BS$3))</f>
        <v>-7560</v>
      </c>
      <c r="BY17" s="63">
        <f>IF(SummaryTable[[#This Row],[OriginalBudget19]]=0, IF(SummaryTable[[#This Row],[DiffAmount19]]=0, ZeroBudgetNoSpending, ZeroBudgetWithSpending), SummaryTable[[#This Row],[DiffAmount19]]/SummaryTable[[#This Row],[OriginalBudget19]])</f>
        <v>-4.8603923030930356E-2</v>
      </c>
      <c r="BZ17" s="62">
        <f>IF(COUNTIFS(allFYsTable[Code], SummaryTable[[#This Row],[Code]], allFYsTable[year2], BZ$3)=0, NotFound, SUMIFS(allFYsTable[OriginalBudget], allFYsTable[Code], SummaryTable[[#This Row],[Code]], allFYsTable[year2], BZ$3))</f>
        <v>140138</v>
      </c>
      <c r="CA17" s="61">
        <f>SummaryTable[[#This Row],[OriginalBudget18]]-SummaryTable[[#This Row],[OriginalBudget17]]</f>
        <v>17852</v>
      </c>
      <c r="CB17" s="54">
        <f>SummaryTable[[#This Row],[BudgetIncreaseAmount18]]/SummaryTable[[#This Row],[OriginalBudget17]]</f>
        <v>0.14598564022046678</v>
      </c>
      <c r="CC17" s="61">
        <f>IF(COUNTIFS(allFYsTable[Code], SummaryTable[[#This Row],[Code]], allFYsTable[year2], BZ$3)=0, NotFound, SUMIFS(allFYsTable[RevisedBudget], allFYsTable[Code], SummaryTable[[#This Row],[Code]], allFYsTable[year2], BZ$3))</f>
        <v>141748</v>
      </c>
      <c r="CD17" s="61">
        <f>IF(COUNTIFS(allFYsTable[Code], SummaryTable[[#This Row],[Code]], allFYsTable[year2], BZ$3)=0, NotFound, SUMIFS(allFYsTable[Actual], allFYsTable[Code], SummaryTable[[#This Row],[Code]], allFYsTable[year2], BZ$3))</f>
        <v>141748</v>
      </c>
      <c r="CE17" s="61">
        <f>IF(COUNTIFS(allFYsTable[Code], SummaryTable[[#This Row],[Code]], allFYsTable[year2], BZ$3)=0, NotFound, SUMIFS(allFYsTable[DiffAmount], allFYsTable[Code], SummaryTable[[#This Row],[Code]], allFYsTable[year2], BZ$3))</f>
        <v>1610</v>
      </c>
      <c r="CF17" s="63">
        <f>IF(SummaryTable[[#This Row],[OriginalBudget18]]=0, IF(SummaryTable[[#This Row],[DiffAmount18]]=0, ZeroBudgetNoSpending, ZeroBudgetWithSpending), SummaryTable[[#This Row],[DiffAmount18]]/SummaryTable[[#This Row],[OriginalBudget18]])</f>
        <v>1.1488675448486491E-2</v>
      </c>
      <c r="CG17" s="62">
        <f>IF(COUNTIFS(allFYsTable[Code], SummaryTable[[#This Row],[Code]], allFYsTable[year2], CG$3)=0, NotFound, SUMIFS(allFYsTable[OriginalBudget], allFYsTable[Code], SummaryTable[[#This Row],[Code]], allFYsTable[year2], CG$3))</f>
        <v>122286</v>
      </c>
      <c r="CH17" s="61">
        <f>SummaryTable[[#This Row],[OriginalBudget17]]-SummaryTable[[#This Row],[OriginalBudget16]]</f>
        <v>-2768</v>
      </c>
      <c r="CI17" s="54">
        <f>SummaryTable[[#This Row],[BudgetIncreaseAmount17]]/SummaryTable[[#This Row],[OriginalBudget16]]</f>
        <v>-2.2134437922817343E-2</v>
      </c>
      <c r="CJ17" s="61">
        <f>IF(COUNTIFS(allFYsTable[Code], SummaryTable[[#This Row],[Code]], allFYsTable[year2], CG$3)=0, NotFound, SUMIFS(allFYsTable[RevisedBudget], allFYsTable[Code], SummaryTable[[#This Row],[Code]], allFYsTable[year2], CG$3))</f>
        <v>141614</v>
      </c>
      <c r="CK17" s="61">
        <f>IF(COUNTIFS(allFYsTable[Code], SummaryTable[[#This Row],[Code]], allFYsTable[year2], CG$3)=0, NotFound, SUMIFS(allFYsTable[Actual], allFYsTable[Code], SummaryTable[[#This Row],[Code]], allFYsTable[year2], CG$3))</f>
        <v>141614</v>
      </c>
      <c r="CL17" s="61">
        <f>IF(COUNTIFS(allFYsTable[Code], SummaryTable[[#This Row],[Code]], allFYsTable[year2], CG$3)=0, NotFound, SUMIFS(allFYsTable[DiffAmount], allFYsTable[Code], SummaryTable[[#This Row],[Code]], allFYsTable[year2], CG$3))</f>
        <v>19328</v>
      </c>
      <c r="CM17" s="63">
        <f>IF(SummaryTable[[#This Row],[OriginalBudget17]]=0, IF(SummaryTable[[#This Row],[DiffAmount17]]=0, ZeroBudgetNoSpending, ZeroBudgetWithSpending), SummaryTable[[#This Row],[DiffAmount17]]/SummaryTable[[#This Row],[OriginalBudget17]])</f>
        <v>0.15805570547732364</v>
      </c>
      <c r="CN17" s="62">
        <f>IF(COUNTIFS(allFYsTable[Code], SummaryTable[[#This Row],[Code]], allFYsTable[year2], CN$3)=0, NotFound, SUMIFS(allFYsTable[OriginalBudget], allFYsTable[Code], SummaryTable[[#This Row],[Code]], allFYsTable[year2], CN$3))</f>
        <v>125054</v>
      </c>
      <c r="CO17" s="61">
        <f>SummaryTable[[#This Row],[OriginalBudget16]]-SummaryTable[[#This Row],[OriginalBudget15]]</f>
        <v>9335</v>
      </c>
      <c r="CP17" s="54">
        <f>SummaryTable[[#This Row],[BudgetIncreaseAmount16]]/SummaryTable[[#This Row],[OriginalBudget15]]</f>
        <v>8.0669552968829661E-2</v>
      </c>
      <c r="CQ17" s="61">
        <f>IF(COUNTIFS(allFYsTable[Code], SummaryTable[[#This Row],[Code]], allFYsTable[year2], CN$3)=0, NotFound, SUMIFS(allFYsTable[RevisedBudget], allFYsTable[Code], SummaryTable[[#This Row],[Code]], allFYsTable[year2], CN$3))</f>
        <v>132304</v>
      </c>
      <c r="CR17" s="61">
        <f>IF(COUNTIFS(allFYsTable[Code], SummaryTable[[#This Row],[Code]], allFYsTable[year2], CN$3)=0, NotFound, SUMIFS(allFYsTable[Actual], allFYsTable[Code], SummaryTable[[#This Row],[Code]], allFYsTable[year2], CN$3))</f>
        <v>131916</v>
      </c>
      <c r="CS17" s="61">
        <f>IF(COUNTIFS(allFYsTable[Code], SummaryTable[[#This Row],[Code]], allFYsTable[year2], CN$3)=0, NotFound, SUMIFS(allFYsTable[DiffAmount], allFYsTable[Code], SummaryTable[[#This Row],[Code]], allFYsTable[year2], CN$3))</f>
        <v>6862</v>
      </c>
      <c r="CT17" s="63">
        <f>IF(SummaryTable[[#This Row],[OriginalBudget16]]=0, IF(SummaryTable[[#This Row],[DiffAmount16]]=0, ZeroBudgetNoSpending, ZeroBudgetWithSpending), SummaryTable[[#This Row],[DiffAmount16]]/SummaryTable[[#This Row],[OriginalBudget16]])</f>
        <v>5.4872295168487212E-2</v>
      </c>
      <c r="CU17" s="62">
        <f>IF(COUNTIFS(allFYsTable[Code], SummaryTable[[#This Row],[Code]], allFYsTable[year2], CU$3)=0, NotFound, SUMIFS(allFYsTable[OriginalBudget], allFYsTable[Code], SummaryTable[[#This Row],[Code]], allFYsTable[year2], CU$3))</f>
        <v>115719</v>
      </c>
      <c r="CV17" s="61">
        <f>SummaryTable[[#This Row],[OriginalBudget15]]-SummaryTable[[#This Row],[OriginalBudget14]]</f>
        <v>-3276</v>
      </c>
      <c r="CW17" s="54">
        <f>SummaryTable[[#This Row],[BudgetIncreaseAmount15]]/SummaryTable[[#This Row],[OriginalBudget14]]</f>
        <v>-2.7530568511281987E-2</v>
      </c>
      <c r="CX17" s="61">
        <f>IF(COUNTIFS(allFYsTable[Code], SummaryTable[[#This Row],[Code]], allFYsTable[year2], CU$3)=0, NotFound, SUMIFS(allFYsTable[RevisedBudget], allFYsTable[Code], SummaryTable[[#This Row],[Code]], allFYsTable[year2], CU$3))</f>
        <v>121000</v>
      </c>
      <c r="CY17" s="61">
        <f>IF(COUNTIFS(allFYsTable[Code], SummaryTable[[#This Row],[Code]], allFYsTable[year2], CU$3)=0, NotFound, SUMIFS(allFYsTable[Actual], allFYsTable[Code], SummaryTable[[#This Row],[Code]], allFYsTable[year2], CU$3))</f>
        <v>120448</v>
      </c>
      <c r="CZ17" s="61">
        <f>IF(COUNTIFS(allFYsTable[Code], SummaryTable[[#This Row],[Code]], allFYsTable[year2], CU$3)=0, NotFound, SUMIFS(allFYsTable[DiffAmount], allFYsTable[Code], SummaryTable[[#This Row],[Code]], allFYsTable[year2], CU$3))</f>
        <v>4729</v>
      </c>
      <c r="DA17" s="63">
        <f>IF(SummaryTable[[#This Row],[OriginalBudget15]]=0, IF(SummaryTable[[#This Row],[DiffAmount15]]=0, ZeroBudgetNoSpending, ZeroBudgetWithSpending), SummaryTable[[#This Row],[DiffAmount15]]/SummaryTable[[#This Row],[OriginalBudget15]])</f>
        <v>4.0866236313829192E-2</v>
      </c>
      <c r="DB17" s="62">
        <f>IF(COUNTIFS(allFYsTable[Code], SummaryTable[[#This Row],[Code]], allFYsTable[year2], DB$3)=0, NotFound, SUMIFS(allFYsTable[OriginalBudget], allFYsTable[Code], SummaryTable[[#This Row],[Code]], allFYsTable[year2], DB$3))</f>
        <v>118995</v>
      </c>
      <c r="DC17" s="61">
        <f>SummaryTable[[#This Row],[OriginalBudget14]]-SummaryTable[[#This Row],[OriginalBudget13]]</f>
        <v>12266</v>
      </c>
      <c r="DD17" s="54">
        <f>SummaryTable[[#This Row],[BudgetIncreaseAmount14]]/SummaryTable[[#This Row],[OriginalBudget13]]</f>
        <v>0.11492658977410077</v>
      </c>
      <c r="DE17" s="61">
        <f>IF(COUNTIFS(allFYsTable[Code], SummaryTable[[#This Row],[Code]], allFYsTable[year2], DB$3)=0, NotFound, SUMIFS(allFYsTable[RevisedBudget], allFYsTable[Code], SummaryTable[[#This Row],[Code]], allFYsTable[year2], DB$3))</f>
        <v>111002</v>
      </c>
      <c r="DF17" s="61">
        <f>IF(COUNTIFS(allFYsTable[Code], SummaryTable[[#This Row],[Code]], allFYsTable[year2], DB$3)=0, NotFound, SUMIFS(allFYsTable[Actual], allFYsTable[Code], SummaryTable[[#This Row],[Code]], allFYsTable[year2], DB$3))</f>
        <v>108701</v>
      </c>
      <c r="DG17" s="61">
        <f>IF(COUNTIFS(allFYsTable[Code], SummaryTable[[#This Row],[Code]], allFYsTable[year2], DB$3)=0, NotFound, SUMIFS(allFYsTable[DiffAmount], allFYsTable[Code], SummaryTable[[#This Row],[Code]], allFYsTable[year2], DB$3))</f>
        <v>-10294</v>
      </c>
      <c r="DH17" s="63">
        <f>IF(SummaryTable[[#This Row],[OriginalBudget14]]=0, IF(SummaryTable[[#This Row],[DiffAmount14]]=0, ZeroBudgetNoSpending, ZeroBudgetWithSpending), SummaryTable[[#This Row],[DiffAmount14]]/SummaryTable[[#This Row],[OriginalBudget14]])</f>
        <v>-8.6507836463716958E-2</v>
      </c>
      <c r="DI17" s="62">
        <f>IF(COUNTIFS(allFYsTable[Code], SummaryTable[[#This Row],[Code]], allFYsTable[year2], DI$3)=0, NotFound, SUMIFS(allFYsTable[OriginalBudget], allFYsTable[Code], SummaryTable[[#This Row],[Code]], allFYsTable[year2], DI$3))</f>
        <v>106729</v>
      </c>
      <c r="DJ17" s="61">
        <f>SummaryTable[[#This Row],[OriginalBudget13]]-SummaryTable[[#This Row],[OriginalBudget12]]</f>
        <v>6011</v>
      </c>
      <c r="DK17" s="54">
        <f>SummaryTable[[#This Row],[BudgetIncreaseAmount13]]/SummaryTable[[#This Row],[OriginalBudget12]]</f>
        <v>5.9681486923886494E-2</v>
      </c>
      <c r="DL17" s="61">
        <f>IF(COUNTIFS(allFYsTable[Code], SummaryTable[[#This Row],[Code]], allFYsTable[year2], DI$3)=0, NotFound, SUMIFS(allFYsTable[RevisedBudget], allFYsTable[Code], SummaryTable[[#This Row],[Code]], allFYsTable[year2], DI$3))</f>
        <v>107041</v>
      </c>
      <c r="DM17" s="61">
        <f>IF(COUNTIFS(allFYsTable[Code], SummaryTable[[#This Row],[Code]], allFYsTable[year2], DI$3)=0, NotFound, SUMIFS(allFYsTable[Actual], allFYsTable[Code], SummaryTable[[#This Row],[Code]], allFYsTable[year2], DI$3))</f>
        <v>107041</v>
      </c>
      <c r="DN17" s="61">
        <f>IF(COUNTIFS(allFYsTable[Code], SummaryTable[[#This Row],[Code]], allFYsTable[year2], DI$3)=0, NotFound, SUMIFS(allFYsTable[DiffAmount], allFYsTable[Code], SummaryTable[[#This Row],[Code]], allFYsTable[year2], DI$3))</f>
        <v>312</v>
      </c>
      <c r="DO17" s="63">
        <f>IF(SummaryTable[[#This Row],[OriginalBudget13]]=0, IF(SummaryTable[[#This Row],[DiffAmount13]]=0, ZeroBudgetNoSpending, ZeroBudgetWithSpending), SummaryTable[[#This Row],[DiffAmount13]]/SummaryTable[[#This Row],[OriginalBudget13]])</f>
        <v>2.9232917014119873E-3</v>
      </c>
      <c r="DP17" s="62">
        <f>IF(COUNTIFS(allFYsTable[Code], SummaryTable[[#This Row],[Code]], allFYsTable[year2], DP$3)=0, NotFound, SUMIFS(allFYsTable[OriginalBudget], allFYsTable[Code], SummaryTable[[#This Row],[Code]], allFYsTable[year2], DP$3))</f>
        <v>100718</v>
      </c>
      <c r="DQ17" s="61">
        <f>SummaryTable[[#This Row],[OriginalBudget12]]-SummaryTable[[#This Row],[OriginalBudget11]]</f>
        <v>-978</v>
      </c>
      <c r="DR17" s="54">
        <f>SummaryTable[[#This Row],[BudgetIncreaseAmount12]]/SummaryTable[[#This Row],[OriginalBudget11]]</f>
        <v>-9.6168974197608555E-3</v>
      </c>
      <c r="DS17" s="61">
        <f>IF(COUNTIFS(allFYsTable[Code], SummaryTable[[#This Row],[Code]], allFYsTable[year2], DP$3)=0, NotFound, SUMIFS(allFYsTable[RevisedBudget], allFYsTable[Code], SummaryTable[[#This Row],[Code]], allFYsTable[year2], DP$3))</f>
        <v>101093</v>
      </c>
      <c r="DT17" s="61">
        <f>IF(COUNTIFS(allFYsTable[Code], SummaryTable[[#This Row],[Code]], allFYsTable[year2], DP$3)=0, NotFound, SUMIFS(allFYsTable[Actual], allFYsTable[Code], SummaryTable[[#This Row],[Code]], allFYsTable[year2], DP$3))</f>
        <v>101093</v>
      </c>
      <c r="DU17" s="61">
        <f>IF(COUNTIFS(allFYsTable[Code], SummaryTable[[#This Row],[Code]], allFYsTable[year2], DP$3)=0, NotFound, SUMIFS(allFYsTable[DiffAmount], allFYsTable[Code], SummaryTable[[#This Row],[Code]], allFYsTable[year2], DP$3))</f>
        <v>375</v>
      </c>
      <c r="DV17" s="63">
        <f>IF(SummaryTable[[#This Row],[OriginalBudget12]]=0, IF(SummaryTable[[#This Row],[DiffAmount12]]=0, ZeroBudgetNoSpending, ZeroBudgetWithSpending), SummaryTable[[#This Row],[DiffAmount12]]/SummaryTable[[#This Row],[OriginalBudget12]])</f>
        <v>3.7232669433467703E-3</v>
      </c>
      <c r="DW17" s="62">
        <f>IF(COUNTIFS(allFYsTable[Code], SummaryTable[[#This Row],[Code]], allFYsTable[year2], DW$3)=0, NotFound, SUMIFS(allFYsTable[OriginalBudget], allFYsTable[Code], SummaryTable[[#This Row],[Code]], allFYsTable[year2], DW$3))</f>
        <v>101696</v>
      </c>
      <c r="DX17" s="61">
        <f>SummaryTable[[#This Row],[OriginalBudget11]]-SummaryTable[[#This Row],[OriginalBudget10]]</f>
        <v>8642</v>
      </c>
      <c r="DY17" s="54">
        <f>SummaryTable[[#This Row],[BudgetIncreaseAmount11]]/SummaryTable[[#This Row],[OriginalBudget10]]</f>
        <v>9.2870806198551384E-2</v>
      </c>
      <c r="DZ17" s="61">
        <f>IF(COUNTIFS(allFYsTable[Code], SummaryTable[[#This Row],[Code]], allFYsTable[year2], DW$3)=0, NotFound, SUMIFS(allFYsTable[RevisedBudget], allFYsTable[Code], SummaryTable[[#This Row],[Code]], allFYsTable[year2], DW$3))</f>
        <v>96844</v>
      </c>
      <c r="EA17" s="61">
        <f>IF(COUNTIFS(allFYsTable[Code], SummaryTable[[#This Row],[Code]], allFYsTable[year2], DW$3)=0, NotFound, SUMIFS(allFYsTable[Actual], allFYsTable[Code], SummaryTable[[#This Row],[Code]], allFYsTable[year2], DW$3))</f>
        <v>96844</v>
      </c>
      <c r="EB17" s="61">
        <f>IF(COUNTIFS(allFYsTable[Code], SummaryTable[[#This Row],[Code]], allFYsTable[year2], DW$3)=0, NotFound, SUMIFS(allFYsTable[DiffAmount], allFYsTable[Code], SummaryTable[[#This Row],[Code]], allFYsTable[year2], DW$3))</f>
        <v>-4852</v>
      </c>
      <c r="EC17" s="63">
        <f>IF(SummaryTable[[#This Row],[OriginalBudget11]]=0, IF(SummaryTable[[#This Row],[DiffAmount11]]=0, ZeroBudgetNoSpending, ZeroBudgetWithSpending), SummaryTable[[#This Row],[DiffAmount11]]/SummaryTable[[#This Row],[OriginalBudget11]])</f>
        <v>-4.7710824417872874E-2</v>
      </c>
      <c r="ED17" s="62">
        <f>IF(COUNTIFS(allFYsTable[Code], SummaryTable[[#This Row],[Code]], allFYsTable[year2], ED$3)=0, NotFound, SUMIFS(allFYsTable[OriginalBudget], allFYsTable[Code], SummaryTable[[#This Row],[Code]], allFYsTable[year2], ED$3))</f>
        <v>93054</v>
      </c>
      <c r="EE17" s="61" t="e">
        <f>SummaryTable[[#This Row],[OriginalBudget10]]-SummaryTable[[#This Row],[OriginalBudget09]]</f>
        <v>#N/A</v>
      </c>
      <c r="EF17" s="54" t="e">
        <f>SummaryTable[[#This Row],[BudgetIncreaseAmount10]]/SummaryTable[[#This Row],[OriginalBudget09]]</f>
        <v>#N/A</v>
      </c>
      <c r="EG17" s="61">
        <f>IF(COUNTIFS(allFYsTable[Code], SummaryTable[[#This Row],[Code]], allFYsTable[year2], ED$3)=0, NotFound, SUMIFS(allFYsTable[RevisedBudget], allFYsTable[Code], SummaryTable[[#This Row],[Code]], allFYsTable[year2], ED$3))</f>
        <v>93054</v>
      </c>
      <c r="EH17" s="61">
        <f>IF(COUNTIFS(allFYsTable[Code], SummaryTable[[#This Row],[Code]], allFYsTable[year2], ED$3)=0, NotFound, SUMIFS(allFYsTable[Actual], allFYsTable[Code], SummaryTable[[#This Row],[Code]], allFYsTable[year2], ED$3))</f>
        <v>93054</v>
      </c>
      <c r="EI17" s="61">
        <f>IF(COUNTIFS(allFYsTable[Code], SummaryTable[[#This Row],[Code]], allFYsTable[year2], ED$3)=0, NotFound, SUMIFS(allFYsTable[DiffAmount], allFYsTable[Code], SummaryTable[[#This Row],[Code]], allFYsTable[year2], ED$3))</f>
        <v>0</v>
      </c>
      <c r="EJ17" s="63">
        <f>IF(SummaryTable[[#This Row],[OriginalBudget10]]=0, IF(SummaryTable[[#This Row],[DiffAmount10]]=0, ZeroBudgetNoSpending, ZeroBudgetWithSpending), SummaryTable[[#This Row],[DiffAmount10]]/SummaryTable[[#This Row],[OriginalBudget10]])</f>
        <v>0</v>
      </c>
      <c r="EK17" s="62" t="e">
        <f>IF(COUNTIFS(allFYsTable[Code], SummaryTable[[#This Row],[Code]], allFYsTable[year2], EK$3)=0, NotFound, SUMIFS(allFYsTable[OriginalBudget], allFYsTable[Code], SummaryTable[[#This Row],[Code]], allFYsTable[year2], EK$3))</f>
        <v>#N/A</v>
      </c>
      <c r="EL17" s="61" t="e">
        <f>SummaryTable[[#This Row],[OriginalBudget09]]-SummaryTable[[#This Row],[OriginalBudget08]]</f>
        <v>#N/A</v>
      </c>
      <c r="EM17" s="54" t="e">
        <f>SummaryTable[[#This Row],[BudgetIncreaseAmount09]]/SummaryTable[[#This Row],[OriginalBudget08]]</f>
        <v>#N/A</v>
      </c>
      <c r="EN17" s="61" t="e">
        <f>IF(COUNTIFS(allFYsTable[Code], SummaryTable[[#This Row],[Code]], allFYsTable[year2], EK$3)=0, NotFound, SUMIFS(allFYsTable[RevisedBudget], allFYsTable[Code], SummaryTable[[#This Row],[Code]], allFYsTable[year2], EK$3))</f>
        <v>#N/A</v>
      </c>
      <c r="EO17" s="61" t="e">
        <f>IF(COUNTIFS(allFYsTable[Code], SummaryTable[[#This Row],[Code]], allFYsTable[year2], EK$3)=0, NotFound, SUMIFS(allFYsTable[Actual], allFYsTable[Code], SummaryTable[[#This Row],[Code]], allFYsTable[year2], EK$3))</f>
        <v>#N/A</v>
      </c>
      <c r="EP17" s="61" t="e">
        <f>IF(COUNTIFS(allFYsTable[Code], SummaryTable[[#This Row],[Code]], allFYsTable[year2], EK$3)=0, NotFound, SUMIFS(allFYsTable[DiffAmount], allFYsTable[Code], SummaryTable[[#This Row],[Code]], allFYsTable[year2], EK$3))</f>
        <v>#N/A</v>
      </c>
      <c r="EQ17" s="63" t="e">
        <f>IF(SummaryTable[[#This Row],[OriginalBudget09]]=0, IF(SummaryTable[[#This Row],[DiffAmount09]]=0, ZeroBudgetNoSpending, ZeroBudgetWithSpending), SummaryTable[[#This Row],[DiffAmount09]]/SummaryTable[[#This Row],[OriginalBudget09]])</f>
        <v>#N/A</v>
      </c>
      <c r="ER17" s="62" t="e">
        <f>IF(COUNTIFS(allFYsTable[Code], SummaryTable[[#This Row],[Code]], allFYsTable[year2], ER$3)=0, NotFound, SUMIFS(allFYsTable[OriginalBudget], allFYsTable[Code], SummaryTable[[#This Row],[Code]], allFYsTable[year2], ER$3))</f>
        <v>#N/A</v>
      </c>
      <c r="ES17" s="61" t="e">
        <f>SummaryTable[[#This Row],[OriginalBudget08]]-SummaryTable[[#This Row],[OriginalBudget07]]</f>
        <v>#N/A</v>
      </c>
      <c r="ET17" s="54" t="e">
        <f>SummaryTable[[#This Row],[BudgetIncreaseAmount08]]/SummaryTable[[#This Row],[OriginalBudget07]]</f>
        <v>#N/A</v>
      </c>
      <c r="EU17" s="61" t="e">
        <f>IF(COUNTIFS(allFYsTable[Code], SummaryTable[[#This Row],[Code]], allFYsTable[year2], ER$3)=0, NotFound, SUMIFS(allFYsTable[RevisedBudget], allFYsTable[Code], SummaryTable[[#This Row],[Code]], allFYsTable[year2], ER$3))</f>
        <v>#N/A</v>
      </c>
      <c r="EV17" s="61" t="e">
        <f>IF(COUNTIFS(allFYsTable[Code], SummaryTable[[#This Row],[Code]], allFYsTable[year2], ER$3)=0, NotFound, SUMIFS(allFYsTable[Actual], allFYsTable[Code], SummaryTable[[#This Row],[Code]], allFYsTable[year2], ER$3))</f>
        <v>#N/A</v>
      </c>
      <c r="EW17" s="61" t="e">
        <f>IF(COUNTIFS(allFYsTable[Code], SummaryTable[[#This Row],[Code]], allFYsTable[year2], ER$3)=0, NotFound, SUMIFS(allFYsTable[DiffAmount], allFYsTable[Code], SummaryTable[[#This Row],[Code]], allFYsTable[year2], ER$3))</f>
        <v>#N/A</v>
      </c>
      <c r="EX17" s="63" t="e">
        <f>IF(SummaryTable[[#This Row],[OriginalBudget08]]=0, IF(SummaryTable[[#This Row],[DiffAmount08]]=0, ZeroBudgetNoSpending, ZeroBudgetWithSpending), SummaryTable[[#This Row],[DiffAmount08]]/SummaryTable[[#This Row],[OriginalBudget08]])</f>
        <v>#N/A</v>
      </c>
      <c r="EY17" s="62" t="e">
        <f>IF(COUNTIFS(allFYsTable[Code], SummaryTable[[#This Row],[Code]], allFYsTable[year2], EY$3)=0, NotFound, SUMIFS(allFYsTable[OriginalBudget], allFYsTable[Code], SummaryTable[[#This Row],[Code]], allFYsTable[year2], EY$3))</f>
        <v>#N/A</v>
      </c>
      <c r="EZ17" s="61" t="e">
        <f>SummaryTable[[#This Row],[OriginalBudget07]]-SummaryTable[[#This Row],[OriginalBudget06]]</f>
        <v>#N/A</v>
      </c>
      <c r="FA17" s="54" t="e">
        <f>SummaryTable[[#This Row],[BudgetIncreaseAmount07]]/SummaryTable[[#This Row],[OriginalBudget06]]</f>
        <v>#N/A</v>
      </c>
      <c r="FB17" s="61" t="e">
        <f>IF(COUNTIFS(allFYsTable[Code], SummaryTable[[#This Row],[Code]], allFYsTable[year2], EY$3)=0, NotFound, SUMIFS(allFYsTable[RevisedBudget], allFYsTable[Code], SummaryTable[[#This Row],[Code]], allFYsTable[year2], EY$3))</f>
        <v>#N/A</v>
      </c>
      <c r="FC17" s="61" t="e">
        <f>IF(COUNTIFS(allFYsTable[Code], SummaryTable[[#This Row],[Code]], allFYsTable[year2], EY$3)=0, NotFound, SUMIFS(allFYsTable[Actual], allFYsTable[Code], SummaryTable[[#This Row],[Code]], allFYsTable[year2], EY$3))</f>
        <v>#N/A</v>
      </c>
      <c r="FD17" s="61" t="e">
        <f>IF(COUNTIFS(allFYsTable[Code], SummaryTable[[#This Row],[Code]], allFYsTable[year2], EY$3)=0, NotFound, SUMIFS(allFYsTable[DiffAmount], allFYsTable[Code], SummaryTable[[#This Row],[Code]], allFYsTable[year2], EY$3))</f>
        <v>#N/A</v>
      </c>
      <c r="FE17" s="63" t="e">
        <f>IF(SummaryTable[[#This Row],[OriginalBudget07]]=0, IF(SummaryTable[[#This Row],[DiffAmount07]]=0, ZeroBudgetNoSpending, ZeroBudgetWithSpending), SummaryTable[[#This Row],[DiffAmount07]]/SummaryTable[[#This Row],[OriginalBudget07]])</f>
        <v>#N/A</v>
      </c>
      <c r="FF17" s="62" t="e">
        <f>IF(COUNTIFS(allFYsTable[Code], SummaryTable[[#This Row],[Code]], allFYsTable[year2], FF$3)=0, NotFound, SUMIFS(allFYsTable[OriginalBudget], allFYsTable[Code], SummaryTable[[#This Row],[Code]], allFYsTable[year2], FF$3))</f>
        <v>#N/A</v>
      </c>
      <c r="FI17" s="61" t="e">
        <f>IF(COUNTIFS(allFYsTable[Code], SummaryTable[[#This Row],[Code]], allFYsTable[year2], FF$3)=0, NotFound, SUMIFS(allFYsTable[RevisedBudget], allFYsTable[Code], SummaryTable[[#This Row],[Code]], allFYsTable[year2], FF$3))</f>
        <v>#N/A</v>
      </c>
      <c r="FJ17" s="61" t="e">
        <f>IF(COUNTIFS(allFYsTable[Code], SummaryTable[[#This Row],[Code]], allFYsTable[year2], FF$3)=0, NotFound, SUMIFS(allFYsTable[Actual], allFYsTable[Code], SummaryTable[[#This Row],[Code]], allFYsTable[year2], FF$3))</f>
        <v>#N/A</v>
      </c>
      <c r="FK17" s="61" t="e">
        <f>IF(COUNTIFS(allFYsTable[Code], SummaryTable[[#This Row],[Code]], allFYsTable[year2], FF$3)=0, NotFound, SUMIFS(allFYsTable[DiffAmount], allFYsTable[Code], SummaryTable[[#This Row],[Code]], allFYsTable[year2], FF$3))</f>
        <v>#N/A</v>
      </c>
      <c r="FL17" s="63" t="e">
        <f>IF(SummaryTable[[#This Row],[OriginalBudget06]]=0, IF(SummaryTable[[#This Row],[DiffAmount06]]=0, ZeroBudgetNoSpending, ZeroBudgetWithSpending), SummaryTable[[#This Row],[DiffAmount06]]/SummaryTable[[#This Row],[OriginalBudget06]])</f>
        <v>#N/A</v>
      </c>
    </row>
    <row r="18" spans="1:168" x14ac:dyDescent="0.45">
      <c r="A18" t="s">
        <v>747</v>
      </c>
      <c r="B18">
        <f>_xlfn.MAXIFS(allFYsTable[year2], allFYsTable[Code], SummaryTable[[#This Row],[Code]])</f>
        <v>2025</v>
      </c>
      <c r="C18" t="str">
        <f>_xlfn.XLOOKUP(SummaryTable[[#This Row],[Code]], NameCodingTable[Code], NameCodingTable[Most Recent Category per allFYs])</f>
        <v>Public safety and justice</v>
      </c>
      <c r="D18" t="str">
        <f>_xlfn.XLOOKUP(SummaryTable[[#This Row],[Code]], NameCodingTable[Code], NameCodingTable[Unit Display Name])</f>
        <v>Corrections Information Council</v>
      </c>
      <c r="E18" t="str">
        <f>_xlfn.XLOOKUP(SummaryTable[[#This Row],[Code]], NameCodingTable[Code], NameCodingTable[Type])</f>
        <v>agency</v>
      </c>
      <c r="F1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16</v>
      </c>
      <c r="G1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18" s="54">
        <f>SummaryTable[[#This Row],['# Over]]/SummaryTable[[#This Row],[Count]]</f>
        <v>0.1875</v>
      </c>
      <c r="I1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13</v>
      </c>
      <c r="J18" s="54">
        <f>SummaryTable[[#This Row],['# Under]]/SummaryTable[[#This Row],[Count]]</f>
        <v>0.8125</v>
      </c>
      <c r="K1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8" s="54">
        <f>SummaryTable[[#This Row],['# Equal]]/SummaryTable[[#This Row],[Count]]</f>
        <v>0</v>
      </c>
      <c r="M18" s="61">
        <f>SUMIFS(allFYsTable[OriginalBudget],allFYsTable[Code],SummaryTable[[#This Row],[Code]])/SummaryTable[[#This Row],[Count]]</f>
        <v>583.1875</v>
      </c>
      <c r="N18" s="61">
        <f>SUMIFS(allFYsTable[Actual],allFYsTable[Code],SummaryTable[[#This Row],[Code]])/SummaryTable[[#This Row],[Count]]</f>
        <v>500.5</v>
      </c>
      <c r="O18" s="61">
        <f>SummaryTable[[#This Row],[AvgActAmt]]-SummaryTable[[#This Row],[AvgBudAmt]]</f>
        <v>-82.6875</v>
      </c>
      <c r="P18" s="54">
        <f>IF(SummaryTable[[#This Row],[AvgBudAmt]]=0, IF(SummaryTable[[#This Row],[AvgDiff'#]]=0, 0, NamedFields!$C$3), SummaryTable[[#This Row],[AvgDiff'#]]/SummaryTable[[#This Row],[AvgBudAmt]])</f>
        <v>-0.14178544636159041</v>
      </c>
      <c r="Q18" s="61">
        <f>IFERROR(SUMIFS(allFYsTable[OriginalBudget],allFYsTable[Code],SummaryTable[[#This Row],[Code]],allFYsTable[DiffAmount], "&gt;0")/SummaryTable[[#This Row],['# Over]], 0)</f>
        <v>937.33333333333337</v>
      </c>
      <c r="R18" s="61">
        <f>IFERROR(SUMIFS(allFYsTable[Actual],allFYsTable[Code],SummaryTable[[#This Row],[Code]],allFYsTable[DiffAmount], "&gt;0")/SummaryTable[[#This Row],['# Over]], 0)</f>
        <v>958</v>
      </c>
      <c r="S18" s="61">
        <f>SummaryTable[[#This Row],[OverAvgAct]]-SummaryTable[[#This Row],[OverAvgBud]]</f>
        <v>20.666666666666629</v>
      </c>
      <c r="T18" s="54">
        <f>IF(SummaryTable[[#This Row],[OverAvgBud]]=0, IF(SummaryTable[[#This Row],[OverAvgDiff'#]]=0, ZeroBudgetNoSpending, ZeroBudgetWithSpending), SummaryTable[[#This Row],[OverAvgDiff'#]]/SummaryTable[[#This Row],[OverAvgBud]])</f>
        <v>2.2048364153627271E-2</v>
      </c>
      <c r="U18" s="61">
        <f>IFERROR(SUMIFS(allFYsTable[OriginalBudget],allFYsTable[Code],SummaryTable[[#This Row],[Code]],allFYsTable[DiffAmount], "&lt;0")/SummaryTable[[#This Row],['# Under]], 0)</f>
        <v>501.46153846153845</v>
      </c>
      <c r="V18" s="61">
        <f>IFERROR( SUMIFS(allFYsTable[Actual],allFYsTable[Code],SummaryTable[[#This Row],[Code]],allFYsTable[DiffAmount], "&lt;0")/SummaryTable[[#This Row],['# Under]], 0)</f>
        <v>394.92307692307691</v>
      </c>
      <c r="W18" s="61">
        <f>SummaryTable[[#This Row],[UnderAvgAct]]-SummaryTable[[#This Row],[UnderAvgBud]]</f>
        <v>-106.53846153846155</v>
      </c>
      <c r="X18" s="54">
        <f>IF(SummaryTable[[#This Row],[UnderAvgBud]]=0, IF(SummaryTable[[#This Row],[UnderAvgDiff'#]]=0, ZeroBudgetNoSpending, NamedFields!$C$3), SummaryTable[[#This Row],[UnderAvgDiff'#]]/SummaryTable[[#This Row],[UnderAvgBud]])</f>
        <v>-0.21245589814388713</v>
      </c>
      <c r="Y1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1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 s="54">
        <f>IF(SummaryTable[[#This Row],[IncreaseYears]]=0, ZeroBudgetNoSpending, SummaryTable[[#This Row],[OSinIncreaseYear'#]]/SummaryTable[[#This Row],[IncreaseYears]])</f>
        <v>0</v>
      </c>
      <c r="AB18" s="58" t="str">
        <f>SummaryTable[[#This Row],[Code]]</f>
        <v>FI0</v>
      </c>
      <c r="AC18" s="62">
        <f>IF(COUNTIFS(allFYsTable[Code], SummaryTable[[#This Row],[Code]], allFYsTable[year2], AC$3)=0, NotFound, SUMIFS(allFYsTable[OriginalBudget], allFYsTable[Code], SummaryTable[[#This Row],[Code]], allFYsTable[year2], AC$3))</f>
        <v>1289</v>
      </c>
      <c r="AD18" s="61">
        <f>SummaryTable[[#This Row],[OriginalBudget25]]-SummaryTable[[#This Row],[OriginalBudget24]]</f>
        <v>106</v>
      </c>
      <c r="AE18" s="54">
        <f>SummaryTable[[#This Row],[BudgetIncreaseAmount25]]/SummaryTable[[#This Row],[OriginalBudget24]]</f>
        <v>8.960270498732037E-2</v>
      </c>
      <c r="AF18" s="61">
        <f>IF(COUNTIFS(allFYsTable[Code], SummaryTable[[#This Row],[Code]], allFYsTable[year2], AC$3)=0, NotFound, SUMIFS(allFYsTable[RevisedBudget], allFYsTable[Code], SummaryTable[[#This Row],[Code]], allFYsTable[year2], AC$3))</f>
        <v>1120</v>
      </c>
      <c r="AG18" s="61">
        <f>IF(COUNTIFS(allFYsTable[Code], SummaryTable[[#This Row],[Code]], allFYsTable[year2], AC$3)=0, NotFound, SUMIFS(allFYsTable[Actual], allFYsTable[Code], SummaryTable[[#This Row],[Code]], allFYsTable[year2], AC$3))</f>
        <v>1081</v>
      </c>
      <c r="AH18" s="61">
        <f>IF(COUNTIFS(allFYsTable[Code], SummaryTable[[#This Row],[Code]], allFYsTable[year2], AC$3)=0, NotFound, SUMIFS(allFYsTable[DiffAmount], allFYsTable[Code], SummaryTable[[#This Row],[Code]], allFYsTable[year2], AC$3))</f>
        <v>-208</v>
      </c>
      <c r="AI18" s="63">
        <f>IF(SummaryTable[[#This Row],[OriginalBudget25]]=0, IF(SummaryTable[[#This Row],[DiffAmount25]]=0, ZeroBudgetNoSpending, ZeroBudgetWithSpending), SummaryTable[[#This Row],[DiffAmount25]]/SummaryTable[[#This Row],[OriginalBudget25]])</f>
        <v>-0.16136539953452289</v>
      </c>
      <c r="AJ18" s="62">
        <f>IF(COUNTIFS(allFYsTable[Code], SummaryTable[[#This Row],[Code]], allFYsTable[year2], AJ$3)=0, NotFound, SUMIFS(allFYsTable[OriginalBudget], allFYsTable[Code], SummaryTable[[#This Row],[Code]], allFYsTable[year2], AJ$3))</f>
        <v>1183</v>
      </c>
      <c r="AK18" s="61">
        <f>SummaryTable[[#This Row],[OriginalBudget24]]-SummaryTable[[#This Row],[OriginalBudget23]]</f>
        <v>25</v>
      </c>
      <c r="AL18" s="54">
        <f>SummaryTable[[#This Row],[BudgetIncreaseAmount24]]/SummaryTable[[#This Row],[OriginalBudget23]]</f>
        <v>2.158894645941278E-2</v>
      </c>
      <c r="AM18" s="61">
        <f>IF(COUNTIFS(allFYsTable[Code], SummaryTable[[#This Row],[Code]], allFYsTable[year2], AK$3)=0, NotFound, SUMIFS(allFYsTable[RevisedBudget], allFYsTable[Code], SummaryTable[[#This Row],[Code]], allFYsTable[year2], AJ$3))</f>
        <v>1273</v>
      </c>
      <c r="AN18" s="61">
        <f>IF(COUNTIFS(allFYsTable[Code], SummaryTable[[#This Row],[Code]], allFYsTable[year2], AJ$3)=0, NotFound, SUMIFS(allFYsTable[Actual], allFYsTable[Code], SummaryTable[[#This Row],[Code]], allFYsTable[year2], AJ$3))</f>
        <v>1224</v>
      </c>
      <c r="AO18" s="61">
        <f>IF(COUNTIFS(allFYsTable[Code], SummaryTable[[#This Row],[Code]], allFYsTable[year2], AJ$3)=0, NotFound, SUMIFS(allFYsTable[DiffAmount], allFYsTable[Code], SummaryTable[[#This Row],[Code]], allFYsTable[year2], AJ$3))</f>
        <v>41</v>
      </c>
      <c r="AP18" s="63">
        <f>IF(SummaryTable[[#This Row],[OriginalBudget24]]=0, IF(SummaryTable[[#This Row],[DiffAmount24]]=0, ZeroBudgetNoSpending, ZeroBudgetWithSpending), SummaryTable[[#This Row],[DiffAmount24]]/SummaryTable[[#This Row],[OriginalBudget24]])</f>
        <v>3.4657650042265425E-2</v>
      </c>
      <c r="AQ18" s="62">
        <f>IF(COUNTIFS(allFYsTable[Code], SummaryTable[[#This Row],[Code]], allFYsTable[year2], AQ$3)=0, NotFound, SUMIFS(allFYsTable[OriginalBudget], allFYsTable[Code], SummaryTable[[#This Row],[Code]], allFYsTable[year2], AQ$3))</f>
        <v>1158</v>
      </c>
      <c r="AR18" s="61">
        <f>SummaryTable[[#This Row],[OriginalBudget23]]-SummaryTable[[#This Row],[OriginalBudget22]]</f>
        <v>265</v>
      </c>
      <c r="AS18" s="54">
        <f>SummaryTable[[#This Row],[BudgetIncreaseAmount23]]/SummaryTable[[#This Row],[OriginalBudget22]]</f>
        <v>0.29675251959686449</v>
      </c>
      <c r="AT18" s="61">
        <f>IF(COUNTIFS(allFYsTable[Code], SummaryTable[[#This Row],[Code]], allFYsTable[year2], AQ$3)=0, NotFound, SUMIFS(allFYsTable[RevisedBudget], allFYsTable[Code], SummaryTable[[#This Row],[Code]], allFYsTable[year2], AQ$3))</f>
        <v>1148</v>
      </c>
      <c r="AU18" s="61">
        <f>IF(COUNTIFS(allFYsTable[Code], SummaryTable[[#This Row],[Code]], allFYsTable[year2], AQ$3)=0, NotFound, SUMIFS(allFYsTable[Actual], allFYsTable[Code], SummaryTable[[#This Row],[Code]], allFYsTable[year2], AQ$3))</f>
        <v>1134</v>
      </c>
      <c r="AV18" s="61">
        <f>IF(COUNTIFS(allFYsTable[Code], SummaryTable[[#This Row],[Code]], allFYsTable[year2], AQ$3)=0, NotFound, SUMIFS(allFYsTable[DiffAmount], allFYsTable[Code], SummaryTable[[#This Row],[Code]], allFYsTable[year2], AQ$3))</f>
        <v>-24</v>
      </c>
      <c r="AW18" s="63">
        <f>IF(SummaryTable[[#This Row],[OriginalBudget23]]=0, IF(SummaryTable[[#This Row],[DiffAmount23]]=0, ZeroBudgetNoSpending, ZeroBudgetWithSpending), SummaryTable[[#This Row],[DiffAmount23]]/SummaryTable[[#This Row],[OriginalBudget23]])</f>
        <v>-2.072538860103627E-2</v>
      </c>
      <c r="AX18" s="62">
        <f>IF(COUNTIFS(allFYsTable[Code], SummaryTable[[#This Row],[Code]], allFYsTable[year2], AX$3)=0, NotFound, SUMIFS(allFYsTable[OriginalBudget], allFYsTable[Code], SummaryTable[[#This Row],[Code]], allFYsTable[year2], AX$3))</f>
        <v>893</v>
      </c>
      <c r="AY18" s="61">
        <f>SummaryTable[[#This Row],[OriginalBudget22]]-SummaryTable[[#This Row],[OriginalBudget21]]</f>
        <v>15</v>
      </c>
      <c r="AZ18" s="54">
        <f>SummaryTable[[#This Row],[BudgetIncreaseAmount22]]/SummaryTable[[#This Row],[OriginalBudget21]]</f>
        <v>1.7084282460136675E-2</v>
      </c>
      <c r="BA18" s="61">
        <f>IF(COUNTIFS(allFYsTable[Code], SummaryTable[[#This Row],[Code]], allFYsTable[year2], AX$3)=0, NotFound, SUMIFS(allFYsTable[RevisedBudget], allFYsTable[Code], SummaryTable[[#This Row],[Code]], allFYsTable[year2], AX$3))</f>
        <v>909</v>
      </c>
      <c r="BB18" s="61">
        <f>IF(COUNTIFS(allFYsTable[Code], SummaryTable[[#This Row],[Code]], allFYsTable[year2], AX$3)=0, NotFound, SUMIFS(allFYsTable[Actual], allFYsTable[Code], SummaryTable[[#This Row],[Code]], allFYsTable[year2], AX$3))</f>
        <v>906</v>
      </c>
      <c r="BC18" s="61">
        <f>IF(COUNTIFS(allFYsTable[Code], SummaryTable[[#This Row],[Code]], allFYsTable[year2], AX$3)=0, NotFound, SUMIFS(allFYsTable[DiffAmount], allFYsTable[Code], SummaryTable[[#This Row],[Code]], allFYsTable[year2], AX$3))</f>
        <v>13</v>
      </c>
      <c r="BD18" s="63">
        <f>IF(SummaryTable[[#This Row],[OriginalBudget22]]=0, IF(SummaryTable[[#This Row],[DiffAmount22]]=0, ZeroBudgetNoSpending, ZeroBudgetWithSpending), SummaryTable[[#This Row],[DiffAmount22]]/SummaryTable[[#This Row],[OriginalBudget22]])</f>
        <v>1.4557670772676373E-2</v>
      </c>
      <c r="BE18" s="62">
        <f>IF(COUNTIFS(allFYsTable[Code], SummaryTable[[#This Row],[Code]], allFYsTable[year2], BE$3)=0, NotFound, SUMIFS(allFYsTable[OriginalBudget], allFYsTable[Code], SummaryTable[[#This Row],[Code]], allFYsTable[year2], BE$3))</f>
        <v>878</v>
      </c>
      <c r="BF18" s="61">
        <f>SummaryTable[[#This Row],[OriginalBudget21]]-SummaryTable[[#This Row],[OriginalBudget20]]</f>
        <v>142</v>
      </c>
      <c r="BG18" s="54">
        <f>SummaryTable[[#This Row],[BudgetIncreaseAmount21]]/SummaryTable[[#This Row],[OriginalBudget20]]</f>
        <v>0.19293478260869565</v>
      </c>
      <c r="BH18" s="61">
        <f>IF(COUNTIFS(allFYsTable[Code], SummaryTable[[#This Row],[Code]], allFYsTable[year2], BE$3)=0, NotFound, SUMIFS(allFYsTable[RevisedBudget], allFYsTable[Code], SummaryTable[[#This Row],[Code]], allFYsTable[year2], BE$3))</f>
        <v>770</v>
      </c>
      <c r="BI18" s="61">
        <f>IF(COUNTIFS(allFYsTable[Code], SummaryTable[[#This Row],[Code]], allFYsTable[year2], BE$3)=0, NotFound, SUMIFS(allFYsTable[Actual], allFYsTable[Code], SummaryTable[[#This Row],[Code]], allFYsTable[year2], BE$3))</f>
        <v>770</v>
      </c>
      <c r="BJ18" s="61">
        <f>IF(COUNTIFS(allFYsTable[Code], SummaryTable[[#This Row],[Code]], allFYsTable[year2], BE$3)=0, NotFound, SUMIFS(allFYsTable[DiffAmount], allFYsTable[Code], SummaryTable[[#This Row],[Code]], allFYsTable[year2], BE$3))</f>
        <v>-108</v>
      </c>
      <c r="BK18" s="63">
        <f>IF(SummaryTable[[#This Row],[OriginalBudget21]]=0, IF(SummaryTable[[#This Row],[DiffAmount21]]=0, ZeroBudgetNoSpending, ZeroBudgetWithSpending), SummaryTable[[#This Row],[DiffAmount21]]/SummaryTable[[#This Row],[OriginalBudget21]])</f>
        <v>-0.12300683371298406</v>
      </c>
      <c r="BL18" s="62">
        <f>IF(COUNTIFS(allFYsTable[Code], SummaryTable[[#This Row],[Code]], allFYsTable[year2], BL$3)=0, NotFound, SUMIFS(allFYsTable[OriginalBudget], allFYsTable[Code], SummaryTable[[#This Row],[Code]], allFYsTable[year2], BL$3))</f>
        <v>736</v>
      </c>
      <c r="BM18" s="61">
        <f>SummaryTable[[#This Row],[OriginalBudget20]]-SummaryTable[[#This Row],[OriginalBudget19]]</f>
        <v>-8</v>
      </c>
      <c r="BN18" s="54">
        <f>SummaryTable[[#This Row],[BudgetIncreaseAmount20]]/SummaryTable[[#This Row],[OriginalBudget19]]</f>
        <v>-1.0752688172043012E-2</v>
      </c>
      <c r="BO18" s="61">
        <f>IF(COUNTIFS(allFYsTable[Code], SummaryTable[[#This Row],[Code]], allFYsTable[year2], BL$3)=0, NotFound, SUMIFS(allFYsTable[RevisedBudget], allFYsTable[Code], SummaryTable[[#This Row],[Code]], allFYsTable[year2], BL$3))</f>
        <v>744</v>
      </c>
      <c r="BP18" s="61">
        <f>IF(COUNTIFS(allFYsTable[Code], SummaryTable[[#This Row],[Code]], allFYsTable[year2], BL$3)=0, NotFound, SUMIFS(allFYsTable[Actual], allFYsTable[Code], SummaryTable[[#This Row],[Code]], allFYsTable[year2], BL$3))</f>
        <v>744</v>
      </c>
      <c r="BQ18" s="61">
        <f>IF(COUNTIFS(allFYsTable[Code], SummaryTable[[#This Row],[Code]], allFYsTable[year2], BL$3)=0, NotFound, SUMIFS(allFYsTable[DiffAmount], allFYsTable[Code], SummaryTable[[#This Row],[Code]], allFYsTable[year2], BL$3))</f>
        <v>8</v>
      </c>
      <c r="BR18" s="63">
        <f>IF(SummaryTable[[#This Row],[OriginalBudget20]]=0, IF(SummaryTable[[#This Row],[DiffAmount20]]=0, ZeroBudgetNoSpending, ZeroBudgetWithSpending), SummaryTable[[#This Row],[DiffAmount20]]/SummaryTable[[#This Row],[OriginalBudget20]])</f>
        <v>1.0869565217391304E-2</v>
      </c>
      <c r="BS18" s="62">
        <f>IF(COUNTIFS(allFYsTable[Code], SummaryTable[[#This Row],[Code]], allFYsTable[year2], BS$3)=0, NotFound, SUMIFS(allFYsTable[OriginalBudget], allFYsTable[Code], SummaryTable[[#This Row],[Code]], allFYsTable[year2], BS$3))</f>
        <v>744</v>
      </c>
      <c r="BT18" s="61">
        <f>SummaryTable[[#This Row],[OriginalBudget19]]-SummaryTable[[#This Row],[OriginalBudget18]]</f>
        <v>-4</v>
      </c>
      <c r="BU18" s="54">
        <f>SummaryTable[[#This Row],[BudgetIncreaseAmount19]]/SummaryTable[[#This Row],[OriginalBudget18]]</f>
        <v>-5.3475935828877002E-3</v>
      </c>
      <c r="BV18" s="61">
        <f>IF(COUNTIFS(allFYsTable[Code], SummaryTable[[#This Row],[Code]], allFYsTable[year2], BS$3)=0, NotFound, SUMIFS(allFYsTable[RevisedBudget], allFYsTable[Code], SummaryTable[[#This Row],[Code]], allFYsTable[year2], BS$3))</f>
        <v>680</v>
      </c>
      <c r="BW18" s="61">
        <f>IF(COUNTIFS(allFYsTable[Code], SummaryTable[[#This Row],[Code]], allFYsTable[year2], BS$3)=0, NotFound, SUMIFS(allFYsTable[Actual], allFYsTable[Code], SummaryTable[[#This Row],[Code]], allFYsTable[year2], BS$3))</f>
        <v>627</v>
      </c>
      <c r="BX18" s="61">
        <f>IF(COUNTIFS(allFYsTable[Code], SummaryTable[[#This Row],[Code]], allFYsTable[year2], BS$3)=0, NotFound, SUMIFS(allFYsTable[DiffAmount], allFYsTable[Code], SummaryTable[[#This Row],[Code]], allFYsTable[year2], BS$3))</f>
        <v>-117</v>
      </c>
      <c r="BY18" s="63">
        <f>IF(SummaryTable[[#This Row],[OriginalBudget19]]=0, IF(SummaryTable[[#This Row],[DiffAmount19]]=0, ZeroBudgetNoSpending, ZeroBudgetWithSpending), SummaryTable[[#This Row],[DiffAmount19]]/SummaryTable[[#This Row],[OriginalBudget19]])</f>
        <v>-0.15725806451612903</v>
      </c>
      <c r="BZ18" s="62">
        <f>IF(COUNTIFS(allFYsTable[Code], SummaryTable[[#This Row],[Code]], allFYsTable[year2], BZ$3)=0, NotFound, SUMIFS(allFYsTable[OriginalBudget], allFYsTable[Code], SummaryTable[[#This Row],[Code]], allFYsTable[year2], BZ$3))</f>
        <v>748</v>
      </c>
      <c r="CA18" s="61">
        <f>SummaryTable[[#This Row],[OriginalBudget18]]-SummaryTable[[#This Row],[OriginalBudget17]]</f>
        <v>251</v>
      </c>
      <c r="CB18" s="54">
        <f>SummaryTable[[#This Row],[BudgetIncreaseAmount18]]/SummaryTable[[#This Row],[OriginalBudget17]]</f>
        <v>0.50503018108651909</v>
      </c>
      <c r="CC18" s="61">
        <f>IF(COUNTIFS(allFYsTable[Code], SummaryTable[[#This Row],[Code]], allFYsTable[year2], BZ$3)=0, NotFound, SUMIFS(allFYsTable[RevisedBudget], allFYsTable[Code], SummaryTable[[#This Row],[Code]], allFYsTable[year2], BZ$3))</f>
        <v>749</v>
      </c>
      <c r="CD18" s="61">
        <f>IF(COUNTIFS(allFYsTable[Code], SummaryTable[[#This Row],[Code]], allFYsTable[year2], BZ$3)=0, NotFound, SUMIFS(allFYsTable[Actual], allFYsTable[Code], SummaryTable[[#This Row],[Code]], allFYsTable[year2], BZ$3))</f>
        <v>581</v>
      </c>
      <c r="CE18" s="61">
        <f>IF(COUNTIFS(allFYsTable[Code], SummaryTable[[#This Row],[Code]], allFYsTable[year2], BZ$3)=0, NotFound, SUMIFS(allFYsTable[DiffAmount], allFYsTable[Code], SummaryTable[[#This Row],[Code]], allFYsTable[year2], BZ$3))</f>
        <v>-167</v>
      </c>
      <c r="CF18" s="63">
        <f>IF(SummaryTable[[#This Row],[OriginalBudget18]]=0, IF(SummaryTable[[#This Row],[DiffAmount18]]=0, ZeroBudgetNoSpending, ZeroBudgetWithSpending), SummaryTable[[#This Row],[DiffAmount18]]/SummaryTable[[#This Row],[OriginalBudget18]])</f>
        <v>-0.2232620320855615</v>
      </c>
      <c r="CG18" s="62">
        <f>IF(COUNTIFS(allFYsTable[Code], SummaryTable[[#This Row],[Code]], allFYsTable[year2], CG$3)=0, NotFound, SUMIFS(allFYsTable[OriginalBudget], allFYsTable[Code], SummaryTable[[#This Row],[Code]], allFYsTable[year2], CG$3))</f>
        <v>497</v>
      </c>
      <c r="CH18" s="61">
        <f>SummaryTable[[#This Row],[OriginalBudget17]]-SummaryTable[[#This Row],[OriginalBudget16]]</f>
        <v>15</v>
      </c>
      <c r="CI18" s="54">
        <f>SummaryTable[[#This Row],[BudgetIncreaseAmount17]]/SummaryTable[[#This Row],[OriginalBudget16]]</f>
        <v>3.1120331950207469E-2</v>
      </c>
      <c r="CJ18" s="61">
        <f>IF(COUNTIFS(allFYsTable[Code], SummaryTable[[#This Row],[Code]], allFYsTable[year2], CG$3)=0, NotFound, SUMIFS(allFYsTable[RevisedBudget], allFYsTable[Code], SummaryTable[[#This Row],[Code]], allFYsTable[year2], CG$3))</f>
        <v>497</v>
      </c>
      <c r="CK18" s="61">
        <f>IF(COUNTIFS(allFYsTable[Code], SummaryTable[[#This Row],[Code]], allFYsTable[year2], CG$3)=0, NotFound, SUMIFS(allFYsTable[Actual], allFYsTable[Code], SummaryTable[[#This Row],[Code]], allFYsTable[year2], CG$3))</f>
        <v>451</v>
      </c>
      <c r="CL18" s="61">
        <f>IF(COUNTIFS(allFYsTable[Code], SummaryTable[[#This Row],[Code]], allFYsTable[year2], CG$3)=0, NotFound, SUMIFS(allFYsTable[DiffAmount], allFYsTable[Code], SummaryTable[[#This Row],[Code]], allFYsTable[year2], CG$3))</f>
        <v>-46</v>
      </c>
      <c r="CM18" s="63">
        <f>IF(SummaryTable[[#This Row],[OriginalBudget17]]=0, IF(SummaryTable[[#This Row],[DiffAmount17]]=0, ZeroBudgetNoSpending, ZeroBudgetWithSpending), SummaryTable[[#This Row],[DiffAmount17]]/SummaryTable[[#This Row],[OriginalBudget17]])</f>
        <v>-9.2555331991951706E-2</v>
      </c>
      <c r="CN18" s="62">
        <f>IF(COUNTIFS(allFYsTable[Code], SummaryTable[[#This Row],[Code]], allFYsTable[year2], CN$3)=0, NotFound, SUMIFS(allFYsTable[OriginalBudget], allFYsTable[Code], SummaryTable[[#This Row],[Code]], allFYsTable[year2], CN$3))</f>
        <v>482</v>
      </c>
      <c r="CO18" s="61" t="e">
        <f>SummaryTable[[#This Row],[OriginalBudget16]]-SummaryTable[[#This Row],[OriginalBudget15]]</f>
        <v>#N/A</v>
      </c>
      <c r="CP18" s="54" t="e">
        <f>SummaryTable[[#This Row],[BudgetIncreaseAmount16]]/SummaryTable[[#This Row],[OriginalBudget15]]</f>
        <v>#N/A</v>
      </c>
      <c r="CQ18" s="61">
        <f>IF(COUNTIFS(allFYsTable[Code], SummaryTable[[#This Row],[Code]], allFYsTable[year2], CN$3)=0, NotFound, SUMIFS(allFYsTable[RevisedBudget], allFYsTable[Code], SummaryTable[[#This Row],[Code]], allFYsTable[year2], CN$3))</f>
        <v>482</v>
      </c>
      <c r="CR18" s="61">
        <f>IF(COUNTIFS(allFYsTable[Code], SummaryTable[[#This Row],[Code]], allFYsTable[year2], CN$3)=0, NotFound, SUMIFS(allFYsTable[Actual], allFYsTable[Code], SummaryTable[[#This Row],[Code]], allFYsTable[year2], CN$3))</f>
        <v>441</v>
      </c>
      <c r="CS18" s="61">
        <f>IF(COUNTIFS(allFYsTable[Code], SummaryTable[[#This Row],[Code]], allFYsTable[year2], CN$3)=0, NotFound, SUMIFS(allFYsTable[DiffAmount], allFYsTable[Code], SummaryTable[[#This Row],[Code]], allFYsTable[year2], CN$3))</f>
        <v>-41</v>
      </c>
      <c r="CT18" s="63">
        <f>IF(SummaryTable[[#This Row],[OriginalBudget16]]=0, IF(SummaryTable[[#This Row],[DiffAmount16]]=0, ZeroBudgetNoSpending, ZeroBudgetWithSpending), SummaryTable[[#This Row],[DiffAmount16]]/SummaryTable[[#This Row],[OriginalBudget16]])</f>
        <v>-8.5062240663900418E-2</v>
      </c>
      <c r="CU18" s="62" t="e">
        <f>IF(COUNTIFS(allFYsTable[Code], SummaryTable[[#This Row],[Code]], allFYsTable[year2], CU$3)=0, NotFound, SUMIFS(allFYsTable[OriginalBudget], allFYsTable[Code], SummaryTable[[#This Row],[Code]], allFYsTable[year2], CU$3))</f>
        <v>#N/A</v>
      </c>
      <c r="CV18" s="61" t="e">
        <f>SummaryTable[[#This Row],[OriginalBudget15]]-SummaryTable[[#This Row],[OriginalBudget14]]</f>
        <v>#N/A</v>
      </c>
      <c r="CW18" s="54" t="e">
        <f>SummaryTable[[#This Row],[BudgetIncreaseAmount15]]/SummaryTable[[#This Row],[OriginalBudget14]]</f>
        <v>#N/A</v>
      </c>
      <c r="CX18" s="61" t="e">
        <f>IF(COUNTIFS(allFYsTable[Code], SummaryTable[[#This Row],[Code]], allFYsTable[year2], CU$3)=0, NotFound, SUMIFS(allFYsTable[RevisedBudget], allFYsTable[Code], SummaryTable[[#This Row],[Code]], allFYsTable[year2], CU$3))</f>
        <v>#N/A</v>
      </c>
      <c r="CY18" s="61" t="e">
        <f>IF(COUNTIFS(allFYsTable[Code], SummaryTable[[#This Row],[Code]], allFYsTable[year2], CU$3)=0, NotFound, SUMIFS(allFYsTable[Actual], allFYsTable[Code], SummaryTable[[#This Row],[Code]], allFYsTable[year2], CU$3))</f>
        <v>#N/A</v>
      </c>
      <c r="CZ18" s="61" t="e">
        <f>IF(COUNTIFS(allFYsTable[Code], SummaryTable[[#This Row],[Code]], allFYsTable[year2], CU$3)=0, NotFound, SUMIFS(allFYsTable[DiffAmount], allFYsTable[Code], SummaryTable[[#This Row],[Code]], allFYsTable[year2], CU$3))</f>
        <v>#N/A</v>
      </c>
      <c r="DA18" s="63" t="e">
        <f>IF(SummaryTable[[#This Row],[OriginalBudget15]]=0, IF(SummaryTable[[#This Row],[DiffAmount15]]=0, ZeroBudgetNoSpending, ZeroBudgetWithSpending), SummaryTable[[#This Row],[DiffAmount15]]/SummaryTable[[#This Row],[OriginalBudget15]])</f>
        <v>#N/A</v>
      </c>
      <c r="DB18" s="62" t="e">
        <f>IF(COUNTIFS(allFYsTable[Code], SummaryTable[[#This Row],[Code]], allFYsTable[year2], DB$3)=0, NotFound, SUMIFS(allFYsTable[OriginalBudget], allFYsTable[Code], SummaryTable[[#This Row],[Code]], allFYsTable[year2], DB$3))</f>
        <v>#N/A</v>
      </c>
      <c r="DC18" s="61" t="e">
        <f>SummaryTable[[#This Row],[OriginalBudget14]]-SummaryTable[[#This Row],[OriginalBudget13]]</f>
        <v>#N/A</v>
      </c>
      <c r="DD18" s="54" t="e">
        <f>SummaryTable[[#This Row],[BudgetIncreaseAmount14]]/SummaryTable[[#This Row],[OriginalBudget13]]</f>
        <v>#N/A</v>
      </c>
      <c r="DE18" s="61" t="e">
        <f>IF(COUNTIFS(allFYsTable[Code], SummaryTable[[#This Row],[Code]], allFYsTable[year2], DB$3)=0, NotFound, SUMIFS(allFYsTable[RevisedBudget], allFYsTable[Code], SummaryTable[[#This Row],[Code]], allFYsTable[year2], DB$3))</f>
        <v>#N/A</v>
      </c>
      <c r="DF18" s="61" t="e">
        <f>IF(COUNTIFS(allFYsTable[Code], SummaryTable[[#This Row],[Code]], allFYsTable[year2], DB$3)=0, NotFound, SUMIFS(allFYsTable[Actual], allFYsTable[Code], SummaryTable[[#This Row],[Code]], allFYsTable[year2], DB$3))</f>
        <v>#N/A</v>
      </c>
      <c r="DG18" s="61" t="e">
        <f>IF(COUNTIFS(allFYsTable[Code], SummaryTable[[#This Row],[Code]], allFYsTable[year2], DB$3)=0, NotFound, SUMIFS(allFYsTable[DiffAmount], allFYsTable[Code], SummaryTable[[#This Row],[Code]], allFYsTable[year2], DB$3))</f>
        <v>#N/A</v>
      </c>
      <c r="DH18" s="63" t="e">
        <f>IF(SummaryTable[[#This Row],[OriginalBudget14]]=0, IF(SummaryTable[[#This Row],[DiffAmount14]]=0, ZeroBudgetNoSpending, ZeroBudgetWithSpending), SummaryTable[[#This Row],[DiffAmount14]]/SummaryTable[[#This Row],[OriginalBudget14]])</f>
        <v>#N/A</v>
      </c>
      <c r="DI18" s="62" t="e">
        <f>IF(COUNTIFS(allFYsTable[Code], SummaryTable[[#This Row],[Code]], allFYsTable[year2], DI$3)=0, NotFound, SUMIFS(allFYsTable[OriginalBudget], allFYsTable[Code], SummaryTable[[#This Row],[Code]], allFYsTable[year2], DI$3))</f>
        <v>#N/A</v>
      </c>
      <c r="DJ18" s="61" t="e">
        <f>SummaryTable[[#This Row],[OriginalBudget13]]-SummaryTable[[#This Row],[OriginalBudget12]]</f>
        <v>#N/A</v>
      </c>
      <c r="DK18" s="54" t="e">
        <f>SummaryTable[[#This Row],[BudgetIncreaseAmount13]]/SummaryTable[[#This Row],[OriginalBudget12]]</f>
        <v>#N/A</v>
      </c>
      <c r="DL18" s="61" t="e">
        <f>IF(COUNTIFS(allFYsTable[Code], SummaryTable[[#This Row],[Code]], allFYsTable[year2], DI$3)=0, NotFound, SUMIFS(allFYsTable[RevisedBudget], allFYsTable[Code], SummaryTable[[#This Row],[Code]], allFYsTable[year2], DI$3))</f>
        <v>#N/A</v>
      </c>
      <c r="DM18" s="61" t="e">
        <f>IF(COUNTIFS(allFYsTable[Code], SummaryTable[[#This Row],[Code]], allFYsTable[year2], DI$3)=0, NotFound, SUMIFS(allFYsTable[Actual], allFYsTable[Code], SummaryTable[[#This Row],[Code]], allFYsTable[year2], DI$3))</f>
        <v>#N/A</v>
      </c>
      <c r="DN18" s="61" t="e">
        <f>IF(COUNTIFS(allFYsTable[Code], SummaryTable[[#This Row],[Code]], allFYsTable[year2], DI$3)=0, NotFound, SUMIFS(allFYsTable[DiffAmount], allFYsTable[Code], SummaryTable[[#This Row],[Code]], allFYsTable[year2], DI$3))</f>
        <v>#N/A</v>
      </c>
      <c r="DO18" s="63" t="e">
        <f>IF(SummaryTable[[#This Row],[OriginalBudget13]]=0, IF(SummaryTable[[#This Row],[DiffAmount13]]=0, ZeroBudgetNoSpending, ZeroBudgetWithSpending), SummaryTable[[#This Row],[DiffAmount13]]/SummaryTable[[#This Row],[OriginalBudget13]])</f>
        <v>#N/A</v>
      </c>
      <c r="DP18" s="62" t="e">
        <f>IF(COUNTIFS(allFYsTable[Code], SummaryTable[[#This Row],[Code]], allFYsTable[year2], DP$3)=0, NotFound, SUMIFS(allFYsTable[OriginalBudget], allFYsTable[Code], SummaryTable[[#This Row],[Code]], allFYsTable[year2], DP$3))</f>
        <v>#N/A</v>
      </c>
      <c r="DQ18" s="61" t="e">
        <f>SummaryTable[[#This Row],[OriginalBudget12]]-SummaryTable[[#This Row],[OriginalBudget11]]</f>
        <v>#N/A</v>
      </c>
      <c r="DR18" s="54" t="e">
        <f>SummaryTable[[#This Row],[BudgetIncreaseAmount12]]/SummaryTable[[#This Row],[OriginalBudget11]]</f>
        <v>#N/A</v>
      </c>
      <c r="DS18" s="61" t="e">
        <f>IF(COUNTIFS(allFYsTable[Code], SummaryTable[[#This Row],[Code]], allFYsTable[year2], DP$3)=0, NotFound, SUMIFS(allFYsTable[RevisedBudget], allFYsTable[Code], SummaryTable[[#This Row],[Code]], allFYsTable[year2], DP$3))</f>
        <v>#N/A</v>
      </c>
      <c r="DT18" s="61" t="e">
        <f>IF(COUNTIFS(allFYsTable[Code], SummaryTable[[#This Row],[Code]], allFYsTable[year2], DP$3)=0, NotFound, SUMIFS(allFYsTable[Actual], allFYsTable[Code], SummaryTable[[#This Row],[Code]], allFYsTable[year2], DP$3))</f>
        <v>#N/A</v>
      </c>
      <c r="DU18" s="61" t="e">
        <f>IF(COUNTIFS(allFYsTable[Code], SummaryTable[[#This Row],[Code]], allFYsTable[year2], DP$3)=0, NotFound, SUMIFS(allFYsTable[DiffAmount], allFYsTable[Code], SummaryTable[[#This Row],[Code]], allFYsTable[year2], DP$3))</f>
        <v>#N/A</v>
      </c>
      <c r="DV18" s="63" t="e">
        <f>IF(SummaryTable[[#This Row],[OriginalBudget12]]=0, IF(SummaryTable[[#This Row],[DiffAmount12]]=0, ZeroBudgetNoSpending, ZeroBudgetWithSpending), SummaryTable[[#This Row],[DiffAmount12]]/SummaryTable[[#This Row],[OriginalBudget12]])</f>
        <v>#N/A</v>
      </c>
      <c r="DW18" s="62">
        <f>IF(COUNTIFS(allFYsTable[Code], SummaryTable[[#This Row],[Code]], allFYsTable[year2], DW$3)=0, NotFound, SUMIFS(allFYsTable[OriginalBudget], allFYsTable[Code], SummaryTable[[#This Row],[Code]], allFYsTable[year2], DW$3))</f>
        <v>130</v>
      </c>
      <c r="DX18" s="61">
        <f>SummaryTable[[#This Row],[OriginalBudget11]]-SummaryTable[[#This Row],[OriginalBudget10]]</f>
        <v>105</v>
      </c>
      <c r="DY18" s="54">
        <f>SummaryTable[[#This Row],[BudgetIncreaseAmount11]]/SummaryTable[[#This Row],[OriginalBudget10]]</f>
        <v>4.2</v>
      </c>
      <c r="DZ18" s="61">
        <f>IF(COUNTIFS(allFYsTable[Code], SummaryTable[[#This Row],[Code]], allFYsTable[year2], DW$3)=0, NotFound, SUMIFS(allFYsTable[RevisedBudget], allFYsTable[Code], SummaryTable[[#This Row],[Code]], allFYsTable[year2], DW$3))</f>
        <v>130</v>
      </c>
      <c r="EA18" s="61">
        <f>IF(COUNTIFS(allFYsTable[Code], SummaryTable[[#This Row],[Code]], allFYsTable[year2], DW$3)=0, NotFound, SUMIFS(allFYsTable[Actual], allFYsTable[Code], SummaryTable[[#This Row],[Code]], allFYsTable[year2], DW$3))</f>
        <v>0</v>
      </c>
      <c r="EB18" s="61">
        <f>IF(COUNTIFS(allFYsTable[Code], SummaryTable[[#This Row],[Code]], allFYsTable[year2], DW$3)=0, NotFound, SUMIFS(allFYsTable[DiffAmount], allFYsTable[Code], SummaryTable[[#This Row],[Code]], allFYsTable[year2], DW$3))</f>
        <v>-130</v>
      </c>
      <c r="EC18" s="63">
        <f>IF(SummaryTable[[#This Row],[OriginalBudget11]]=0, IF(SummaryTable[[#This Row],[DiffAmount11]]=0, ZeroBudgetNoSpending, ZeroBudgetWithSpending), SummaryTable[[#This Row],[DiffAmount11]]/SummaryTable[[#This Row],[OriginalBudget11]])</f>
        <v>-1</v>
      </c>
      <c r="ED18" s="62">
        <f>IF(COUNTIFS(allFYsTable[Code], SummaryTable[[#This Row],[Code]], allFYsTable[year2], ED$3)=0, NotFound, SUMIFS(allFYsTable[OriginalBudget], allFYsTable[Code], SummaryTable[[#This Row],[Code]], allFYsTable[year2], ED$3))</f>
        <v>25</v>
      </c>
      <c r="EE18" s="61">
        <f>SummaryTable[[#This Row],[OriginalBudget10]]-SummaryTable[[#This Row],[OriginalBudget09]]</f>
        <v>0</v>
      </c>
      <c r="EF18" s="54">
        <f>SummaryTable[[#This Row],[BudgetIncreaseAmount10]]/SummaryTable[[#This Row],[OriginalBudget09]]</f>
        <v>0</v>
      </c>
      <c r="EG18" s="61">
        <f>IF(COUNTIFS(allFYsTable[Code], SummaryTable[[#This Row],[Code]], allFYsTable[year2], ED$3)=0, NotFound, SUMIFS(allFYsTable[RevisedBudget], allFYsTable[Code], SummaryTable[[#This Row],[Code]], allFYsTable[year2], ED$3))</f>
        <v>0</v>
      </c>
      <c r="EH18" s="61">
        <f>IF(COUNTIFS(allFYsTable[Code], SummaryTable[[#This Row],[Code]], allFYsTable[year2], ED$3)=0, NotFound, SUMIFS(allFYsTable[Actual], allFYsTable[Code], SummaryTable[[#This Row],[Code]], allFYsTable[year2], ED$3))</f>
        <v>0</v>
      </c>
      <c r="EI18" s="61">
        <f>IF(COUNTIFS(allFYsTable[Code], SummaryTable[[#This Row],[Code]], allFYsTable[year2], ED$3)=0, NotFound, SUMIFS(allFYsTable[DiffAmount], allFYsTable[Code], SummaryTable[[#This Row],[Code]], allFYsTable[year2], ED$3))</f>
        <v>-25</v>
      </c>
      <c r="EJ18" s="63">
        <f>IF(SummaryTable[[#This Row],[OriginalBudget10]]=0, IF(SummaryTable[[#This Row],[DiffAmount10]]=0, ZeroBudgetNoSpending, ZeroBudgetWithSpending), SummaryTable[[#This Row],[DiffAmount10]]/SummaryTable[[#This Row],[OriginalBudget10]])</f>
        <v>-1</v>
      </c>
      <c r="EK18" s="62">
        <f>IF(COUNTIFS(allFYsTable[Code], SummaryTable[[#This Row],[Code]], allFYsTable[year2], EK$3)=0, NotFound, SUMIFS(allFYsTable[OriginalBudget], allFYsTable[Code], SummaryTable[[#This Row],[Code]], allFYsTable[year2], EK$3))</f>
        <v>25</v>
      </c>
      <c r="EL18" s="61">
        <f>SummaryTable[[#This Row],[OriginalBudget09]]-SummaryTable[[#This Row],[OriginalBudget08]]</f>
        <v>-90</v>
      </c>
      <c r="EM18" s="54">
        <f>SummaryTable[[#This Row],[BudgetIncreaseAmount09]]/SummaryTable[[#This Row],[OriginalBudget08]]</f>
        <v>-0.78260869565217395</v>
      </c>
      <c r="EN18" s="61">
        <f>IF(COUNTIFS(allFYsTable[Code], SummaryTable[[#This Row],[Code]], allFYsTable[year2], EK$3)=0, NotFound, SUMIFS(allFYsTable[RevisedBudget], allFYsTable[Code], SummaryTable[[#This Row],[Code]], allFYsTable[year2], EK$3))</f>
        <v>0</v>
      </c>
      <c r="EO18" s="61">
        <f>IF(COUNTIFS(allFYsTable[Code], SummaryTable[[#This Row],[Code]], allFYsTable[year2], EK$3)=0, NotFound, SUMIFS(allFYsTable[Actual], allFYsTable[Code], SummaryTable[[#This Row],[Code]], allFYsTable[year2], EK$3))</f>
        <v>0</v>
      </c>
      <c r="EP18" s="61">
        <f>IF(COUNTIFS(allFYsTable[Code], SummaryTable[[#This Row],[Code]], allFYsTable[year2], EK$3)=0, NotFound, SUMIFS(allFYsTable[DiffAmount], allFYsTable[Code], SummaryTable[[#This Row],[Code]], allFYsTable[year2], EK$3))</f>
        <v>-25</v>
      </c>
      <c r="EQ18" s="63">
        <f>IF(SummaryTable[[#This Row],[OriginalBudget09]]=0, IF(SummaryTable[[#This Row],[DiffAmount09]]=0, ZeroBudgetNoSpending, ZeroBudgetWithSpending), SummaryTable[[#This Row],[DiffAmount09]]/SummaryTable[[#This Row],[OriginalBudget09]])</f>
        <v>-1</v>
      </c>
      <c r="ER18" s="62">
        <f>IF(COUNTIFS(allFYsTable[Code], SummaryTable[[#This Row],[Code]], allFYsTable[year2], ER$3)=0, NotFound, SUMIFS(allFYsTable[OriginalBudget], allFYsTable[Code], SummaryTable[[#This Row],[Code]], allFYsTable[year2], ER$3))</f>
        <v>115</v>
      </c>
      <c r="ES18" s="61">
        <f>SummaryTable[[#This Row],[OriginalBudget08]]-SummaryTable[[#This Row],[OriginalBudget07]]</f>
        <v>-3</v>
      </c>
      <c r="ET18" s="54">
        <f>SummaryTable[[#This Row],[BudgetIncreaseAmount08]]/SummaryTable[[#This Row],[OriginalBudget07]]</f>
        <v>-2.5423728813559324E-2</v>
      </c>
      <c r="EU18" s="61">
        <f>IF(COUNTIFS(allFYsTable[Code], SummaryTable[[#This Row],[Code]], allFYsTable[year2], ER$3)=0, NotFound, SUMIFS(allFYsTable[RevisedBudget], allFYsTable[Code], SummaryTable[[#This Row],[Code]], allFYsTable[year2], ER$3))</f>
        <v>57</v>
      </c>
      <c r="EV18" s="61">
        <f>IF(COUNTIFS(allFYsTable[Code], SummaryTable[[#This Row],[Code]], allFYsTable[year2], ER$3)=0, NotFound, SUMIFS(allFYsTable[Actual], allFYsTable[Code], SummaryTable[[#This Row],[Code]], allFYsTable[year2], ER$3))</f>
        <v>0</v>
      </c>
      <c r="EW18" s="61">
        <f>IF(COUNTIFS(allFYsTable[Code], SummaryTable[[#This Row],[Code]], allFYsTable[year2], ER$3)=0, NotFound, SUMIFS(allFYsTable[DiffAmount], allFYsTable[Code], SummaryTable[[#This Row],[Code]], allFYsTable[year2], ER$3))</f>
        <v>-115</v>
      </c>
      <c r="EX18" s="63">
        <f>IF(SummaryTable[[#This Row],[OriginalBudget08]]=0, IF(SummaryTable[[#This Row],[DiffAmount08]]=0, ZeroBudgetNoSpending, ZeroBudgetWithSpending), SummaryTable[[#This Row],[DiffAmount08]]/SummaryTable[[#This Row],[OriginalBudget08]])</f>
        <v>-1</v>
      </c>
      <c r="EY18" s="62">
        <f>IF(COUNTIFS(allFYsTable[Code], SummaryTable[[#This Row],[Code]], allFYsTable[year2], EY$3)=0, NotFound, SUMIFS(allFYsTable[OriginalBudget], allFYsTable[Code], SummaryTable[[#This Row],[Code]], allFYsTable[year2], EY$3))</f>
        <v>118</v>
      </c>
      <c r="EZ18" s="61">
        <f>SummaryTable[[#This Row],[OriginalBudget07]]-SummaryTable[[#This Row],[OriginalBudget06]]</f>
        <v>-37</v>
      </c>
      <c r="FA18" s="54">
        <f>SummaryTable[[#This Row],[BudgetIncreaseAmount07]]/SummaryTable[[#This Row],[OriginalBudget06]]</f>
        <v>-0.23870967741935484</v>
      </c>
      <c r="FB18" s="61">
        <f>IF(COUNTIFS(allFYsTable[Code], SummaryTable[[#This Row],[Code]], allFYsTable[year2], EY$3)=0, NotFound, SUMIFS(allFYsTable[RevisedBudget], allFYsTable[Code], SummaryTable[[#This Row],[Code]], allFYsTable[year2], EY$3))</f>
        <v>105</v>
      </c>
      <c r="FC18" s="61">
        <f>IF(COUNTIFS(allFYsTable[Code], SummaryTable[[#This Row],[Code]], allFYsTable[year2], EY$3)=0, NotFound, SUMIFS(allFYsTable[Actual], allFYsTable[Code], SummaryTable[[#This Row],[Code]], allFYsTable[year2], EY$3))</f>
        <v>0</v>
      </c>
      <c r="FD18" s="61">
        <f>IF(COUNTIFS(allFYsTable[Code], SummaryTable[[#This Row],[Code]], allFYsTable[year2], EY$3)=0, NotFound, SUMIFS(allFYsTable[DiffAmount], allFYsTable[Code], SummaryTable[[#This Row],[Code]], allFYsTable[year2], EY$3))</f>
        <v>-118</v>
      </c>
      <c r="FE18" s="63">
        <f>IF(SummaryTable[[#This Row],[OriginalBudget07]]=0, IF(SummaryTable[[#This Row],[DiffAmount07]]=0, ZeroBudgetNoSpending, ZeroBudgetWithSpending), SummaryTable[[#This Row],[DiffAmount07]]/SummaryTable[[#This Row],[OriginalBudget07]])</f>
        <v>-1</v>
      </c>
      <c r="FF18" s="62">
        <f>IF(COUNTIFS(allFYsTable[Code], SummaryTable[[#This Row],[Code]], allFYsTable[year2], FF$3)=0, NotFound, SUMIFS(allFYsTable[OriginalBudget], allFYsTable[Code], SummaryTable[[#This Row],[Code]], allFYsTable[year2], FF$3))</f>
        <v>155</v>
      </c>
      <c r="FI18" s="61">
        <f>IF(COUNTIFS(allFYsTable[Code], SummaryTable[[#This Row],[Code]], allFYsTable[year2], FF$3)=0, NotFound, SUMIFS(allFYsTable[RevisedBudget], allFYsTable[Code], SummaryTable[[#This Row],[Code]], allFYsTable[year2], FF$3))</f>
        <v>155</v>
      </c>
      <c r="FJ18" s="61">
        <f>IF(COUNTIFS(allFYsTable[Code], SummaryTable[[#This Row],[Code]], allFYsTable[year2], FF$3)=0, NotFound, SUMIFS(allFYsTable[Actual], allFYsTable[Code], SummaryTable[[#This Row],[Code]], allFYsTable[year2], FF$3))</f>
        <v>0</v>
      </c>
      <c r="FK18" s="61">
        <f>IF(COUNTIFS(allFYsTable[Code], SummaryTable[[#This Row],[Code]], allFYsTable[year2], FF$3)=0, NotFound, SUMIFS(allFYsTable[DiffAmount], allFYsTable[Code], SummaryTable[[#This Row],[Code]], allFYsTable[year2], FF$3))</f>
        <v>-155</v>
      </c>
      <c r="FL18" s="63">
        <f>IF(SummaryTable[[#This Row],[OriginalBudget06]]=0, IF(SummaryTable[[#This Row],[DiffAmount06]]=0, ZeroBudgetNoSpending, ZeroBudgetWithSpending), SummaryTable[[#This Row],[DiffAmount06]]/SummaryTable[[#This Row],[OriginalBudget06]])</f>
        <v>-1</v>
      </c>
    </row>
    <row r="19" spans="1:168" x14ac:dyDescent="0.45">
      <c r="A19" t="s">
        <v>703</v>
      </c>
      <c r="B19">
        <f>_xlfn.MAXIFS(allFYsTable[year2], allFYsTable[Code], SummaryTable[[#This Row],[Code]])</f>
        <v>2025</v>
      </c>
      <c r="C19" t="str">
        <f>_xlfn.XLOOKUP(SummaryTable[[#This Row],[Code]], NameCodingTable[Code], NameCodingTable[Most Recent Category per allFYs])</f>
        <v>Governmental direction and support</v>
      </c>
      <c r="D19" t="str">
        <f>_xlfn.XLOOKUP(SummaryTable[[#This Row],[Code]], NameCodingTable[Code], NameCodingTable[Unit Display Name])</f>
        <v>Council of the District of Columbia</v>
      </c>
      <c r="E19" t="str">
        <f>_xlfn.XLOOKUP(SummaryTable[[#This Row],[Code]], NameCodingTable[Code], NameCodingTable[Type])</f>
        <v>agency</v>
      </c>
      <c r="F1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19" s="54">
        <f>SummaryTable[[#This Row],['# Over]]/SummaryTable[[#This Row],[Count]]</f>
        <v>0.1</v>
      </c>
      <c r="I1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18</v>
      </c>
      <c r="J19" s="54">
        <f>SummaryTable[[#This Row],['# Under]]/SummaryTable[[#This Row],[Count]]</f>
        <v>0.9</v>
      </c>
      <c r="K1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9" s="54">
        <f>SummaryTable[[#This Row],['# Equal]]/SummaryTable[[#This Row],[Count]]</f>
        <v>0</v>
      </c>
      <c r="M19" s="61">
        <f>SUMIFS(allFYsTable[OriginalBudget],allFYsTable[Code],SummaryTable[[#This Row],[Code]])/SummaryTable[[#This Row],[Count]]</f>
        <v>24558.1</v>
      </c>
      <c r="N19" s="61">
        <f>SUMIFS(allFYsTable[Actual],allFYsTable[Code],SummaryTable[[#This Row],[Code]])/SummaryTable[[#This Row],[Count]]</f>
        <v>23321.4</v>
      </c>
      <c r="O19" s="61">
        <f>SummaryTable[[#This Row],[AvgActAmt]]-SummaryTable[[#This Row],[AvgBudAmt]]</f>
        <v>-1236.6999999999971</v>
      </c>
      <c r="P19" s="54">
        <f>IF(SummaryTable[[#This Row],[AvgBudAmt]]=0, IF(SummaryTable[[#This Row],[AvgDiff'#]]=0, 0, NamedFields!$C$3), SummaryTable[[#This Row],[AvgDiff'#]]/SummaryTable[[#This Row],[AvgBudAmt]])</f>
        <v>-5.0358130311383906E-2</v>
      </c>
      <c r="Q19" s="61">
        <f>IFERROR(SUMIFS(allFYsTable[OriginalBudget],allFYsTable[Code],SummaryTable[[#This Row],[Code]],allFYsTable[DiffAmount], "&gt;0")/SummaryTable[[#This Row],['# Over]], 0)</f>
        <v>15659</v>
      </c>
      <c r="R19" s="61">
        <f>IFERROR(SUMIFS(allFYsTable[Actual],allFYsTable[Code],SummaryTable[[#This Row],[Code]],allFYsTable[DiffAmount], "&gt;0")/SummaryTable[[#This Row],['# Over]], 0)</f>
        <v>17744.5</v>
      </c>
      <c r="S19" s="61">
        <f>SummaryTable[[#This Row],[OverAvgAct]]-SummaryTable[[#This Row],[OverAvgBud]]</f>
        <v>2085.5</v>
      </c>
      <c r="T19" s="54">
        <f>IF(SummaryTable[[#This Row],[OverAvgBud]]=0, IF(SummaryTable[[#This Row],[OverAvgDiff'#]]=0, ZeroBudgetNoSpending, ZeroBudgetWithSpending), SummaryTable[[#This Row],[OverAvgDiff'#]]/SummaryTable[[#This Row],[OverAvgBud]])</f>
        <v>0.13318219554249952</v>
      </c>
      <c r="U19" s="61">
        <f>IFERROR(SUMIFS(allFYsTable[OriginalBudget],allFYsTable[Code],SummaryTable[[#This Row],[Code]],allFYsTable[DiffAmount], "&lt;0")/SummaryTable[[#This Row],['# Under]], 0)</f>
        <v>25546.888888888891</v>
      </c>
      <c r="V19" s="61">
        <f>IFERROR( SUMIFS(allFYsTable[Actual],allFYsTable[Code],SummaryTable[[#This Row],[Code]],allFYsTable[DiffAmount], "&lt;0")/SummaryTable[[#This Row],['# Under]], 0)</f>
        <v>23941.055555555555</v>
      </c>
      <c r="W19" s="61">
        <f>SummaryTable[[#This Row],[UnderAvgAct]]-SummaryTable[[#This Row],[UnderAvgBud]]</f>
        <v>-1605.8333333333358</v>
      </c>
      <c r="X19" s="54">
        <f>IF(SummaryTable[[#This Row],[UnderAvgBud]]=0, IF(SummaryTable[[#This Row],[UnderAvgDiff'#]]=0, ZeroBudgetNoSpending, NamedFields!$C$3), SummaryTable[[#This Row],[UnderAvgDiff'#]]/SummaryTable[[#This Row],[UnderAvgBud]])</f>
        <v>-6.2858273675420448E-2</v>
      </c>
      <c r="Y1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1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19" s="54">
        <f>IF(SummaryTable[[#This Row],[IncreaseYears]]=0, ZeroBudgetNoSpending, SummaryTable[[#This Row],[OSinIncreaseYear'#]]/SummaryTable[[#This Row],[IncreaseYears]])</f>
        <v>0.33333333333333331</v>
      </c>
      <c r="AB19" s="58" t="str">
        <f>SummaryTable[[#This Row],[Code]]</f>
        <v>AB0</v>
      </c>
      <c r="AC19" s="62">
        <f>IF(COUNTIFS(allFYsTable[Code], SummaryTable[[#This Row],[Code]], allFYsTable[year2], AC$3)=0, NotFound, SUMIFS(allFYsTable[OriginalBudget], allFYsTable[Code], SummaryTable[[#This Row],[Code]], allFYsTable[year2], AC$3))</f>
        <v>37223</v>
      </c>
      <c r="AD19" s="61">
        <f>SummaryTable[[#This Row],[OriginalBudget25]]-SummaryTable[[#This Row],[OriginalBudget24]]</f>
        <v>3274</v>
      </c>
      <c r="AE19" s="54">
        <f>SummaryTable[[#This Row],[BudgetIncreaseAmount25]]/SummaryTable[[#This Row],[OriginalBudget24]]</f>
        <v>9.6438775810774979E-2</v>
      </c>
      <c r="AF19" s="61">
        <f>IF(COUNTIFS(allFYsTable[Code], SummaryTable[[#This Row],[Code]], allFYsTable[year2], AC$3)=0, NotFound, SUMIFS(allFYsTable[RevisedBudget], allFYsTable[Code], SummaryTable[[#This Row],[Code]], allFYsTable[year2], AC$3))</f>
        <v>33323</v>
      </c>
      <c r="AG19" s="61">
        <f>IF(COUNTIFS(allFYsTable[Code], SummaryTable[[#This Row],[Code]], allFYsTable[year2], AC$3)=0, NotFound, SUMIFS(allFYsTable[Actual], allFYsTable[Code], SummaryTable[[#This Row],[Code]], allFYsTable[year2], AC$3))</f>
        <v>33323</v>
      </c>
      <c r="AH19" s="61">
        <f>IF(COUNTIFS(allFYsTable[Code], SummaryTable[[#This Row],[Code]], allFYsTable[year2], AC$3)=0, NotFound, SUMIFS(allFYsTable[DiffAmount], allFYsTable[Code], SummaryTable[[#This Row],[Code]], allFYsTable[year2], AC$3))</f>
        <v>-3900</v>
      </c>
      <c r="AI19" s="63">
        <f>IF(SummaryTable[[#This Row],[OriginalBudget25]]=0, IF(SummaryTable[[#This Row],[DiffAmount25]]=0, ZeroBudgetNoSpending, ZeroBudgetWithSpending), SummaryTable[[#This Row],[DiffAmount25]]/SummaryTable[[#This Row],[OriginalBudget25]])</f>
        <v>-0.10477393009698305</v>
      </c>
      <c r="AJ19" s="62">
        <f>IF(COUNTIFS(allFYsTable[Code], SummaryTable[[#This Row],[Code]], allFYsTable[year2], AJ$3)=0, NotFound, SUMIFS(allFYsTable[OriginalBudget], allFYsTable[Code], SummaryTable[[#This Row],[Code]], allFYsTable[year2], AJ$3))</f>
        <v>33949</v>
      </c>
      <c r="AK19" s="61">
        <f>SummaryTable[[#This Row],[OriginalBudget24]]-SummaryTable[[#This Row],[OriginalBudget23]]</f>
        <v>1070</v>
      </c>
      <c r="AL19" s="54">
        <f>SummaryTable[[#This Row],[BudgetIncreaseAmount24]]/SummaryTable[[#This Row],[OriginalBudget23]]</f>
        <v>3.2543568843334654E-2</v>
      </c>
      <c r="AM19" s="61">
        <f>IF(COUNTIFS(allFYsTable[Code], SummaryTable[[#This Row],[Code]], allFYsTable[year2], AK$3)=0, NotFound, SUMIFS(allFYsTable[RevisedBudget], allFYsTable[Code], SummaryTable[[#This Row],[Code]], allFYsTable[year2], AJ$3))</f>
        <v>31389</v>
      </c>
      <c r="AN19" s="61">
        <f>IF(COUNTIFS(allFYsTable[Code], SummaryTable[[#This Row],[Code]], allFYsTable[year2], AJ$3)=0, NotFound, SUMIFS(allFYsTable[Actual], allFYsTable[Code], SummaryTable[[#This Row],[Code]], allFYsTable[year2], AJ$3))</f>
        <v>31389</v>
      </c>
      <c r="AO19" s="61">
        <f>IF(COUNTIFS(allFYsTable[Code], SummaryTable[[#This Row],[Code]], allFYsTable[year2], AJ$3)=0, NotFound, SUMIFS(allFYsTable[DiffAmount], allFYsTable[Code], SummaryTable[[#This Row],[Code]], allFYsTable[year2], AJ$3))</f>
        <v>-2560</v>
      </c>
      <c r="AP19" s="63">
        <f>IF(SummaryTable[[#This Row],[OriginalBudget24]]=0, IF(SummaryTable[[#This Row],[DiffAmount24]]=0, ZeroBudgetNoSpending, ZeroBudgetWithSpending), SummaryTable[[#This Row],[DiffAmount24]]/SummaryTable[[#This Row],[OriginalBudget24]])</f>
        <v>-7.5407228489793518E-2</v>
      </c>
      <c r="AQ19" s="62">
        <f>IF(COUNTIFS(allFYsTable[Code], SummaryTable[[#This Row],[Code]], allFYsTable[year2], AQ$3)=0, NotFound, SUMIFS(allFYsTable[OriginalBudget], allFYsTable[Code], SummaryTable[[#This Row],[Code]], allFYsTable[year2], AQ$3))</f>
        <v>32879</v>
      </c>
      <c r="AR19" s="61">
        <f>SummaryTable[[#This Row],[OriginalBudget23]]-SummaryTable[[#This Row],[OriginalBudget22]]</f>
        <v>2297</v>
      </c>
      <c r="AS19" s="54">
        <f>SummaryTable[[#This Row],[BudgetIncreaseAmount23]]/SummaryTable[[#This Row],[OriginalBudget22]]</f>
        <v>7.510954156039501E-2</v>
      </c>
      <c r="AT19" s="61">
        <f>IF(COUNTIFS(allFYsTable[Code], SummaryTable[[#This Row],[Code]], allFYsTable[year2], AQ$3)=0, NotFound, SUMIFS(allFYsTable[RevisedBudget], allFYsTable[Code], SummaryTable[[#This Row],[Code]], allFYsTable[year2], AQ$3))</f>
        <v>30808</v>
      </c>
      <c r="AU19" s="61">
        <f>IF(COUNTIFS(allFYsTable[Code], SummaryTable[[#This Row],[Code]], allFYsTable[year2], AQ$3)=0, NotFound, SUMIFS(allFYsTable[Actual], allFYsTable[Code], SummaryTable[[#This Row],[Code]], allFYsTable[year2], AQ$3))</f>
        <v>30758</v>
      </c>
      <c r="AV19" s="61">
        <f>IF(COUNTIFS(allFYsTable[Code], SummaryTable[[#This Row],[Code]], allFYsTable[year2], AQ$3)=0, NotFound, SUMIFS(allFYsTable[DiffAmount], allFYsTable[Code], SummaryTable[[#This Row],[Code]], allFYsTable[year2], AQ$3))</f>
        <v>-2121</v>
      </c>
      <c r="AW19" s="63">
        <f>IF(SummaryTable[[#This Row],[OriginalBudget23]]=0, IF(SummaryTable[[#This Row],[DiffAmount23]]=0, ZeroBudgetNoSpending, ZeroBudgetWithSpending), SummaryTable[[#This Row],[DiffAmount23]]/SummaryTable[[#This Row],[OriginalBudget23]])</f>
        <v>-6.4509261230572712E-2</v>
      </c>
      <c r="AX19" s="62">
        <f>IF(COUNTIFS(allFYsTable[Code], SummaryTable[[#This Row],[Code]], allFYsTable[year2], AX$3)=0, NotFound, SUMIFS(allFYsTable[OriginalBudget], allFYsTable[Code], SummaryTable[[#This Row],[Code]], allFYsTable[year2], AX$3))</f>
        <v>30582</v>
      </c>
      <c r="AY19" s="61">
        <f>SummaryTable[[#This Row],[OriginalBudget22]]-SummaryTable[[#This Row],[OriginalBudget21]]</f>
        <v>1925</v>
      </c>
      <c r="AZ19" s="54">
        <f>SummaryTable[[#This Row],[BudgetIncreaseAmount22]]/SummaryTable[[#This Row],[OriginalBudget21]]</f>
        <v>6.7173814425794745E-2</v>
      </c>
      <c r="BA19" s="61">
        <f>IF(COUNTIFS(allFYsTable[Code], SummaryTable[[#This Row],[Code]], allFYsTable[year2], AX$3)=0, NotFound, SUMIFS(allFYsTable[RevisedBudget], allFYsTable[Code], SummaryTable[[#This Row],[Code]], allFYsTable[year2], AX$3))</f>
        <v>29024</v>
      </c>
      <c r="BB19" s="61">
        <f>IF(COUNTIFS(allFYsTable[Code], SummaryTable[[#This Row],[Code]], allFYsTable[year2], AX$3)=0, NotFound, SUMIFS(allFYsTable[Actual], allFYsTable[Code], SummaryTable[[#This Row],[Code]], allFYsTable[year2], AX$3))</f>
        <v>29024</v>
      </c>
      <c r="BC19" s="61">
        <f>IF(COUNTIFS(allFYsTable[Code], SummaryTable[[#This Row],[Code]], allFYsTable[year2], AX$3)=0, NotFound, SUMIFS(allFYsTable[DiffAmount], allFYsTable[Code], SummaryTable[[#This Row],[Code]], allFYsTable[year2], AX$3))</f>
        <v>-1558</v>
      </c>
      <c r="BD19" s="63">
        <f>IF(SummaryTable[[#This Row],[OriginalBudget22]]=0, IF(SummaryTable[[#This Row],[DiffAmount22]]=0, ZeroBudgetNoSpending, ZeroBudgetWithSpending), SummaryTable[[#This Row],[DiffAmount22]]/SummaryTable[[#This Row],[OriginalBudget22]])</f>
        <v>-5.0945000326989731E-2</v>
      </c>
      <c r="BE19" s="62">
        <f>IF(COUNTIFS(allFYsTable[Code], SummaryTable[[#This Row],[Code]], allFYsTable[year2], BE$3)=0, NotFound, SUMIFS(allFYsTable[OriginalBudget], allFYsTable[Code], SummaryTable[[#This Row],[Code]], allFYsTable[year2], BE$3))</f>
        <v>28657</v>
      </c>
      <c r="BF19" s="61">
        <f>SummaryTable[[#This Row],[OriginalBudget21]]-SummaryTable[[#This Row],[OriginalBudget20]]</f>
        <v>440</v>
      </c>
      <c r="BG19" s="54">
        <f>SummaryTable[[#This Row],[BudgetIncreaseAmount21]]/SummaryTable[[#This Row],[OriginalBudget20]]</f>
        <v>1.5593436580784633E-2</v>
      </c>
      <c r="BH19" s="61">
        <f>IF(COUNTIFS(allFYsTable[Code], SummaryTable[[#This Row],[Code]], allFYsTable[year2], BE$3)=0, NotFound, SUMIFS(allFYsTable[RevisedBudget], allFYsTable[Code], SummaryTable[[#This Row],[Code]], allFYsTable[year2], BE$3))</f>
        <v>27189</v>
      </c>
      <c r="BI19" s="61">
        <f>IF(COUNTIFS(allFYsTable[Code], SummaryTable[[#This Row],[Code]], allFYsTable[year2], BE$3)=0, NotFound, SUMIFS(allFYsTable[Actual], allFYsTable[Code], SummaryTable[[#This Row],[Code]], allFYsTable[year2], BE$3))</f>
        <v>27189</v>
      </c>
      <c r="BJ19" s="61">
        <f>IF(COUNTIFS(allFYsTable[Code], SummaryTable[[#This Row],[Code]], allFYsTable[year2], BE$3)=0, NotFound, SUMIFS(allFYsTable[DiffAmount], allFYsTable[Code], SummaryTable[[#This Row],[Code]], allFYsTable[year2], BE$3))</f>
        <v>-1468</v>
      </c>
      <c r="BK19" s="63">
        <f>IF(SummaryTable[[#This Row],[OriginalBudget21]]=0, IF(SummaryTable[[#This Row],[DiffAmount21]]=0, ZeroBudgetNoSpending, ZeroBudgetWithSpending), SummaryTable[[#This Row],[DiffAmount21]]/SummaryTable[[#This Row],[OriginalBudget21]])</f>
        <v>-5.1226576403671002E-2</v>
      </c>
      <c r="BL19" s="62">
        <f>IF(COUNTIFS(allFYsTable[Code], SummaryTable[[#This Row],[Code]], allFYsTable[year2], BL$3)=0, NotFound, SUMIFS(allFYsTable[OriginalBudget], allFYsTable[Code], SummaryTable[[#This Row],[Code]], allFYsTable[year2], BL$3))</f>
        <v>28217</v>
      </c>
      <c r="BM19" s="61">
        <f>SummaryTable[[#This Row],[OriginalBudget20]]-SummaryTable[[#This Row],[OriginalBudget19]]</f>
        <v>1338</v>
      </c>
      <c r="BN19" s="54">
        <f>SummaryTable[[#This Row],[BudgetIncreaseAmount20]]/SummaryTable[[#This Row],[OriginalBudget19]]</f>
        <v>4.9778637598124932E-2</v>
      </c>
      <c r="BO19" s="61">
        <f>IF(COUNTIFS(allFYsTable[Code], SummaryTable[[#This Row],[Code]], allFYsTable[year2], BL$3)=0, NotFound, SUMIFS(allFYsTable[RevisedBudget], allFYsTable[Code], SummaryTable[[#This Row],[Code]], allFYsTable[year2], BL$3))</f>
        <v>26072</v>
      </c>
      <c r="BP19" s="61">
        <f>IF(COUNTIFS(allFYsTable[Code], SummaryTable[[#This Row],[Code]], allFYsTable[year2], BL$3)=0, NotFound, SUMIFS(allFYsTable[Actual], allFYsTable[Code], SummaryTable[[#This Row],[Code]], allFYsTable[year2], BL$3))</f>
        <v>26072</v>
      </c>
      <c r="BQ19" s="61">
        <f>IF(COUNTIFS(allFYsTable[Code], SummaryTable[[#This Row],[Code]], allFYsTable[year2], BL$3)=0, NotFound, SUMIFS(allFYsTable[DiffAmount], allFYsTable[Code], SummaryTable[[#This Row],[Code]], allFYsTable[year2], BL$3))</f>
        <v>-2145</v>
      </c>
      <c r="BR19" s="63">
        <f>IF(SummaryTable[[#This Row],[OriginalBudget20]]=0, IF(SummaryTable[[#This Row],[DiffAmount20]]=0, ZeroBudgetNoSpending, ZeroBudgetWithSpending), SummaryTable[[#This Row],[DiffAmount20]]/SummaryTable[[#This Row],[OriginalBudget20]])</f>
        <v>-7.6018003331325093E-2</v>
      </c>
      <c r="BS19" s="62">
        <f>IF(COUNTIFS(allFYsTable[Code], SummaryTable[[#This Row],[Code]], allFYsTable[year2], BS$3)=0, NotFound, SUMIFS(allFYsTable[OriginalBudget], allFYsTable[Code], SummaryTable[[#This Row],[Code]], allFYsTable[year2], BS$3))</f>
        <v>26879</v>
      </c>
      <c r="BT19" s="61">
        <f>SummaryTable[[#This Row],[OriginalBudget19]]-SummaryTable[[#This Row],[OriginalBudget18]]</f>
        <v>1541</v>
      </c>
      <c r="BU19" s="54">
        <f>SummaryTable[[#This Row],[BudgetIncreaseAmount19]]/SummaryTable[[#This Row],[OriginalBudget18]]</f>
        <v>6.0817744099771094E-2</v>
      </c>
      <c r="BV19" s="61">
        <f>IF(COUNTIFS(allFYsTable[Code], SummaryTable[[#This Row],[Code]], allFYsTable[year2], BS$3)=0, NotFound, SUMIFS(allFYsTable[RevisedBudget], allFYsTable[Code], SummaryTable[[#This Row],[Code]], allFYsTable[year2], BS$3))</f>
        <v>25766</v>
      </c>
      <c r="BW19" s="61">
        <f>IF(COUNTIFS(allFYsTable[Code], SummaryTable[[#This Row],[Code]], allFYsTable[year2], BS$3)=0, NotFound, SUMIFS(allFYsTable[Actual], allFYsTable[Code], SummaryTable[[#This Row],[Code]], allFYsTable[year2], BS$3))</f>
        <v>25766</v>
      </c>
      <c r="BX19" s="61">
        <f>IF(COUNTIFS(allFYsTable[Code], SummaryTable[[#This Row],[Code]], allFYsTable[year2], BS$3)=0, NotFound, SUMIFS(allFYsTable[DiffAmount], allFYsTable[Code], SummaryTable[[#This Row],[Code]], allFYsTable[year2], BS$3))</f>
        <v>-1113</v>
      </c>
      <c r="BY19" s="63">
        <f>IF(SummaryTable[[#This Row],[OriginalBudget19]]=0, IF(SummaryTable[[#This Row],[DiffAmount19]]=0, ZeroBudgetNoSpending, ZeroBudgetWithSpending), SummaryTable[[#This Row],[DiffAmount19]]/SummaryTable[[#This Row],[OriginalBudget19]])</f>
        <v>-4.1407790468395399E-2</v>
      </c>
      <c r="BZ19" s="62">
        <f>IF(COUNTIFS(allFYsTable[Code], SummaryTable[[#This Row],[Code]], allFYsTable[year2], BZ$3)=0, NotFound, SUMIFS(allFYsTable[OriginalBudget], allFYsTable[Code], SummaryTable[[#This Row],[Code]], allFYsTable[year2], BZ$3))</f>
        <v>25338</v>
      </c>
      <c r="CA19" s="61">
        <f>SummaryTable[[#This Row],[OriginalBudget18]]-SummaryTable[[#This Row],[OriginalBudget17]]</f>
        <v>1336</v>
      </c>
      <c r="CB19" s="54">
        <f>SummaryTable[[#This Row],[BudgetIncreaseAmount18]]/SummaryTable[[#This Row],[OriginalBudget17]]</f>
        <v>5.5662028164319637E-2</v>
      </c>
      <c r="CC19" s="61">
        <f>IF(COUNTIFS(allFYsTable[Code], SummaryTable[[#This Row],[Code]], allFYsTable[year2], BZ$3)=0, NotFound, SUMIFS(allFYsTable[RevisedBudget], allFYsTable[Code], SummaryTable[[#This Row],[Code]], allFYsTable[year2], BZ$3))</f>
        <v>24064</v>
      </c>
      <c r="CD19" s="61">
        <f>IF(COUNTIFS(allFYsTable[Code], SummaryTable[[#This Row],[Code]], allFYsTable[year2], BZ$3)=0, NotFound, SUMIFS(allFYsTable[Actual], allFYsTable[Code], SummaryTable[[#This Row],[Code]], allFYsTable[year2], BZ$3))</f>
        <v>24064</v>
      </c>
      <c r="CE19" s="61">
        <f>IF(COUNTIFS(allFYsTable[Code], SummaryTable[[#This Row],[Code]], allFYsTable[year2], BZ$3)=0, NotFound, SUMIFS(allFYsTable[DiffAmount], allFYsTable[Code], SummaryTable[[#This Row],[Code]], allFYsTable[year2], BZ$3))</f>
        <v>-1274</v>
      </c>
      <c r="CF19" s="63">
        <f>IF(SummaryTable[[#This Row],[OriginalBudget18]]=0, IF(SummaryTable[[#This Row],[DiffAmount18]]=0, ZeroBudgetNoSpending, ZeroBudgetWithSpending), SummaryTable[[#This Row],[DiffAmount18]]/SummaryTable[[#This Row],[OriginalBudget18]])</f>
        <v>-5.0280211539979476E-2</v>
      </c>
      <c r="CG19" s="62">
        <f>IF(COUNTIFS(allFYsTable[Code], SummaryTable[[#This Row],[Code]], allFYsTable[year2], CG$3)=0, NotFound, SUMIFS(allFYsTable[OriginalBudget], allFYsTable[Code], SummaryTable[[#This Row],[Code]], allFYsTable[year2], CG$3))</f>
        <v>24002</v>
      </c>
      <c r="CH19" s="61">
        <f>SummaryTable[[#This Row],[OriginalBudget17]]-SummaryTable[[#This Row],[OriginalBudget16]]</f>
        <v>1681</v>
      </c>
      <c r="CI19" s="54">
        <f>SummaryTable[[#This Row],[BudgetIncreaseAmount17]]/SummaryTable[[#This Row],[OriginalBudget16]]</f>
        <v>7.5310245956722366E-2</v>
      </c>
      <c r="CJ19" s="61">
        <f>IF(COUNTIFS(allFYsTable[Code], SummaryTable[[#This Row],[Code]], allFYsTable[year2], CG$3)=0, NotFound, SUMIFS(allFYsTable[RevisedBudget], allFYsTable[Code], SummaryTable[[#This Row],[Code]], allFYsTable[year2], CG$3))</f>
        <v>22289</v>
      </c>
      <c r="CK19" s="61">
        <f>IF(COUNTIFS(allFYsTable[Code], SummaryTable[[#This Row],[Code]], allFYsTable[year2], CG$3)=0, NotFound, SUMIFS(allFYsTable[Actual], allFYsTable[Code], SummaryTable[[#This Row],[Code]], allFYsTable[year2], CG$3))</f>
        <v>22289</v>
      </c>
      <c r="CL19" s="61">
        <f>IF(COUNTIFS(allFYsTable[Code], SummaryTable[[#This Row],[Code]], allFYsTable[year2], CG$3)=0, NotFound, SUMIFS(allFYsTable[DiffAmount], allFYsTable[Code], SummaryTable[[#This Row],[Code]], allFYsTable[year2], CG$3))</f>
        <v>-1713</v>
      </c>
      <c r="CM19" s="63">
        <f>IF(SummaryTable[[#This Row],[OriginalBudget17]]=0, IF(SummaryTable[[#This Row],[DiffAmount17]]=0, ZeroBudgetNoSpending, ZeroBudgetWithSpending), SummaryTable[[#This Row],[DiffAmount17]]/SummaryTable[[#This Row],[OriginalBudget17]])</f>
        <v>-7.136905257895175E-2</v>
      </c>
      <c r="CN19" s="62">
        <f>IF(COUNTIFS(allFYsTable[Code], SummaryTable[[#This Row],[Code]], allFYsTable[year2], CN$3)=0, NotFound, SUMIFS(allFYsTable[OriginalBudget], allFYsTable[Code], SummaryTable[[#This Row],[Code]], allFYsTable[year2], CN$3))</f>
        <v>22321</v>
      </c>
      <c r="CO19" s="61">
        <f>SummaryTable[[#This Row],[OriginalBudget16]]-SummaryTable[[#This Row],[OriginalBudget15]]</f>
        <v>-184</v>
      </c>
      <c r="CP19" s="54">
        <f>SummaryTable[[#This Row],[BudgetIncreaseAmount16]]/SummaryTable[[#This Row],[OriginalBudget15]]</f>
        <v>-8.1759608975783167E-3</v>
      </c>
      <c r="CQ19" s="61">
        <f>IF(COUNTIFS(allFYsTable[Code], SummaryTable[[#This Row],[Code]], allFYsTable[year2], CN$3)=0, NotFound, SUMIFS(allFYsTable[RevisedBudget], allFYsTable[Code], SummaryTable[[#This Row],[Code]], allFYsTable[year2], CN$3))</f>
        <v>21174</v>
      </c>
      <c r="CR19" s="61">
        <f>IF(COUNTIFS(allFYsTable[Code], SummaryTable[[#This Row],[Code]], allFYsTable[year2], CN$3)=0, NotFound, SUMIFS(allFYsTable[Actual], allFYsTable[Code], SummaryTable[[#This Row],[Code]], allFYsTable[year2], CN$3))</f>
        <v>21174</v>
      </c>
      <c r="CS19" s="61">
        <f>IF(COUNTIFS(allFYsTable[Code], SummaryTable[[#This Row],[Code]], allFYsTable[year2], CN$3)=0, NotFound, SUMIFS(allFYsTable[DiffAmount], allFYsTable[Code], SummaryTable[[#This Row],[Code]], allFYsTable[year2], CN$3))</f>
        <v>-1147</v>
      </c>
      <c r="CT19" s="63">
        <f>IF(SummaryTable[[#This Row],[OriginalBudget16]]=0, IF(SummaryTable[[#This Row],[DiffAmount16]]=0, ZeroBudgetNoSpending, ZeroBudgetWithSpending), SummaryTable[[#This Row],[DiffAmount16]]/SummaryTable[[#This Row],[OriginalBudget16]])</f>
        <v>-5.1386586622463148E-2</v>
      </c>
      <c r="CU19" s="62">
        <f>IF(COUNTIFS(allFYsTable[Code], SummaryTable[[#This Row],[Code]], allFYsTable[year2], CU$3)=0, NotFound, SUMIFS(allFYsTable[OriginalBudget], allFYsTable[Code], SummaryTable[[#This Row],[Code]], allFYsTable[year2], CU$3))</f>
        <v>22505</v>
      </c>
      <c r="CV19" s="61">
        <f>SummaryTable[[#This Row],[OriginalBudget15]]-SummaryTable[[#This Row],[OriginalBudget14]]</f>
        <v>1548</v>
      </c>
      <c r="CW19" s="54">
        <f>SummaryTable[[#This Row],[BudgetIncreaseAmount15]]/SummaryTable[[#This Row],[OriginalBudget14]]</f>
        <v>7.3865534189053783E-2</v>
      </c>
      <c r="CX19" s="61">
        <f>IF(COUNTIFS(allFYsTable[Code], SummaryTable[[#This Row],[Code]], allFYsTable[year2], CU$3)=0, NotFound, SUMIFS(allFYsTable[RevisedBudget], allFYsTable[Code], SummaryTable[[#This Row],[Code]], allFYsTable[year2], CU$3))</f>
        <v>19511</v>
      </c>
      <c r="CY19" s="61">
        <f>IF(COUNTIFS(allFYsTable[Code], SummaryTable[[#This Row],[Code]], allFYsTable[year2], CU$3)=0, NotFound, SUMIFS(allFYsTable[Actual], allFYsTable[Code], SummaryTable[[#This Row],[Code]], allFYsTable[year2], CU$3))</f>
        <v>19511</v>
      </c>
      <c r="CZ19" s="61">
        <f>IF(COUNTIFS(allFYsTable[Code], SummaryTable[[#This Row],[Code]], allFYsTable[year2], CU$3)=0, NotFound, SUMIFS(allFYsTable[DiffAmount], allFYsTable[Code], SummaryTable[[#This Row],[Code]], allFYsTable[year2], CU$3))</f>
        <v>-2994</v>
      </c>
      <c r="DA19" s="63">
        <f>IF(SummaryTable[[#This Row],[OriginalBudget15]]=0, IF(SummaryTable[[#This Row],[DiffAmount15]]=0, ZeroBudgetNoSpending, ZeroBudgetWithSpending), SummaryTable[[#This Row],[DiffAmount15]]/SummaryTable[[#This Row],[OriginalBudget15]])</f>
        <v>-0.13303710286602977</v>
      </c>
      <c r="DB19" s="62">
        <f>IF(COUNTIFS(allFYsTable[Code], SummaryTable[[#This Row],[Code]], allFYsTable[year2], DB$3)=0, NotFound, SUMIFS(allFYsTable[OriginalBudget], allFYsTable[Code], SummaryTable[[#This Row],[Code]], allFYsTable[year2], DB$3))</f>
        <v>20957</v>
      </c>
      <c r="DC19" s="61">
        <f>SummaryTable[[#This Row],[OriginalBudget14]]-SummaryTable[[#This Row],[OriginalBudget13]]</f>
        <v>-50</v>
      </c>
      <c r="DD19" s="54">
        <f>SummaryTable[[#This Row],[BudgetIncreaseAmount14]]/SummaryTable[[#This Row],[OriginalBudget13]]</f>
        <v>-2.3801589946208408E-3</v>
      </c>
      <c r="DE19" s="61">
        <f>IF(COUNTIFS(allFYsTable[Code], SummaryTable[[#This Row],[Code]], allFYsTable[year2], DB$3)=0, NotFound, SUMIFS(allFYsTable[RevisedBudget], allFYsTable[Code], SummaryTable[[#This Row],[Code]], allFYsTable[year2], DB$3))</f>
        <v>19745</v>
      </c>
      <c r="DF19" s="61">
        <f>IF(COUNTIFS(allFYsTable[Code], SummaryTable[[#This Row],[Code]], allFYsTable[year2], DB$3)=0, NotFound, SUMIFS(allFYsTable[Actual], allFYsTable[Code], SummaryTable[[#This Row],[Code]], allFYsTable[year2], DB$3))</f>
        <v>19745</v>
      </c>
      <c r="DG19" s="61">
        <f>IF(COUNTIFS(allFYsTable[Code], SummaryTable[[#This Row],[Code]], allFYsTable[year2], DB$3)=0, NotFound, SUMIFS(allFYsTable[DiffAmount], allFYsTable[Code], SummaryTable[[#This Row],[Code]], allFYsTable[year2], DB$3))</f>
        <v>-1212</v>
      </c>
      <c r="DH19" s="63">
        <f>IF(SummaryTable[[#This Row],[OriginalBudget14]]=0, IF(SummaryTable[[#This Row],[DiffAmount14]]=0, ZeroBudgetNoSpending, ZeroBudgetWithSpending), SummaryTable[[#This Row],[DiffAmount14]]/SummaryTable[[#This Row],[OriginalBudget14]])</f>
        <v>-5.7832705062747528E-2</v>
      </c>
      <c r="DI19" s="62">
        <f>IF(COUNTIFS(allFYsTable[Code], SummaryTable[[#This Row],[Code]], allFYsTable[year2], DI$3)=0, NotFound, SUMIFS(allFYsTable[OriginalBudget], allFYsTable[Code], SummaryTable[[#This Row],[Code]], allFYsTable[year2], DI$3))</f>
        <v>21007</v>
      </c>
      <c r="DJ19" s="61">
        <f>SummaryTable[[#This Row],[OriginalBudget13]]-SummaryTable[[#This Row],[OriginalBudget12]]</f>
        <v>1981</v>
      </c>
      <c r="DK19" s="54">
        <f>SummaryTable[[#This Row],[BudgetIncreaseAmount13]]/SummaryTable[[#This Row],[OriginalBudget12]]</f>
        <v>0.10412067696835908</v>
      </c>
      <c r="DL19" s="61">
        <f>IF(COUNTIFS(allFYsTable[Code], SummaryTable[[#This Row],[Code]], allFYsTable[year2], DI$3)=0, NotFound, SUMIFS(allFYsTable[RevisedBudget], allFYsTable[Code], SummaryTable[[#This Row],[Code]], allFYsTable[year2], DI$3))</f>
        <v>19408</v>
      </c>
      <c r="DM19" s="61">
        <f>IF(COUNTIFS(allFYsTable[Code], SummaryTable[[#This Row],[Code]], allFYsTable[year2], DI$3)=0, NotFound, SUMIFS(allFYsTable[Actual], allFYsTable[Code], SummaryTable[[#This Row],[Code]], allFYsTable[year2], DI$3))</f>
        <v>19335</v>
      </c>
      <c r="DN19" s="61">
        <f>IF(COUNTIFS(allFYsTable[Code], SummaryTable[[#This Row],[Code]], allFYsTable[year2], DI$3)=0, NotFound, SUMIFS(allFYsTable[DiffAmount], allFYsTable[Code], SummaryTable[[#This Row],[Code]], allFYsTable[year2], DI$3))</f>
        <v>-1672</v>
      </c>
      <c r="DO19" s="63">
        <f>IF(SummaryTable[[#This Row],[OriginalBudget13]]=0, IF(SummaryTable[[#This Row],[DiffAmount13]]=0, ZeroBudgetNoSpending, ZeroBudgetWithSpending), SummaryTable[[#This Row],[DiffAmount13]]/SummaryTable[[#This Row],[OriginalBudget13]])</f>
        <v>-7.9592516780120914E-2</v>
      </c>
      <c r="DP19" s="62">
        <f>IF(COUNTIFS(allFYsTable[Code], SummaryTable[[#This Row],[Code]], allFYsTable[year2], DP$3)=0, NotFound, SUMIFS(allFYsTable[OriginalBudget], allFYsTable[Code], SummaryTable[[#This Row],[Code]], allFYsTable[year2], DP$3))</f>
        <v>19026</v>
      </c>
      <c r="DQ19" s="61">
        <f>SummaryTable[[#This Row],[OriginalBudget12]]-SummaryTable[[#This Row],[OriginalBudget11]]</f>
        <v>-199</v>
      </c>
      <c r="DR19" s="54">
        <f>SummaryTable[[#This Row],[BudgetIncreaseAmount12]]/SummaryTable[[#This Row],[OriginalBudget11]]</f>
        <v>-1.035110533159948E-2</v>
      </c>
      <c r="DS19" s="61">
        <f>IF(COUNTIFS(allFYsTable[Code], SummaryTable[[#This Row],[Code]], allFYsTable[year2], DP$3)=0, NotFound, SUMIFS(allFYsTable[RevisedBudget], allFYsTable[Code], SummaryTable[[#This Row],[Code]], allFYsTable[year2], DP$3))</f>
        <v>18542</v>
      </c>
      <c r="DT19" s="61">
        <f>IF(COUNTIFS(allFYsTable[Code], SummaryTable[[#This Row],[Code]], allFYsTable[year2], DP$3)=0, NotFound, SUMIFS(allFYsTable[Actual], allFYsTable[Code], SummaryTable[[#This Row],[Code]], allFYsTable[year2], DP$3))</f>
        <v>18542</v>
      </c>
      <c r="DU19" s="61">
        <f>IF(COUNTIFS(allFYsTable[Code], SummaryTable[[#This Row],[Code]], allFYsTable[year2], DP$3)=0, NotFound, SUMIFS(allFYsTable[DiffAmount], allFYsTable[Code], SummaryTable[[#This Row],[Code]], allFYsTable[year2], DP$3))</f>
        <v>-484</v>
      </c>
      <c r="DV19" s="63">
        <f>IF(SummaryTable[[#This Row],[OriginalBudget12]]=0, IF(SummaryTable[[#This Row],[DiffAmount12]]=0, ZeroBudgetNoSpending, ZeroBudgetWithSpending), SummaryTable[[#This Row],[DiffAmount12]]/SummaryTable[[#This Row],[OriginalBudget12]])</f>
        <v>-2.5438873120992328E-2</v>
      </c>
      <c r="DW19" s="62">
        <f>IF(COUNTIFS(allFYsTable[Code], SummaryTable[[#This Row],[Code]], allFYsTable[year2], DW$3)=0, NotFound, SUMIFS(allFYsTable[OriginalBudget], allFYsTable[Code], SummaryTable[[#This Row],[Code]], allFYsTable[year2], DW$3))</f>
        <v>19225</v>
      </c>
      <c r="DX19" s="61">
        <f>SummaryTable[[#This Row],[OriginalBudget11]]-SummaryTable[[#This Row],[OriginalBudget10]]</f>
        <v>-608</v>
      </c>
      <c r="DY19" s="54">
        <f>SummaryTable[[#This Row],[BudgetIncreaseAmount11]]/SummaryTable[[#This Row],[OriginalBudget10]]</f>
        <v>-3.0655977411385066E-2</v>
      </c>
      <c r="DZ19" s="61">
        <f>IF(COUNTIFS(allFYsTable[Code], SummaryTable[[#This Row],[Code]], allFYsTable[year2], DW$3)=0, NotFound, SUMIFS(allFYsTable[RevisedBudget], allFYsTable[Code], SummaryTable[[#This Row],[Code]], allFYsTable[year2], DW$3))</f>
        <v>18265</v>
      </c>
      <c r="EA19" s="61">
        <f>IF(COUNTIFS(allFYsTable[Code], SummaryTable[[#This Row],[Code]], allFYsTable[year2], DW$3)=0, NotFound, SUMIFS(allFYsTable[Actual], allFYsTable[Code], SummaryTable[[#This Row],[Code]], allFYsTable[year2], DW$3))</f>
        <v>18265</v>
      </c>
      <c r="EB19" s="61">
        <f>IF(COUNTIFS(allFYsTable[Code], SummaryTable[[#This Row],[Code]], allFYsTable[year2], DW$3)=0, NotFound, SUMIFS(allFYsTable[DiffAmount], allFYsTable[Code], SummaryTable[[#This Row],[Code]], allFYsTable[year2], DW$3))</f>
        <v>-960</v>
      </c>
      <c r="EC19" s="63">
        <f>IF(SummaryTable[[#This Row],[OriginalBudget11]]=0, IF(SummaryTable[[#This Row],[DiffAmount11]]=0, ZeroBudgetNoSpending, ZeroBudgetWithSpending), SummaryTable[[#This Row],[DiffAmount11]]/SummaryTable[[#This Row],[OriginalBudget11]])</f>
        <v>-4.9934980494148247E-2</v>
      </c>
      <c r="ED19" s="62">
        <f>IF(COUNTIFS(allFYsTable[Code], SummaryTable[[#This Row],[Code]], allFYsTable[year2], ED$3)=0, NotFound, SUMIFS(allFYsTable[OriginalBudget], allFYsTable[Code], SummaryTable[[#This Row],[Code]], allFYsTable[year2], ED$3))</f>
        <v>19833</v>
      </c>
      <c r="EE19" s="61">
        <f>SummaryTable[[#This Row],[OriginalBudget10]]-SummaryTable[[#This Row],[OriginalBudget09]]</f>
        <v>-563</v>
      </c>
      <c r="EF19" s="54">
        <f>SummaryTable[[#This Row],[BudgetIncreaseAmount10]]/SummaryTable[[#This Row],[OriginalBudget09]]</f>
        <v>-2.7603451657187684E-2</v>
      </c>
      <c r="EG19" s="61">
        <f>IF(COUNTIFS(allFYsTable[Code], SummaryTable[[#This Row],[Code]], allFYsTable[year2], ED$3)=0, NotFound, SUMIFS(allFYsTable[RevisedBudget], allFYsTable[Code], SummaryTable[[#This Row],[Code]], allFYsTable[year2], ED$3))</f>
        <v>19700</v>
      </c>
      <c r="EH19" s="61">
        <f>IF(COUNTIFS(allFYsTable[Code], SummaryTable[[#This Row],[Code]], allFYsTable[year2], ED$3)=0, NotFound, SUMIFS(allFYsTable[Actual], allFYsTable[Code], SummaryTable[[#This Row],[Code]], allFYsTable[year2], ED$3))</f>
        <v>18768</v>
      </c>
      <c r="EI19" s="61">
        <f>IF(COUNTIFS(allFYsTable[Code], SummaryTable[[#This Row],[Code]], allFYsTable[year2], ED$3)=0, NotFound, SUMIFS(allFYsTable[DiffAmount], allFYsTable[Code], SummaryTable[[#This Row],[Code]], allFYsTable[year2], ED$3))</f>
        <v>-1065</v>
      </c>
      <c r="EJ19" s="63">
        <f>IF(SummaryTable[[#This Row],[OriginalBudget10]]=0, IF(SummaryTable[[#This Row],[DiffAmount10]]=0, ZeroBudgetNoSpending, ZeroBudgetWithSpending), SummaryTable[[#This Row],[DiffAmount10]]/SummaryTable[[#This Row],[OriginalBudget10]])</f>
        <v>-5.3698381485403117E-2</v>
      </c>
      <c r="EK19" s="62">
        <f>IF(COUNTIFS(allFYsTable[Code], SummaryTable[[#This Row],[Code]], allFYsTable[year2], EK$3)=0, NotFound, SUMIFS(allFYsTable[OriginalBudget], allFYsTable[Code], SummaryTable[[#This Row],[Code]], allFYsTable[year2], EK$3))</f>
        <v>20396</v>
      </c>
      <c r="EL19" s="61">
        <f>SummaryTable[[#This Row],[OriginalBudget09]]-SummaryTable[[#This Row],[OriginalBudget08]]</f>
        <v>3745</v>
      </c>
      <c r="EM19" s="54">
        <f>SummaryTable[[#This Row],[BudgetIncreaseAmount09]]/SummaryTable[[#This Row],[OriginalBudget08]]</f>
        <v>0.22491141673172782</v>
      </c>
      <c r="EN19" s="61">
        <f>IF(COUNTIFS(allFYsTable[Code], SummaryTable[[#This Row],[Code]], allFYsTable[year2], EK$3)=0, NotFound, SUMIFS(allFYsTable[RevisedBudget], allFYsTable[Code], SummaryTable[[#This Row],[Code]], allFYsTable[year2], EK$3))</f>
        <v>20396</v>
      </c>
      <c r="EO19" s="61">
        <f>IF(COUNTIFS(allFYsTable[Code], SummaryTable[[#This Row],[Code]], allFYsTable[year2], EK$3)=0, NotFound, SUMIFS(allFYsTable[Actual], allFYsTable[Code], SummaryTable[[#This Row],[Code]], allFYsTable[year2], EK$3))</f>
        <v>19929</v>
      </c>
      <c r="EP19" s="61">
        <f>IF(COUNTIFS(allFYsTable[Code], SummaryTable[[#This Row],[Code]], allFYsTable[year2], EK$3)=0, NotFound, SUMIFS(allFYsTable[DiffAmount], allFYsTable[Code], SummaryTable[[#This Row],[Code]], allFYsTable[year2], EK$3))</f>
        <v>-467</v>
      </c>
      <c r="EQ19" s="63">
        <f>IF(SummaryTable[[#This Row],[OriginalBudget09]]=0, IF(SummaryTable[[#This Row],[DiffAmount09]]=0, ZeroBudgetNoSpending, ZeroBudgetWithSpending), SummaryTable[[#This Row],[DiffAmount09]]/SummaryTable[[#This Row],[OriginalBudget09]])</f>
        <v>-2.2896646401255147E-2</v>
      </c>
      <c r="ER19" s="62">
        <f>IF(COUNTIFS(allFYsTable[Code], SummaryTable[[#This Row],[Code]], allFYsTable[year2], ER$3)=0, NotFound, SUMIFS(allFYsTable[OriginalBudget], allFYsTable[Code], SummaryTable[[#This Row],[Code]], allFYsTable[year2], ER$3))</f>
        <v>16651</v>
      </c>
      <c r="ES19" s="61">
        <f>SummaryTable[[#This Row],[OriginalBudget08]]-SummaryTable[[#This Row],[OriginalBudget07]]</f>
        <v>1984</v>
      </c>
      <c r="ET19" s="54">
        <f>SummaryTable[[#This Row],[BudgetIncreaseAmount08]]/SummaryTable[[#This Row],[OriginalBudget07]]</f>
        <v>0.13526965296243268</v>
      </c>
      <c r="EU19" s="61">
        <f>IF(COUNTIFS(allFYsTable[Code], SummaryTable[[#This Row],[Code]], allFYsTable[year2], ER$3)=0, NotFound, SUMIFS(allFYsTable[RevisedBudget], allFYsTable[Code], SummaryTable[[#This Row],[Code]], allFYsTable[year2], ER$3))</f>
        <v>19201</v>
      </c>
      <c r="EV19" s="61">
        <f>IF(COUNTIFS(allFYsTable[Code], SummaryTable[[#This Row],[Code]], allFYsTable[year2], ER$3)=0, NotFound, SUMIFS(allFYsTable[Actual], allFYsTable[Code], SummaryTable[[#This Row],[Code]], allFYsTable[year2], ER$3))</f>
        <v>18824</v>
      </c>
      <c r="EW19" s="61">
        <f>IF(COUNTIFS(allFYsTable[Code], SummaryTable[[#This Row],[Code]], allFYsTable[year2], ER$3)=0, NotFound, SUMIFS(allFYsTable[DiffAmount], allFYsTable[Code], SummaryTable[[#This Row],[Code]], allFYsTable[year2], ER$3))</f>
        <v>2173</v>
      </c>
      <c r="EX19" s="63">
        <f>IF(SummaryTable[[#This Row],[OriginalBudget08]]=0, IF(SummaryTable[[#This Row],[DiffAmount08]]=0, ZeroBudgetNoSpending, ZeroBudgetWithSpending), SummaryTable[[#This Row],[DiffAmount08]]/SummaryTable[[#This Row],[OriginalBudget08]])</f>
        <v>0.13050267251216144</v>
      </c>
      <c r="EY19" s="62">
        <f>IF(COUNTIFS(allFYsTable[Code], SummaryTable[[#This Row],[Code]], allFYsTable[year2], EY$3)=0, NotFound, SUMIFS(allFYsTable[OriginalBudget], allFYsTable[Code], SummaryTable[[#This Row],[Code]], allFYsTable[year2], EY$3))</f>
        <v>14667</v>
      </c>
      <c r="EZ19" s="61">
        <f>SummaryTable[[#This Row],[OriginalBudget07]]-SummaryTable[[#This Row],[OriginalBudget06]]</f>
        <v>628</v>
      </c>
      <c r="FA19" s="54">
        <f>SummaryTable[[#This Row],[BudgetIncreaseAmount07]]/SummaryTable[[#This Row],[OriginalBudget06]]</f>
        <v>4.473253080703754E-2</v>
      </c>
      <c r="FB19" s="61">
        <f>IF(COUNTIFS(allFYsTable[Code], SummaryTable[[#This Row],[Code]], allFYsTable[year2], EY$3)=0, NotFound, SUMIFS(allFYsTable[RevisedBudget], allFYsTable[Code], SummaryTable[[#This Row],[Code]], allFYsTable[year2], EY$3))</f>
        <v>17154</v>
      </c>
      <c r="FC19" s="61">
        <f>IF(COUNTIFS(allFYsTable[Code], SummaryTable[[#This Row],[Code]], allFYsTable[year2], EY$3)=0, NotFound, SUMIFS(allFYsTable[Actual], allFYsTable[Code], SummaryTable[[#This Row],[Code]], allFYsTable[year2], EY$3))</f>
        <v>16665</v>
      </c>
      <c r="FD19" s="61">
        <f>IF(COUNTIFS(allFYsTable[Code], SummaryTable[[#This Row],[Code]], allFYsTable[year2], EY$3)=0, NotFound, SUMIFS(allFYsTable[DiffAmount], allFYsTable[Code], SummaryTable[[#This Row],[Code]], allFYsTable[year2], EY$3))</f>
        <v>1998</v>
      </c>
      <c r="FE19" s="63">
        <f>IF(SummaryTable[[#This Row],[OriginalBudget07]]=0, IF(SummaryTable[[#This Row],[DiffAmount07]]=0, ZeroBudgetNoSpending, ZeroBudgetWithSpending), SummaryTable[[#This Row],[DiffAmount07]]/SummaryTable[[#This Row],[OriginalBudget07]])</f>
        <v>0.13622417672325629</v>
      </c>
      <c r="FF19" s="62">
        <f>IF(COUNTIFS(allFYsTable[Code], SummaryTable[[#This Row],[Code]], allFYsTable[year2], FF$3)=0, NotFound, SUMIFS(allFYsTable[OriginalBudget], allFYsTable[Code], SummaryTable[[#This Row],[Code]], allFYsTable[year2], FF$3))</f>
        <v>14039</v>
      </c>
      <c r="FI19" s="61">
        <f>IF(COUNTIFS(allFYsTable[Code], SummaryTable[[#This Row],[Code]], allFYsTable[year2], FF$3)=0, NotFound, SUMIFS(allFYsTable[RevisedBudget], allFYsTable[Code], SummaryTable[[#This Row],[Code]], allFYsTable[year2], FF$3))</f>
        <v>14038</v>
      </c>
      <c r="FJ19" s="61">
        <f>IF(COUNTIFS(allFYsTable[Code], SummaryTable[[#This Row],[Code]], allFYsTable[year2], FF$3)=0, NotFound, SUMIFS(allFYsTable[Actual], allFYsTable[Code], SummaryTable[[#This Row],[Code]], allFYsTable[year2], FF$3))</f>
        <v>13430</v>
      </c>
      <c r="FK19" s="61">
        <f>IF(COUNTIFS(allFYsTable[Code], SummaryTable[[#This Row],[Code]], allFYsTable[year2], FF$3)=0, NotFound, SUMIFS(allFYsTable[DiffAmount], allFYsTable[Code], SummaryTable[[#This Row],[Code]], allFYsTable[year2], FF$3))</f>
        <v>-609</v>
      </c>
      <c r="FL19" s="63">
        <f>IF(SummaryTable[[#This Row],[OriginalBudget06]]=0, IF(SummaryTable[[#This Row],[DiffAmount06]]=0, ZeroBudgetNoSpending, ZeroBudgetWithSpending), SummaryTable[[#This Row],[DiffAmount06]]/SummaryTable[[#This Row],[OriginalBudget06]])</f>
        <v>-4.3379158059690864E-2</v>
      </c>
    </row>
    <row r="20" spans="1:168" x14ac:dyDescent="0.45">
      <c r="A20" t="s">
        <v>748</v>
      </c>
      <c r="B20">
        <f>_xlfn.MAXIFS(allFYsTable[year2], allFYsTable[Code], SummaryTable[[#This Row],[Code]])</f>
        <v>2025</v>
      </c>
      <c r="C20" t="str">
        <f>_xlfn.XLOOKUP(SummaryTable[[#This Row],[Code]], NameCodingTable[Code], NameCodingTable[Most Recent Category per allFYs])</f>
        <v>Public safety and justice</v>
      </c>
      <c r="D20" t="str">
        <f>_xlfn.XLOOKUP(SummaryTable[[#This Row],[Code]], NameCodingTable[Code], NameCodingTable[Unit Display Name])</f>
        <v>Criminal Code Reform Commission (CCRC)</v>
      </c>
      <c r="E20" t="str">
        <f>_xlfn.XLOOKUP(SummaryTable[[#This Row],[Code]], NameCodingTable[Code], NameCodingTable[Type])</f>
        <v>agency</v>
      </c>
      <c r="F2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9</v>
      </c>
      <c r="G2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20" s="54">
        <f>SummaryTable[[#This Row],['# Over]]/SummaryTable[[#This Row],[Count]]</f>
        <v>0</v>
      </c>
      <c r="I2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9</v>
      </c>
      <c r="J20" s="54">
        <f>SummaryTable[[#This Row],['# Under]]/SummaryTable[[#This Row],[Count]]</f>
        <v>1</v>
      </c>
      <c r="K2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20" s="54">
        <f>SummaryTable[[#This Row],['# Equal]]/SummaryTable[[#This Row],[Count]]</f>
        <v>0</v>
      </c>
      <c r="M20" s="61">
        <f>SUMIFS(allFYsTable[OriginalBudget],allFYsTable[Code],SummaryTable[[#This Row],[Code]])/SummaryTable[[#This Row],[Count]]</f>
        <v>812.11111111111109</v>
      </c>
      <c r="N20" s="61">
        <f>SUMIFS(allFYsTable[Actual],allFYsTable[Code],SummaryTable[[#This Row],[Code]])/SummaryTable[[#This Row],[Count]]</f>
        <v>735.11111111111109</v>
      </c>
      <c r="O20" s="61">
        <f>SummaryTable[[#This Row],[AvgActAmt]]-SummaryTable[[#This Row],[AvgBudAmt]]</f>
        <v>-77</v>
      </c>
      <c r="P20" s="54">
        <f>IF(SummaryTable[[#This Row],[AvgBudAmt]]=0, IF(SummaryTable[[#This Row],[AvgDiff'#]]=0, 0, NamedFields!$C$3), SummaryTable[[#This Row],[AvgDiff'#]]/SummaryTable[[#This Row],[AvgBudAmt]])</f>
        <v>-9.4814612122041328E-2</v>
      </c>
      <c r="Q20" s="61">
        <f>IFERROR(SUMIFS(allFYsTable[OriginalBudget],allFYsTable[Code],SummaryTable[[#This Row],[Code]],allFYsTable[DiffAmount], "&gt;0")/SummaryTable[[#This Row],['# Over]], 0)</f>
        <v>0</v>
      </c>
      <c r="R20" s="61">
        <f>IFERROR(SUMIFS(allFYsTable[Actual],allFYsTable[Code],SummaryTable[[#This Row],[Code]],allFYsTable[DiffAmount], "&gt;0")/SummaryTable[[#This Row],['# Over]], 0)</f>
        <v>0</v>
      </c>
      <c r="S20" s="61">
        <f>SummaryTable[[#This Row],[OverAvgAct]]-SummaryTable[[#This Row],[OverAvgBud]]</f>
        <v>0</v>
      </c>
      <c r="T20" s="54">
        <f>IF(SummaryTable[[#This Row],[OverAvgBud]]=0, IF(SummaryTable[[#This Row],[OverAvgDiff'#]]=0, ZeroBudgetNoSpending, ZeroBudgetWithSpending), SummaryTable[[#This Row],[OverAvgDiff'#]]/SummaryTable[[#This Row],[OverAvgBud]])</f>
        <v>0</v>
      </c>
      <c r="U20" s="61">
        <f>IFERROR(SUMIFS(allFYsTable[OriginalBudget],allFYsTable[Code],SummaryTable[[#This Row],[Code]],allFYsTable[DiffAmount], "&lt;0")/SummaryTable[[#This Row],['# Under]], 0)</f>
        <v>812.11111111111109</v>
      </c>
      <c r="V20" s="61">
        <f>IFERROR( SUMIFS(allFYsTable[Actual],allFYsTable[Code],SummaryTable[[#This Row],[Code]],allFYsTable[DiffAmount], "&lt;0")/SummaryTable[[#This Row],['# Under]], 0)</f>
        <v>735.11111111111109</v>
      </c>
      <c r="W20" s="61">
        <f>SummaryTable[[#This Row],[UnderAvgAct]]-SummaryTable[[#This Row],[UnderAvgBud]]</f>
        <v>-77</v>
      </c>
      <c r="X20" s="54">
        <f>IF(SummaryTable[[#This Row],[UnderAvgBud]]=0, IF(SummaryTable[[#This Row],[UnderAvgDiff'#]]=0, ZeroBudgetNoSpending, NamedFields!$C$3), SummaryTable[[#This Row],[UnderAvgDiff'#]]/SummaryTable[[#This Row],[UnderAvgBud]])</f>
        <v>-9.4814612122041328E-2</v>
      </c>
      <c r="Y2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2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20" s="54">
        <f>IF(SummaryTable[[#This Row],[IncreaseYears]]=0, ZeroBudgetNoSpending, SummaryTable[[#This Row],[OSinIncreaseYear'#]]/SummaryTable[[#This Row],[IncreaseYears]])</f>
        <v>0</v>
      </c>
      <c r="AB20" s="58" t="str">
        <f>SummaryTable[[#This Row],[Code]]</f>
        <v>MA0</v>
      </c>
      <c r="AC20" s="62">
        <f>IF(COUNTIFS(allFYsTable[Code], SummaryTable[[#This Row],[Code]], allFYsTable[year2], AC$3)=0, NotFound, SUMIFS(allFYsTable[OriginalBudget], allFYsTable[Code], SummaryTable[[#This Row],[Code]], allFYsTable[year2], AC$3))</f>
        <v>890</v>
      </c>
      <c r="AD20" s="61">
        <f>SummaryTable[[#This Row],[OriginalBudget25]]-SummaryTable[[#This Row],[OriginalBudget24]]</f>
        <v>0</v>
      </c>
      <c r="AE20" s="54">
        <f>SummaryTable[[#This Row],[BudgetIncreaseAmount25]]/SummaryTable[[#This Row],[OriginalBudget24]]</f>
        <v>0</v>
      </c>
      <c r="AF20" s="61">
        <f>IF(COUNTIFS(allFYsTable[Code], SummaryTable[[#This Row],[Code]], allFYsTable[year2], AC$3)=0, NotFound, SUMIFS(allFYsTable[RevisedBudget], allFYsTable[Code], SummaryTable[[#This Row],[Code]], allFYsTable[year2], AC$3))</f>
        <v>738</v>
      </c>
      <c r="AG20" s="61">
        <f>IF(COUNTIFS(allFYsTable[Code], SummaryTable[[#This Row],[Code]], allFYsTable[year2], AC$3)=0, NotFound, SUMIFS(allFYsTable[Actual], allFYsTable[Code], SummaryTable[[#This Row],[Code]], allFYsTable[year2], AC$3))</f>
        <v>654</v>
      </c>
      <c r="AH20" s="61">
        <f>IF(COUNTIFS(allFYsTable[Code], SummaryTable[[#This Row],[Code]], allFYsTable[year2], AC$3)=0, NotFound, SUMIFS(allFYsTable[DiffAmount], allFYsTable[Code], SummaryTable[[#This Row],[Code]], allFYsTable[year2], AC$3))</f>
        <v>-236</v>
      </c>
      <c r="AI20" s="63">
        <f>IF(SummaryTable[[#This Row],[OriginalBudget25]]=0, IF(SummaryTable[[#This Row],[DiffAmount25]]=0, ZeroBudgetNoSpending, ZeroBudgetWithSpending), SummaryTable[[#This Row],[DiffAmount25]]/SummaryTable[[#This Row],[OriginalBudget25]])</f>
        <v>-0.26516853932584272</v>
      </c>
      <c r="AJ20" s="62">
        <f>IF(COUNTIFS(allFYsTable[Code], SummaryTable[[#This Row],[Code]], allFYsTable[year2], AJ$3)=0, NotFound, SUMIFS(allFYsTable[OriginalBudget], allFYsTable[Code], SummaryTable[[#This Row],[Code]], allFYsTable[year2], AJ$3))</f>
        <v>890</v>
      </c>
      <c r="AK20" s="61">
        <f>SummaryTable[[#This Row],[OriginalBudget24]]-SummaryTable[[#This Row],[OriginalBudget23]]</f>
        <v>-70</v>
      </c>
      <c r="AL20" s="54">
        <f>SummaryTable[[#This Row],[BudgetIncreaseAmount24]]/SummaryTable[[#This Row],[OriginalBudget23]]</f>
        <v>-7.2916666666666671E-2</v>
      </c>
      <c r="AM20" s="61">
        <f>IF(COUNTIFS(allFYsTable[Code], SummaryTable[[#This Row],[Code]], allFYsTable[year2], AK$3)=0, NotFound, SUMIFS(allFYsTable[RevisedBudget], allFYsTable[Code], SummaryTable[[#This Row],[Code]], allFYsTable[year2], AJ$3))</f>
        <v>855</v>
      </c>
      <c r="AN20" s="61">
        <f>IF(COUNTIFS(allFYsTable[Code], SummaryTable[[#This Row],[Code]], allFYsTable[year2], AJ$3)=0, NotFound, SUMIFS(allFYsTable[Actual], allFYsTable[Code], SummaryTable[[#This Row],[Code]], allFYsTable[year2], AJ$3))</f>
        <v>832</v>
      </c>
      <c r="AO20" s="61">
        <f>IF(COUNTIFS(allFYsTable[Code], SummaryTable[[#This Row],[Code]], allFYsTable[year2], AJ$3)=0, NotFound, SUMIFS(allFYsTable[DiffAmount], allFYsTable[Code], SummaryTable[[#This Row],[Code]], allFYsTable[year2], AJ$3))</f>
        <v>-58</v>
      </c>
      <c r="AP20" s="63">
        <f>IF(SummaryTable[[#This Row],[OriginalBudget24]]=0, IF(SummaryTable[[#This Row],[DiffAmount24]]=0, ZeroBudgetNoSpending, ZeroBudgetWithSpending), SummaryTable[[#This Row],[DiffAmount24]]/SummaryTable[[#This Row],[OriginalBudget24]])</f>
        <v>-6.5168539325842698E-2</v>
      </c>
      <c r="AQ20" s="62">
        <f>IF(COUNTIFS(allFYsTable[Code], SummaryTable[[#This Row],[Code]], allFYsTable[year2], AQ$3)=0, NotFound, SUMIFS(allFYsTable[OriginalBudget], allFYsTable[Code], SummaryTable[[#This Row],[Code]], allFYsTable[year2], AQ$3))</f>
        <v>960</v>
      </c>
      <c r="AR20" s="61">
        <f>SummaryTable[[#This Row],[OriginalBudget23]]-SummaryTable[[#This Row],[OriginalBudget22]]</f>
        <v>53</v>
      </c>
      <c r="AS20" s="54">
        <f>SummaryTable[[#This Row],[BudgetIncreaseAmount23]]/SummaryTable[[#This Row],[OriginalBudget22]]</f>
        <v>5.8434399117971332E-2</v>
      </c>
      <c r="AT20" s="61">
        <f>IF(COUNTIFS(allFYsTable[Code], SummaryTable[[#This Row],[Code]], allFYsTable[year2], AQ$3)=0, NotFound, SUMIFS(allFYsTable[RevisedBudget], allFYsTable[Code], SummaryTable[[#This Row],[Code]], allFYsTable[year2], AQ$3))</f>
        <v>923</v>
      </c>
      <c r="AU20" s="61">
        <f>IF(COUNTIFS(allFYsTable[Code], SummaryTable[[#This Row],[Code]], allFYsTable[year2], AQ$3)=0, NotFound, SUMIFS(allFYsTable[Actual], allFYsTable[Code], SummaryTable[[#This Row],[Code]], allFYsTable[year2], AQ$3))</f>
        <v>923</v>
      </c>
      <c r="AV20" s="61">
        <f>IF(COUNTIFS(allFYsTable[Code], SummaryTable[[#This Row],[Code]], allFYsTable[year2], AQ$3)=0, NotFound, SUMIFS(allFYsTable[DiffAmount], allFYsTable[Code], SummaryTable[[#This Row],[Code]], allFYsTable[year2], AQ$3))</f>
        <v>-37</v>
      </c>
      <c r="AW20" s="63">
        <f>IF(SummaryTable[[#This Row],[OriginalBudget23]]=0, IF(SummaryTable[[#This Row],[DiffAmount23]]=0, ZeroBudgetNoSpending, ZeroBudgetWithSpending), SummaryTable[[#This Row],[DiffAmount23]]/SummaryTable[[#This Row],[OriginalBudget23]])</f>
        <v>-3.8541666666666669E-2</v>
      </c>
      <c r="AX20" s="62">
        <f>IF(COUNTIFS(allFYsTable[Code], SummaryTable[[#This Row],[Code]], allFYsTable[year2], AX$3)=0, NotFound, SUMIFS(allFYsTable[OriginalBudget], allFYsTable[Code], SummaryTable[[#This Row],[Code]], allFYsTable[year2], AX$3))</f>
        <v>907</v>
      </c>
      <c r="AY20" s="61">
        <f>SummaryTable[[#This Row],[OriginalBudget22]]-SummaryTable[[#This Row],[OriginalBudget21]]</f>
        <v>94</v>
      </c>
      <c r="AZ20" s="54">
        <f>SummaryTable[[#This Row],[BudgetIncreaseAmount22]]/SummaryTable[[#This Row],[OriginalBudget21]]</f>
        <v>0.11562115621156212</v>
      </c>
      <c r="BA20" s="61">
        <f>IF(COUNTIFS(allFYsTable[Code], SummaryTable[[#This Row],[Code]], allFYsTable[year2], AX$3)=0, NotFound, SUMIFS(allFYsTable[RevisedBudget], allFYsTable[Code], SummaryTable[[#This Row],[Code]], allFYsTable[year2], AX$3))</f>
        <v>897</v>
      </c>
      <c r="BB20" s="61">
        <f>IF(COUNTIFS(allFYsTable[Code], SummaryTable[[#This Row],[Code]], allFYsTable[year2], AX$3)=0, NotFound, SUMIFS(allFYsTable[Actual], allFYsTable[Code], SummaryTable[[#This Row],[Code]], allFYsTable[year2], AX$3))</f>
        <v>848</v>
      </c>
      <c r="BC20" s="61">
        <f>IF(COUNTIFS(allFYsTable[Code], SummaryTable[[#This Row],[Code]], allFYsTable[year2], AX$3)=0, NotFound, SUMIFS(allFYsTable[DiffAmount], allFYsTable[Code], SummaryTable[[#This Row],[Code]], allFYsTable[year2], AX$3))</f>
        <v>-59</v>
      </c>
      <c r="BD20" s="63">
        <f>IF(SummaryTable[[#This Row],[OriginalBudget22]]=0, IF(SummaryTable[[#This Row],[DiffAmount22]]=0, ZeroBudgetNoSpending, ZeroBudgetWithSpending), SummaryTable[[#This Row],[DiffAmount22]]/SummaryTable[[#This Row],[OriginalBudget22]])</f>
        <v>-6.5049614112458659E-2</v>
      </c>
      <c r="BE20" s="62">
        <f>IF(COUNTIFS(allFYsTable[Code], SummaryTable[[#This Row],[Code]], allFYsTable[year2], BE$3)=0, NotFound, SUMIFS(allFYsTable[OriginalBudget], allFYsTable[Code], SummaryTable[[#This Row],[Code]], allFYsTable[year2], BE$3))</f>
        <v>813</v>
      </c>
      <c r="BF20" s="61">
        <f>SummaryTable[[#This Row],[OriginalBudget21]]-SummaryTable[[#This Row],[OriginalBudget20]]</f>
        <v>90</v>
      </c>
      <c r="BG20" s="54">
        <f>SummaryTable[[#This Row],[BudgetIncreaseAmount21]]/SummaryTable[[#This Row],[OriginalBudget20]]</f>
        <v>0.12448132780082988</v>
      </c>
      <c r="BH20" s="61">
        <f>IF(COUNTIFS(allFYsTable[Code], SummaryTable[[#This Row],[Code]], allFYsTable[year2], BE$3)=0, NotFound, SUMIFS(allFYsTable[RevisedBudget], allFYsTable[Code], SummaryTable[[#This Row],[Code]], allFYsTable[year2], BE$3))</f>
        <v>809</v>
      </c>
      <c r="BI20" s="61">
        <f>IF(COUNTIFS(allFYsTable[Code], SummaryTable[[#This Row],[Code]], allFYsTable[year2], BE$3)=0, NotFound, SUMIFS(allFYsTable[Actual], allFYsTable[Code], SummaryTable[[#This Row],[Code]], allFYsTable[year2], BE$3))</f>
        <v>729</v>
      </c>
      <c r="BJ20" s="61">
        <f>IF(COUNTIFS(allFYsTable[Code], SummaryTable[[#This Row],[Code]], allFYsTable[year2], BE$3)=0, NotFound, SUMIFS(allFYsTable[DiffAmount], allFYsTable[Code], SummaryTable[[#This Row],[Code]], allFYsTable[year2], BE$3))</f>
        <v>-84</v>
      </c>
      <c r="BK20" s="63">
        <f>IF(SummaryTable[[#This Row],[OriginalBudget21]]=0, IF(SummaryTable[[#This Row],[DiffAmount21]]=0, ZeroBudgetNoSpending, ZeroBudgetWithSpending), SummaryTable[[#This Row],[DiffAmount21]]/SummaryTable[[#This Row],[OriginalBudget21]])</f>
        <v>-0.10332103321033211</v>
      </c>
      <c r="BL20" s="62">
        <f>IF(COUNTIFS(allFYsTable[Code], SummaryTable[[#This Row],[Code]], allFYsTable[year2], BL$3)=0, NotFound, SUMIFS(allFYsTable[OriginalBudget], allFYsTable[Code], SummaryTable[[#This Row],[Code]], allFYsTable[year2], BL$3))</f>
        <v>723</v>
      </c>
      <c r="BM20" s="61">
        <f>SummaryTable[[#This Row],[OriginalBudget20]]-SummaryTable[[#This Row],[OriginalBudget19]]</f>
        <v>-1</v>
      </c>
      <c r="BN20" s="54">
        <f>SummaryTable[[#This Row],[BudgetIncreaseAmount20]]/SummaryTable[[#This Row],[OriginalBudget19]]</f>
        <v>-1.3812154696132596E-3</v>
      </c>
      <c r="BO20" s="61">
        <f>IF(COUNTIFS(allFYsTable[Code], SummaryTable[[#This Row],[Code]], allFYsTable[year2], BL$3)=0, NotFound, SUMIFS(allFYsTable[RevisedBudget], allFYsTable[Code], SummaryTable[[#This Row],[Code]], allFYsTable[year2], BL$3))</f>
        <v>640</v>
      </c>
      <c r="BP20" s="61">
        <f>IF(COUNTIFS(allFYsTable[Code], SummaryTable[[#This Row],[Code]], allFYsTable[year2], BL$3)=0, NotFound, SUMIFS(allFYsTable[Actual], allFYsTable[Code], SummaryTable[[#This Row],[Code]], allFYsTable[year2], BL$3))</f>
        <v>638</v>
      </c>
      <c r="BQ20" s="61">
        <f>IF(COUNTIFS(allFYsTable[Code], SummaryTable[[#This Row],[Code]], allFYsTable[year2], BL$3)=0, NotFound, SUMIFS(allFYsTable[DiffAmount], allFYsTable[Code], SummaryTable[[#This Row],[Code]], allFYsTable[year2], BL$3))</f>
        <v>-85</v>
      </c>
      <c r="BR20" s="63">
        <f>IF(SummaryTable[[#This Row],[OriginalBudget20]]=0, IF(SummaryTable[[#This Row],[DiffAmount20]]=0, ZeroBudgetNoSpending, ZeroBudgetWithSpending), SummaryTable[[#This Row],[DiffAmount20]]/SummaryTable[[#This Row],[OriginalBudget20]])</f>
        <v>-0.11756569847856155</v>
      </c>
      <c r="BS20" s="62">
        <f>IF(COUNTIFS(allFYsTable[Code], SummaryTable[[#This Row],[Code]], allFYsTable[year2], BS$3)=0, NotFound, SUMIFS(allFYsTable[OriginalBudget], allFYsTable[Code], SummaryTable[[#This Row],[Code]], allFYsTable[year2], BS$3))</f>
        <v>724</v>
      </c>
      <c r="BT20" s="61">
        <f>SummaryTable[[#This Row],[OriginalBudget19]]-SummaryTable[[#This Row],[OriginalBudget18]]</f>
        <v>23</v>
      </c>
      <c r="BU20" s="54">
        <f>SummaryTable[[#This Row],[BudgetIncreaseAmount19]]/SummaryTable[[#This Row],[OriginalBudget18]]</f>
        <v>3.2810271041369472E-2</v>
      </c>
      <c r="BV20" s="61">
        <f>IF(COUNTIFS(allFYsTable[Code], SummaryTable[[#This Row],[Code]], allFYsTable[year2], BS$3)=0, NotFound, SUMIFS(allFYsTable[RevisedBudget], allFYsTable[Code], SummaryTable[[#This Row],[Code]], allFYsTable[year2], BS$3))</f>
        <v>702</v>
      </c>
      <c r="BW20" s="61">
        <f>IF(COUNTIFS(allFYsTable[Code], SummaryTable[[#This Row],[Code]], allFYsTable[year2], BS$3)=0, NotFound, SUMIFS(allFYsTable[Actual], allFYsTable[Code], SummaryTable[[#This Row],[Code]], allFYsTable[year2], BS$3))</f>
        <v>687</v>
      </c>
      <c r="BX20" s="61">
        <f>IF(COUNTIFS(allFYsTable[Code], SummaryTable[[#This Row],[Code]], allFYsTable[year2], BS$3)=0, NotFound, SUMIFS(allFYsTable[DiffAmount], allFYsTable[Code], SummaryTable[[#This Row],[Code]], allFYsTable[year2], BS$3))</f>
        <v>-37</v>
      </c>
      <c r="BY20" s="63">
        <f>IF(SummaryTable[[#This Row],[OriginalBudget19]]=0, IF(SummaryTable[[#This Row],[DiffAmount19]]=0, ZeroBudgetNoSpending, ZeroBudgetWithSpending), SummaryTable[[#This Row],[DiffAmount19]]/SummaryTable[[#This Row],[OriginalBudget19]])</f>
        <v>-5.1104972375690609E-2</v>
      </c>
      <c r="BZ20" s="62">
        <f>IF(COUNTIFS(allFYsTable[Code], SummaryTable[[#This Row],[Code]], allFYsTable[year2], BZ$3)=0, NotFound, SUMIFS(allFYsTable[OriginalBudget], allFYsTable[Code], SummaryTable[[#This Row],[Code]], allFYsTable[year2], BZ$3))</f>
        <v>701</v>
      </c>
      <c r="CA20" s="61">
        <f>SummaryTable[[#This Row],[OriginalBudget18]]-SummaryTable[[#This Row],[OriginalBudget17]]</f>
        <v>0</v>
      </c>
      <c r="CB20" s="54">
        <f>SummaryTable[[#This Row],[BudgetIncreaseAmount18]]/SummaryTable[[#This Row],[OriginalBudget17]]</f>
        <v>0</v>
      </c>
      <c r="CC20" s="61">
        <f>IF(COUNTIFS(allFYsTable[Code], SummaryTable[[#This Row],[Code]], allFYsTable[year2], BZ$3)=0, NotFound, SUMIFS(allFYsTable[RevisedBudget], allFYsTable[Code], SummaryTable[[#This Row],[Code]], allFYsTable[year2], BZ$3))</f>
        <v>701</v>
      </c>
      <c r="CD20" s="61">
        <f>IF(COUNTIFS(allFYsTable[Code], SummaryTable[[#This Row],[Code]], allFYsTable[year2], BZ$3)=0, NotFound, SUMIFS(allFYsTable[Actual], allFYsTable[Code], SummaryTable[[#This Row],[Code]], allFYsTable[year2], BZ$3))</f>
        <v>646</v>
      </c>
      <c r="CE20" s="61">
        <f>IF(COUNTIFS(allFYsTable[Code], SummaryTable[[#This Row],[Code]], allFYsTable[year2], BZ$3)=0, NotFound, SUMIFS(allFYsTable[DiffAmount], allFYsTable[Code], SummaryTable[[#This Row],[Code]], allFYsTable[year2], BZ$3))</f>
        <v>-55</v>
      </c>
      <c r="CF20" s="63">
        <f>IF(SummaryTable[[#This Row],[OriginalBudget18]]=0, IF(SummaryTable[[#This Row],[DiffAmount18]]=0, ZeroBudgetNoSpending, ZeroBudgetWithSpending), SummaryTable[[#This Row],[DiffAmount18]]/SummaryTable[[#This Row],[OriginalBudget18]])</f>
        <v>-7.8459343794579167E-2</v>
      </c>
      <c r="CG20" s="62">
        <f>IF(COUNTIFS(allFYsTable[Code], SummaryTable[[#This Row],[Code]], allFYsTable[year2], CG$3)=0, NotFound, SUMIFS(allFYsTable[OriginalBudget], allFYsTable[Code], SummaryTable[[#This Row],[Code]], allFYsTable[year2], CG$3))</f>
        <v>701</v>
      </c>
      <c r="CH20" s="61" t="e">
        <f>SummaryTable[[#This Row],[OriginalBudget17]]-SummaryTable[[#This Row],[OriginalBudget16]]</f>
        <v>#N/A</v>
      </c>
      <c r="CI20" s="54" t="e">
        <f>SummaryTable[[#This Row],[BudgetIncreaseAmount17]]/SummaryTable[[#This Row],[OriginalBudget16]]</f>
        <v>#N/A</v>
      </c>
      <c r="CJ20" s="61">
        <f>IF(COUNTIFS(allFYsTable[Code], SummaryTable[[#This Row],[Code]], allFYsTable[year2], CG$3)=0, NotFound, SUMIFS(allFYsTable[RevisedBudget], allFYsTable[Code], SummaryTable[[#This Row],[Code]], allFYsTable[year2], CG$3))</f>
        <v>701</v>
      </c>
      <c r="CK20" s="61">
        <f>IF(COUNTIFS(allFYsTable[Code], SummaryTable[[#This Row],[Code]], allFYsTable[year2], CG$3)=0, NotFound, SUMIFS(allFYsTable[Actual], allFYsTable[Code], SummaryTable[[#This Row],[Code]], allFYsTable[year2], CG$3))</f>
        <v>659</v>
      </c>
      <c r="CL20" s="61">
        <f>IF(COUNTIFS(allFYsTable[Code], SummaryTable[[#This Row],[Code]], allFYsTable[year2], CG$3)=0, NotFound, SUMIFS(allFYsTable[DiffAmount], allFYsTable[Code], SummaryTable[[#This Row],[Code]], allFYsTable[year2], CG$3))</f>
        <v>-42</v>
      </c>
      <c r="CM20" s="63">
        <f>IF(SummaryTable[[#This Row],[OriginalBudget17]]=0, IF(SummaryTable[[#This Row],[DiffAmount17]]=0, ZeroBudgetNoSpending, ZeroBudgetWithSpending), SummaryTable[[#This Row],[DiffAmount17]]/SummaryTable[[#This Row],[OriginalBudget17]])</f>
        <v>-5.9914407988587728E-2</v>
      </c>
      <c r="CN20" s="62" t="e">
        <f>IF(COUNTIFS(allFYsTable[Code], SummaryTable[[#This Row],[Code]], allFYsTable[year2], CN$3)=0, NotFound, SUMIFS(allFYsTable[OriginalBudget], allFYsTable[Code], SummaryTable[[#This Row],[Code]], allFYsTable[year2], CN$3))</f>
        <v>#N/A</v>
      </c>
      <c r="CO20" s="61" t="e">
        <f>SummaryTable[[#This Row],[OriginalBudget16]]-SummaryTable[[#This Row],[OriginalBudget15]]</f>
        <v>#N/A</v>
      </c>
      <c r="CP20" s="54" t="e">
        <f>SummaryTable[[#This Row],[BudgetIncreaseAmount16]]/SummaryTable[[#This Row],[OriginalBudget15]]</f>
        <v>#N/A</v>
      </c>
      <c r="CQ20" s="61" t="e">
        <f>IF(COUNTIFS(allFYsTable[Code], SummaryTable[[#This Row],[Code]], allFYsTable[year2], CN$3)=0, NotFound, SUMIFS(allFYsTable[RevisedBudget], allFYsTable[Code], SummaryTable[[#This Row],[Code]], allFYsTable[year2], CN$3))</f>
        <v>#N/A</v>
      </c>
      <c r="CR20" s="61" t="e">
        <f>IF(COUNTIFS(allFYsTable[Code], SummaryTable[[#This Row],[Code]], allFYsTable[year2], CN$3)=0, NotFound, SUMIFS(allFYsTable[Actual], allFYsTable[Code], SummaryTable[[#This Row],[Code]], allFYsTable[year2], CN$3))</f>
        <v>#N/A</v>
      </c>
      <c r="CS20" s="61" t="e">
        <f>IF(COUNTIFS(allFYsTable[Code], SummaryTable[[#This Row],[Code]], allFYsTable[year2], CN$3)=0, NotFound, SUMIFS(allFYsTable[DiffAmount], allFYsTable[Code], SummaryTable[[#This Row],[Code]], allFYsTable[year2], CN$3))</f>
        <v>#N/A</v>
      </c>
      <c r="CT20" s="63" t="e">
        <f>IF(SummaryTable[[#This Row],[OriginalBudget16]]=0, IF(SummaryTable[[#This Row],[DiffAmount16]]=0, ZeroBudgetNoSpending, ZeroBudgetWithSpending), SummaryTable[[#This Row],[DiffAmount16]]/SummaryTable[[#This Row],[OriginalBudget16]])</f>
        <v>#N/A</v>
      </c>
      <c r="CU20" s="62" t="e">
        <f>IF(COUNTIFS(allFYsTable[Code], SummaryTable[[#This Row],[Code]], allFYsTable[year2], CU$3)=0, NotFound, SUMIFS(allFYsTable[OriginalBudget], allFYsTable[Code], SummaryTable[[#This Row],[Code]], allFYsTable[year2], CU$3))</f>
        <v>#N/A</v>
      </c>
      <c r="CV20" s="61" t="e">
        <f>SummaryTable[[#This Row],[OriginalBudget15]]-SummaryTable[[#This Row],[OriginalBudget14]]</f>
        <v>#N/A</v>
      </c>
      <c r="CW20" s="54" t="e">
        <f>SummaryTable[[#This Row],[BudgetIncreaseAmount15]]/SummaryTable[[#This Row],[OriginalBudget14]]</f>
        <v>#N/A</v>
      </c>
      <c r="CX20" s="61" t="e">
        <f>IF(COUNTIFS(allFYsTable[Code], SummaryTable[[#This Row],[Code]], allFYsTable[year2], CU$3)=0, NotFound, SUMIFS(allFYsTable[RevisedBudget], allFYsTable[Code], SummaryTable[[#This Row],[Code]], allFYsTable[year2], CU$3))</f>
        <v>#N/A</v>
      </c>
      <c r="CY20" s="61" t="e">
        <f>IF(COUNTIFS(allFYsTable[Code], SummaryTable[[#This Row],[Code]], allFYsTable[year2], CU$3)=0, NotFound, SUMIFS(allFYsTable[Actual], allFYsTable[Code], SummaryTable[[#This Row],[Code]], allFYsTable[year2], CU$3))</f>
        <v>#N/A</v>
      </c>
      <c r="CZ20" s="61" t="e">
        <f>IF(COUNTIFS(allFYsTable[Code], SummaryTable[[#This Row],[Code]], allFYsTable[year2], CU$3)=0, NotFound, SUMIFS(allFYsTable[DiffAmount], allFYsTable[Code], SummaryTable[[#This Row],[Code]], allFYsTable[year2], CU$3))</f>
        <v>#N/A</v>
      </c>
      <c r="DA20" s="63" t="e">
        <f>IF(SummaryTable[[#This Row],[OriginalBudget15]]=0, IF(SummaryTable[[#This Row],[DiffAmount15]]=0, ZeroBudgetNoSpending, ZeroBudgetWithSpending), SummaryTable[[#This Row],[DiffAmount15]]/SummaryTable[[#This Row],[OriginalBudget15]])</f>
        <v>#N/A</v>
      </c>
      <c r="DB20" s="62" t="e">
        <f>IF(COUNTIFS(allFYsTable[Code], SummaryTable[[#This Row],[Code]], allFYsTable[year2], DB$3)=0, NotFound, SUMIFS(allFYsTable[OriginalBudget], allFYsTable[Code], SummaryTable[[#This Row],[Code]], allFYsTable[year2], DB$3))</f>
        <v>#N/A</v>
      </c>
      <c r="DC20" s="61" t="e">
        <f>SummaryTable[[#This Row],[OriginalBudget14]]-SummaryTable[[#This Row],[OriginalBudget13]]</f>
        <v>#N/A</v>
      </c>
      <c r="DD20" s="54" t="e">
        <f>SummaryTable[[#This Row],[BudgetIncreaseAmount14]]/SummaryTable[[#This Row],[OriginalBudget13]]</f>
        <v>#N/A</v>
      </c>
      <c r="DE20" s="61" t="e">
        <f>IF(COUNTIFS(allFYsTable[Code], SummaryTable[[#This Row],[Code]], allFYsTable[year2], DB$3)=0, NotFound, SUMIFS(allFYsTable[RevisedBudget], allFYsTable[Code], SummaryTable[[#This Row],[Code]], allFYsTable[year2], DB$3))</f>
        <v>#N/A</v>
      </c>
      <c r="DF20" s="61" t="e">
        <f>IF(COUNTIFS(allFYsTable[Code], SummaryTable[[#This Row],[Code]], allFYsTable[year2], DB$3)=0, NotFound, SUMIFS(allFYsTable[Actual], allFYsTable[Code], SummaryTable[[#This Row],[Code]], allFYsTable[year2], DB$3))</f>
        <v>#N/A</v>
      </c>
      <c r="DG20" s="61" t="e">
        <f>IF(COUNTIFS(allFYsTable[Code], SummaryTable[[#This Row],[Code]], allFYsTable[year2], DB$3)=0, NotFound, SUMIFS(allFYsTable[DiffAmount], allFYsTable[Code], SummaryTable[[#This Row],[Code]], allFYsTable[year2], DB$3))</f>
        <v>#N/A</v>
      </c>
      <c r="DH20" s="63" t="e">
        <f>IF(SummaryTable[[#This Row],[OriginalBudget14]]=0, IF(SummaryTable[[#This Row],[DiffAmount14]]=0, ZeroBudgetNoSpending, ZeroBudgetWithSpending), SummaryTable[[#This Row],[DiffAmount14]]/SummaryTable[[#This Row],[OriginalBudget14]])</f>
        <v>#N/A</v>
      </c>
      <c r="DI20" s="62" t="e">
        <f>IF(COUNTIFS(allFYsTable[Code], SummaryTable[[#This Row],[Code]], allFYsTable[year2], DI$3)=0, NotFound, SUMIFS(allFYsTable[OriginalBudget], allFYsTable[Code], SummaryTable[[#This Row],[Code]], allFYsTable[year2], DI$3))</f>
        <v>#N/A</v>
      </c>
      <c r="DJ20" s="61" t="e">
        <f>SummaryTable[[#This Row],[OriginalBudget13]]-SummaryTable[[#This Row],[OriginalBudget12]]</f>
        <v>#N/A</v>
      </c>
      <c r="DK20" s="54" t="e">
        <f>SummaryTable[[#This Row],[BudgetIncreaseAmount13]]/SummaryTable[[#This Row],[OriginalBudget12]]</f>
        <v>#N/A</v>
      </c>
      <c r="DL20" s="61" t="e">
        <f>IF(COUNTIFS(allFYsTable[Code], SummaryTable[[#This Row],[Code]], allFYsTable[year2], DI$3)=0, NotFound, SUMIFS(allFYsTable[RevisedBudget], allFYsTable[Code], SummaryTable[[#This Row],[Code]], allFYsTable[year2], DI$3))</f>
        <v>#N/A</v>
      </c>
      <c r="DM20" s="61" t="e">
        <f>IF(COUNTIFS(allFYsTable[Code], SummaryTable[[#This Row],[Code]], allFYsTable[year2], DI$3)=0, NotFound, SUMIFS(allFYsTable[Actual], allFYsTable[Code], SummaryTable[[#This Row],[Code]], allFYsTable[year2], DI$3))</f>
        <v>#N/A</v>
      </c>
      <c r="DN20" s="61" t="e">
        <f>IF(COUNTIFS(allFYsTable[Code], SummaryTable[[#This Row],[Code]], allFYsTable[year2], DI$3)=0, NotFound, SUMIFS(allFYsTable[DiffAmount], allFYsTable[Code], SummaryTable[[#This Row],[Code]], allFYsTable[year2], DI$3))</f>
        <v>#N/A</v>
      </c>
      <c r="DO20" s="63" t="e">
        <f>IF(SummaryTable[[#This Row],[OriginalBudget13]]=0, IF(SummaryTable[[#This Row],[DiffAmount13]]=0, ZeroBudgetNoSpending, ZeroBudgetWithSpending), SummaryTable[[#This Row],[DiffAmount13]]/SummaryTable[[#This Row],[OriginalBudget13]])</f>
        <v>#N/A</v>
      </c>
      <c r="DP20" s="62" t="e">
        <f>IF(COUNTIFS(allFYsTable[Code], SummaryTable[[#This Row],[Code]], allFYsTable[year2], DP$3)=0, NotFound, SUMIFS(allFYsTable[OriginalBudget], allFYsTable[Code], SummaryTable[[#This Row],[Code]], allFYsTable[year2], DP$3))</f>
        <v>#N/A</v>
      </c>
      <c r="DQ20" s="61" t="e">
        <f>SummaryTable[[#This Row],[OriginalBudget12]]-SummaryTable[[#This Row],[OriginalBudget11]]</f>
        <v>#N/A</v>
      </c>
      <c r="DR20" s="54" t="e">
        <f>SummaryTable[[#This Row],[BudgetIncreaseAmount12]]/SummaryTable[[#This Row],[OriginalBudget11]]</f>
        <v>#N/A</v>
      </c>
      <c r="DS20" s="61" t="e">
        <f>IF(COUNTIFS(allFYsTable[Code], SummaryTable[[#This Row],[Code]], allFYsTable[year2], DP$3)=0, NotFound, SUMIFS(allFYsTable[RevisedBudget], allFYsTable[Code], SummaryTable[[#This Row],[Code]], allFYsTable[year2], DP$3))</f>
        <v>#N/A</v>
      </c>
      <c r="DT20" s="61" t="e">
        <f>IF(COUNTIFS(allFYsTable[Code], SummaryTable[[#This Row],[Code]], allFYsTable[year2], DP$3)=0, NotFound, SUMIFS(allFYsTable[Actual], allFYsTable[Code], SummaryTable[[#This Row],[Code]], allFYsTable[year2], DP$3))</f>
        <v>#N/A</v>
      </c>
      <c r="DU20" s="61" t="e">
        <f>IF(COUNTIFS(allFYsTable[Code], SummaryTable[[#This Row],[Code]], allFYsTable[year2], DP$3)=0, NotFound, SUMIFS(allFYsTable[DiffAmount], allFYsTable[Code], SummaryTable[[#This Row],[Code]], allFYsTable[year2], DP$3))</f>
        <v>#N/A</v>
      </c>
      <c r="DV20" s="63" t="e">
        <f>IF(SummaryTable[[#This Row],[OriginalBudget12]]=0, IF(SummaryTable[[#This Row],[DiffAmount12]]=0, ZeroBudgetNoSpending, ZeroBudgetWithSpending), SummaryTable[[#This Row],[DiffAmount12]]/SummaryTable[[#This Row],[OriginalBudget12]])</f>
        <v>#N/A</v>
      </c>
      <c r="DW20" s="62" t="e">
        <f>IF(COUNTIFS(allFYsTable[Code], SummaryTable[[#This Row],[Code]], allFYsTable[year2], DW$3)=0, NotFound, SUMIFS(allFYsTable[OriginalBudget], allFYsTable[Code], SummaryTable[[#This Row],[Code]], allFYsTable[year2], DW$3))</f>
        <v>#N/A</v>
      </c>
      <c r="DX20" s="61" t="e">
        <f>SummaryTable[[#This Row],[OriginalBudget11]]-SummaryTable[[#This Row],[OriginalBudget10]]</f>
        <v>#N/A</v>
      </c>
      <c r="DY20" s="54" t="e">
        <f>SummaryTable[[#This Row],[BudgetIncreaseAmount11]]/SummaryTable[[#This Row],[OriginalBudget10]]</f>
        <v>#N/A</v>
      </c>
      <c r="DZ20" s="61" t="e">
        <f>IF(COUNTIFS(allFYsTable[Code], SummaryTable[[#This Row],[Code]], allFYsTable[year2], DW$3)=0, NotFound, SUMIFS(allFYsTable[RevisedBudget], allFYsTable[Code], SummaryTable[[#This Row],[Code]], allFYsTable[year2], DW$3))</f>
        <v>#N/A</v>
      </c>
      <c r="EA20" s="61" t="e">
        <f>IF(COUNTIFS(allFYsTable[Code], SummaryTable[[#This Row],[Code]], allFYsTable[year2], DW$3)=0, NotFound, SUMIFS(allFYsTable[Actual], allFYsTable[Code], SummaryTable[[#This Row],[Code]], allFYsTable[year2], DW$3))</f>
        <v>#N/A</v>
      </c>
      <c r="EB20" s="61" t="e">
        <f>IF(COUNTIFS(allFYsTable[Code], SummaryTable[[#This Row],[Code]], allFYsTable[year2], DW$3)=0, NotFound, SUMIFS(allFYsTable[DiffAmount], allFYsTable[Code], SummaryTable[[#This Row],[Code]], allFYsTable[year2], DW$3))</f>
        <v>#N/A</v>
      </c>
      <c r="EC20" s="63" t="e">
        <f>IF(SummaryTable[[#This Row],[OriginalBudget11]]=0, IF(SummaryTable[[#This Row],[DiffAmount11]]=0, ZeroBudgetNoSpending, ZeroBudgetWithSpending), SummaryTable[[#This Row],[DiffAmount11]]/SummaryTable[[#This Row],[OriginalBudget11]])</f>
        <v>#N/A</v>
      </c>
      <c r="ED20" s="62" t="e">
        <f>IF(COUNTIFS(allFYsTable[Code], SummaryTable[[#This Row],[Code]], allFYsTable[year2], ED$3)=0, NotFound, SUMIFS(allFYsTable[OriginalBudget], allFYsTable[Code], SummaryTable[[#This Row],[Code]], allFYsTable[year2], ED$3))</f>
        <v>#N/A</v>
      </c>
      <c r="EE20" s="61" t="e">
        <f>SummaryTable[[#This Row],[OriginalBudget10]]-SummaryTable[[#This Row],[OriginalBudget09]]</f>
        <v>#N/A</v>
      </c>
      <c r="EF20" s="54" t="e">
        <f>SummaryTable[[#This Row],[BudgetIncreaseAmount10]]/SummaryTable[[#This Row],[OriginalBudget09]]</f>
        <v>#N/A</v>
      </c>
      <c r="EG20" s="61" t="e">
        <f>IF(COUNTIFS(allFYsTable[Code], SummaryTable[[#This Row],[Code]], allFYsTable[year2], ED$3)=0, NotFound, SUMIFS(allFYsTable[RevisedBudget], allFYsTable[Code], SummaryTable[[#This Row],[Code]], allFYsTable[year2], ED$3))</f>
        <v>#N/A</v>
      </c>
      <c r="EH20" s="61" t="e">
        <f>IF(COUNTIFS(allFYsTable[Code], SummaryTable[[#This Row],[Code]], allFYsTable[year2], ED$3)=0, NotFound, SUMIFS(allFYsTable[Actual], allFYsTable[Code], SummaryTable[[#This Row],[Code]], allFYsTable[year2], ED$3))</f>
        <v>#N/A</v>
      </c>
      <c r="EI20" s="61" t="e">
        <f>IF(COUNTIFS(allFYsTable[Code], SummaryTable[[#This Row],[Code]], allFYsTable[year2], ED$3)=0, NotFound, SUMIFS(allFYsTable[DiffAmount], allFYsTable[Code], SummaryTable[[#This Row],[Code]], allFYsTable[year2], ED$3))</f>
        <v>#N/A</v>
      </c>
      <c r="EJ20" s="63" t="e">
        <f>IF(SummaryTable[[#This Row],[OriginalBudget10]]=0, IF(SummaryTable[[#This Row],[DiffAmount10]]=0, ZeroBudgetNoSpending, ZeroBudgetWithSpending), SummaryTable[[#This Row],[DiffAmount10]]/SummaryTable[[#This Row],[OriginalBudget10]])</f>
        <v>#N/A</v>
      </c>
      <c r="EK20" s="62" t="e">
        <f>IF(COUNTIFS(allFYsTable[Code], SummaryTable[[#This Row],[Code]], allFYsTable[year2], EK$3)=0, NotFound, SUMIFS(allFYsTable[OriginalBudget], allFYsTable[Code], SummaryTable[[#This Row],[Code]], allFYsTable[year2], EK$3))</f>
        <v>#N/A</v>
      </c>
      <c r="EL20" s="61" t="e">
        <f>SummaryTable[[#This Row],[OriginalBudget09]]-SummaryTable[[#This Row],[OriginalBudget08]]</f>
        <v>#N/A</v>
      </c>
      <c r="EM20" s="54" t="e">
        <f>SummaryTable[[#This Row],[BudgetIncreaseAmount09]]/SummaryTable[[#This Row],[OriginalBudget08]]</f>
        <v>#N/A</v>
      </c>
      <c r="EN20" s="61" t="e">
        <f>IF(COUNTIFS(allFYsTable[Code], SummaryTable[[#This Row],[Code]], allFYsTable[year2], EK$3)=0, NotFound, SUMIFS(allFYsTable[RevisedBudget], allFYsTable[Code], SummaryTable[[#This Row],[Code]], allFYsTable[year2], EK$3))</f>
        <v>#N/A</v>
      </c>
      <c r="EO20" s="61" t="e">
        <f>IF(COUNTIFS(allFYsTable[Code], SummaryTable[[#This Row],[Code]], allFYsTable[year2], EK$3)=0, NotFound, SUMIFS(allFYsTable[Actual], allFYsTable[Code], SummaryTable[[#This Row],[Code]], allFYsTable[year2], EK$3))</f>
        <v>#N/A</v>
      </c>
      <c r="EP20" s="61" t="e">
        <f>IF(COUNTIFS(allFYsTable[Code], SummaryTable[[#This Row],[Code]], allFYsTable[year2], EK$3)=0, NotFound, SUMIFS(allFYsTable[DiffAmount], allFYsTable[Code], SummaryTable[[#This Row],[Code]], allFYsTable[year2], EK$3))</f>
        <v>#N/A</v>
      </c>
      <c r="EQ20" s="63" t="e">
        <f>IF(SummaryTable[[#This Row],[OriginalBudget09]]=0, IF(SummaryTable[[#This Row],[DiffAmount09]]=0, ZeroBudgetNoSpending, ZeroBudgetWithSpending), SummaryTable[[#This Row],[DiffAmount09]]/SummaryTable[[#This Row],[OriginalBudget09]])</f>
        <v>#N/A</v>
      </c>
      <c r="ER20" s="62" t="e">
        <f>IF(COUNTIFS(allFYsTable[Code], SummaryTable[[#This Row],[Code]], allFYsTable[year2], ER$3)=0, NotFound, SUMIFS(allFYsTable[OriginalBudget], allFYsTable[Code], SummaryTable[[#This Row],[Code]], allFYsTable[year2], ER$3))</f>
        <v>#N/A</v>
      </c>
      <c r="ES20" s="61" t="e">
        <f>SummaryTable[[#This Row],[OriginalBudget08]]-SummaryTable[[#This Row],[OriginalBudget07]]</f>
        <v>#N/A</v>
      </c>
      <c r="ET20" s="54" t="e">
        <f>SummaryTable[[#This Row],[BudgetIncreaseAmount08]]/SummaryTable[[#This Row],[OriginalBudget07]]</f>
        <v>#N/A</v>
      </c>
      <c r="EU20" s="61" t="e">
        <f>IF(COUNTIFS(allFYsTable[Code], SummaryTable[[#This Row],[Code]], allFYsTable[year2], ER$3)=0, NotFound, SUMIFS(allFYsTable[RevisedBudget], allFYsTable[Code], SummaryTable[[#This Row],[Code]], allFYsTable[year2], ER$3))</f>
        <v>#N/A</v>
      </c>
      <c r="EV20" s="61" t="e">
        <f>IF(COUNTIFS(allFYsTable[Code], SummaryTable[[#This Row],[Code]], allFYsTable[year2], ER$3)=0, NotFound, SUMIFS(allFYsTable[Actual], allFYsTable[Code], SummaryTable[[#This Row],[Code]], allFYsTable[year2], ER$3))</f>
        <v>#N/A</v>
      </c>
      <c r="EW20" s="61" t="e">
        <f>IF(COUNTIFS(allFYsTable[Code], SummaryTable[[#This Row],[Code]], allFYsTable[year2], ER$3)=0, NotFound, SUMIFS(allFYsTable[DiffAmount], allFYsTable[Code], SummaryTable[[#This Row],[Code]], allFYsTable[year2], ER$3))</f>
        <v>#N/A</v>
      </c>
      <c r="EX20" s="63" t="e">
        <f>IF(SummaryTable[[#This Row],[OriginalBudget08]]=0, IF(SummaryTable[[#This Row],[DiffAmount08]]=0, ZeroBudgetNoSpending, ZeroBudgetWithSpending), SummaryTable[[#This Row],[DiffAmount08]]/SummaryTable[[#This Row],[OriginalBudget08]])</f>
        <v>#N/A</v>
      </c>
      <c r="EY20" s="62" t="e">
        <f>IF(COUNTIFS(allFYsTable[Code], SummaryTable[[#This Row],[Code]], allFYsTable[year2], EY$3)=0, NotFound, SUMIFS(allFYsTable[OriginalBudget], allFYsTable[Code], SummaryTable[[#This Row],[Code]], allFYsTable[year2], EY$3))</f>
        <v>#N/A</v>
      </c>
      <c r="EZ20" s="61" t="e">
        <f>SummaryTable[[#This Row],[OriginalBudget07]]-SummaryTable[[#This Row],[OriginalBudget06]]</f>
        <v>#N/A</v>
      </c>
      <c r="FA20" s="54" t="e">
        <f>SummaryTable[[#This Row],[BudgetIncreaseAmount07]]/SummaryTable[[#This Row],[OriginalBudget06]]</f>
        <v>#N/A</v>
      </c>
      <c r="FB20" s="61" t="e">
        <f>IF(COUNTIFS(allFYsTable[Code], SummaryTable[[#This Row],[Code]], allFYsTable[year2], EY$3)=0, NotFound, SUMIFS(allFYsTable[RevisedBudget], allFYsTable[Code], SummaryTable[[#This Row],[Code]], allFYsTable[year2], EY$3))</f>
        <v>#N/A</v>
      </c>
      <c r="FC20" s="61" t="e">
        <f>IF(COUNTIFS(allFYsTable[Code], SummaryTable[[#This Row],[Code]], allFYsTable[year2], EY$3)=0, NotFound, SUMIFS(allFYsTable[Actual], allFYsTable[Code], SummaryTable[[#This Row],[Code]], allFYsTable[year2], EY$3))</f>
        <v>#N/A</v>
      </c>
      <c r="FD20" s="61" t="e">
        <f>IF(COUNTIFS(allFYsTable[Code], SummaryTable[[#This Row],[Code]], allFYsTable[year2], EY$3)=0, NotFound, SUMIFS(allFYsTable[DiffAmount], allFYsTable[Code], SummaryTable[[#This Row],[Code]], allFYsTable[year2], EY$3))</f>
        <v>#N/A</v>
      </c>
      <c r="FE20" s="63" t="e">
        <f>IF(SummaryTable[[#This Row],[OriginalBudget07]]=0, IF(SummaryTable[[#This Row],[DiffAmount07]]=0, ZeroBudgetNoSpending, ZeroBudgetWithSpending), SummaryTable[[#This Row],[DiffAmount07]]/SummaryTable[[#This Row],[OriginalBudget07]])</f>
        <v>#N/A</v>
      </c>
      <c r="FF20" s="62" t="e">
        <f>IF(COUNTIFS(allFYsTable[Code], SummaryTable[[#This Row],[Code]], allFYsTable[year2], FF$3)=0, NotFound, SUMIFS(allFYsTable[OriginalBudget], allFYsTable[Code], SummaryTable[[#This Row],[Code]], allFYsTable[year2], FF$3))</f>
        <v>#N/A</v>
      </c>
      <c r="FI20" s="61" t="e">
        <f>IF(COUNTIFS(allFYsTable[Code], SummaryTable[[#This Row],[Code]], allFYsTable[year2], FF$3)=0, NotFound, SUMIFS(allFYsTable[RevisedBudget], allFYsTable[Code], SummaryTable[[#This Row],[Code]], allFYsTable[year2], FF$3))</f>
        <v>#N/A</v>
      </c>
      <c r="FJ20" s="61" t="e">
        <f>IF(COUNTIFS(allFYsTable[Code], SummaryTable[[#This Row],[Code]], allFYsTable[year2], FF$3)=0, NotFound, SUMIFS(allFYsTable[Actual], allFYsTable[Code], SummaryTable[[#This Row],[Code]], allFYsTable[year2], FF$3))</f>
        <v>#N/A</v>
      </c>
      <c r="FK20" s="61" t="e">
        <f>IF(COUNTIFS(allFYsTable[Code], SummaryTable[[#This Row],[Code]], allFYsTable[year2], FF$3)=0, NotFound, SUMIFS(allFYsTable[DiffAmount], allFYsTable[Code], SummaryTable[[#This Row],[Code]], allFYsTable[year2], FF$3))</f>
        <v>#N/A</v>
      </c>
      <c r="FL20" s="63" t="e">
        <f>IF(SummaryTable[[#This Row],[OriginalBudget06]]=0, IF(SummaryTable[[#This Row],[DiffAmount06]]=0, ZeroBudgetNoSpending, ZeroBudgetWithSpending), SummaryTable[[#This Row],[DiffAmount06]]/SummaryTable[[#This Row],[OriginalBudget06]])</f>
        <v>#N/A</v>
      </c>
    </row>
    <row r="21" spans="1:168" x14ac:dyDescent="0.45">
      <c r="A21" t="s">
        <v>749</v>
      </c>
      <c r="B21">
        <f>_xlfn.MAXIFS(allFYsTable[year2], allFYsTable[Code], SummaryTable[[#This Row],[Code]])</f>
        <v>2025</v>
      </c>
      <c r="C21" t="str">
        <f>_xlfn.XLOOKUP(SummaryTable[[#This Row],[Code]], NameCodingTable[Code], NameCodingTable[Most Recent Category per allFYs])</f>
        <v>Public safety and justice</v>
      </c>
      <c r="D21" t="str">
        <f>_xlfn.XLOOKUP(SummaryTable[[#This Row],[Code]], NameCodingTable[Code], NameCodingTable[Unit Display Name])</f>
        <v>Criminal Justice Coordinating Council (CJCC)</v>
      </c>
      <c r="E21" t="str">
        <f>_xlfn.XLOOKUP(SummaryTable[[#This Row],[Code]], NameCodingTable[Code], NameCodingTable[Type])</f>
        <v>agency</v>
      </c>
      <c r="F2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2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21" s="54">
        <f>SummaryTable[[#This Row],['# Over]]/SummaryTable[[#This Row],[Count]]</f>
        <v>0.05</v>
      </c>
      <c r="I2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18</v>
      </c>
      <c r="J21" s="54">
        <f>SummaryTable[[#This Row],['# Under]]/SummaryTable[[#This Row],[Count]]</f>
        <v>0.9</v>
      </c>
      <c r="K2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21" s="54">
        <f>SummaryTable[[#This Row],['# Equal]]/SummaryTable[[#This Row],[Count]]</f>
        <v>0.05</v>
      </c>
      <c r="M21" s="61">
        <f>SUMIFS(allFYsTable[OriginalBudget],allFYsTable[Code],SummaryTable[[#This Row],[Code]])/SummaryTable[[#This Row],[Count]]</f>
        <v>983.6</v>
      </c>
      <c r="N21" s="61">
        <f>SUMIFS(allFYsTable[Actual],allFYsTable[Code],SummaryTable[[#This Row],[Code]])/SummaryTable[[#This Row],[Count]]</f>
        <v>833.6</v>
      </c>
      <c r="O21" s="61">
        <f>SummaryTable[[#This Row],[AvgActAmt]]-SummaryTable[[#This Row],[AvgBudAmt]]</f>
        <v>-150</v>
      </c>
      <c r="P21" s="54">
        <f>IF(SummaryTable[[#This Row],[AvgBudAmt]]=0, IF(SummaryTable[[#This Row],[AvgDiff'#]]=0, 0, NamedFields!$C$3), SummaryTable[[#This Row],[AvgDiff'#]]/SummaryTable[[#This Row],[AvgBudAmt]])</f>
        <v>-0.15250101667344448</v>
      </c>
      <c r="Q21" s="61">
        <f>IFERROR(SUMIFS(allFYsTable[OriginalBudget],allFYsTable[Code],SummaryTable[[#This Row],[Code]],allFYsTable[DiffAmount], "&gt;0")/SummaryTable[[#This Row],['# Over]], 0)</f>
        <v>384</v>
      </c>
      <c r="R21" s="61">
        <f>IFERROR(SUMIFS(allFYsTable[Actual],allFYsTable[Code],SummaryTable[[#This Row],[Code]],allFYsTable[DiffAmount], "&gt;0")/SummaryTable[[#This Row],['# Over]], 0)</f>
        <v>398</v>
      </c>
      <c r="S21" s="61">
        <f>SummaryTable[[#This Row],[OverAvgAct]]-SummaryTable[[#This Row],[OverAvgBud]]</f>
        <v>14</v>
      </c>
      <c r="T21" s="54">
        <f>IF(SummaryTable[[#This Row],[OverAvgBud]]=0, IF(SummaryTable[[#This Row],[OverAvgDiff'#]]=0, ZeroBudgetNoSpending, ZeroBudgetWithSpending), SummaryTable[[#This Row],[OverAvgDiff'#]]/SummaryTable[[#This Row],[OverAvgBud]])</f>
        <v>3.6458333333333336E-2</v>
      </c>
      <c r="U21" s="61">
        <f>IFERROR(SUMIFS(allFYsTable[OriginalBudget],allFYsTable[Code],SummaryTable[[#This Row],[Code]],allFYsTable[DiffAmount], "&lt;0")/SummaryTable[[#This Row],['# Under]], 0)</f>
        <v>1055</v>
      </c>
      <c r="V21" s="61">
        <f>IFERROR( SUMIFS(allFYsTable[Actual],allFYsTable[Code],SummaryTable[[#This Row],[Code]],allFYsTable[DiffAmount], "&lt;0")/SummaryTable[[#This Row],['# Under]], 0)</f>
        <v>887.55555555555554</v>
      </c>
      <c r="W21" s="61">
        <f>SummaryTable[[#This Row],[UnderAvgAct]]-SummaryTable[[#This Row],[UnderAvgBud]]</f>
        <v>-167.44444444444446</v>
      </c>
      <c r="X21" s="54">
        <f>IF(SummaryTable[[#This Row],[UnderAvgBud]]=0, IF(SummaryTable[[#This Row],[UnderAvgDiff'#]]=0, ZeroBudgetNoSpending, NamedFields!$C$3), SummaryTable[[#This Row],[UnderAvgDiff'#]]/SummaryTable[[#This Row],[UnderAvgBud]])</f>
        <v>-0.15871511321748291</v>
      </c>
      <c r="Y2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8</v>
      </c>
      <c r="Z2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21" s="54">
        <f>IF(SummaryTable[[#This Row],[IncreaseYears]]=0, ZeroBudgetNoSpending, SummaryTable[[#This Row],[OSinIncreaseYear'#]]/SummaryTable[[#This Row],[IncreaseYears]])</f>
        <v>0</v>
      </c>
      <c r="AB21" s="58" t="str">
        <f>SummaryTable[[#This Row],[Code]]</f>
        <v>FJ0</v>
      </c>
      <c r="AC21" s="62">
        <f>IF(COUNTIFS(allFYsTable[Code], SummaryTable[[#This Row],[Code]], allFYsTable[year2], AC$3)=0, NotFound, SUMIFS(allFYsTable[OriginalBudget], allFYsTable[Code], SummaryTable[[#This Row],[Code]], allFYsTable[year2], AC$3))</f>
        <v>2057</v>
      </c>
      <c r="AD21" s="61">
        <f>SummaryTable[[#This Row],[OriginalBudget25]]-SummaryTable[[#This Row],[OriginalBudget24]]</f>
        <v>-220</v>
      </c>
      <c r="AE21" s="54">
        <f>SummaryTable[[#This Row],[BudgetIncreaseAmount25]]/SummaryTable[[#This Row],[OriginalBudget24]]</f>
        <v>-9.6618357487922704E-2</v>
      </c>
      <c r="AF21" s="61">
        <f>IF(COUNTIFS(allFYsTable[Code], SummaryTable[[#This Row],[Code]], allFYsTable[year2], AC$3)=0, NotFound, SUMIFS(allFYsTable[RevisedBudget], allFYsTable[Code], SummaryTable[[#This Row],[Code]], allFYsTable[year2], AC$3))</f>
        <v>1817</v>
      </c>
      <c r="AG21" s="61">
        <f>IF(COUNTIFS(allFYsTable[Code], SummaryTable[[#This Row],[Code]], allFYsTable[year2], AC$3)=0, NotFound, SUMIFS(allFYsTable[Actual], allFYsTable[Code], SummaryTable[[#This Row],[Code]], allFYsTable[year2], AC$3))</f>
        <v>1614</v>
      </c>
      <c r="AH21" s="61">
        <f>IF(COUNTIFS(allFYsTable[Code], SummaryTable[[#This Row],[Code]], allFYsTable[year2], AC$3)=0, NotFound, SUMIFS(allFYsTable[DiffAmount], allFYsTable[Code], SummaryTable[[#This Row],[Code]], allFYsTable[year2], AC$3))</f>
        <v>-443</v>
      </c>
      <c r="AI21" s="63">
        <f>IF(SummaryTable[[#This Row],[OriginalBudget25]]=0, IF(SummaryTable[[#This Row],[DiffAmount25]]=0, ZeroBudgetNoSpending, ZeroBudgetWithSpending), SummaryTable[[#This Row],[DiffAmount25]]/SummaryTable[[#This Row],[OriginalBudget25]])</f>
        <v>-0.21536217792902285</v>
      </c>
      <c r="AJ21" s="62">
        <f>IF(COUNTIFS(allFYsTable[Code], SummaryTable[[#This Row],[Code]], allFYsTable[year2], AJ$3)=0, NotFound, SUMIFS(allFYsTable[OriginalBudget], allFYsTable[Code], SummaryTable[[#This Row],[Code]], allFYsTable[year2], AJ$3))</f>
        <v>2277</v>
      </c>
      <c r="AK21" s="61">
        <f>SummaryTable[[#This Row],[OriginalBudget24]]-SummaryTable[[#This Row],[OriginalBudget23]]</f>
        <v>97</v>
      </c>
      <c r="AL21" s="54">
        <f>SummaryTable[[#This Row],[BudgetIncreaseAmount24]]/SummaryTable[[#This Row],[OriginalBudget23]]</f>
        <v>4.44954128440367E-2</v>
      </c>
      <c r="AM21" s="61">
        <f>IF(COUNTIFS(allFYsTable[Code], SummaryTable[[#This Row],[Code]], allFYsTable[year2], AK$3)=0, NotFound, SUMIFS(allFYsTable[RevisedBudget], allFYsTable[Code], SummaryTable[[#This Row],[Code]], allFYsTable[year2], AJ$3))</f>
        <v>1931</v>
      </c>
      <c r="AN21" s="61">
        <f>IF(COUNTIFS(allFYsTable[Code], SummaryTable[[#This Row],[Code]], allFYsTable[year2], AJ$3)=0, NotFound, SUMIFS(allFYsTable[Actual], allFYsTable[Code], SummaryTable[[#This Row],[Code]], allFYsTable[year2], AJ$3))</f>
        <v>1688</v>
      </c>
      <c r="AO21" s="61">
        <f>IF(COUNTIFS(allFYsTable[Code], SummaryTable[[#This Row],[Code]], allFYsTable[year2], AJ$3)=0, NotFound, SUMIFS(allFYsTable[DiffAmount], allFYsTable[Code], SummaryTable[[#This Row],[Code]], allFYsTable[year2], AJ$3))</f>
        <v>-589</v>
      </c>
      <c r="AP21" s="63">
        <f>IF(SummaryTable[[#This Row],[OriginalBudget24]]=0, IF(SummaryTable[[#This Row],[DiffAmount24]]=0, ZeroBudgetNoSpending, ZeroBudgetWithSpending), SummaryTable[[#This Row],[DiffAmount24]]/SummaryTable[[#This Row],[OriginalBudget24]])</f>
        <v>-0.25867369345630215</v>
      </c>
      <c r="AQ21" s="62">
        <f>IF(COUNTIFS(allFYsTable[Code], SummaryTable[[#This Row],[Code]], allFYsTable[year2], AQ$3)=0, NotFound, SUMIFS(allFYsTable[OriginalBudget], allFYsTable[Code], SummaryTable[[#This Row],[Code]], allFYsTable[year2], AQ$3))</f>
        <v>2180</v>
      </c>
      <c r="AR21" s="61">
        <f>SummaryTable[[#This Row],[OriginalBudget23]]-SummaryTable[[#This Row],[OriginalBudget22]]</f>
        <v>644</v>
      </c>
      <c r="AS21" s="54">
        <f>SummaryTable[[#This Row],[BudgetIncreaseAmount23]]/SummaryTable[[#This Row],[OriginalBudget22]]</f>
        <v>0.41927083333333331</v>
      </c>
      <c r="AT21" s="61">
        <f>IF(COUNTIFS(allFYsTable[Code], SummaryTable[[#This Row],[Code]], allFYsTable[year2], AQ$3)=0, NotFound, SUMIFS(allFYsTable[RevisedBudget], allFYsTable[Code], SummaryTable[[#This Row],[Code]], allFYsTable[year2], AQ$3))</f>
        <v>1680</v>
      </c>
      <c r="AU21" s="61">
        <f>IF(COUNTIFS(allFYsTable[Code], SummaryTable[[#This Row],[Code]], allFYsTable[year2], AQ$3)=0, NotFound, SUMIFS(allFYsTable[Actual], allFYsTable[Code], SummaryTable[[#This Row],[Code]], allFYsTable[year2], AQ$3))</f>
        <v>1429</v>
      </c>
      <c r="AV21" s="61">
        <f>IF(COUNTIFS(allFYsTable[Code], SummaryTable[[#This Row],[Code]], allFYsTable[year2], AQ$3)=0, NotFound, SUMIFS(allFYsTable[DiffAmount], allFYsTable[Code], SummaryTable[[#This Row],[Code]], allFYsTable[year2], AQ$3))</f>
        <v>-751</v>
      </c>
      <c r="AW21" s="63">
        <f>IF(SummaryTable[[#This Row],[OriginalBudget23]]=0, IF(SummaryTable[[#This Row],[DiffAmount23]]=0, ZeroBudgetNoSpending, ZeroBudgetWithSpending), SummaryTable[[#This Row],[DiffAmount23]]/SummaryTable[[#This Row],[OriginalBudget23]])</f>
        <v>-0.34449541284403667</v>
      </c>
      <c r="AX21" s="62">
        <f>IF(COUNTIFS(allFYsTable[Code], SummaryTable[[#This Row],[Code]], allFYsTable[year2], AX$3)=0, NotFound, SUMIFS(allFYsTable[OriginalBudget], allFYsTable[Code], SummaryTable[[#This Row],[Code]], allFYsTable[year2], AX$3))</f>
        <v>1536</v>
      </c>
      <c r="AY21" s="61">
        <f>SummaryTable[[#This Row],[OriginalBudget22]]-SummaryTable[[#This Row],[OriginalBudget21]]</f>
        <v>-130</v>
      </c>
      <c r="AZ21" s="54">
        <f>SummaryTable[[#This Row],[BudgetIncreaseAmount22]]/SummaryTable[[#This Row],[OriginalBudget21]]</f>
        <v>-7.8031212484993992E-2</v>
      </c>
      <c r="BA21" s="61">
        <f>IF(COUNTIFS(allFYsTable[Code], SummaryTable[[#This Row],[Code]], allFYsTable[year2], AX$3)=0, NotFound, SUMIFS(allFYsTable[RevisedBudget], allFYsTable[Code], SummaryTable[[#This Row],[Code]], allFYsTable[year2], AX$3))</f>
        <v>1460</v>
      </c>
      <c r="BB21" s="61">
        <f>IF(COUNTIFS(allFYsTable[Code], SummaryTable[[#This Row],[Code]], allFYsTable[year2], AX$3)=0, NotFound, SUMIFS(allFYsTable[Actual], allFYsTable[Code], SummaryTable[[#This Row],[Code]], allFYsTable[year2], AX$3))</f>
        <v>1408</v>
      </c>
      <c r="BC21" s="61">
        <f>IF(COUNTIFS(allFYsTable[Code], SummaryTable[[#This Row],[Code]], allFYsTable[year2], AX$3)=0, NotFound, SUMIFS(allFYsTable[DiffAmount], allFYsTable[Code], SummaryTable[[#This Row],[Code]], allFYsTable[year2], AX$3))</f>
        <v>-128</v>
      </c>
      <c r="BD21" s="63">
        <f>IF(SummaryTable[[#This Row],[OriginalBudget22]]=0, IF(SummaryTable[[#This Row],[DiffAmount22]]=0, ZeroBudgetNoSpending, ZeroBudgetWithSpending), SummaryTable[[#This Row],[DiffAmount22]]/SummaryTable[[#This Row],[OriginalBudget22]])</f>
        <v>-8.3333333333333329E-2</v>
      </c>
      <c r="BE21" s="62">
        <f>IF(COUNTIFS(allFYsTable[Code], SummaryTable[[#This Row],[Code]], allFYsTable[year2], BE$3)=0, NotFound, SUMIFS(allFYsTable[OriginalBudget], allFYsTable[Code], SummaryTable[[#This Row],[Code]], allFYsTable[year2], BE$3))</f>
        <v>1666</v>
      </c>
      <c r="BF21" s="61">
        <f>SummaryTable[[#This Row],[OriginalBudget21]]-SummaryTable[[#This Row],[OriginalBudget20]]</f>
        <v>192</v>
      </c>
      <c r="BG21" s="54">
        <f>SummaryTable[[#This Row],[BudgetIncreaseAmount21]]/SummaryTable[[#This Row],[OriginalBudget20]]</f>
        <v>0.13025780189959293</v>
      </c>
      <c r="BH21" s="61">
        <f>IF(COUNTIFS(allFYsTable[Code], SummaryTable[[#This Row],[Code]], allFYsTable[year2], BE$3)=0, NotFound, SUMIFS(allFYsTable[RevisedBudget], allFYsTable[Code], SummaryTable[[#This Row],[Code]], allFYsTable[year2], BE$3))</f>
        <v>1466</v>
      </c>
      <c r="BI21" s="61">
        <f>IF(COUNTIFS(allFYsTable[Code], SummaryTable[[#This Row],[Code]], allFYsTable[year2], BE$3)=0, NotFound, SUMIFS(allFYsTable[Actual], allFYsTable[Code], SummaryTable[[#This Row],[Code]], allFYsTable[year2], BE$3))</f>
        <v>1439</v>
      </c>
      <c r="BJ21" s="61">
        <f>IF(COUNTIFS(allFYsTable[Code], SummaryTable[[#This Row],[Code]], allFYsTable[year2], BE$3)=0, NotFound, SUMIFS(allFYsTable[DiffAmount], allFYsTable[Code], SummaryTable[[#This Row],[Code]], allFYsTable[year2], BE$3))</f>
        <v>-227</v>
      </c>
      <c r="BK21" s="63">
        <f>IF(SummaryTable[[#This Row],[OriginalBudget21]]=0, IF(SummaryTable[[#This Row],[DiffAmount21]]=0, ZeroBudgetNoSpending, ZeroBudgetWithSpending), SummaryTable[[#This Row],[DiffAmount21]]/SummaryTable[[#This Row],[OriginalBudget21]])</f>
        <v>-0.1362545018007203</v>
      </c>
      <c r="BL21" s="62">
        <f>IF(COUNTIFS(allFYsTable[Code], SummaryTable[[#This Row],[Code]], allFYsTable[year2], BL$3)=0, NotFound, SUMIFS(allFYsTable[OriginalBudget], allFYsTable[Code], SummaryTable[[#This Row],[Code]], allFYsTable[year2], BL$3))</f>
        <v>1474</v>
      </c>
      <c r="BM21" s="61">
        <f>SummaryTable[[#This Row],[OriginalBudget20]]-SummaryTable[[#This Row],[OriginalBudget19]]</f>
        <v>-181</v>
      </c>
      <c r="BN21" s="54">
        <f>SummaryTable[[#This Row],[BudgetIncreaseAmount20]]/SummaryTable[[#This Row],[OriginalBudget19]]</f>
        <v>-0.10936555891238671</v>
      </c>
      <c r="BO21" s="61">
        <f>IF(COUNTIFS(allFYsTable[Code], SummaryTable[[#This Row],[Code]], allFYsTable[year2], BL$3)=0, NotFound, SUMIFS(allFYsTable[RevisedBudget], allFYsTable[Code], SummaryTable[[#This Row],[Code]], allFYsTable[year2], BL$3))</f>
        <v>1242</v>
      </c>
      <c r="BP21" s="61">
        <f>IF(COUNTIFS(allFYsTable[Code], SummaryTable[[#This Row],[Code]], allFYsTable[year2], BL$3)=0, NotFound, SUMIFS(allFYsTable[Actual], allFYsTable[Code], SummaryTable[[#This Row],[Code]], allFYsTable[year2], BL$3))</f>
        <v>1242</v>
      </c>
      <c r="BQ21" s="61">
        <f>IF(COUNTIFS(allFYsTable[Code], SummaryTable[[#This Row],[Code]], allFYsTable[year2], BL$3)=0, NotFound, SUMIFS(allFYsTable[DiffAmount], allFYsTable[Code], SummaryTable[[#This Row],[Code]], allFYsTable[year2], BL$3))</f>
        <v>-232</v>
      </c>
      <c r="BR21" s="63">
        <f>IF(SummaryTable[[#This Row],[OriginalBudget20]]=0, IF(SummaryTable[[#This Row],[DiffAmount20]]=0, ZeroBudgetNoSpending, ZeroBudgetWithSpending), SummaryTable[[#This Row],[DiffAmount20]]/SummaryTable[[#This Row],[OriginalBudget20]])</f>
        <v>-0.15739484396200815</v>
      </c>
      <c r="BS21" s="62">
        <f>IF(COUNTIFS(allFYsTable[Code], SummaryTable[[#This Row],[Code]], allFYsTable[year2], BS$3)=0, NotFound, SUMIFS(allFYsTable[OriginalBudget], allFYsTable[Code], SummaryTable[[#This Row],[Code]], allFYsTable[year2], BS$3))</f>
        <v>1655</v>
      </c>
      <c r="BT21" s="61">
        <f>SummaryTable[[#This Row],[OriginalBudget19]]-SummaryTable[[#This Row],[OriginalBudget18]]</f>
        <v>417</v>
      </c>
      <c r="BU21" s="54">
        <f>SummaryTable[[#This Row],[BudgetIncreaseAmount19]]/SummaryTable[[#This Row],[OriginalBudget18]]</f>
        <v>0.33683360258481421</v>
      </c>
      <c r="BV21" s="61">
        <f>IF(COUNTIFS(allFYsTable[Code], SummaryTable[[#This Row],[Code]], allFYsTable[year2], BS$3)=0, NotFound, SUMIFS(allFYsTable[RevisedBudget], allFYsTable[Code], SummaryTable[[#This Row],[Code]], allFYsTable[year2], BS$3))</f>
        <v>1615</v>
      </c>
      <c r="BW21" s="61">
        <f>IF(COUNTIFS(allFYsTable[Code], SummaryTable[[#This Row],[Code]], allFYsTable[year2], BS$3)=0, NotFound, SUMIFS(allFYsTable[Actual], allFYsTable[Code], SummaryTable[[#This Row],[Code]], allFYsTable[year2], BS$3))</f>
        <v>1573</v>
      </c>
      <c r="BX21" s="61">
        <f>IF(COUNTIFS(allFYsTable[Code], SummaryTable[[#This Row],[Code]], allFYsTable[year2], BS$3)=0, NotFound, SUMIFS(allFYsTable[DiffAmount], allFYsTable[Code], SummaryTable[[#This Row],[Code]], allFYsTable[year2], BS$3))</f>
        <v>-82</v>
      </c>
      <c r="BY21" s="63">
        <f>IF(SummaryTable[[#This Row],[OriginalBudget19]]=0, IF(SummaryTable[[#This Row],[DiffAmount19]]=0, ZeroBudgetNoSpending, ZeroBudgetWithSpending), SummaryTable[[#This Row],[DiffAmount19]]/SummaryTable[[#This Row],[OriginalBudget19]])</f>
        <v>-4.9546827794561932E-2</v>
      </c>
      <c r="BZ21" s="62">
        <f>IF(COUNTIFS(allFYsTable[Code], SummaryTable[[#This Row],[Code]], allFYsTable[year2], BZ$3)=0, NotFound, SUMIFS(allFYsTable[OriginalBudget], allFYsTable[Code], SummaryTable[[#This Row],[Code]], allFYsTable[year2], BZ$3))</f>
        <v>1238</v>
      </c>
      <c r="CA21" s="61">
        <f>SummaryTable[[#This Row],[OriginalBudget18]]-SummaryTable[[#This Row],[OriginalBudget17]]</f>
        <v>608</v>
      </c>
      <c r="CB21" s="54">
        <f>SummaryTable[[#This Row],[BudgetIncreaseAmount18]]/SummaryTable[[#This Row],[OriginalBudget17]]</f>
        <v>0.96507936507936509</v>
      </c>
      <c r="CC21" s="61">
        <f>IF(COUNTIFS(allFYsTable[Code], SummaryTable[[#This Row],[Code]], allFYsTable[year2], BZ$3)=0, NotFound, SUMIFS(allFYsTable[RevisedBudget], allFYsTable[Code], SummaryTable[[#This Row],[Code]], allFYsTable[year2], BZ$3))</f>
        <v>1250</v>
      </c>
      <c r="CD21" s="61">
        <f>IF(COUNTIFS(allFYsTable[Code], SummaryTable[[#This Row],[Code]], allFYsTable[year2], BZ$3)=0, NotFound, SUMIFS(allFYsTable[Actual], allFYsTable[Code], SummaryTable[[#This Row],[Code]], allFYsTable[year2], BZ$3))</f>
        <v>1217</v>
      </c>
      <c r="CE21" s="61">
        <f>IF(COUNTIFS(allFYsTable[Code], SummaryTable[[#This Row],[Code]], allFYsTable[year2], BZ$3)=0, NotFound, SUMIFS(allFYsTable[DiffAmount], allFYsTable[Code], SummaryTable[[#This Row],[Code]], allFYsTable[year2], BZ$3))</f>
        <v>-21</v>
      </c>
      <c r="CF21" s="63">
        <f>IF(SummaryTable[[#This Row],[OriginalBudget18]]=0, IF(SummaryTable[[#This Row],[DiffAmount18]]=0, ZeroBudgetNoSpending, ZeroBudgetWithSpending), SummaryTable[[#This Row],[DiffAmount18]]/SummaryTable[[#This Row],[OriginalBudget18]])</f>
        <v>-1.6962843295638127E-2</v>
      </c>
      <c r="CG21" s="62">
        <f>IF(COUNTIFS(allFYsTable[Code], SummaryTable[[#This Row],[Code]], allFYsTable[year2], CG$3)=0, NotFound, SUMIFS(allFYsTable[OriginalBudget], allFYsTable[Code], SummaryTable[[#This Row],[Code]], allFYsTable[year2], CG$3))</f>
        <v>630</v>
      </c>
      <c r="CH21" s="61">
        <f>SummaryTable[[#This Row],[OriginalBudget17]]-SummaryTable[[#This Row],[OriginalBudget16]]</f>
        <v>-537</v>
      </c>
      <c r="CI21" s="54">
        <f>SummaryTable[[#This Row],[BudgetIncreaseAmount17]]/SummaryTable[[#This Row],[OriginalBudget16]]</f>
        <v>-0.46015424164524421</v>
      </c>
      <c r="CJ21" s="61">
        <f>IF(COUNTIFS(allFYsTable[Code], SummaryTable[[#This Row],[Code]], allFYsTable[year2], CG$3)=0, NotFound, SUMIFS(allFYsTable[RevisedBudget], allFYsTable[Code], SummaryTable[[#This Row],[Code]], allFYsTable[year2], CG$3))</f>
        <v>630</v>
      </c>
      <c r="CK21" s="61">
        <f>IF(COUNTIFS(allFYsTable[Code], SummaryTable[[#This Row],[Code]], allFYsTable[year2], CG$3)=0, NotFound, SUMIFS(allFYsTable[Actual], allFYsTable[Code], SummaryTable[[#This Row],[Code]], allFYsTable[year2], CG$3))</f>
        <v>558</v>
      </c>
      <c r="CL21" s="61">
        <f>IF(COUNTIFS(allFYsTable[Code], SummaryTable[[#This Row],[Code]], allFYsTable[year2], CG$3)=0, NotFound, SUMIFS(allFYsTable[DiffAmount], allFYsTable[Code], SummaryTable[[#This Row],[Code]], allFYsTable[year2], CG$3))</f>
        <v>-72</v>
      </c>
      <c r="CM21" s="63">
        <f>IF(SummaryTable[[#This Row],[OriginalBudget17]]=0, IF(SummaryTable[[#This Row],[DiffAmount17]]=0, ZeroBudgetNoSpending, ZeroBudgetWithSpending), SummaryTable[[#This Row],[DiffAmount17]]/SummaryTable[[#This Row],[OriginalBudget17]])</f>
        <v>-0.11428571428571428</v>
      </c>
      <c r="CN21" s="62">
        <f>IF(COUNTIFS(allFYsTable[Code], SummaryTable[[#This Row],[Code]], allFYsTable[year2], CN$3)=0, NotFound, SUMIFS(allFYsTable[OriginalBudget], allFYsTable[Code], SummaryTable[[#This Row],[Code]], allFYsTable[year2], CN$3))</f>
        <v>1167</v>
      </c>
      <c r="CO21" s="61">
        <f>SummaryTable[[#This Row],[OriginalBudget16]]-SummaryTable[[#This Row],[OriginalBudget15]]</f>
        <v>641</v>
      </c>
      <c r="CP21" s="54">
        <f>SummaryTable[[#This Row],[BudgetIncreaseAmount16]]/SummaryTable[[#This Row],[OriginalBudget15]]</f>
        <v>1.2186311787072244</v>
      </c>
      <c r="CQ21" s="61">
        <f>IF(COUNTIFS(allFYsTable[Code], SummaryTable[[#This Row],[Code]], allFYsTable[year2], CN$3)=0, NotFound, SUMIFS(allFYsTable[RevisedBudget], allFYsTable[Code], SummaryTable[[#This Row],[Code]], allFYsTable[year2], CN$3))</f>
        <v>1092</v>
      </c>
      <c r="CR21" s="61">
        <f>IF(COUNTIFS(allFYsTable[Code], SummaryTable[[#This Row],[Code]], allFYsTable[year2], CN$3)=0, NotFound, SUMIFS(allFYsTable[Actual], allFYsTable[Code], SummaryTable[[#This Row],[Code]], allFYsTable[year2], CN$3))</f>
        <v>896</v>
      </c>
      <c r="CS21" s="61">
        <f>IF(COUNTIFS(allFYsTable[Code], SummaryTable[[#This Row],[Code]], allFYsTable[year2], CN$3)=0, NotFound, SUMIFS(allFYsTable[DiffAmount], allFYsTable[Code], SummaryTable[[#This Row],[Code]], allFYsTable[year2], CN$3))</f>
        <v>-271</v>
      </c>
      <c r="CT21" s="63">
        <f>IF(SummaryTable[[#This Row],[OriginalBudget16]]=0, IF(SummaryTable[[#This Row],[DiffAmount16]]=0, ZeroBudgetNoSpending, ZeroBudgetWithSpending), SummaryTable[[#This Row],[DiffAmount16]]/SummaryTable[[#This Row],[OriginalBudget16]])</f>
        <v>-0.23221936589545844</v>
      </c>
      <c r="CU21" s="62">
        <f>IF(COUNTIFS(allFYsTable[Code], SummaryTable[[#This Row],[Code]], allFYsTable[year2], CU$3)=0, NotFound, SUMIFS(allFYsTable[OriginalBudget], allFYsTable[Code], SummaryTable[[#This Row],[Code]], allFYsTable[year2], CU$3))</f>
        <v>526</v>
      </c>
      <c r="CV21" s="61">
        <f>SummaryTable[[#This Row],[OriginalBudget15]]-SummaryTable[[#This Row],[OriginalBudget14]]</f>
        <v>10</v>
      </c>
      <c r="CW21" s="54">
        <f>SummaryTable[[#This Row],[BudgetIncreaseAmount15]]/SummaryTable[[#This Row],[OriginalBudget14]]</f>
        <v>1.937984496124031E-2</v>
      </c>
      <c r="CX21" s="61">
        <f>IF(COUNTIFS(allFYsTable[Code], SummaryTable[[#This Row],[Code]], allFYsTable[year2], CU$3)=0, NotFound, SUMIFS(allFYsTable[RevisedBudget], allFYsTable[Code], SummaryTable[[#This Row],[Code]], allFYsTable[year2], CU$3))</f>
        <v>526</v>
      </c>
      <c r="CY21" s="61">
        <f>IF(COUNTIFS(allFYsTable[Code], SummaryTable[[#This Row],[Code]], allFYsTable[year2], CU$3)=0, NotFound, SUMIFS(allFYsTable[Actual], allFYsTable[Code], SummaryTable[[#This Row],[Code]], allFYsTable[year2], CU$3))</f>
        <v>515</v>
      </c>
      <c r="CZ21" s="61">
        <f>IF(COUNTIFS(allFYsTable[Code], SummaryTable[[#This Row],[Code]], allFYsTable[year2], CU$3)=0, NotFound, SUMIFS(allFYsTable[DiffAmount], allFYsTable[Code], SummaryTable[[#This Row],[Code]], allFYsTable[year2], CU$3))</f>
        <v>-11</v>
      </c>
      <c r="DA21" s="63">
        <f>IF(SummaryTable[[#This Row],[OriginalBudget15]]=0, IF(SummaryTable[[#This Row],[DiffAmount15]]=0, ZeroBudgetNoSpending, ZeroBudgetWithSpending), SummaryTable[[#This Row],[DiffAmount15]]/SummaryTable[[#This Row],[OriginalBudget15]])</f>
        <v>-2.0912547528517109E-2</v>
      </c>
      <c r="DB21" s="62">
        <f>IF(COUNTIFS(allFYsTable[Code], SummaryTable[[#This Row],[Code]], allFYsTable[year2], DB$3)=0, NotFound, SUMIFS(allFYsTable[OriginalBudget], allFYsTable[Code], SummaryTable[[#This Row],[Code]], allFYsTable[year2], DB$3))</f>
        <v>516</v>
      </c>
      <c r="DC21" s="61">
        <f>SummaryTable[[#This Row],[OriginalBudget14]]-SummaryTable[[#This Row],[OriginalBudget13]]</f>
        <v>67</v>
      </c>
      <c r="DD21" s="54">
        <f>SummaryTable[[#This Row],[BudgetIncreaseAmount14]]/SummaryTable[[#This Row],[OriginalBudget13]]</f>
        <v>0.1492204899777283</v>
      </c>
      <c r="DE21" s="61">
        <f>IF(COUNTIFS(allFYsTable[Code], SummaryTable[[#This Row],[Code]], allFYsTable[year2], DB$3)=0, NotFound, SUMIFS(allFYsTable[RevisedBudget], allFYsTable[Code], SummaryTable[[#This Row],[Code]], allFYsTable[year2], DB$3))</f>
        <v>522</v>
      </c>
      <c r="DF21" s="61">
        <f>IF(COUNTIFS(allFYsTable[Code], SummaryTable[[#This Row],[Code]], allFYsTable[year2], DB$3)=0, NotFound, SUMIFS(allFYsTable[Actual], allFYsTable[Code], SummaryTable[[#This Row],[Code]], allFYsTable[year2], DB$3))</f>
        <v>435</v>
      </c>
      <c r="DG21" s="61">
        <f>IF(COUNTIFS(allFYsTable[Code], SummaryTable[[#This Row],[Code]], allFYsTable[year2], DB$3)=0, NotFound, SUMIFS(allFYsTable[DiffAmount], allFYsTable[Code], SummaryTable[[#This Row],[Code]], allFYsTable[year2], DB$3))</f>
        <v>-81</v>
      </c>
      <c r="DH21" s="63">
        <f>IF(SummaryTable[[#This Row],[OriginalBudget14]]=0, IF(SummaryTable[[#This Row],[DiffAmount14]]=0, ZeroBudgetNoSpending, ZeroBudgetWithSpending), SummaryTable[[#This Row],[DiffAmount14]]/SummaryTable[[#This Row],[OriginalBudget14]])</f>
        <v>-0.15697674418604651</v>
      </c>
      <c r="DI21" s="62">
        <f>IF(COUNTIFS(allFYsTable[Code], SummaryTable[[#This Row],[Code]], allFYsTable[year2], DI$3)=0, NotFound, SUMIFS(allFYsTable[OriginalBudget], allFYsTable[Code], SummaryTable[[#This Row],[Code]], allFYsTable[year2], DI$3))</f>
        <v>449</v>
      </c>
      <c r="DJ21" s="61">
        <f>SummaryTable[[#This Row],[OriginalBudget13]]-SummaryTable[[#This Row],[OriginalBudget12]]</f>
        <v>254</v>
      </c>
      <c r="DK21" s="54">
        <f>SummaryTable[[#This Row],[BudgetIncreaseAmount13]]/SummaryTable[[#This Row],[OriginalBudget12]]</f>
        <v>1.3025641025641026</v>
      </c>
      <c r="DL21" s="61">
        <f>IF(COUNTIFS(allFYsTable[Code], SummaryTable[[#This Row],[Code]], allFYsTable[year2], DI$3)=0, NotFound, SUMIFS(allFYsTable[RevisedBudget], allFYsTable[Code], SummaryTable[[#This Row],[Code]], allFYsTable[year2], DI$3))</f>
        <v>474</v>
      </c>
      <c r="DM21" s="61">
        <f>IF(COUNTIFS(allFYsTable[Code], SummaryTable[[#This Row],[Code]], allFYsTable[year2], DI$3)=0, NotFound, SUMIFS(allFYsTable[Actual], allFYsTable[Code], SummaryTable[[#This Row],[Code]], allFYsTable[year2], DI$3))</f>
        <v>436</v>
      </c>
      <c r="DN21" s="61">
        <f>IF(COUNTIFS(allFYsTable[Code], SummaryTable[[#This Row],[Code]], allFYsTable[year2], DI$3)=0, NotFound, SUMIFS(allFYsTable[DiffAmount], allFYsTable[Code], SummaryTable[[#This Row],[Code]], allFYsTable[year2], DI$3))</f>
        <v>-13</v>
      </c>
      <c r="DO21" s="63">
        <f>IF(SummaryTable[[#This Row],[OriginalBudget13]]=0, IF(SummaryTable[[#This Row],[DiffAmount13]]=0, ZeroBudgetNoSpending, ZeroBudgetWithSpending), SummaryTable[[#This Row],[DiffAmount13]]/SummaryTable[[#This Row],[OriginalBudget13]])</f>
        <v>-2.8953229398663696E-2</v>
      </c>
      <c r="DP21" s="62">
        <f>IF(COUNTIFS(allFYsTable[Code], SummaryTable[[#This Row],[Code]], allFYsTable[year2], DP$3)=0, NotFound, SUMIFS(allFYsTable[OriginalBudget], allFYsTable[Code], SummaryTable[[#This Row],[Code]], allFYsTable[year2], DP$3))</f>
        <v>195</v>
      </c>
      <c r="DQ21" s="61">
        <f>SummaryTable[[#This Row],[OriginalBudget12]]-SummaryTable[[#This Row],[OriginalBudget11]]</f>
        <v>0</v>
      </c>
      <c r="DR21" s="54">
        <f>SummaryTable[[#This Row],[BudgetIncreaseAmount12]]/SummaryTable[[#This Row],[OriginalBudget11]]</f>
        <v>0</v>
      </c>
      <c r="DS21" s="61">
        <f>IF(COUNTIFS(allFYsTable[Code], SummaryTable[[#This Row],[Code]], allFYsTable[year2], DP$3)=0, NotFound, SUMIFS(allFYsTable[RevisedBudget], allFYsTable[Code], SummaryTable[[#This Row],[Code]], allFYsTable[year2], DP$3))</f>
        <v>195</v>
      </c>
      <c r="DT21" s="61">
        <f>IF(COUNTIFS(allFYsTable[Code], SummaryTable[[#This Row],[Code]], allFYsTable[year2], DP$3)=0, NotFound, SUMIFS(allFYsTable[Actual], allFYsTable[Code], SummaryTable[[#This Row],[Code]], allFYsTable[year2], DP$3))</f>
        <v>187</v>
      </c>
      <c r="DU21" s="61">
        <f>IF(COUNTIFS(allFYsTable[Code], SummaryTable[[#This Row],[Code]], allFYsTable[year2], DP$3)=0, NotFound, SUMIFS(allFYsTable[DiffAmount], allFYsTable[Code], SummaryTable[[#This Row],[Code]], allFYsTable[year2], DP$3))</f>
        <v>-8</v>
      </c>
      <c r="DV21" s="63">
        <f>IF(SummaryTable[[#This Row],[OriginalBudget12]]=0, IF(SummaryTable[[#This Row],[DiffAmount12]]=0, ZeroBudgetNoSpending, ZeroBudgetWithSpending), SummaryTable[[#This Row],[DiffAmount12]]/SummaryTable[[#This Row],[OriginalBudget12]])</f>
        <v>-4.1025641025641026E-2</v>
      </c>
      <c r="DW21" s="62">
        <f>IF(COUNTIFS(allFYsTable[Code], SummaryTable[[#This Row],[Code]], allFYsTable[year2], DW$3)=0, NotFound, SUMIFS(allFYsTable[OriginalBudget], allFYsTable[Code], SummaryTable[[#This Row],[Code]], allFYsTable[year2], DW$3))</f>
        <v>195</v>
      </c>
      <c r="DX21" s="61">
        <f>SummaryTable[[#This Row],[OriginalBudget11]]-SummaryTable[[#This Row],[OriginalBudget10]]</f>
        <v>-103</v>
      </c>
      <c r="DY21" s="54">
        <f>SummaryTable[[#This Row],[BudgetIncreaseAmount11]]/SummaryTable[[#This Row],[OriginalBudget10]]</f>
        <v>-0.34563758389261745</v>
      </c>
      <c r="DZ21" s="61">
        <f>IF(COUNTIFS(allFYsTable[Code], SummaryTable[[#This Row],[Code]], allFYsTable[year2], DW$3)=0, NotFound, SUMIFS(allFYsTable[RevisedBudget], allFYsTable[Code], SummaryTable[[#This Row],[Code]], allFYsTable[year2], DW$3))</f>
        <v>195</v>
      </c>
      <c r="EA21" s="61">
        <f>IF(COUNTIFS(allFYsTable[Code], SummaryTable[[#This Row],[Code]], allFYsTable[year2], DW$3)=0, NotFound, SUMIFS(allFYsTable[Actual], allFYsTable[Code], SummaryTable[[#This Row],[Code]], allFYsTable[year2], DW$3))</f>
        <v>173</v>
      </c>
      <c r="EB21" s="61">
        <f>IF(COUNTIFS(allFYsTable[Code], SummaryTable[[#This Row],[Code]], allFYsTable[year2], DW$3)=0, NotFound, SUMIFS(allFYsTable[DiffAmount], allFYsTable[Code], SummaryTable[[#This Row],[Code]], allFYsTable[year2], DW$3))</f>
        <v>-22</v>
      </c>
      <c r="EC21" s="63">
        <f>IF(SummaryTable[[#This Row],[OriginalBudget11]]=0, IF(SummaryTable[[#This Row],[DiffAmount11]]=0, ZeroBudgetNoSpending, ZeroBudgetWithSpending), SummaryTable[[#This Row],[DiffAmount11]]/SummaryTable[[#This Row],[OriginalBudget11]])</f>
        <v>-0.11282051282051282</v>
      </c>
      <c r="ED21" s="62">
        <f>IF(COUNTIFS(allFYsTable[Code], SummaryTable[[#This Row],[Code]], allFYsTable[year2], ED$3)=0, NotFound, SUMIFS(allFYsTable[OriginalBudget], allFYsTable[Code], SummaryTable[[#This Row],[Code]], allFYsTable[year2], ED$3))</f>
        <v>298</v>
      </c>
      <c r="EE21" s="61">
        <f>SummaryTable[[#This Row],[OriginalBudget10]]-SummaryTable[[#This Row],[OriginalBudget09]]</f>
        <v>-106</v>
      </c>
      <c r="EF21" s="54">
        <f>SummaryTable[[#This Row],[BudgetIncreaseAmount10]]/SummaryTable[[#This Row],[OriginalBudget09]]</f>
        <v>-0.26237623762376239</v>
      </c>
      <c r="EG21" s="61">
        <f>IF(COUNTIFS(allFYsTable[Code], SummaryTable[[#This Row],[Code]], allFYsTable[year2], ED$3)=0, NotFound, SUMIFS(allFYsTable[RevisedBudget], allFYsTable[Code], SummaryTable[[#This Row],[Code]], allFYsTable[year2], ED$3))</f>
        <v>298</v>
      </c>
      <c r="EH21" s="61">
        <f>IF(COUNTIFS(allFYsTable[Code], SummaryTable[[#This Row],[Code]], allFYsTable[year2], ED$3)=0, NotFound, SUMIFS(allFYsTable[Actual], allFYsTable[Code], SummaryTable[[#This Row],[Code]], allFYsTable[year2], ED$3))</f>
        <v>298</v>
      </c>
      <c r="EI21" s="61">
        <f>IF(COUNTIFS(allFYsTable[Code], SummaryTable[[#This Row],[Code]], allFYsTable[year2], ED$3)=0, NotFound, SUMIFS(allFYsTable[DiffAmount], allFYsTable[Code], SummaryTable[[#This Row],[Code]], allFYsTable[year2], ED$3))</f>
        <v>0</v>
      </c>
      <c r="EJ21" s="63">
        <f>IF(SummaryTable[[#This Row],[OriginalBudget10]]=0, IF(SummaryTable[[#This Row],[DiffAmount10]]=0, ZeroBudgetNoSpending, ZeroBudgetWithSpending), SummaryTable[[#This Row],[DiffAmount10]]/SummaryTable[[#This Row],[OriginalBudget10]])</f>
        <v>0</v>
      </c>
      <c r="EK21" s="62">
        <f>IF(COUNTIFS(allFYsTable[Code], SummaryTable[[#This Row],[Code]], allFYsTable[year2], EK$3)=0, NotFound, SUMIFS(allFYsTable[OriginalBudget], allFYsTable[Code], SummaryTable[[#This Row],[Code]], allFYsTable[year2], EK$3))</f>
        <v>404</v>
      </c>
      <c r="EL21" s="61">
        <f>SummaryTable[[#This Row],[OriginalBudget09]]-SummaryTable[[#This Row],[OriginalBudget08]]</f>
        <v>20</v>
      </c>
      <c r="EM21" s="54">
        <f>SummaryTable[[#This Row],[BudgetIncreaseAmount09]]/SummaryTable[[#This Row],[OriginalBudget08]]</f>
        <v>5.2083333333333336E-2</v>
      </c>
      <c r="EN21" s="61">
        <f>IF(COUNTIFS(allFYsTable[Code], SummaryTable[[#This Row],[Code]], allFYsTable[year2], EK$3)=0, NotFound, SUMIFS(allFYsTable[RevisedBudget], allFYsTable[Code], SummaryTable[[#This Row],[Code]], allFYsTable[year2], EK$3))</f>
        <v>404</v>
      </c>
      <c r="EO21" s="61">
        <f>IF(COUNTIFS(allFYsTable[Code], SummaryTable[[#This Row],[Code]], allFYsTable[year2], EK$3)=0, NotFound, SUMIFS(allFYsTable[Actual], allFYsTable[Code], SummaryTable[[#This Row],[Code]], allFYsTable[year2], EK$3))</f>
        <v>358</v>
      </c>
      <c r="EP21" s="61">
        <f>IF(COUNTIFS(allFYsTable[Code], SummaryTable[[#This Row],[Code]], allFYsTable[year2], EK$3)=0, NotFound, SUMIFS(allFYsTable[DiffAmount], allFYsTable[Code], SummaryTable[[#This Row],[Code]], allFYsTable[year2], EK$3))</f>
        <v>-46</v>
      </c>
      <c r="EQ21" s="63">
        <f>IF(SummaryTable[[#This Row],[OriginalBudget09]]=0, IF(SummaryTable[[#This Row],[DiffAmount09]]=0, ZeroBudgetNoSpending, ZeroBudgetWithSpending), SummaryTable[[#This Row],[DiffAmount09]]/SummaryTable[[#This Row],[OriginalBudget09]])</f>
        <v>-0.11386138613861387</v>
      </c>
      <c r="ER21" s="62">
        <f>IF(COUNTIFS(allFYsTable[Code], SummaryTable[[#This Row],[Code]], allFYsTable[year2], ER$3)=0, NotFound, SUMIFS(allFYsTable[OriginalBudget], allFYsTable[Code], SummaryTable[[#This Row],[Code]], allFYsTable[year2], ER$3))</f>
        <v>384</v>
      </c>
      <c r="ES21" s="61">
        <f>SummaryTable[[#This Row],[OriginalBudget08]]-SummaryTable[[#This Row],[OriginalBudget07]]</f>
        <v>95</v>
      </c>
      <c r="ET21" s="54">
        <f>SummaryTable[[#This Row],[BudgetIncreaseAmount08]]/SummaryTable[[#This Row],[OriginalBudget07]]</f>
        <v>0.32871972318339099</v>
      </c>
      <c r="EU21" s="61">
        <f>IF(COUNTIFS(allFYsTable[Code], SummaryTable[[#This Row],[Code]], allFYsTable[year2], ER$3)=0, NotFound, SUMIFS(allFYsTable[RevisedBudget], allFYsTable[Code], SummaryTable[[#This Row],[Code]], allFYsTable[year2], ER$3))</f>
        <v>402</v>
      </c>
      <c r="EV21" s="61">
        <f>IF(COUNTIFS(allFYsTable[Code], SummaryTable[[#This Row],[Code]], allFYsTable[year2], ER$3)=0, NotFound, SUMIFS(allFYsTable[Actual], allFYsTable[Code], SummaryTable[[#This Row],[Code]], allFYsTable[year2], ER$3))</f>
        <v>398</v>
      </c>
      <c r="EW21" s="61">
        <f>IF(COUNTIFS(allFYsTable[Code], SummaryTable[[#This Row],[Code]], allFYsTable[year2], ER$3)=0, NotFound, SUMIFS(allFYsTable[DiffAmount], allFYsTable[Code], SummaryTable[[#This Row],[Code]], allFYsTable[year2], ER$3))</f>
        <v>14</v>
      </c>
      <c r="EX21" s="63">
        <f>IF(SummaryTable[[#This Row],[OriginalBudget08]]=0, IF(SummaryTable[[#This Row],[DiffAmount08]]=0, ZeroBudgetNoSpending, ZeroBudgetWithSpending), SummaryTable[[#This Row],[DiffAmount08]]/SummaryTable[[#This Row],[OriginalBudget08]])</f>
        <v>3.6458333333333336E-2</v>
      </c>
      <c r="EY21" s="62">
        <f>IF(COUNTIFS(allFYsTable[Code], SummaryTable[[#This Row],[Code]], allFYsTable[year2], EY$3)=0, NotFound, SUMIFS(allFYsTable[OriginalBudget], allFYsTable[Code], SummaryTable[[#This Row],[Code]], allFYsTable[year2], EY$3))</f>
        <v>289</v>
      </c>
      <c r="EZ21" s="61">
        <f>SummaryTable[[#This Row],[OriginalBudget07]]-SummaryTable[[#This Row],[OriginalBudget06]]</f>
        <v>13</v>
      </c>
      <c r="FA21" s="54">
        <f>SummaryTable[[#This Row],[BudgetIncreaseAmount07]]/SummaryTable[[#This Row],[OriginalBudget06]]</f>
        <v>4.710144927536232E-2</v>
      </c>
      <c r="FB21" s="61">
        <f>IF(COUNTIFS(allFYsTable[Code], SummaryTable[[#This Row],[Code]], allFYsTable[year2], EY$3)=0, NotFound, SUMIFS(allFYsTable[RevisedBudget], allFYsTable[Code], SummaryTable[[#This Row],[Code]], allFYsTable[year2], EY$3))</f>
        <v>307</v>
      </c>
      <c r="FC21" s="61">
        <f>IF(COUNTIFS(allFYsTable[Code], SummaryTable[[#This Row],[Code]], allFYsTable[year2], EY$3)=0, NotFound, SUMIFS(allFYsTable[Actual], allFYsTable[Code], SummaryTable[[#This Row],[Code]], allFYsTable[year2], EY$3))</f>
        <v>285</v>
      </c>
      <c r="FD21" s="61">
        <f>IF(COUNTIFS(allFYsTable[Code], SummaryTable[[#This Row],[Code]], allFYsTable[year2], EY$3)=0, NotFound, SUMIFS(allFYsTable[DiffAmount], allFYsTable[Code], SummaryTable[[#This Row],[Code]], allFYsTable[year2], EY$3))</f>
        <v>-4</v>
      </c>
      <c r="FE21" s="63">
        <f>IF(SummaryTable[[#This Row],[OriginalBudget07]]=0, IF(SummaryTable[[#This Row],[DiffAmount07]]=0, ZeroBudgetNoSpending, ZeroBudgetWithSpending), SummaryTable[[#This Row],[DiffAmount07]]/SummaryTable[[#This Row],[OriginalBudget07]])</f>
        <v>-1.384083044982699E-2</v>
      </c>
      <c r="FF21" s="62">
        <f>IF(COUNTIFS(allFYsTable[Code], SummaryTable[[#This Row],[Code]], allFYsTable[year2], FF$3)=0, NotFound, SUMIFS(allFYsTable[OriginalBudget], allFYsTable[Code], SummaryTable[[#This Row],[Code]], allFYsTable[year2], FF$3))</f>
        <v>276</v>
      </c>
      <c r="FI21" s="61">
        <f>IF(COUNTIFS(allFYsTable[Code], SummaryTable[[#This Row],[Code]], allFYsTable[year2], FF$3)=0, NotFound, SUMIFS(allFYsTable[RevisedBudget], allFYsTable[Code], SummaryTable[[#This Row],[Code]], allFYsTable[year2], FF$3))</f>
        <v>294</v>
      </c>
      <c r="FJ21" s="61">
        <f>IF(COUNTIFS(allFYsTable[Code], SummaryTable[[#This Row],[Code]], allFYsTable[year2], FF$3)=0, NotFound, SUMIFS(allFYsTable[Actual], allFYsTable[Code], SummaryTable[[#This Row],[Code]], allFYsTable[year2], FF$3))</f>
        <v>275</v>
      </c>
      <c r="FK21" s="61">
        <f>IF(COUNTIFS(allFYsTable[Code], SummaryTable[[#This Row],[Code]], allFYsTable[year2], FF$3)=0, NotFound, SUMIFS(allFYsTable[DiffAmount], allFYsTable[Code], SummaryTable[[#This Row],[Code]], allFYsTable[year2], FF$3))</f>
        <v>-1</v>
      </c>
      <c r="FL21" s="63">
        <f>IF(SummaryTable[[#This Row],[OriginalBudget06]]=0, IF(SummaryTable[[#This Row],[DiffAmount06]]=0, ZeroBudgetNoSpending, ZeroBudgetWithSpending), SummaryTable[[#This Row],[DiffAmount06]]/SummaryTable[[#This Row],[OriginalBudget06]])</f>
        <v>-3.6231884057971015E-3</v>
      </c>
    </row>
    <row r="22" spans="1:168" x14ac:dyDescent="0.45">
      <c r="A22" t="s">
        <v>788</v>
      </c>
      <c r="B22">
        <f>_xlfn.MAXIFS(allFYsTable[year2], allFYsTable[Code], SummaryTable[[#This Row],[Code]])</f>
        <v>2025</v>
      </c>
      <c r="C22" t="str">
        <f>_xlfn.XLOOKUP(SummaryTable[[#This Row],[Code]], NameCodingTable[Code], NameCodingTable[Most Recent Category per allFYs])</f>
        <v>Human support services</v>
      </c>
      <c r="D22" t="str">
        <f>_xlfn.XLOOKUP(SummaryTable[[#This Row],[Code]], NameCodingTable[Code], NameCodingTable[Unit Display Name])</f>
        <v>DC Health</v>
      </c>
      <c r="E22" t="str">
        <f>_xlfn.XLOOKUP(SummaryTable[[#This Row],[Code]], NameCodingTable[Code], NameCodingTable[Type])</f>
        <v>agency</v>
      </c>
      <c r="F2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2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10</v>
      </c>
      <c r="H22" s="54">
        <f>SummaryTable[[#This Row],['# Over]]/SummaryTable[[#This Row],[Count]]</f>
        <v>0.5</v>
      </c>
      <c r="I2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22" s="54">
        <f>SummaryTable[[#This Row],['# Under]]/SummaryTable[[#This Row],[Count]]</f>
        <v>0.5</v>
      </c>
      <c r="K2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22" s="54">
        <f>SummaryTable[[#This Row],['# Equal]]/SummaryTable[[#This Row],[Count]]</f>
        <v>0</v>
      </c>
      <c r="M22" s="61">
        <f>SUMIFS(allFYsTable[OriginalBudget],allFYsTable[Code],SummaryTable[[#This Row],[Code]])/SummaryTable[[#This Row],[Count]]</f>
        <v>188391.75</v>
      </c>
      <c r="N22" s="61">
        <f>SUMIFS(allFYsTable[Actual],allFYsTable[Code],SummaryTable[[#This Row],[Code]])/SummaryTable[[#This Row],[Count]]</f>
        <v>188908.15</v>
      </c>
      <c r="O22" s="61">
        <f>SummaryTable[[#This Row],[AvgActAmt]]-SummaryTable[[#This Row],[AvgBudAmt]]</f>
        <v>516.39999999999418</v>
      </c>
      <c r="P22" s="54">
        <f>IF(SummaryTable[[#This Row],[AvgBudAmt]]=0, IF(SummaryTable[[#This Row],[AvgDiff'#]]=0, 0, NamedFields!$C$3), SummaryTable[[#This Row],[AvgDiff'#]]/SummaryTable[[#This Row],[AvgBudAmt]])</f>
        <v>2.7410966775349463E-3</v>
      </c>
      <c r="Q22" s="61">
        <f>IFERROR(SUMIFS(allFYsTable[OriginalBudget],allFYsTable[Code],SummaryTable[[#This Row],[Code]],allFYsTable[DiffAmount], "&gt;0")/SummaryTable[[#This Row],['# Over]], 0)</f>
        <v>235130.3</v>
      </c>
      <c r="R22" s="61">
        <f>IFERROR(SUMIFS(allFYsTable[Actual],allFYsTable[Code],SummaryTable[[#This Row],[Code]],allFYsTable[DiffAmount], "&gt;0")/SummaryTable[[#This Row],['# Over]], 0)</f>
        <v>240431.7</v>
      </c>
      <c r="S22" s="61">
        <f>SummaryTable[[#This Row],[OverAvgAct]]-SummaryTable[[#This Row],[OverAvgBud]]</f>
        <v>5301.4000000000233</v>
      </c>
      <c r="T22" s="54">
        <f>IF(SummaryTable[[#This Row],[OverAvgBud]]=0, IF(SummaryTable[[#This Row],[OverAvgDiff'#]]=0, ZeroBudgetNoSpending, ZeroBudgetWithSpending), SummaryTable[[#This Row],[OverAvgDiff'#]]/SummaryTable[[#This Row],[OverAvgBud]])</f>
        <v>2.2546647539683416E-2</v>
      </c>
      <c r="U22" s="61">
        <f>IFERROR(SUMIFS(allFYsTable[OriginalBudget],allFYsTable[Code],SummaryTable[[#This Row],[Code]],allFYsTable[DiffAmount], "&lt;0")/SummaryTable[[#This Row],['# Under]], 0)</f>
        <v>141653.20000000001</v>
      </c>
      <c r="V22" s="61">
        <f>IFERROR( SUMIFS(allFYsTable[Actual],allFYsTable[Code],SummaryTable[[#This Row],[Code]],allFYsTable[DiffAmount], "&lt;0")/SummaryTable[[#This Row],['# Under]], 0)</f>
        <v>137384.6</v>
      </c>
      <c r="W22" s="61">
        <f>SummaryTable[[#This Row],[UnderAvgAct]]-SummaryTable[[#This Row],[UnderAvgBud]]</f>
        <v>-4268.6000000000058</v>
      </c>
      <c r="X22" s="54">
        <f>IF(SummaryTable[[#This Row],[UnderAvgBud]]=0, IF(SummaryTable[[#This Row],[UnderAvgDiff'#]]=0, ZeroBudgetNoSpending, NamedFields!$C$3), SummaryTable[[#This Row],[UnderAvgDiff'#]]/SummaryTable[[#This Row],[UnderAvgBud]])</f>
        <v>-3.0134158635315021E-2</v>
      </c>
      <c r="Y2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2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22" s="54">
        <f>IF(SummaryTable[[#This Row],[IncreaseYears]]=0, ZeroBudgetNoSpending, SummaryTable[[#This Row],[OSinIncreaseYear'#]]/SummaryTable[[#This Row],[IncreaseYears]])</f>
        <v>0</v>
      </c>
      <c r="AB22" s="58" t="str">
        <f>SummaryTable[[#This Row],[Code]]</f>
        <v>HC0</v>
      </c>
      <c r="AC22" s="62">
        <f>IF(COUNTIFS(allFYsTable[Code], SummaryTable[[#This Row],[Code]], allFYsTable[year2], AC$3)=0, NotFound, SUMIFS(allFYsTable[OriginalBudget], allFYsTable[Code], SummaryTable[[#This Row],[Code]], allFYsTable[year2], AC$3))</f>
        <v>92329</v>
      </c>
      <c r="AD22" s="61">
        <f>SummaryTable[[#This Row],[OriginalBudget25]]-SummaryTable[[#This Row],[OriginalBudget24]]</f>
        <v>1309</v>
      </c>
      <c r="AE22" s="54">
        <f>SummaryTable[[#This Row],[BudgetIncreaseAmount25]]/SummaryTable[[#This Row],[OriginalBudget24]]</f>
        <v>1.4381454625357065E-2</v>
      </c>
      <c r="AF22" s="61">
        <f>IF(COUNTIFS(allFYsTable[Code], SummaryTable[[#This Row],[Code]], allFYsTable[year2], AC$3)=0, NotFound, SUMIFS(allFYsTable[RevisedBudget], allFYsTable[Code], SummaryTable[[#This Row],[Code]], allFYsTable[year2], AC$3))</f>
        <v>93626</v>
      </c>
      <c r="AG22" s="61">
        <f>IF(COUNTIFS(allFYsTable[Code], SummaryTable[[#This Row],[Code]], allFYsTable[year2], AC$3)=0, NotFound, SUMIFS(allFYsTable[Actual], allFYsTable[Code], SummaryTable[[#This Row],[Code]], allFYsTable[year2], AC$3))</f>
        <v>93293</v>
      </c>
      <c r="AH22" s="61">
        <f>IF(COUNTIFS(allFYsTable[Code], SummaryTable[[#This Row],[Code]], allFYsTable[year2], AC$3)=0, NotFound, SUMIFS(allFYsTable[DiffAmount], allFYsTable[Code], SummaryTable[[#This Row],[Code]], allFYsTable[year2], AC$3))</f>
        <v>964</v>
      </c>
      <c r="AI22" s="63">
        <f>IF(SummaryTable[[#This Row],[OriginalBudget25]]=0, IF(SummaryTable[[#This Row],[DiffAmount25]]=0, ZeroBudgetNoSpending, ZeroBudgetWithSpending), SummaryTable[[#This Row],[DiffAmount25]]/SummaryTable[[#This Row],[OriginalBudget25]])</f>
        <v>1.0440923220223332E-2</v>
      </c>
      <c r="AJ22" s="62">
        <f>IF(COUNTIFS(allFYsTable[Code], SummaryTable[[#This Row],[Code]], allFYsTable[year2], AJ$3)=0, NotFound, SUMIFS(allFYsTable[OriginalBudget], allFYsTable[Code], SummaryTable[[#This Row],[Code]], allFYsTable[year2], AJ$3))</f>
        <v>91020</v>
      </c>
      <c r="AK22" s="61">
        <f>SummaryTable[[#This Row],[OriginalBudget24]]-SummaryTable[[#This Row],[OriginalBudget23]]</f>
        <v>-7449</v>
      </c>
      <c r="AL22" s="54">
        <f>SummaryTable[[#This Row],[BudgetIncreaseAmount24]]/SummaryTable[[#This Row],[OriginalBudget23]]</f>
        <v>-7.5648173536849161E-2</v>
      </c>
      <c r="AM22" s="61">
        <f>IF(COUNTIFS(allFYsTable[Code], SummaryTable[[#This Row],[Code]], allFYsTable[year2], AK$3)=0, NotFound, SUMIFS(allFYsTable[RevisedBudget], allFYsTable[Code], SummaryTable[[#This Row],[Code]], allFYsTable[year2], AJ$3))</f>
        <v>92469</v>
      </c>
      <c r="AN22" s="61">
        <f>IF(COUNTIFS(allFYsTable[Code], SummaryTable[[#This Row],[Code]], allFYsTable[year2], AJ$3)=0, NotFound, SUMIFS(allFYsTable[Actual], allFYsTable[Code], SummaryTable[[#This Row],[Code]], allFYsTable[year2], AJ$3))</f>
        <v>92399</v>
      </c>
      <c r="AO22" s="61">
        <f>IF(COUNTIFS(allFYsTable[Code], SummaryTable[[#This Row],[Code]], allFYsTable[year2], AJ$3)=0, NotFound, SUMIFS(allFYsTable[DiffAmount], allFYsTable[Code], SummaryTable[[#This Row],[Code]], allFYsTable[year2], AJ$3))</f>
        <v>1379</v>
      </c>
      <c r="AP22" s="63">
        <f>IF(SummaryTable[[#This Row],[OriginalBudget24]]=0, IF(SummaryTable[[#This Row],[DiffAmount24]]=0, ZeroBudgetNoSpending, ZeroBudgetWithSpending), SummaryTable[[#This Row],[DiffAmount24]]/SummaryTable[[#This Row],[OriginalBudget24]])</f>
        <v>1.5150516370028564E-2</v>
      </c>
      <c r="AQ22" s="62">
        <f>IF(COUNTIFS(allFYsTable[Code], SummaryTable[[#This Row],[Code]], allFYsTable[year2], AQ$3)=0, NotFound, SUMIFS(allFYsTable[OriginalBudget], allFYsTable[Code], SummaryTable[[#This Row],[Code]], allFYsTable[year2], AQ$3))</f>
        <v>98469</v>
      </c>
      <c r="AR22" s="61">
        <f>SummaryTable[[#This Row],[OriginalBudget23]]-SummaryTable[[#This Row],[OriginalBudget22]]</f>
        <v>9593</v>
      </c>
      <c r="AS22" s="54">
        <f>SummaryTable[[#This Row],[BudgetIncreaseAmount23]]/SummaryTable[[#This Row],[OriginalBudget22]]</f>
        <v>0.10793690085062334</v>
      </c>
      <c r="AT22" s="61">
        <f>IF(COUNTIFS(allFYsTable[Code], SummaryTable[[#This Row],[Code]], allFYsTable[year2], AQ$3)=0, NotFound, SUMIFS(allFYsTable[RevisedBudget], allFYsTable[Code], SummaryTable[[#This Row],[Code]], allFYsTable[year2], AQ$3))</f>
        <v>102975</v>
      </c>
      <c r="AU22" s="61">
        <f>IF(COUNTIFS(allFYsTable[Code], SummaryTable[[#This Row],[Code]], allFYsTable[year2], AQ$3)=0, NotFound, SUMIFS(allFYsTable[Actual], allFYsTable[Code], SummaryTable[[#This Row],[Code]], allFYsTable[year2], AQ$3))</f>
        <v>99679</v>
      </c>
      <c r="AV22" s="61">
        <f>IF(COUNTIFS(allFYsTable[Code], SummaryTable[[#This Row],[Code]], allFYsTable[year2], AQ$3)=0, NotFound, SUMIFS(allFYsTable[DiffAmount], allFYsTable[Code], SummaryTable[[#This Row],[Code]], allFYsTable[year2], AQ$3))</f>
        <v>1210</v>
      </c>
      <c r="AW22" s="63">
        <f>IF(SummaryTable[[#This Row],[OriginalBudget23]]=0, IF(SummaryTable[[#This Row],[DiffAmount23]]=0, ZeroBudgetNoSpending, ZeroBudgetWithSpending), SummaryTable[[#This Row],[DiffAmount23]]/SummaryTable[[#This Row],[OriginalBudget23]])</f>
        <v>1.2288131290050675E-2</v>
      </c>
      <c r="AX22" s="62">
        <f>IF(COUNTIFS(allFYsTable[Code], SummaryTable[[#This Row],[Code]], allFYsTable[year2], AX$3)=0, NotFound, SUMIFS(allFYsTable[OriginalBudget], allFYsTable[Code], SummaryTable[[#This Row],[Code]], allFYsTable[year2], AX$3))</f>
        <v>88876</v>
      </c>
      <c r="AY22" s="61">
        <f>SummaryTable[[#This Row],[OriginalBudget22]]-SummaryTable[[#This Row],[OriginalBudget21]]</f>
        <v>-1153</v>
      </c>
      <c r="AZ22" s="54">
        <f>SummaryTable[[#This Row],[BudgetIncreaseAmount22]]/SummaryTable[[#This Row],[OriginalBudget21]]</f>
        <v>-1.280698441613258E-2</v>
      </c>
      <c r="BA22" s="61">
        <f>IF(COUNTIFS(allFYsTable[Code], SummaryTable[[#This Row],[Code]], allFYsTable[year2], AX$3)=0, NotFound, SUMIFS(allFYsTable[RevisedBudget], allFYsTable[Code], SummaryTable[[#This Row],[Code]], allFYsTable[year2], AX$3))</f>
        <v>90139</v>
      </c>
      <c r="BB22" s="61">
        <f>IF(COUNTIFS(allFYsTable[Code], SummaryTable[[#This Row],[Code]], allFYsTable[year2], AX$3)=0, NotFound, SUMIFS(allFYsTable[Actual], allFYsTable[Code], SummaryTable[[#This Row],[Code]], allFYsTable[year2], AX$3))</f>
        <v>89219</v>
      </c>
      <c r="BC22" s="61">
        <f>IF(COUNTIFS(allFYsTable[Code], SummaryTable[[#This Row],[Code]], allFYsTable[year2], AX$3)=0, NotFound, SUMIFS(allFYsTable[DiffAmount], allFYsTable[Code], SummaryTable[[#This Row],[Code]], allFYsTable[year2], AX$3))</f>
        <v>343</v>
      </c>
      <c r="BD22" s="63">
        <f>IF(SummaryTable[[#This Row],[OriginalBudget22]]=0, IF(SummaryTable[[#This Row],[DiffAmount22]]=0, ZeroBudgetNoSpending, ZeroBudgetWithSpending), SummaryTable[[#This Row],[DiffAmount22]]/SummaryTable[[#This Row],[OriginalBudget22]])</f>
        <v>3.8593095998919842E-3</v>
      </c>
      <c r="BE22" s="62">
        <f>IF(COUNTIFS(allFYsTable[Code], SummaryTable[[#This Row],[Code]], allFYsTable[year2], BE$3)=0, NotFound, SUMIFS(allFYsTable[OriginalBudget], allFYsTable[Code], SummaryTable[[#This Row],[Code]], allFYsTable[year2], BE$3))</f>
        <v>90029</v>
      </c>
      <c r="BF22" s="61">
        <f>SummaryTable[[#This Row],[OriginalBudget21]]-SummaryTable[[#This Row],[OriginalBudget20]]</f>
        <v>3112</v>
      </c>
      <c r="BG22" s="54">
        <f>SummaryTable[[#This Row],[BudgetIncreaseAmount21]]/SummaryTable[[#This Row],[OriginalBudget20]]</f>
        <v>3.5804273042097635E-2</v>
      </c>
      <c r="BH22" s="61">
        <f>IF(COUNTIFS(allFYsTable[Code], SummaryTable[[#This Row],[Code]], allFYsTable[year2], BE$3)=0, NotFound, SUMIFS(allFYsTable[RevisedBudget], allFYsTable[Code], SummaryTable[[#This Row],[Code]], allFYsTable[year2], BE$3))</f>
        <v>87381</v>
      </c>
      <c r="BI22" s="61">
        <f>IF(COUNTIFS(allFYsTable[Code], SummaryTable[[#This Row],[Code]], allFYsTable[year2], BE$3)=0, NotFound, SUMIFS(allFYsTable[Actual], allFYsTable[Code], SummaryTable[[#This Row],[Code]], allFYsTable[year2], BE$3))</f>
        <v>86712</v>
      </c>
      <c r="BJ22" s="61">
        <f>IF(COUNTIFS(allFYsTable[Code], SummaryTable[[#This Row],[Code]], allFYsTable[year2], BE$3)=0, NotFound, SUMIFS(allFYsTable[DiffAmount], allFYsTable[Code], SummaryTable[[#This Row],[Code]], allFYsTable[year2], BE$3))</f>
        <v>-3317</v>
      </c>
      <c r="BK22" s="63">
        <f>IF(SummaryTable[[#This Row],[OriginalBudget21]]=0, IF(SummaryTable[[#This Row],[DiffAmount21]]=0, ZeroBudgetNoSpending, ZeroBudgetWithSpending), SummaryTable[[#This Row],[DiffAmount21]]/SummaryTable[[#This Row],[OriginalBudget21]])</f>
        <v>-3.6843683701918269E-2</v>
      </c>
      <c r="BL22" s="62">
        <f>IF(COUNTIFS(allFYsTable[Code], SummaryTable[[#This Row],[Code]], allFYsTable[year2], BL$3)=0, NotFound, SUMIFS(allFYsTable[OriginalBudget], allFYsTable[Code], SummaryTable[[#This Row],[Code]], allFYsTable[year2], BL$3))</f>
        <v>86917</v>
      </c>
      <c r="BM22" s="61">
        <f>SummaryTable[[#This Row],[OriginalBudget20]]-SummaryTable[[#This Row],[OriginalBudget19]]</f>
        <v>2749</v>
      </c>
      <c r="BN22" s="54">
        <f>SummaryTable[[#This Row],[BudgetIncreaseAmount20]]/SummaryTable[[#This Row],[OriginalBudget19]]</f>
        <v>3.2660868738713052E-2</v>
      </c>
      <c r="BO22" s="61">
        <f>IF(COUNTIFS(allFYsTable[Code], SummaryTable[[#This Row],[Code]], allFYsTable[year2], BL$3)=0, NotFound, SUMIFS(allFYsTable[RevisedBudget], allFYsTable[Code], SummaryTable[[#This Row],[Code]], allFYsTable[year2], BL$3))</f>
        <v>81171</v>
      </c>
      <c r="BP22" s="61">
        <f>IF(COUNTIFS(allFYsTable[Code], SummaryTable[[#This Row],[Code]], allFYsTable[year2], BL$3)=0, NotFound, SUMIFS(allFYsTable[Actual], allFYsTable[Code], SummaryTable[[#This Row],[Code]], allFYsTable[year2], BL$3))</f>
        <v>80292</v>
      </c>
      <c r="BQ22" s="61">
        <f>IF(COUNTIFS(allFYsTable[Code], SummaryTable[[#This Row],[Code]], allFYsTable[year2], BL$3)=0, NotFound, SUMIFS(allFYsTable[DiffAmount], allFYsTable[Code], SummaryTable[[#This Row],[Code]], allFYsTable[year2], BL$3))</f>
        <v>-6625</v>
      </c>
      <c r="BR22" s="63">
        <f>IF(SummaryTable[[#This Row],[OriginalBudget20]]=0, IF(SummaryTable[[#This Row],[DiffAmount20]]=0, ZeroBudgetNoSpending, ZeroBudgetWithSpending), SummaryTable[[#This Row],[DiffAmount20]]/SummaryTable[[#This Row],[OriginalBudget20]])</f>
        <v>-7.6222142963977127E-2</v>
      </c>
      <c r="BS22" s="62">
        <f>IF(COUNTIFS(allFYsTable[Code], SummaryTable[[#This Row],[Code]], allFYsTable[year2], BS$3)=0, NotFound, SUMIFS(allFYsTable[OriginalBudget], allFYsTable[Code], SummaryTable[[#This Row],[Code]], allFYsTable[year2], BS$3))</f>
        <v>84168</v>
      </c>
      <c r="BT22" s="61">
        <f>SummaryTable[[#This Row],[OriginalBudget19]]-SummaryTable[[#This Row],[OriginalBudget18]]</f>
        <v>10152</v>
      </c>
      <c r="BU22" s="54">
        <f>SummaryTable[[#This Row],[BudgetIncreaseAmount19]]/SummaryTable[[#This Row],[OriginalBudget18]]</f>
        <v>0.13715953307392997</v>
      </c>
      <c r="BV22" s="61">
        <f>IF(COUNTIFS(allFYsTable[Code], SummaryTable[[#This Row],[Code]], allFYsTable[year2], BS$3)=0, NotFound, SUMIFS(allFYsTable[RevisedBudget], allFYsTable[Code], SummaryTable[[#This Row],[Code]], allFYsTable[year2], BS$3))</f>
        <v>84590</v>
      </c>
      <c r="BW22" s="61">
        <f>IF(COUNTIFS(allFYsTable[Code], SummaryTable[[#This Row],[Code]], allFYsTable[year2], BS$3)=0, NotFound, SUMIFS(allFYsTable[Actual], allFYsTable[Code], SummaryTable[[#This Row],[Code]], allFYsTable[year2], BS$3))</f>
        <v>84397</v>
      </c>
      <c r="BX22" s="61">
        <f>IF(COUNTIFS(allFYsTable[Code], SummaryTable[[#This Row],[Code]], allFYsTable[year2], BS$3)=0, NotFound, SUMIFS(allFYsTable[DiffAmount], allFYsTable[Code], SummaryTable[[#This Row],[Code]], allFYsTable[year2], BS$3))</f>
        <v>229</v>
      </c>
      <c r="BY22" s="63">
        <f>IF(SummaryTable[[#This Row],[OriginalBudget19]]=0, IF(SummaryTable[[#This Row],[DiffAmount19]]=0, ZeroBudgetNoSpending, ZeroBudgetWithSpending), SummaryTable[[#This Row],[DiffAmount19]]/SummaryTable[[#This Row],[OriginalBudget19]])</f>
        <v>2.7207489782340084E-3</v>
      </c>
      <c r="BZ22" s="62">
        <f>IF(COUNTIFS(allFYsTable[Code], SummaryTable[[#This Row],[Code]], allFYsTable[year2], BZ$3)=0, NotFound, SUMIFS(allFYsTable[OriginalBudget], allFYsTable[Code], SummaryTable[[#This Row],[Code]], allFYsTable[year2], BZ$3))</f>
        <v>74016</v>
      </c>
      <c r="CA22" s="61">
        <f>SummaryTable[[#This Row],[OriginalBudget18]]-SummaryTable[[#This Row],[OriginalBudget17]]</f>
        <v>-2841</v>
      </c>
      <c r="CB22" s="54">
        <f>SummaryTable[[#This Row],[BudgetIncreaseAmount18]]/SummaryTable[[#This Row],[OriginalBudget17]]</f>
        <v>-3.6964752722588701E-2</v>
      </c>
      <c r="CC22" s="61">
        <f>IF(COUNTIFS(allFYsTable[Code], SummaryTable[[#This Row],[Code]], allFYsTable[year2], BZ$3)=0, NotFound, SUMIFS(allFYsTable[RevisedBudget], allFYsTable[Code], SummaryTable[[#This Row],[Code]], allFYsTable[year2], BZ$3))</f>
        <v>78646</v>
      </c>
      <c r="CD22" s="61">
        <f>IF(COUNTIFS(allFYsTable[Code], SummaryTable[[#This Row],[Code]], allFYsTable[year2], BZ$3)=0, NotFound, SUMIFS(allFYsTable[Actual], allFYsTable[Code], SummaryTable[[#This Row],[Code]], allFYsTable[year2], BZ$3))</f>
        <v>78114</v>
      </c>
      <c r="CE22" s="61">
        <f>IF(COUNTIFS(allFYsTable[Code], SummaryTable[[#This Row],[Code]], allFYsTable[year2], BZ$3)=0, NotFound, SUMIFS(allFYsTable[DiffAmount], allFYsTable[Code], SummaryTable[[#This Row],[Code]], allFYsTable[year2], BZ$3))</f>
        <v>4098</v>
      </c>
      <c r="CF22" s="63">
        <f>IF(SummaryTable[[#This Row],[OriginalBudget18]]=0, IF(SummaryTable[[#This Row],[DiffAmount18]]=0, ZeroBudgetNoSpending, ZeroBudgetWithSpending), SummaryTable[[#This Row],[DiffAmount18]]/SummaryTable[[#This Row],[OriginalBudget18]])</f>
        <v>5.536640726329442E-2</v>
      </c>
      <c r="CG22" s="62">
        <f>IF(COUNTIFS(allFYsTable[Code], SummaryTable[[#This Row],[Code]], allFYsTable[year2], CG$3)=0, NotFound, SUMIFS(allFYsTable[OriginalBudget], allFYsTable[Code], SummaryTable[[#This Row],[Code]], allFYsTable[year2], CG$3))</f>
        <v>76857</v>
      </c>
      <c r="CH22" s="61">
        <f>SummaryTable[[#This Row],[OriginalBudget17]]-SummaryTable[[#This Row],[OriginalBudget16]]</f>
        <v>-2013</v>
      </c>
      <c r="CI22" s="54">
        <f>SummaryTable[[#This Row],[BudgetIncreaseAmount17]]/SummaryTable[[#This Row],[OriginalBudget16]]</f>
        <v>-2.5523012552301255E-2</v>
      </c>
      <c r="CJ22" s="61">
        <f>IF(COUNTIFS(allFYsTable[Code], SummaryTable[[#This Row],[Code]], allFYsTable[year2], CG$3)=0, NotFound, SUMIFS(allFYsTable[RevisedBudget], allFYsTable[Code], SummaryTable[[#This Row],[Code]], allFYsTable[year2], CG$3))</f>
        <v>74266</v>
      </c>
      <c r="CK22" s="61">
        <f>IF(COUNTIFS(allFYsTable[Code], SummaryTable[[#This Row],[Code]], allFYsTable[year2], CG$3)=0, NotFound, SUMIFS(allFYsTable[Actual], allFYsTable[Code], SummaryTable[[#This Row],[Code]], allFYsTable[year2], CG$3))</f>
        <v>72862</v>
      </c>
      <c r="CL22" s="61">
        <f>IF(COUNTIFS(allFYsTable[Code], SummaryTable[[#This Row],[Code]], allFYsTable[year2], CG$3)=0, NotFound, SUMIFS(allFYsTable[DiffAmount], allFYsTable[Code], SummaryTable[[#This Row],[Code]], allFYsTable[year2], CG$3))</f>
        <v>-3995</v>
      </c>
      <c r="CM22" s="63">
        <f>IF(SummaryTable[[#This Row],[OriginalBudget17]]=0, IF(SummaryTable[[#This Row],[DiffAmount17]]=0, ZeroBudgetNoSpending, ZeroBudgetWithSpending), SummaryTable[[#This Row],[DiffAmount17]]/SummaryTable[[#This Row],[OriginalBudget17]])</f>
        <v>-5.1979650519796507E-2</v>
      </c>
      <c r="CN22" s="62">
        <f>IF(COUNTIFS(allFYsTable[Code], SummaryTable[[#This Row],[Code]], allFYsTable[year2], CN$3)=0, NotFound, SUMIFS(allFYsTable[OriginalBudget], allFYsTable[Code], SummaryTable[[#This Row],[Code]], allFYsTable[year2], CN$3))</f>
        <v>78870</v>
      </c>
      <c r="CO22" s="61">
        <f>SummaryTable[[#This Row],[OriginalBudget16]]-SummaryTable[[#This Row],[OriginalBudget15]]</f>
        <v>-733</v>
      </c>
      <c r="CP22" s="54">
        <f>SummaryTable[[#This Row],[BudgetIncreaseAmount16]]/SummaryTable[[#This Row],[OriginalBudget15]]</f>
        <v>-9.2081956710174245E-3</v>
      </c>
      <c r="CQ22" s="61">
        <f>IF(COUNTIFS(allFYsTable[Code], SummaryTable[[#This Row],[Code]], allFYsTable[year2], CN$3)=0, NotFound, SUMIFS(allFYsTable[RevisedBudget], allFYsTable[Code], SummaryTable[[#This Row],[Code]], allFYsTable[year2], CN$3))</f>
        <v>78586</v>
      </c>
      <c r="CR22" s="61">
        <f>IF(COUNTIFS(allFYsTable[Code], SummaryTable[[#This Row],[Code]], allFYsTable[year2], CN$3)=0, NotFound, SUMIFS(allFYsTable[Actual], allFYsTable[Code], SummaryTable[[#This Row],[Code]], allFYsTable[year2], CN$3))</f>
        <v>74485</v>
      </c>
      <c r="CS22" s="61">
        <f>IF(COUNTIFS(allFYsTable[Code], SummaryTable[[#This Row],[Code]], allFYsTable[year2], CN$3)=0, NotFound, SUMIFS(allFYsTable[DiffAmount], allFYsTable[Code], SummaryTable[[#This Row],[Code]], allFYsTable[year2], CN$3))</f>
        <v>-4385</v>
      </c>
      <c r="CT22" s="63">
        <f>IF(SummaryTable[[#This Row],[OriginalBudget16]]=0, IF(SummaryTable[[#This Row],[DiffAmount16]]=0, ZeroBudgetNoSpending, ZeroBudgetWithSpending), SummaryTable[[#This Row],[DiffAmount16]]/SummaryTable[[#This Row],[OriginalBudget16]])</f>
        <v>-5.5597819196145558E-2</v>
      </c>
      <c r="CU22" s="62">
        <f>IF(COUNTIFS(allFYsTable[Code], SummaryTable[[#This Row],[Code]], allFYsTable[year2], CU$3)=0, NotFound, SUMIFS(allFYsTable[OriginalBudget], allFYsTable[Code], SummaryTable[[#This Row],[Code]], allFYsTable[year2], CU$3))</f>
        <v>79603</v>
      </c>
      <c r="CV22" s="61">
        <f>SummaryTable[[#This Row],[OriginalBudget15]]-SummaryTable[[#This Row],[OriginalBudget14]]</f>
        <v>10201</v>
      </c>
      <c r="CW22" s="54">
        <f>SummaryTable[[#This Row],[BudgetIncreaseAmount15]]/SummaryTable[[#This Row],[OriginalBudget14]]</f>
        <v>0.14698423676551109</v>
      </c>
      <c r="CX22" s="61">
        <f>IF(COUNTIFS(allFYsTable[Code], SummaryTable[[#This Row],[Code]], allFYsTable[year2], CU$3)=0, NotFound, SUMIFS(allFYsTable[RevisedBudget], allFYsTable[Code], SummaryTable[[#This Row],[Code]], allFYsTable[year2], CU$3))</f>
        <v>78149</v>
      </c>
      <c r="CY22" s="61">
        <f>IF(COUNTIFS(allFYsTable[Code], SummaryTable[[#This Row],[Code]], allFYsTable[year2], CU$3)=0, NotFound, SUMIFS(allFYsTable[Actual], allFYsTable[Code], SummaryTable[[#This Row],[Code]], allFYsTable[year2], CU$3))</f>
        <v>77647</v>
      </c>
      <c r="CZ22" s="61">
        <f>IF(COUNTIFS(allFYsTable[Code], SummaryTable[[#This Row],[Code]], allFYsTable[year2], CU$3)=0, NotFound, SUMIFS(allFYsTable[DiffAmount], allFYsTable[Code], SummaryTable[[#This Row],[Code]], allFYsTable[year2], CU$3))</f>
        <v>-1956</v>
      </c>
      <c r="DA22" s="63">
        <f>IF(SummaryTable[[#This Row],[OriginalBudget15]]=0, IF(SummaryTable[[#This Row],[DiffAmount15]]=0, ZeroBudgetNoSpending, ZeroBudgetWithSpending), SummaryTable[[#This Row],[DiffAmount15]]/SummaryTable[[#This Row],[OriginalBudget15]])</f>
        <v>-2.4571938243533535E-2</v>
      </c>
      <c r="DB22" s="62">
        <f>IF(COUNTIFS(allFYsTable[Code], SummaryTable[[#This Row],[Code]], allFYsTable[year2], DB$3)=0, NotFound, SUMIFS(allFYsTable[OriginalBudget], allFYsTable[Code], SummaryTable[[#This Row],[Code]], allFYsTable[year2], DB$3))</f>
        <v>69402</v>
      </c>
      <c r="DC22" s="61">
        <f>SummaryTable[[#This Row],[OriginalBudget14]]-SummaryTable[[#This Row],[OriginalBudget13]]</f>
        <v>-18977</v>
      </c>
      <c r="DD22" s="54">
        <f>SummaryTable[[#This Row],[BudgetIncreaseAmount14]]/SummaryTable[[#This Row],[OriginalBudget13]]</f>
        <v>-0.21472295454802612</v>
      </c>
      <c r="DE22" s="61">
        <f>IF(COUNTIFS(allFYsTable[Code], SummaryTable[[#This Row],[Code]], allFYsTable[year2], DB$3)=0, NotFound, SUMIFS(allFYsTable[RevisedBudget], allFYsTable[Code], SummaryTable[[#This Row],[Code]], allFYsTable[year2], DB$3))</f>
        <v>69533</v>
      </c>
      <c r="DF22" s="61">
        <f>IF(COUNTIFS(allFYsTable[Code], SummaryTable[[#This Row],[Code]], allFYsTable[year2], DB$3)=0, NotFound, SUMIFS(allFYsTable[Actual], allFYsTable[Code], SummaryTable[[#This Row],[Code]], allFYsTable[year2], DB$3))</f>
        <v>67584</v>
      </c>
      <c r="DG22" s="61">
        <f>IF(COUNTIFS(allFYsTable[Code], SummaryTable[[#This Row],[Code]], allFYsTable[year2], DB$3)=0, NotFound, SUMIFS(allFYsTable[DiffAmount], allFYsTable[Code], SummaryTable[[#This Row],[Code]], allFYsTable[year2], DB$3))</f>
        <v>-1818</v>
      </c>
      <c r="DH22" s="63">
        <f>IF(SummaryTable[[#This Row],[OriginalBudget14]]=0, IF(SummaryTable[[#This Row],[DiffAmount14]]=0, ZeroBudgetNoSpending, ZeroBudgetWithSpending), SummaryTable[[#This Row],[DiffAmount14]]/SummaryTable[[#This Row],[OriginalBudget14]])</f>
        <v>-2.6195210512665341E-2</v>
      </c>
      <c r="DI22" s="62">
        <f>IF(COUNTIFS(allFYsTable[Code], SummaryTable[[#This Row],[Code]], allFYsTable[year2], DI$3)=0, NotFound, SUMIFS(allFYsTable[OriginalBudget], allFYsTable[Code], SummaryTable[[#This Row],[Code]], allFYsTable[year2], DI$3))</f>
        <v>88379</v>
      </c>
      <c r="DJ22" s="61">
        <f>SummaryTable[[#This Row],[OriginalBudget13]]-SummaryTable[[#This Row],[OriginalBudget12]]</f>
        <v>-2293</v>
      </c>
      <c r="DK22" s="54">
        <f>SummaryTable[[#This Row],[BudgetIncreaseAmount13]]/SummaryTable[[#This Row],[OriginalBudget12]]</f>
        <v>-2.5288953590965238E-2</v>
      </c>
      <c r="DL22" s="61">
        <f>IF(COUNTIFS(allFYsTable[Code], SummaryTable[[#This Row],[Code]], allFYsTable[year2], DI$3)=0, NotFound, SUMIFS(allFYsTable[RevisedBudget], allFYsTable[Code], SummaryTable[[#This Row],[Code]], allFYsTable[year2], DI$3))</f>
        <v>88682</v>
      </c>
      <c r="DM22" s="61">
        <f>IF(COUNTIFS(allFYsTable[Code], SummaryTable[[#This Row],[Code]], allFYsTable[year2], DI$3)=0, NotFound, SUMIFS(allFYsTable[Actual], allFYsTable[Code], SummaryTable[[#This Row],[Code]], allFYsTable[year2], DI$3))</f>
        <v>86953</v>
      </c>
      <c r="DN22" s="61">
        <f>IF(COUNTIFS(allFYsTable[Code], SummaryTable[[#This Row],[Code]], allFYsTable[year2], DI$3)=0, NotFound, SUMIFS(allFYsTable[DiffAmount], allFYsTable[Code], SummaryTable[[#This Row],[Code]], allFYsTable[year2], DI$3))</f>
        <v>-1426</v>
      </c>
      <c r="DO22" s="63">
        <f>IF(SummaryTable[[#This Row],[OriginalBudget13]]=0, IF(SummaryTable[[#This Row],[DiffAmount13]]=0, ZeroBudgetNoSpending, ZeroBudgetWithSpending), SummaryTable[[#This Row],[DiffAmount13]]/SummaryTable[[#This Row],[OriginalBudget13]])</f>
        <v>-1.6135054707566276E-2</v>
      </c>
      <c r="DP22" s="62">
        <f>IF(COUNTIFS(allFYsTable[Code], SummaryTable[[#This Row],[Code]], allFYsTable[year2], DP$3)=0, NotFound, SUMIFS(allFYsTable[OriginalBudget], allFYsTable[Code], SummaryTable[[#This Row],[Code]], allFYsTable[year2], DP$3))</f>
        <v>90672</v>
      </c>
      <c r="DQ22" s="61">
        <f>SummaryTable[[#This Row],[OriginalBudget12]]-SummaryTable[[#This Row],[OriginalBudget11]]</f>
        <v>18449</v>
      </c>
      <c r="DR22" s="54">
        <f>SummaryTable[[#This Row],[BudgetIncreaseAmount12]]/SummaryTable[[#This Row],[OriginalBudget11]]</f>
        <v>0.25544494136216994</v>
      </c>
      <c r="DS22" s="61">
        <f>IF(COUNTIFS(allFYsTable[Code], SummaryTable[[#This Row],[Code]], allFYsTable[year2], DP$3)=0, NotFound, SUMIFS(allFYsTable[RevisedBudget], allFYsTable[Code], SummaryTable[[#This Row],[Code]], allFYsTable[year2], DP$3))</f>
        <v>91736</v>
      </c>
      <c r="DT22" s="61">
        <f>IF(COUNTIFS(allFYsTable[Code], SummaryTable[[#This Row],[Code]], allFYsTable[year2], DP$3)=0, NotFound, SUMIFS(allFYsTable[Actual], allFYsTable[Code], SummaryTable[[#This Row],[Code]], allFYsTable[year2], DP$3))</f>
        <v>89864</v>
      </c>
      <c r="DU22" s="61">
        <f>IF(COUNTIFS(allFYsTable[Code], SummaryTable[[#This Row],[Code]], allFYsTable[year2], DP$3)=0, NotFound, SUMIFS(allFYsTable[DiffAmount], allFYsTable[Code], SummaryTable[[#This Row],[Code]], allFYsTable[year2], DP$3))</f>
        <v>-808</v>
      </c>
      <c r="DV22" s="63">
        <f>IF(SummaryTable[[#This Row],[OriginalBudget12]]=0, IF(SummaryTable[[#This Row],[DiffAmount12]]=0, ZeroBudgetNoSpending, ZeroBudgetWithSpending), SummaryTable[[#This Row],[DiffAmount12]]/SummaryTable[[#This Row],[OriginalBudget12]])</f>
        <v>-8.9112405152638081E-3</v>
      </c>
      <c r="DW22" s="62">
        <f>IF(COUNTIFS(allFYsTable[Code], SummaryTable[[#This Row],[Code]], allFYsTable[year2], DW$3)=0, NotFound, SUMIFS(allFYsTable[OriginalBudget], allFYsTable[Code], SummaryTable[[#This Row],[Code]], allFYsTable[year2], DW$3))</f>
        <v>72223</v>
      </c>
      <c r="DX22" s="61">
        <f>SummaryTable[[#This Row],[OriginalBudget11]]-SummaryTable[[#This Row],[OriginalBudget10]]</f>
        <v>-5967</v>
      </c>
      <c r="DY22" s="54">
        <f>SummaryTable[[#This Row],[BudgetIncreaseAmount11]]/SummaryTable[[#This Row],[OriginalBudget10]]</f>
        <v>-7.6314106663256165E-2</v>
      </c>
      <c r="DZ22" s="61">
        <f>IF(COUNTIFS(allFYsTable[Code], SummaryTable[[#This Row],[Code]], allFYsTable[year2], DW$3)=0, NotFound, SUMIFS(allFYsTable[RevisedBudget], allFYsTable[Code], SummaryTable[[#This Row],[Code]], allFYsTable[year2], DW$3))</f>
        <v>74018</v>
      </c>
      <c r="EA22" s="61">
        <f>IF(COUNTIFS(allFYsTable[Code], SummaryTable[[#This Row],[Code]], allFYsTable[year2], DW$3)=0, NotFound, SUMIFS(allFYsTable[Actual], allFYsTable[Code], SummaryTable[[#This Row],[Code]], allFYsTable[year2], DW$3))</f>
        <v>72815</v>
      </c>
      <c r="EB22" s="61">
        <f>IF(COUNTIFS(allFYsTable[Code], SummaryTable[[#This Row],[Code]], allFYsTable[year2], DW$3)=0, NotFound, SUMIFS(allFYsTable[DiffAmount], allFYsTable[Code], SummaryTable[[#This Row],[Code]], allFYsTable[year2], DW$3))</f>
        <v>592</v>
      </c>
      <c r="EC22" s="63">
        <f>IF(SummaryTable[[#This Row],[OriginalBudget11]]=0, IF(SummaryTable[[#This Row],[DiffAmount11]]=0, ZeroBudgetNoSpending, ZeroBudgetWithSpending), SummaryTable[[#This Row],[DiffAmount11]]/SummaryTable[[#This Row],[OriginalBudget11]])</f>
        <v>8.1968348033175029E-3</v>
      </c>
      <c r="ED22" s="62">
        <f>IF(COUNTIFS(allFYsTable[Code], SummaryTable[[#This Row],[Code]], allFYsTable[year2], ED$3)=0, NotFound, SUMIFS(allFYsTable[OriginalBudget], allFYsTable[Code], SummaryTable[[#This Row],[Code]], allFYsTable[year2], ED$3))</f>
        <v>78190</v>
      </c>
      <c r="EE22" s="61">
        <f>SummaryTable[[#This Row],[OriginalBudget10]]-SummaryTable[[#This Row],[OriginalBudget09]]</f>
        <v>-17145</v>
      </c>
      <c r="EF22" s="54">
        <f>SummaryTable[[#This Row],[BudgetIncreaseAmount10]]/SummaryTable[[#This Row],[OriginalBudget09]]</f>
        <v>-0.1798395132952221</v>
      </c>
      <c r="EG22" s="61">
        <f>IF(COUNTIFS(allFYsTable[Code], SummaryTable[[#This Row],[Code]], allFYsTable[year2], ED$3)=0, NotFound, SUMIFS(allFYsTable[RevisedBudget], allFYsTable[Code], SummaryTable[[#This Row],[Code]], allFYsTable[year2], ED$3))</f>
        <v>73550</v>
      </c>
      <c r="EH22" s="61">
        <f>IF(COUNTIFS(allFYsTable[Code], SummaryTable[[#This Row],[Code]], allFYsTable[year2], ED$3)=0, NotFound, SUMIFS(allFYsTable[Actual], allFYsTable[Code], SummaryTable[[#This Row],[Code]], allFYsTable[year2], ED$3))</f>
        <v>72639</v>
      </c>
      <c r="EI22" s="61">
        <f>IF(COUNTIFS(allFYsTable[Code], SummaryTable[[#This Row],[Code]], allFYsTable[year2], ED$3)=0, NotFound, SUMIFS(allFYsTable[DiffAmount], allFYsTable[Code], SummaryTable[[#This Row],[Code]], allFYsTable[year2], ED$3))</f>
        <v>-5551</v>
      </c>
      <c r="EJ22" s="63">
        <f>IF(SummaryTable[[#This Row],[OriginalBudget10]]=0, IF(SummaryTable[[#This Row],[DiffAmount10]]=0, ZeroBudgetNoSpending, ZeroBudgetWithSpending), SummaryTable[[#This Row],[DiffAmount10]]/SummaryTable[[#This Row],[OriginalBudget10]])</f>
        <v>-7.0993733213965987E-2</v>
      </c>
      <c r="EK22" s="62">
        <f>IF(COUNTIFS(allFYsTable[Code], SummaryTable[[#This Row],[Code]], allFYsTable[year2], EK$3)=0, NotFound, SUMIFS(allFYsTable[OriginalBudget], allFYsTable[Code], SummaryTable[[#This Row],[Code]], allFYsTable[year2], EK$3))</f>
        <v>95335</v>
      </c>
      <c r="EL22" s="61">
        <f>SummaryTable[[#This Row],[OriginalBudget09]]-SummaryTable[[#This Row],[OriginalBudget08]]</f>
        <v>-582278</v>
      </c>
      <c r="EM22" s="54">
        <f>SummaryTable[[#This Row],[BudgetIncreaseAmount09]]/SummaryTable[[#This Row],[OriginalBudget08]]</f>
        <v>-0.85930759888018682</v>
      </c>
      <c r="EN22" s="61">
        <f>IF(COUNTIFS(allFYsTable[Code], SummaryTable[[#This Row],[Code]], allFYsTable[year2], EK$3)=0, NotFound, SUMIFS(allFYsTable[RevisedBudget], allFYsTable[Code], SummaryTable[[#This Row],[Code]], allFYsTable[year2], EK$3))</f>
        <v>97567</v>
      </c>
      <c r="EO22" s="61">
        <f>IF(COUNTIFS(allFYsTable[Code], SummaryTable[[#This Row],[Code]], allFYsTable[year2], EK$3)=0, NotFound, SUMIFS(allFYsTable[Actual], allFYsTable[Code], SummaryTable[[#This Row],[Code]], allFYsTable[year2], EK$3))</f>
        <v>97494</v>
      </c>
      <c r="EP22" s="61">
        <f>IF(COUNTIFS(allFYsTable[Code], SummaryTable[[#This Row],[Code]], allFYsTable[year2], EK$3)=0, NotFound, SUMIFS(allFYsTable[DiffAmount], allFYsTable[Code], SummaryTable[[#This Row],[Code]], allFYsTable[year2], EK$3))</f>
        <v>2159</v>
      </c>
      <c r="EQ22" s="63">
        <f>IF(SummaryTable[[#This Row],[OriginalBudget09]]=0, IF(SummaryTable[[#This Row],[DiffAmount09]]=0, ZeroBudgetNoSpending, ZeroBudgetWithSpending), SummaryTable[[#This Row],[DiffAmount09]]/SummaryTable[[#This Row],[OriginalBudget09]])</f>
        <v>2.2646457229768709E-2</v>
      </c>
      <c r="ER22" s="62">
        <f>IF(COUNTIFS(allFYsTable[Code], SummaryTable[[#This Row],[Code]], allFYsTable[year2], ER$3)=0, NotFound, SUMIFS(allFYsTable[OriginalBudget], allFYsTable[Code], SummaryTable[[#This Row],[Code]], allFYsTable[year2], ER$3))</f>
        <v>677613</v>
      </c>
      <c r="ES22" s="61">
        <f>SummaryTable[[#This Row],[OriginalBudget08]]-SummaryTable[[#This Row],[OriginalBudget07]]</f>
        <v>82989</v>
      </c>
      <c r="ET22" s="54">
        <f>SummaryTable[[#This Row],[BudgetIncreaseAmount08]]/SummaryTable[[#This Row],[OriginalBudget07]]</f>
        <v>0.13956550694220213</v>
      </c>
      <c r="EU22" s="61">
        <f>IF(COUNTIFS(allFYsTable[Code], SummaryTable[[#This Row],[Code]], allFYsTable[year2], ER$3)=0, NotFound, SUMIFS(allFYsTable[RevisedBudget], allFYsTable[Code], SummaryTable[[#This Row],[Code]], allFYsTable[year2], ER$3))</f>
        <v>692534</v>
      </c>
      <c r="EV22" s="61">
        <f>IF(COUNTIFS(allFYsTable[Code], SummaryTable[[#This Row],[Code]], allFYsTable[year2], ER$3)=0, NotFound, SUMIFS(allFYsTable[Actual], allFYsTable[Code], SummaryTable[[#This Row],[Code]], allFYsTable[year2], ER$3))</f>
        <v>664808</v>
      </c>
      <c r="EW22" s="61">
        <f>IF(COUNTIFS(allFYsTable[Code], SummaryTable[[#This Row],[Code]], allFYsTable[year2], ER$3)=0, NotFound, SUMIFS(allFYsTable[DiffAmount], allFYsTable[Code], SummaryTable[[#This Row],[Code]], allFYsTable[year2], ER$3))</f>
        <v>-12805</v>
      </c>
      <c r="EX22" s="63">
        <f>IF(SummaryTable[[#This Row],[OriginalBudget08]]=0, IF(SummaryTable[[#This Row],[DiffAmount08]]=0, ZeroBudgetNoSpending, ZeroBudgetWithSpending), SummaryTable[[#This Row],[DiffAmount08]]/SummaryTable[[#This Row],[OriginalBudget08]])</f>
        <v>-1.8897217143118563E-2</v>
      </c>
      <c r="EY22" s="62">
        <f>IF(COUNTIFS(allFYsTable[Code], SummaryTable[[#This Row],[Code]], allFYsTable[year2], EY$3)=0, NotFound, SUMIFS(allFYsTable[OriginalBudget], allFYsTable[Code], SummaryTable[[#This Row],[Code]], allFYsTable[year2], EY$3))</f>
        <v>594624</v>
      </c>
      <c r="EZ22" s="61">
        <f>SummaryTable[[#This Row],[OriginalBudget07]]-SummaryTable[[#This Row],[OriginalBudget06]]</f>
        <v>48319</v>
      </c>
      <c r="FA22" s="54">
        <f>SummaryTable[[#This Row],[BudgetIncreaseAmount07]]/SummaryTable[[#This Row],[OriginalBudget06]]</f>
        <v>8.8446929828575618E-2</v>
      </c>
      <c r="FB22" s="61">
        <f>IF(COUNTIFS(allFYsTable[Code], SummaryTable[[#This Row],[Code]], allFYsTable[year2], EY$3)=0, NotFound, SUMIFS(allFYsTable[RevisedBudget], allFYsTable[Code], SummaryTable[[#This Row],[Code]], allFYsTable[year2], EY$3))</f>
        <v>623881</v>
      </c>
      <c r="FC22" s="61">
        <f>IF(COUNTIFS(allFYsTable[Code], SummaryTable[[#This Row],[Code]], allFYsTable[year2], EY$3)=0, NotFound, SUMIFS(allFYsTable[Actual], allFYsTable[Code], SummaryTable[[#This Row],[Code]], allFYsTable[year2], EY$3))</f>
        <v>618367</v>
      </c>
      <c r="FD22" s="61">
        <f>IF(COUNTIFS(allFYsTable[Code], SummaryTable[[#This Row],[Code]], allFYsTable[year2], EY$3)=0, NotFound, SUMIFS(allFYsTable[DiffAmount], allFYsTable[Code], SummaryTable[[#This Row],[Code]], allFYsTable[year2], EY$3))</f>
        <v>23743</v>
      </c>
      <c r="FE22" s="63">
        <f>IF(SummaryTable[[#This Row],[OriginalBudget07]]=0, IF(SummaryTable[[#This Row],[DiffAmount07]]=0, ZeroBudgetNoSpending, ZeroBudgetWithSpending), SummaryTable[[#This Row],[DiffAmount07]]/SummaryTable[[#This Row],[OriginalBudget07]])</f>
        <v>3.9929434398880637E-2</v>
      </c>
      <c r="FF22" s="62">
        <f>IF(COUNTIFS(allFYsTable[Code], SummaryTable[[#This Row],[Code]], allFYsTable[year2], FF$3)=0, NotFound, SUMIFS(allFYsTable[OriginalBudget], allFYsTable[Code], SummaryTable[[#This Row],[Code]], allFYsTable[year2], FF$3))</f>
        <v>546305</v>
      </c>
      <c r="FI22" s="61">
        <f>IF(COUNTIFS(allFYsTable[Code], SummaryTable[[#This Row],[Code]], allFYsTable[year2], FF$3)=0, NotFound, SUMIFS(allFYsTable[RevisedBudget], allFYsTable[Code], SummaryTable[[#This Row],[Code]], allFYsTable[year2], FF$3))</f>
        <v>564728</v>
      </c>
      <c r="FJ22" s="61">
        <f>IF(COUNTIFS(allFYsTable[Code], SummaryTable[[#This Row],[Code]], allFYsTable[year2], FF$3)=0, NotFound, SUMIFS(allFYsTable[Actual], allFYsTable[Code], SummaryTable[[#This Row],[Code]], allFYsTable[year2], FF$3))</f>
        <v>561762</v>
      </c>
      <c r="FK22" s="61">
        <f>IF(COUNTIFS(allFYsTable[Code], SummaryTable[[#This Row],[Code]], allFYsTable[year2], FF$3)=0, NotFound, SUMIFS(allFYsTable[DiffAmount], allFYsTable[Code], SummaryTable[[#This Row],[Code]], allFYsTable[year2], FF$3))</f>
        <v>15457</v>
      </c>
      <c r="FL22" s="63">
        <f>IF(SummaryTable[[#This Row],[OriginalBudget06]]=0, IF(SummaryTable[[#This Row],[DiffAmount06]]=0, ZeroBudgetNoSpending, ZeroBudgetWithSpending), SummaryTable[[#This Row],[DiffAmount06]]/SummaryTable[[#This Row],[OriginalBudget06]])</f>
        <v>2.8293718710244279E-2</v>
      </c>
    </row>
    <row r="23" spans="1:168" x14ac:dyDescent="0.45">
      <c r="A23" t="s">
        <v>817</v>
      </c>
      <c r="B23">
        <f>_xlfn.MAXIFS(allFYsTable[year2], allFYsTable[Code], SummaryTable[[#This Row],[Code]])</f>
        <v>2025</v>
      </c>
      <c r="C23" t="str">
        <f>_xlfn.XLOOKUP(SummaryTable[[#This Row],[Code]], NameCodingTable[Code], NameCodingTable[Most Recent Category per allFYs])</f>
        <v>Debt service - issuance costs</v>
      </c>
      <c r="D23" t="str">
        <f>_xlfn.XLOOKUP(SummaryTable[[#This Row],[Code]], NameCodingTable[Code], NameCodingTable[Unit Display Name])</f>
        <v>Debt Service - Issuance Costs</v>
      </c>
      <c r="E23" t="str">
        <f>_xlfn.XLOOKUP(SummaryTable[[#This Row],[Code]], NameCodingTable[Code], NameCodingTable[Type])</f>
        <v>xother</v>
      </c>
      <c r="F2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2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23" s="54">
        <f>SummaryTable[[#This Row],['# Over]]/SummaryTable[[#This Row],[Count]]</f>
        <v>0</v>
      </c>
      <c r="I2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20</v>
      </c>
      <c r="J23" s="54">
        <f>SummaryTable[[#This Row],['# Under]]/SummaryTable[[#This Row],[Count]]</f>
        <v>1</v>
      </c>
      <c r="K2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23" s="54">
        <f>SummaryTable[[#This Row],['# Equal]]/SummaryTable[[#This Row],[Count]]</f>
        <v>0</v>
      </c>
      <c r="M23" s="61">
        <f>SUMIFS(allFYsTable[OriginalBudget],allFYsTable[Code],SummaryTable[[#This Row],[Code]])/SummaryTable[[#This Row],[Count]]</f>
        <v>14450</v>
      </c>
      <c r="N23" s="61">
        <f>SUMIFS(allFYsTable[Actual],allFYsTable[Code],SummaryTable[[#This Row],[Code]])/SummaryTable[[#This Row],[Count]]</f>
        <v>6056.65</v>
      </c>
      <c r="O23" s="61">
        <f>SummaryTable[[#This Row],[AvgActAmt]]-SummaryTable[[#This Row],[AvgBudAmt]]</f>
        <v>-8393.35</v>
      </c>
      <c r="P23" s="54">
        <f>IF(SummaryTable[[#This Row],[AvgBudAmt]]=0, IF(SummaryTable[[#This Row],[AvgDiff'#]]=0, 0, NamedFields!$C$3), SummaryTable[[#This Row],[AvgDiff'#]]/SummaryTable[[#This Row],[AvgBudAmt]])</f>
        <v>-0.58085467128027679</v>
      </c>
      <c r="Q23" s="61">
        <f>IFERROR(SUMIFS(allFYsTable[OriginalBudget],allFYsTable[Code],SummaryTable[[#This Row],[Code]],allFYsTable[DiffAmount], "&gt;0")/SummaryTable[[#This Row],['# Over]], 0)</f>
        <v>0</v>
      </c>
      <c r="R23" s="61">
        <f>IFERROR(SUMIFS(allFYsTable[Actual],allFYsTable[Code],SummaryTable[[#This Row],[Code]],allFYsTable[DiffAmount], "&gt;0")/SummaryTable[[#This Row],['# Over]], 0)</f>
        <v>0</v>
      </c>
      <c r="S23" s="61">
        <f>SummaryTable[[#This Row],[OverAvgAct]]-SummaryTable[[#This Row],[OverAvgBud]]</f>
        <v>0</v>
      </c>
      <c r="T23" s="54">
        <f>IF(SummaryTable[[#This Row],[OverAvgBud]]=0, IF(SummaryTable[[#This Row],[OverAvgDiff'#]]=0, ZeroBudgetNoSpending, ZeroBudgetWithSpending), SummaryTable[[#This Row],[OverAvgDiff'#]]/SummaryTable[[#This Row],[OverAvgBud]])</f>
        <v>0</v>
      </c>
      <c r="U23" s="61">
        <f>IFERROR(SUMIFS(allFYsTable[OriginalBudget],allFYsTable[Code],SummaryTable[[#This Row],[Code]],allFYsTable[DiffAmount], "&lt;0")/SummaryTable[[#This Row],['# Under]], 0)</f>
        <v>14450</v>
      </c>
      <c r="V23" s="61">
        <f>IFERROR( SUMIFS(allFYsTable[Actual],allFYsTable[Code],SummaryTable[[#This Row],[Code]],allFYsTable[DiffAmount], "&lt;0")/SummaryTable[[#This Row],['# Under]], 0)</f>
        <v>5809.9</v>
      </c>
      <c r="W23" s="61">
        <f>SummaryTable[[#This Row],[UnderAvgAct]]-SummaryTable[[#This Row],[UnderAvgBud]]</f>
        <v>-8640.1</v>
      </c>
      <c r="X23" s="54">
        <f>IF(SummaryTable[[#This Row],[UnderAvgBud]]=0, IF(SummaryTable[[#This Row],[UnderAvgDiff'#]]=0, ZeroBudgetNoSpending, NamedFields!$C$3), SummaryTable[[#This Row],[UnderAvgDiff'#]]/SummaryTable[[#This Row],[UnderAvgBud]])</f>
        <v>-0.59793079584775088</v>
      </c>
      <c r="Y2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2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23" s="54">
        <f>IF(SummaryTable[[#This Row],[IncreaseYears]]=0, ZeroBudgetNoSpending, SummaryTable[[#This Row],[OSinIncreaseYear'#]]/SummaryTable[[#This Row],[IncreaseYears]])</f>
        <v>0</v>
      </c>
      <c r="AB23" s="58" t="str">
        <f>SummaryTable[[#This Row],[Code]]</f>
        <v>ZB0</v>
      </c>
      <c r="AC23" s="62">
        <f>IF(COUNTIFS(allFYsTable[Code], SummaryTable[[#This Row],[Code]], allFYsTable[year2], AC$3)=0, NotFound, SUMIFS(allFYsTable[OriginalBudget], allFYsTable[Code], SummaryTable[[#This Row],[Code]], allFYsTable[year2], AC$3))</f>
        <v>11000</v>
      </c>
      <c r="AD23" s="61">
        <f>SummaryTable[[#This Row],[OriginalBudget25]]-SummaryTable[[#This Row],[OriginalBudget24]]</f>
        <v>0</v>
      </c>
      <c r="AE23" s="54">
        <f>SummaryTable[[#This Row],[BudgetIncreaseAmount25]]/SummaryTable[[#This Row],[OriginalBudget24]]</f>
        <v>0</v>
      </c>
      <c r="AF23" s="61">
        <f>IF(COUNTIFS(allFYsTable[Code], SummaryTable[[#This Row],[Code]], allFYsTable[year2], AC$3)=0, NotFound, SUMIFS(allFYsTable[RevisedBudget], allFYsTable[Code], SummaryTable[[#This Row],[Code]], allFYsTable[year2], AC$3))</f>
        <v>11000</v>
      </c>
      <c r="AG23" s="61">
        <f>IF(COUNTIFS(allFYsTable[Code], SummaryTable[[#This Row],[Code]], allFYsTable[year2], AC$3)=0, NotFound, SUMIFS(allFYsTable[Actual], allFYsTable[Code], SummaryTable[[#This Row],[Code]], allFYsTable[year2], AC$3))</f>
        <v>10244</v>
      </c>
      <c r="AH23" s="61">
        <f>IF(COUNTIFS(allFYsTable[Code], SummaryTable[[#This Row],[Code]], allFYsTable[year2], AC$3)=0, NotFound, SUMIFS(allFYsTable[DiffAmount], allFYsTable[Code], SummaryTable[[#This Row],[Code]], allFYsTable[year2], AC$3))</f>
        <v>-756</v>
      </c>
      <c r="AI23" s="63">
        <f>IF(SummaryTable[[#This Row],[OriginalBudget25]]=0, IF(SummaryTable[[#This Row],[DiffAmount25]]=0, ZeroBudgetNoSpending, ZeroBudgetWithSpending), SummaryTable[[#This Row],[DiffAmount25]]/SummaryTable[[#This Row],[OriginalBudget25]])</f>
        <v>-6.8727272727272734E-2</v>
      </c>
      <c r="AJ23" s="62">
        <f>IF(COUNTIFS(allFYsTable[Code], SummaryTable[[#This Row],[Code]], allFYsTable[year2], AJ$3)=0, NotFound, SUMIFS(allFYsTable[OriginalBudget], allFYsTable[Code], SummaryTable[[#This Row],[Code]], allFYsTable[year2], AJ$3))</f>
        <v>11000</v>
      </c>
      <c r="AK23" s="61">
        <f>SummaryTable[[#This Row],[OriginalBudget24]]-SummaryTable[[#This Row],[OriginalBudget23]]</f>
        <v>0</v>
      </c>
      <c r="AL23" s="54">
        <f>SummaryTable[[#This Row],[BudgetIncreaseAmount24]]/SummaryTable[[#This Row],[OriginalBudget23]]</f>
        <v>0</v>
      </c>
      <c r="AM23" s="61">
        <f>IF(COUNTIFS(allFYsTable[Code], SummaryTable[[#This Row],[Code]], allFYsTable[year2], AK$3)=0, NotFound, SUMIFS(allFYsTable[RevisedBudget], allFYsTable[Code], SummaryTable[[#This Row],[Code]], allFYsTable[year2], AJ$3))</f>
        <v>5031</v>
      </c>
      <c r="AN23" s="61">
        <f>IF(COUNTIFS(allFYsTable[Code], SummaryTable[[#This Row],[Code]], allFYsTable[year2], AJ$3)=0, NotFound, SUMIFS(allFYsTable[Actual], allFYsTable[Code], SummaryTable[[#This Row],[Code]], allFYsTable[year2], AJ$3))</f>
        <v>4114</v>
      </c>
      <c r="AO23" s="61">
        <f>IF(COUNTIFS(allFYsTable[Code], SummaryTable[[#This Row],[Code]], allFYsTable[year2], AJ$3)=0, NotFound, SUMIFS(allFYsTable[DiffAmount], allFYsTable[Code], SummaryTable[[#This Row],[Code]], allFYsTable[year2], AJ$3))</f>
        <v>-6886</v>
      </c>
      <c r="AP23" s="63">
        <f>IF(SummaryTable[[#This Row],[OriginalBudget24]]=0, IF(SummaryTable[[#This Row],[DiffAmount24]]=0, ZeroBudgetNoSpending, ZeroBudgetWithSpending), SummaryTable[[#This Row],[DiffAmount24]]/SummaryTable[[#This Row],[OriginalBudget24]])</f>
        <v>-0.626</v>
      </c>
      <c r="AQ23" s="62">
        <f>IF(COUNTIFS(allFYsTable[Code], SummaryTable[[#This Row],[Code]], allFYsTable[year2], AQ$3)=0, NotFound, SUMIFS(allFYsTable[OriginalBudget], allFYsTable[Code], SummaryTable[[#This Row],[Code]], allFYsTable[year2], AQ$3))</f>
        <v>11000</v>
      </c>
      <c r="AR23" s="61">
        <f>SummaryTable[[#This Row],[OriginalBudget23]]-SummaryTable[[#This Row],[OriginalBudget22]]</f>
        <v>1000</v>
      </c>
      <c r="AS23" s="54">
        <f>SummaryTable[[#This Row],[BudgetIncreaseAmount23]]/SummaryTable[[#This Row],[OriginalBudget22]]</f>
        <v>0.1</v>
      </c>
      <c r="AT23" s="61">
        <f>IF(COUNTIFS(allFYsTable[Code], SummaryTable[[#This Row],[Code]], allFYsTable[year2], AQ$3)=0, NotFound, SUMIFS(allFYsTable[RevisedBudget], allFYsTable[Code], SummaryTable[[#This Row],[Code]], allFYsTable[year2], AQ$3))</f>
        <v>6522</v>
      </c>
      <c r="AU23" s="61">
        <f>IF(COUNTIFS(allFYsTable[Code], SummaryTable[[#This Row],[Code]], allFYsTable[year2], AQ$3)=0, NotFound, SUMIFS(allFYsTable[Actual], allFYsTable[Code], SummaryTable[[#This Row],[Code]], allFYsTable[year2], AQ$3))</f>
        <v>6306</v>
      </c>
      <c r="AV23" s="61">
        <f>IF(COUNTIFS(allFYsTable[Code], SummaryTable[[#This Row],[Code]], allFYsTable[year2], AQ$3)=0, NotFound, SUMIFS(allFYsTable[DiffAmount], allFYsTable[Code], SummaryTable[[#This Row],[Code]], allFYsTable[year2], AQ$3))</f>
        <v>-4694</v>
      </c>
      <c r="AW23" s="63">
        <f>IF(SummaryTable[[#This Row],[OriginalBudget23]]=0, IF(SummaryTable[[#This Row],[DiffAmount23]]=0, ZeroBudgetNoSpending, ZeroBudgetWithSpending), SummaryTable[[#This Row],[DiffAmount23]]/SummaryTable[[#This Row],[OriginalBudget23]])</f>
        <v>-0.42672727272727273</v>
      </c>
      <c r="AX23" s="62">
        <f>IF(COUNTIFS(allFYsTable[Code], SummaryTable[[#This Row],[Code]], allFYsTable[year2], AX$3)=0, NotFound, SUMIFS(allFYsTable[OriginalBudget], allFYsTable[Code], SummaryTable[[#This Row],[Code]], allFYsTable[year2], AX$3))</f>
        <v>10000</v>
      </c>
      <c r="AY23" s="61">
        <f>SummaryTable[[#This Row],[OriginalBudget22]]-SummaryTable[[#This Row],[OriginalBudget21]]</f>
        <v>0</v>
      </c>
      <c r="AZ23" s="54">
        <f>SummaryTable[[#This Row],[BudgetIncreaseAmount22]]/SummaryTable[[#This Row],[OriginalBudget21]]</f>
        <v>0</v>
      </c>
      <c r="BA23" s="61">
        <f>IF(COUNTIFS(allFYsTable[Code], SummaryTable[[#This Row],[Code]], allFYsTable[year2], AX$3)=0, NotFound, SUMIFS(allFYsTable[RevisedBudget], allFYsTable[Code], SummaryTable[[#This Row],[Code]], allFYsTable[year2], AX$3))</f>
        <v>6000</v>
      </c>
      <c r="BB23" s="61">
        <f>IF(COUNTIFS(allFYsTable[Code], SummaryTable[[#This Row],[Code]], allFYsTable[year2], AX$3)=0, NotFound, SUMIFS(allFYsTable[Actual], allFYsTable[Code], SummaryTable[[#This Row],[Code]], allFYsTable[year2], AX$3))</f>
        <v>5475</v>
      </c>
      <c r="BC23" s="61">
        <f>IF(COUNTIFS(allFYsTable[Code], SummaryTable[[#This Row],[Code]], allFYsTable[year2], AX$3)=0, NotFound, SUMIFS(allFYsTable[DiffAmount], allFYsTable[Code], SummaryTable[[#This Row],[Code]], allFYsTable[year2], AX$3))</f>
        <v>-4525</v>
      </c>
      <c r="BD23" s="63">
        <f>IF(SummaryTable[[#This Row],[OriginalBudget22]]=0, IF(SummaryTable[[#This Row],[DiffAmount22]]=0, ZeroBudgetNoSpending, ZeroBudgetWithSpending), SummaryTable[[#This Row],[DiffAmount22]]/SummaryTable[[#This Row],[OriginalBudget22]])</f>
        <v>-0.45250000000000001</v>
      </c>
      <c r="BE23" s="62">
        <f>IF(COUNTIFS(allFYsTable[Code], SummaryTable[[#This Row],[Code]], allFYsTable[year2], BE$3)=0, NotFound, SUMIFS(allFYsTable[OriginalBudget], allFYsTable[Code], SummaryTable[[#This Row],[Code]], allFYsTable[year2], BE$3))</f>
        <v>10000</v>
      </c>
      <c r="BF23" s="61">
        <f>SummaryTable[[#This Row],[OriginalBudget21]]-SummaryTable[[#This Row],[OriginalBudget20]]</f>
        <v>1000</v>
      </c>
      <c r="BG23" s="54">
        <f>SummaryTable[[#This Row],[BudgetIncreaseAmount21]]/SummaryTable[[#This Row],[OriginalBudget20]]</f>
        <v>0.1111111111111111</v>
      </c>
      <c r="BH23" s="61">
        <f>IF(COUNTIFS(allFYsTable[Code], SummaryTable[[#This Row],[Code]], allFYsTable[year2], BE$3)=0, NotFound, SUMIFS(allFYsTable[RevisedBudget], allFYsTable[Code], SummaryTable[[#This Row],[Code]], allFYsTable[year2], BE$3))</f>
        <v>1000</v>
      </c>
      <c r="BI23" s="61">
        <f>IF(COUNTIFS(allFYsTable[Code], SummaryTable[[#This Row],[Code]], allFYsTable[year2], BE$3)=0, NotFound, SUMIFS(allFYsTable[Actual], allFYsTable[Code], SummaryTable[[#This Row],[Code]], allFYsTable[year2], BE$3))</f>
        <v>498</v>
      </c>
      <c r="BJ23" s="61">
        <f>IF(COUNTIFS(allFYsTable[Code], SummaryTable[[#This Row],[Code]], allFYsTable[year2], BE$3)=0, NotFound, SUMIFS(allFYsTable[DiffAmount], allFYsTable[Code], SummaryTable[[#This Row],[Code]], allFYsTable[year2], BE$3))</f>
        <v>-9502</v>
      </c>
      <c r="BK23" s="63">
        <f>IF(SummaryTable[[#This Row],[OriginalBudget21]]=0, IF(SummaryTable[[#This Row],[DiffAmount21]]=0, ZeroBudgetNoSpending, ZeroBudgetWithSpending), SummaryTable[[#This Row],[DiffAmount21]]/SummaryTable[[#This Row],[OriginalBudget21]])</f>
        <v>-0.95020000000000004</v>
      </c>
      <c r="BL23" s="62">
        <f>IF(COUNTIFS(allFYsTable[Code], SummaryTable[[#This Row],[Code]], allFYsTable[year2], BL$3)=0, NotFound, SUMIFS(allFYsTable[OriginalBudget], allFYsTable[Code], SummaryTable[[#This Row],[Code]], allFYsTable[year2], BL$3))</f>
        <v>9000</v>
      </c>
      <c r="BM23" s="61">
        <f>SummaryTable[[#This Row],[OriginalBudget20]]-SummaryTable[[#This Row],[OriginalBudget19]]</f>
        <v>1000</v>
      </c>
      <c r="BN23" s="54">
        <f>SummaryTable[[#This Row],[BudgetIncreaseAmount20]]/SummaryTable[[#This Row],[OriginalBudget19]]</f>
        <v>0.125</v>
      </c>
      <c r="BO23" s="61">
        <f>IF(COUNTIFS(allFYsTable[Code], SummaryTable[[#This Row],[Code]], allFYsTable[year2], BL$3)=0, NotFound, SUMIFS(allFYsTable[RevisedBudget], allFYsTable[Code], SummaryTable[[#This Row],[Code]], allFYsTable[year2], BL$3))</f>
        <v>9000</v>
      </c>
      <c r="BP23" s="61">
        <f>IF(COUNTIFS(allFYsTable[Code], SummaryTable[[#This Row],[Code]], allFYsTable[year2], BL$3)=0, NotFound, SUMIFS(allFYsTable[Actual], allFYsTable[Code], SummaryTable[[#This Row],[Code]], allFYsTable[year2], BL$3))</f>
        <v>6127</v>
      </c>
      <c r="BQ23" s="61">
        <f>IF(COUNTIFS(allFYsTable[Code], SummaryTable[[#This Row],[Code]], allFYsTable[year2], BL$3)=0, NotFound, SUMIFS(allFYsTable[DiffAmount], allFYsTable[Code], SummaryTable[[#This Row],[Code]], allFYsTable[year2], BL$3))</f>
        <v>-2873</v>
      </c>
      <c r="BR23" s="63">
        <f>IF(SummaryTable[[#This Row],[OriginalBudget20]]=0, IF(SummaryTable[[#This Row],[DiffAmount20]]=0, ZeroBudgetNoSpending, ZeroBudgetWithSpending), SummaryTable[[#This Row],[DiffAmount20]]/SummaryTable[[#This Row],[OriginalBudget20]])</f>
        <v>-0.31922222222222224</v>
      </c>
      <c r="BS23" s="62">
        <f>IF(COUNTIFS(allFYsTable[Code], SummaryTable[[#This Row],[Code]], allFYsTable[year2], BS$3)=0, NotFound, SUMIFS(allFYsTable[OriginalBudget], allFYsTable[Code], SummaryTable[[#This Row],[Code]], allFYsTable[year2], BS$3))</f>
        <v>8000</v>
      </c>
      <c r="BT23" s="61">
        <f>SummaryTable[[#This Row],[OriginalBudget19]]-SummaryTable[[#This Row],[OriginalBudget18]]</f>
        <v>0</v>
      </c>
      <c r="BU23" s="54">
        <f>SummaryTable[[#This Row],[BudgetIncreaseAmount19]]/SummaryTable[[#This Row],[OriginalBudget18]]</f>
        <v>0</v>
      </c>
      <c r="BV23" s="61">
        <f>IF(COUNTIFS(allFYsTable[Code], SummaryTable[[#This Row],[Code]], allFYsTable[year2], BS$3)=0, NotFound, SUMIFS(allFYsTable[RevisedBudget], allFYsTable[Code], SummaryTable[[#This Row],[Code]], allFYsTable[year2], BS$3))</f>
        <v>8000</v>
      </c>
      <c r="BW23" s="61">
        <f>IF(COUNTIFS(allFYsTable[Code], SummaryTable[[#This Row],[Code]], allFYsTable[year2], BS$3)=0, NotFound, SUMIFS(allFYsTable[Actual], allFYsTable[Code], SummaryTable[[#This Row],[Code]], allFYsTable[year2], BS$3))</f>
        <v>5209</v>
      </c>
      <c r="BX23" s="61">
        <f>IF(COUNTIFS(allFYsTable[Code], SummaryTable[[#This Row],[Code]], allFYsTable[year2], BS$3)=0, NotFound, SUMIFS(allFYsTable[DiffAmount], allFYsTable[Code], SummaryTable[[#This Row],[Code]], allFYsTable[year2], BS$3))</f>
        <v>-2791</v>
      </c>
      <c r="BY23" s="63">
        <f>IF(SummaryTable[[#This Row],[OriginalBudget19]]=0, IF(SummaryTable[[#This Row],[DiffAmount19]]=0, ZeroBudgetNoSpending, ZeroBudgetWithSpending), SummaryTable[[#This Row],[DiffAmount19]]/SummaryTable[[#This Row],[OriginalBudget19]])</f>
        <v>-0.34887499999999999</v>
      </c>
      <c r="BZ23" s="62">
        <f>IF(COUNTIFS(allFYsTable[Code], SummaryTable[[#This Row],[Code]], allFYsTable[year2], BZ$3)=0, NotFound, SUMIFS(allFYsTable[OriginalBudget], allFYsTable[Code], SummaryTable[[#This Row],[Code]], allFYsTable[year2], BZ$3))</f>
        <v>8000</v>
      </c>
      <c r="CA23" s="61">
        <f>SummaryTable[[#This Row],[OriginalBudget18]]-SummaryTable[[#This Row],[OriginalBudget17]]</f>
        <v>2000</v>
      </c>
      <c r="CB23" s="54">
        <f>SummaryTable[[#This Row],[BudgetIncreaseAmount18]]/SummaryTable[[#This Row],[OriginalBudget17]]</f>
        <v>0.33333333333333331</v>
      </c>
      <c r="CC23" s="61">
        <f>IF(COUNTIFS(allFYsTable[Code], SummaryTable[[#This Row],[Code]], allFYsTable[year2], BZ$3)=0, NotFound, SUMIFS(allFYsTable[RevisedBudget], allFYsTable[Code], SummaryTable[[#This Row],[Code]], allFYsTable[year2], BZ$3))</f>
        <v>8000</v>
      </c>
      <c r="CD23" s="61">
        <f>IF(COUNTIFS(allFYsTable[Code], SummaryTable[[#This Row],[Code]], allFYsTable[year2], BZ$3)=0, NotFound, SUMIFS(allFYsTable[Actual], allFYsTable[Code], SummaryTable[[#This Row],[Code]], allFYsTable[year2], BZ$3))</f>
        <v>5571</v>
      </c>
      <c r="CE23" s="61">
        <f>IF(COUNTIFS(allFYsTable[Code], SummaryTable[[#This Row],[Code]], allFYsTable[year2], BZ$3)=0, NotFound, SUMIFS(allFYsTable[DiffAmount], allFYsTable[Code], SummaryTable[[#This Row],[Code]], allFYsTable[year2], BZ$3))</f>
        <v>-2429</v>
      </c>
      <c r="CF23" s="63">
        <f>IF(SummaryTable[[#This Row],[OriginalBudget18]]=0, IF(SummaryTable[[#This Row],[DiffAmount18]]=0, ZeroBudgetNoSpending, ZeroBudgetWithSpending), SummaryTable[[#This Row],[DiffAmount18]]/SummaryTable[[#This Row],[OriginalBudget18]])</f>
        <v>-0.30362499999999998</v>
      </c>
      <c r="CG23" s="62">
        <f>IF(COUNTIFS(allFYsTable[Code], SummaryTable[[#This Row],[Code]], allFYsTable[year2], CG$3)=0, NotFound, SUMIFS(allFYsTable[OriginalBudget], allFYsTable[Code], SummaryTable[[#This Row],[Code]], allFYsTable[year2], CG$3))</f>
        <v>6000</v>
      </c>
      <c r="CH23" s="61">
        <f>SummaryTable[[#This Row],[OriginalBudget17]]-SummaryTable[[#This Row],[OriginalBudget16]]</f>
        <v>0</v>
      </c>
      <c r="CI23" s="54">
        <f>SummaryTable[[#This Row],[BudgetIncreaseAmount17]]/SummaryTable[[#This Row],[OriginalBudget16]]</f>
        <v>0</v>
      </c>
      <c r="CJ23" s="61">
        <f>IF(COUNTIFS(allFYsTable[Code], SummaryTable[[#This Row],[Code]], allFYsTable[year2], CG$3)=0, NotFound, SUMIFS(allFYsTable[RevisedBudget], allFYsTable[Code], SummaryTable[[#This Row],[Code]], allFYsTable[year2], CG$3))</f>
        <v>6000</v>
      </c>
      <c r="CK23" s="61">
        <f>IF(COUNTIFS(allFYsTable[Code], SummaryTable[[#This Row],[Code]], allFYsTable[year2], CG$3)=0, NotFound, SUMIFS(allFYsTable[Actual], allFYsTable[Code], SummaryTable[[#This Row],[Code]], allFYsTable[year2], CG$3))</f>
        <v>5721</v>
      </c>
      <c r="CL23" s="61">
        <f>IF(COUNTIFS(allFYsTable[Code], SummaryTable[[#This Row],[Code]], allFYsTable[year2], CG$3)=0, NotFound, SUMIFS(allFYsTable[DiffAmount], allFYsTable[Code], SummaryTable[[#This Row],[Code]], allFYsTable[year2], CG$3))</f>
        <v>-279</v>
      </c>
      <c r="CM23" s="63">
        <f>IF(SummaryTable[[#This Row],[OriginalBudget17]]=0, IF(SummaryTable[[#This Row],[DiffAmount17]]=0, ZeroBudgetNoSpending, ZeroBudgetWithSpending), SummaryTable[[#This Row],[DiffAmount17]]/SummaryTable[[#This Row],[OriginalBudget17]])</f>
        <v>-4.65E-2</v>
      </c>
      <c r="CN23" s="62">
        <f>IF(COUNTIFS(allFYsTable[Code], SummaryTable[[#This Row],[Code]], allFYsTable[year2], CN$3)=0, NotFound, SUMIFS(allFYsTable[OriginalBudget], allFYsTable[Code], SummaryTable[[#This Row],[Code]], allFYsTable[year2], CN$3))</f>
        <v>6000</v>
      </c>
      <c r="CO23" s="61">
        <f>SummaryTable[[#This Row],[OriginalBudget16]]-SummaryTable[[#This Row],[OriginalBudget15]]</f>
        <v>0</v>
      </c>
      <c r="CP23" s="54">
        <f>SummaryTable[[#This Row],[BudgetIncreaseAmount16]]/SummaryTable[[#This Row],[OriginalBudget15]]</f>
        <v>0</v>
      </c>
      <c r="CQ23" s="61">
        <f>IF(COUNTIFS(allFYsTable[Code], SummaryTable[[#This Row],[Code]], allFYsTable[year2], CN$3)=0, NotFound, SUMIFS(allFYsTable[RevisedBudget], allFYsTable[Code], SummaryTable[[#This Row],[Code]], allFYsTable[year2], CN$3))</f>
        <v>6000</v>
      </c>
      <c r="CR23" s="61">
        <f>IF(COUNTIFS(allFYsTable[Code], SummaryTable[[#This Row],[Code]], allFYsTable[year2], CN$3)=0, NotFound, SUMIFS(allFYsTable[Actual], allFYsTable[Code], SummaryTable[[#This Row],[Code]], allFYsTable[year2], CN$3))</f>
        <v>2945</v>
      </c>
      <c r="CS23" s="61">
        <f>IF(COUNTIFS(allFYsTable[Code], SummaryTable[[#This Row],[Code]], allFYsTable[year2], CN$3)=0, NotFound, SUMIFS(allFYsTable[DiffAmount], allFYsTable[Code], SummaryTable[[#This Row],[Code]], allFYsTable[year2], CN$3))</f>
        <v>-3055</v>
      </c>
      <c r="CT23" s="63">
        <f>IF(SummaryTable[[#This Row],[OriginalBudget16]]=0, IF(SummaryTable[[#This Row],[DiffAmount16]]=0, ZeroBudgetNoSpending, ZeroBudgetWithSpending), SummaryTable[[#This Row],[DiffAmount16]]/SummaryTable[[#This Row],[OriginalBudget16]])</f>
        <v>-0.50916666666666666</v>
      </c>
      <c r="CU23" s="62">
        <f>IF(COUNTIFS(allFYsTable[Code], SummaryTable[[#This Row],[Code]], allFYsTable[year2], CU$3)=0, NotFound, SUMIFS(allFYsTable[OriginalBudget], allFYsTable[Code], SummaryTable[[#This Row],[Code]], allFYsTable[year2], CU$3))</f>
        <v>6000</v>
      </c>
      <c r="CV23" s="61">
        <f>SummaryTable[[#This Row],[OriginalBudget15]]-SummaryTable[[#This Row],[OriginalBudget14]]</f>
        <v>0</v>
      </c>
      <c r="CW23" s="54">
        <f>SummaryTable[[#This Row],[BudgetIncreaseAmount15]]/SummaryTable[[#This Row],[OriginalBudget14]]</f>
        <v>0</v>
      </c>
      <c r="CX23" s="61">
        <f>IF(COUNTIFS(allFYsTable[Code], SummaryTable[[#This Row],[Code]], allFYsTable[year2], CU$3)=0, NotFound, SUMIFS(allFYsTable[RevisedBudget], allFYsTable[Code], SummaryTable[[#This Row],[Code]], allFYsTable[year2], CU$3))</f>
        <v>6000</v>
      </c>
      <c r="CY23" s="61">
        <f>IF(COUNTIFS(allFYsTable[Code], SummaryTable[[#This Row],[Code]], allFYsTable[year2], CU$3)=0, NotFound, SUMIFS(allFYsTable[Actual], allFYsTable[Code], SummaryTable[[#This Row],[Code]], allFYsTable[year2], CU$3))</f>
        <v>5638</v>
      </c>
      <c r="CZ23" s="61">
        <f>IF(COUNTIFS(allFYsTable[Code], SummaryTable[[#This Row],[Code]], allFYsTable[year2], CU$3)=0, NotFound, SUMIFS(allFYsTable[DiffAmount], allFYsTable[Code], SummaryTable[[#This Row],[Code]], allFYsTable[year2], CU$3))</f>
        <v>-362</v>
      </c>
      <c r="DA23" s="63">
        <f>IF(SummaryTable[[#This Row],[OriginalBudget15]]=0, IF(SummaryTable[[#This Row],[DiffAmount15]]=0, ZeroBudgetNoSpending, ZeroBudgetWithSpending), SummaryTable[[#This Row],[DiffAmount15]]/SummaryTable[[#This Row],[OriginalBudget15]])</f>
        <v>-6.0333333333333336E-2</v>
      </c>
      <c r="DB23" s="62">
        <f>IF(COUNTIFS(allFYsTable[Code], SummaryTable[[#This Row],[Code]], allFYsTable[year2], DB$3)=0, NotFound, SUMIFS(allFYsTable[OriginalBudget], allFYsTable[Code], SummaryTable[[#This Row],[Code]], allFYsTable[year2], DB$3))</f>
        <v>6000</v>
      </c>
      <c r="DC23" s="61">
        <f>SummaryTable[[#This Row],[OriginalBudget14]]-SummaryTable[[#This Row],[OriginalBudget13]]</f>
        <v>0</v>
      </c>
      <c r="DD23" s="54">
        <f>SummaryTable[[#This Row],[BudgetIncreaseAmount14]]/SummaryTable[[#This Row],[OriginalBudget13]]</f>
        <v>0</v>
      </c>
      <c r="DE23" s="61">
        <f>IF(COUNTIFS(allFYsTable[Code], SummaryTable[[#This Row],[Code]], allFYsTable[year2], DB$3)=0, NotFound, SUMIFS(allFYsTable[RevisedBudget], allFYsTable[Code], SummaryTable[[#This Row],[Code]], allFYsTable[year2], DB$3))</f>
        <v>6000</v>
      </c>
      <c r="DF23" s="61">
        <f>IF(COUNTIFS(allFYsTable[Code], SummaryTable[[#This Row],[Code]], allFYsTable[year2], DB$3)=0, NotFound, SUMIFS(allFYsTable[Actual], allFYsTable[Code], SummaryTable[[#This Row],[Code]], allFYsTable[year2], DB$3))</f>
        <v>983</v>
      </c>
      <c r="DG23" s="61">
        <f>IF(COUNTIFS(allFYsTable[Code], SummaryTable[[#This Row],[Code]], allFYsTable[year2], DB$3)=0, NotFound, SUMIFS(allFYsTable[DiffAmount], allFYsTable[Code], SummaryTable[[#This Row],[Code]], allFYsTable[year2], DB$3))</f>
        <v>-5017</v>
      </c>
      <c r="DH23" s="63">
        <f>IF(SummaryTable[[#This Row],[OriginalBudget14]]=0, IF(SummaryTable[[#This Row],[DiffAmount14]]=0, ZeroBudgetNoSpending, ZeroBudgetWithSpending), SummaryTable[[#This Row],[DiffAmount14]]/SummaryTable[[#This Row],[OriginalBudget14]])</f>
        <v>-0.83616666666666661</v>
      </c>
      <c r="DI23" s="62">
        <f>IF(COUNTIFS(allFYsTable[Code], SummaryTable[[#This Row],[Code]], allFYsTable[year2], DI$3)=0, NotFound, SUMIFS(allFYsTable[OriginalBudget], allFYsTable[Code], SummaryTable[[#This Row],[Code]], allFYsTable[year2], DI$3))</f>
        <v>6000</v>
      </c>
      <c r="DJ23" s="61">
        <f>SummaryTable[[#This Row],[OriginalBudget13]]-SummaryTable[[#This Row],[OriginalBudget12]]</f>
        <v>0</v>
      </c>
      <c r="DK23" s="54">
        <f>SummaryTable[[#This Row],[BudgetIncreaseAmount13]]/SummaryTable[[#This Row],[OriginalBudget12]]</f>
        <v>0</v>
      </c>
      <c r="DL23" s="61">
        <f>IF(COUNTIFS(allFYsTable[Code], SummaryTable[[#This Row],[Code]], allFYsTable[year2], DI$3)=0, NotFound, SUMIFS(allFYsTable[RevisedBudget], allFYsTable[Code], SummaryTable[[#This Row],[Code]], allFYsTable[year2], DI$3))</f>
        <v>6000</v>
      </c>
      <c r="DM23" s="61">
        <f>IF(COUNTIFS(allFYsTable[Code], SummaryTable[[#This Row],[Code]], allFYsTable[year2], DI$3)=0, NotFound, SUMIFS(allFYsTable[Actual], allFYsTable[Code], SummaryTable[[#This Row],[Code]], allFYsTable[year2], DI$3))</f>
        <v>4420</v>
      </c>
      <c r="DN23" s="61">
        <f>IF(COUNTIFS(allFYsTable[Code], SummaryTable[[#This Row],[Code]], allFYsTable[year2], DI$3)=0, NotFound, SUMIFS(allFYsTable[DiffAmount], allFYsTable[Code], SummaryTable[[#This Row],[Code]], allFYsTable[year2], DI$3))</f>
        <v>-1580</v>
      </c>
      <c r="DO23" s="63">
        <f>IF(SummaryTable[[#This Row],[OriginalBudget13]]=0, IF(SummaryTable[[#This Row],[DiffAmount13]]=0, ZeroBudgetNoSpending, ZeroBudgetWithSpending), SummaryTable[[#This Row],[DiffAmount13]]/SummaryTable[[#This Row],[OriginalBudget13]])</f>
        <v>-0.26333333333333331</v>
      </c>
      <c r="DP23" s="62">
        <f>IF(COUNTIFS(allFYsTable[Code], SummaryTable[[#This Row],[Code]], allFYsTable[year2], DP$3)=0, NotFound, SUMIFS(allFYsTable[OriginalBudget], allFYsTable[Code], SummaryTable[[#This Row],[Code]], allFYsTable[year2], DP$3))</f>
        <v>6000</v>
      </c>
      <c r="DQ23" s="61">
        <f>SummaryTable[[#This Row],[OriginalBudget12]]-SummaryTable[[#This Row],[OriginalBudget11]]</f>
        <v>-9000</v>
      </c>
      <c r="DR23" s="54">
        <f>SummaryTable[[#This Row],[BudgetIncreaseAmount12]]/SummaryTable[[#This Row],[OriginalBudget11]]</f>
        <v>-0.6</v>
      </c>
      <c r="DS23" s="61">
        <f>IF(COUNTIFS(allFYsTable[Code], SummaryTable[[#This Row],[Code]], allFYsTable[year2], DP$3)=0, NotFound, SUMIFS(allFYsTable[RevisedBudget], allFYsTable[Code], SummaryTable[[#This Row],[Code]], allFYsTable[year2], DP$3))</f>
        <v>6000</v>
      </c>
      <c r="DT23" s="61">
        <f>IF(COUNTIFS(allFYsTable[Code], SummaryTable[[#This Row],[Code]], allFYsTable[year2], DP$3)=0, NotFound, SUMIFS(allFYsTable[Actual], allFYsTable[Code], SummaryTable[[#This Row],[Code]], allFYsTable[year2], DP$3))</f>
        <v>4348</v>
      </c>
      <c r="DU23" s="61">
        <f>IF(COUNTIFS(allFYsTable[Code], SummaryTable[[#This Row],[Code]], allFYsTable[year2], DP$3)=0, NotFound, SUMIFS(allFYsTable[DiffAmount], allFYsTable[Code], SummaryTable[[#This Row],[Code]], allFYsTable[year2], DP$3))</f>
        <v>-1652</v>
      </c>
      <c r="DV23" s="63">
        <f>IF(SummaryTable[[#This Row],[OriginalBudget12]]=0, IF(SummaryTable[[#This Row],[DiffAmount12]]=0, ZeroBudgetNoSpending, ZeroBudgetWithSpending), SummaryTable[[#This Row],[DiffAmount12]]/SummaryTable[[#This Row],[OriginalBudget12]])</f>
        <v>-0.27533333333333332</v>
      </c>
      <c r="DW23" s="62">
        <f>IF(COUNTIFS(allFYsTable[Code], SummaryTable[[#This Row],[Code]], allFYsTable[year2], DW$3)=0, NotFound, SUMIFS(allFYsTable[OriginalBudget], allFYsTable[Code], SummaryTable[[#This Row],[Code]], allFYsTable[year2], DW$3))</f>
        <v>15000</v>
      </c>
      <c r="DX23" s="61">
        <f>SummaryTable[[#This Row],[OriginalBudget11]]-SummaryTable[[#This Row],[OriginalBudget10]]</f>
        <v>0</v>
      </c>
      <c r="DY23" s="54">
        <f>SummaryTable[[#This Row],[BudgetIncreaseAmount11]]/SummaryTable[[#This Row],[OriginalBudget10]]</f>
        <v>0</v>
      </c>
      <c r="DZ23" s="61">
        <f>IF(COUNTIFS(allFYsTable[Code], SummaryTable[[#This Row],[Code]], allFYsTable[year2], DW$3)=0, NotFound, SUMIFS(allFYsTable[RevisedBudget], allFYsTable[Code], SummaryTable[[#This Row],[Code]], allFYsTable[year2], DW$3))</f>
        <v>15000</v>
      </c>
      <c r="EA23" s="61">
        <f>IF(COUNTIFS(allFYsTable[Code], SummaryTable[[#This Row],[Code]], allFYsTable[year2], DW$3)=0, NotFound, SUMIFS(allFYsTable[Actual], allFYsTable[Code], SummaryTable[[#This Row],[Code]], allFYsTable[year2], DW$3))</f>
        <v>5885</v>
      </c>
      <c r="EB23" s="61">
        <f>IF(COUNTIFS(allFYsTable[Code], SummaryTable[[#This Row],[Code]], allFYsTable[year2], DW$3)=0, NotFound, SUMIFS(allFYsTable[DiffAmount], allFYsTable[Code], SummaryTable[[#This Row],[Code]], allFYsTable[year2], DW$3))</f>
        <v>-9115</v>
      </c>
      <c r="EC23" s="63">
        <f>IF(SummaryTable[[#This Row],[OriginalBudget11]]=0, IF(SummaryTable[[#This Row],[DiffAmount11]]=0, ZeroBudgetNoSpending, ZeroBudgetWithSpending), SummaryTable[[#This Row],[DiffAmount11]]/SummaryTable[[#This Row],[OriginalBudget11]])</f>
        <v>-0.60766666666666669</v>
      </c>
      <c r="ED23" s="62">
        <f>IF(COUNTIFS(allFYsTable[Code], SummaryTable[[#This Row],[Code]], allFYsTable[year2], ED$3)=0, NotFound, SUMIFS(allFYsTable[OriginalBudget], allFYsTable[Code], SummaryTable[[#This Row],[Code]], allFYsTable[year2], ED$3))</f>
        <v>15000</v>
      </c>
      <c r="EE23" s="61">
        <f>SummaryTable[[#This Row],[OriginalBudget10]]-SummaryTable[[#This Row],[OriginalBudget09]]</f>
        <v>0</v>
      </c>
      <c r="EF23" s="54">
        <f>SummaryTable[[#This Row],[BudgetIncreaseAmount10]]/SummaryTable[[#This Row],[OriginalBudget09]]</f>
        <v>0</v>
      </c>
      <c r="EG23" s="61">
        <f>IF(COUNTIFS(allFYsTable[Code], SummaryTable[[#This Row],[Code]], allFYsTable[year2], ED$3)=0, NotFound, SUMIFS(allFYsTable[RevisedBudget], allFYsTable[Code], SummaryTable[[#This Row],[Code]], allFYsTable[year2], ED$3))</f>
        <v>15000</v>
      </c>
      <c r="EH23" s="61">
        <f>IF(COUNTIFS(allFYsTable[Code], SummaryTable[[#This Row],[Code]], allFYsTable[year2], ED$3)=0, NotFound, SUMIFS(allFYsTable[Actual], allFYsTable[Code], SummaryTable[[#This Row],[Code]], allFYsTable[year2], ED$3))</f>
        <v>6514</v>
      </c>
      <c r="EI23" s="61">
        <f>IF(COUNTIFS(allFYsTable[Code], SummaryTable[[#This Row],[Code]], allFYsTable[year2], ED$3)=0, NotFound, SUMIFS(allFYsTable[DiffAmount], allFYsTable[Code], SummaryTable[[#This Row],[Code]], allFYsTable[year2], ED$3))</f>
        <v>-8486</v>
      </c>
      <c r="EJ23" s="63">
        <f>IF(SummaryTable[[#This Row],[OriginalBudget10]]=0, IF(SummaryTable[[#This Row],[DiffAmount10]]=0, ZeroBudgetNoSpending, ZeroBudgetWithSpending), SummaryTable[[#This Row],[DiffAmount10]]/SummaryTable[[#This Row],[OriginalBudget10]])</f>
        <v>-0.56573333333333331</v>
      </c>
      <c r="EK23" s="62">
        <f>IF(COUNTIFS(allFYsTable[Code], SummaryTable[[#This Row],[Code]], allFYsTable[year2], EK$3)=0, NotFound, SUMIFS(allFYsTable[OriginalBudget], allFYsTable[Code], SummaryTable[[#This Row],[Code]], allFYsTable[year2], EK$3))</f>
        <v>15000</v>
      </c>
      <c r="EL23" s="61">
        <f>SummaryTable[[#This Row],[OriginalBudget09]]-SummaryTable[[#This Row],[OriginalBudget08]]</f>
        <v>-45000</v>
      </c>
      <c r="EM23" s="54">
        <f>SummaryTable[[#This Row],[BudgetIncreaseAmount09]]/SummaryTable[[#This Row],[OriginalBudget08]]</f>
        <v>-0.75</v>
      </c>
      <c r="EN23" s="61">
        <f>IF(COUNTIFS(allFYsTable[Code], SummaryTable[[#This Row],[Code]], allFYsTable[year2], EK$3)=0, NotFound, SUMIFS(allFYsTable[RevisedBudget], allFYsTable[Code], SummaryTable[[#This Row],[Code]], allFYsTable[year2], EK$3))</f>
        <v>15000</v>
      </c>
      <c r="EO23" s="61">
        <f>IF(COUNTIFS(allFYsTable[Code], SummaryTable[[#This Row],[Code]], allFYsTable[year2], EK$3)=0, NotFound, SUMIFS(allFYsTable[Actual], allFYsTable[Code], SummaryTable[[#This Row],[Code]], allFYsTable[year2], EK$3))</f>
        <v>4382</v>
      </c>
      <c r="EP23" s="61">
        <f>IF(COUNTIFS(allFYsTable[Code], SummaryTable[[#This Row],[Code]], allFYsTable[year2], EK$3)=0, NotFound, SUMIFS(allFYsTable[DiffAmount], allFYsTable[Code], SummaryTable[[#This Row],[Code]], allFYsTable[year2], EK$3))</f>
        <v>-10618</v>
      </c>
      <c r="EQ23" s="63">
        <f>IF(SummaryTable[[#This Row],[OriginalBudget09]]=0, IF(SummaryTable[[#This Row],[DiffAmount09]]=0, ZeroBudgetNoSpending, ZeroBudgetWithSpending), SummaryTable[[#This Row],[DiffAmount09]]/SummaryTable[[#This Row],[OriginalBudget09]])</f>
        <v>-0.70786666666666664</v>
      </c>
      <c r="ER23" s="62">
        <f>IF(COUNTIFS(allFYsTable[Code], SummaryTable[[#This Row],[Code]], allFYsTable[year2], ER$3)=0, NotFound, SUMIFS(allFYsTable[OriginalBudget], allFYsTable[Code], SummaryTable[[#This Row],[Code]], allFYsTable[year2], ER$3))</f>
        <v>60000</v>
      </c>
      <c r="ES23" s="61">
        <f>SummaryTable[[#This Row],[OriginalBudget08]]-SummaryTable[[#This Row],[OriginalBudget07]]</f>
        <v>30000</v>
      </c>
      <c r="ET23" s="54">
        <f>SummaryTable[[#This Row],[BudgetIncreaseAmount08]]/SummaryTable[[#This Row],[OriginalBudget07]]</f>
        <v>1</v>
      </c>
      <c r="EU23" s="61">
        <f>IF(COUNTIFS(allFYsTable[Code], SummaryTable[[#This Row],[Code]], allFYsTable[year2], ER$3)=0, NotFound, SUMIFS(allFYsTable[RevisedBudget], allFYsTable[Code], SummaryTable[[#This Row],[Code]], allFYsTable[year2], ER$3))</f>
        <v>60000</v>
      </c>
      <c r="EV23" s="61">
        <f>IF(COUNTIFS(allFYsTable[Code], SummaryTable[[#This Row],[Code]], allFYsTable[year2], ER$3)=0, NotFound, SUMIFS(allFYsTable[Actual], allFYsTable[Code], SummaryTable[[#This Row],[Code]], allFYsTable[year2], ER$3))</f>
        <v>16216</v>
      </c>
      <c r="EW23" s="61">
        <f>IF(COUNTIFS(allFYsTable[Code], SummaryTable[[#This Row],[Code]], allFYsTable[year2], ER$3)=0, NotFound, SUMIFS(allFYsTable[DiffAmount], allFYsTable[Code], SummaryTable[[#This Row],[Code]], allFYsTable[year2], ER$3))</f>
        <v>-43784</v>
      </c>
      <c r="EX23" s="63">
        <f>IF(SummaryTable[[#This Row],[OriginalBudget08]]=0, IF(SummaryTable[[#This Row],[DiffAmount08]]=0, ZeroBudgetNoSpending, ZeroBudgetWithSpending), SummaryTable[[#This Row],[DiffAmount08]]/SummaryTable[[#This Row],[OriginalBudget08]])</f>
        <v>-0.72973333333333334</v>
      </c>
      <c r="EY23" s="62">
        <f>IF(COUNTIFS(allFYsTable[Code], SummaryTable[[#This Row],[Code]], allFYsTable[year2], EY$3)=0, NotFound, SUMIFS(allFYsTable[OriginalBudget], allFYsTable[Code], SummaryTable[[#This Row],[Code]], allFYsTable[year2], EY$3))</f>
        <v>30000</v>
      </c>
      <c r="EZ23" s="61">
        <f>SummaryTable[[#This Row],[OriginalBudget07]]-SummaryTable[[#This Row],[OriginalBudget06]]</f>
        <v>-10000</v>
      </c>
      <c r="FA23" s="54">
        <f>SummaryTable[[#This Row],[BudgetIncreaseAmount07]]/SummaryTable[[#This Row],[OriginalBudget06]]</f>
        <v>-0.25</v>
      </c>
      <c r="FB23" s="61">
        <f>IF(COUNTIFS(allFYsTable[Code], SummaryTable[[#This Row],[Code]], allFYsTable[year2], EY$3)=0, NotFound, SUMIFS(allFYsTable[RevisedBudget], allFYsTable[Code], SummaryTable[[#This Row],[Code]], allFYsTable[year2], EY$3))</f>
        <v>30000</v>
      </c>
      <c r="FC23" s="61">
        <f>IF(COUNTIFS(allFYsTable[Code], SummaryTable[[#This Row],[Code]], allFYsTable[year2], EY$3)=0, NotFound, SUMIFS(allFYsTable[Actual], allFYsTable[Code], SummaryTable[[#This Row],[Code]], allFYsTable[year2], EY$3))</f>
        <v>6406</v>
      </c>
      <c r="FD23" s="61">
        <f>IF(COUNTIFS(allFYsTable[Code], SummaryTable[[#This Row],[Code]], allFYsTable[year2], EY$3)=0, NotFound, SUMIFS(allFYsTable[DiffAmount], allFYsTable[Code], SummaryTable[[#This Row],[Code]], allFYsTable[year2], EY$3))</f>
        <v>-23594</v>
      </c>
      <c r="FE23" s="63">
        <f>IF(SummaryTable[[#This Row],[OriginalBudget07]]=0, IF(SummaryTable[[#This Row],[DiffAmount07]]=0, ZeroBudgetNoSpending, ZeroBudgetWithSpending), SummaryTable[[#This Row],[DiffAmount07]]/SummaryTable[[#This Row],[OriginalBudget07]])</f>
        <v>-0.78646666666666665</v>
      </c>
      <c r="FF23" s="62">
        <f>IF(COUNTIFS(allFYsTable[Code], SummaryTable[[#This Row],[Code]], allFYsTable[year2], FF$3)=0, NotFound, SUMIFS(allFYsTable[OriginalBudget], allFYsTable[Code], SummaryTable[[#This Row],[Code]], allFYsTable[year2], FF$3))</f>
        <v>40000</v>
      </c>
      <c r="FI23" s="61">
        <f>IF(COUNTIFS(allFYsTable[Code], SummaryTable[[#This Row],[Code]], allFYsTable[year2], FF$3)=0, NotFound, SUMIFS(allFYsTable[RevisedBudget], allFYsTable[Code], SummaryTable[[#This Row],[Code]], allFYsTable[year2], FF$3))</f>
        <v>40000</v>
      </c>
      <c r="FJ23" s="61">
        <f>IF(COUNTIFS(allFYsTable[Code], SummaryTable[[#This Row],[Code]], allFYsTable[year2], FF$3)=0, NotFound, SUMIFS(allFYsTable[Actual], allFYsTable[Code], SummaryTable[[#This Row],[Code]], allFYsTable[year2], FF$3))</f>
        <v>9196</v>
      </c>
      <c r="FK23" s="61">
        <f>IF(COUNTIFS(allFYsTable[Code], SummaryTable[[#This Row],[Code]], allFYsTable[year2], FF$3)=0, NotFound, SUMIFS(allFYsTable[DiffAmount], allFYsTable[Code], SummaryTable[[#This Row],[Code]], allFYsTable[year2], FF$3))</f>
        <v>-30804</v>
      </c>
      <c r="FL23" s="63">
        <f>IF(SummaryTable[[#This Row],[OriginalBudget06]]=0, IF(SummaryTable[[#This Row],[DiffAmount06]]=0, ZeroBudgetNoSpending, ZeroBudgetWithSpending), SummaryTable[[#This Row],[DiffAmount06]]/SummaryTable[[#This Row],[OriginalBudget06]])</f>
        <v>-0.77010000000000001</v>
      </c>
    </row>
    <row r="24" spans="1:168" x14ac:dyDescent="0.45">
      <c r="A24" t="s">
        <v>786</v>
      </c>
      <c r="B24">
        <f>_xlfn.MAXIFS(allFYsTable[year2], allFYsTable[Code], SummaryTable[[#This Row],[Code]])</f>
        <v>2025</v>
      </c>
      <c r="C24" t="str">
        <f>_xlfn.XLOOKUP(SummaryTable[[#This Row],[Code]], NameCodingTable[Code], NameCodingTable[Most Recent Category per allFYs])</f>
        <v>Human support services</v>
      </c>
      <c r="D24" t="str">
        <f>_xlfn.XLOOKUP(SummaryTable[[#This Row],[Code]], NameCodingTable[Code], NameCodingTable[Unit Display Name])</f>
        <v>Department of Aging and Community Living</v>
      </c>
      <c r="E24" t="str">
        <f>_xlfn.XLOOKUP(SummaryTable[[#This Row],[Code]], NameCodingTable[Code], NameCodingTable[Type])</f>
        <v>agency</v>
      </c>
      <c r="F2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2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8</v>
      </c>
      <c r="H24" s="54">
        <f>SummaryTable[[#This Row],['# Over]]/SummaryTable[[#This Row],[Count]]</f>
        <v>0.4</v>
      </c>
      <c r="I2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24" s="54">
        <f>SummaryTable[[#This Row],['# Under]]/SummaryTable[[#This Row],[Count]]</f>
        <v>0.6</v>
      </c>
      <c r="K2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24" s="54">
        <f>SummaryTable[[#This Row],['# Equal]]/SummaryTable[[#This Row],[Count]]</f>
        <v>0</v>
      </c>
      <c r="M24" s="61">
        <f>SUMIFS(allFYsTable[OriginalBudget],allFYsTable[Code],SummaryTable[[#This Row],[Code]])/SummaryTable[[#This Row],[Count]]</f>
        <v>30995.15</v>
      </c>
      <c r="N24" s="61">
        <f>SUMIFS(allFYsTable[Actual],allFYsTable[Code],SummaryTable[[#This Row],[Code]])/SummaryTable[[#This Row],[Count]]</f>
        <v>30848.05</v>
      </c>
      <c r="O24" s="61">
        <f>SummaryTable[[#This Row],[AvgActAmt]]-SummaryTable[[#This Row],[AvgBudAmt]]</f>
        <v>-147.10000000000218</v>
      </c>
      <c r="P24" s="54">
        <f>IF(SummaryTable[[#This Row],[AvgBudAmt]]=0, IF(SummaryTable[[#This Row],[AvgDiff'#]]=0, 0, NamedFields!$C$3), SummaryTable[[#This Row],[AvgDiff'#]]/SummaryTable[[#This Row],[AvgBudAmt]])</f>
        <v>-4.745903794626004E-3</v>
      </c>
      <c r="Q24" s="61">
        <f>IFERROR(SUMIFS(allFYsTable[OriginalBudget],allFYsTable[Code],SummaryTable[[#This Row],[Code]],allFYsTable[DiffAmount], "&gt;0")/SummaryTable[[#This Row],['# Over]], 0)</f>
        <v>24412.375</v>
      </c>
      <c r="R24" s="61">
        <f>IFERROR(SUMIFS(allFYsTable[Actual],allFYsTable[Code],SummaryTable[[#This Row],[Code]],allFYsTable[DiffAmount], "&gt;0")/SummaryTable[[#This Row],['# Over]], 0)</f>
        <v>25756.125</v>
      </c>
      <c r="S24" s="61">
        <f>SummaryTable[[#This Row],[OverAvgAct]]-SummaryTable[[#This Row],[OverAvgBud]]</f>
        <v>1343.75</v>
      </c>
      <c r="T24" s="54">
        <f>IF(SummaryTable[[#This Row],[OverAvgBud]]=0, IF(SummaryTable[[#This Row],[OverAvgDiff'#]]=0, ZeroBudgetNoSpending, ZeroBudgetWithSpending), SummaryTable[[#This Row],[OverAvgDiff'#]]/SummaryTable[[#This Row],[OverAvgBud]])</f>
        <v>5.5043804627775875E-2</v>
      </c>
      <c r="U24" s="61">
        <f>IFERROR(SUMIFS(allFYsTable[OriginalBudget],allFYsTable[Code],SummaryTable[[#This Row],[Code]],allFYsTable[DiffAmount], "&lt;0")/SummaryTable[[#This Row],['# Under]], 0)</f>
        <v>35383.666666666664</v>
      </c>
      <c r="V24" s="61">
        <f>IFERROR( SUMIFS(allFYsTable[Actual],allFYsTable[Code],SummaryTable[[#This Row],[Code]],allFYsTable[DiffAmount], "&lt;0")/SummaryTable[[#This Row],['# Under]], 0)</f>
        <v>34242.666666666664</v>
      </c>
      <c r="W24" s="61">
        <f>SummaryTable[[#This Row],[UnderAvgAct]]-SummaryTable[[#This Row],[UnderAvgBud]]</f>
        <v>-1141</v>
      </c>
      <c r="X24" s="54">
        <f>IF(SummaryTable[[#This Row],[UnderAvgBud]]=0, IF(SummaryTable[[#This Row],[UnderAvgDiff'#]]=0, ZeroBudgetNoSpending, NamedFields!$C$3), SummaryTable[[#This Row],[UnderAvgDiff'#]]/SummaryTable[[#This Row],[UnderAvgBud]])</f>
        <v>-3.2246516754434726E-2</v>
      </c>
      <c r="Y2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2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24" s="54">
        <f>IF(SummaryTable[[#This Row],[IncreaseYears]]=0, ZeroBudgetNoSpending, SummaryTable[[#This Row],[OSinIncreaseYear'#]]/SummaryTable[[#This Row],[IncreaseYears]])</f>
        <v>0</v>
      </c>
      <c r="AB24" s="58" t="str">
        <f>SummaryTable[[#This Row],[Code]]</f>
        <v>BY0</v>
      </c>
      <c r="AC24" s="62">
        <f>IF(COUNTIFS(allFYsTable[Code], SummaryTable[[#This Row],[Code]], allFYsTable[year2], AC$3)=0, NotFound, SUMIFS(allFYsTable[OriginalBudget], allFYsTable[Code], SummaryTable[[#This Row],[Code]], allFYsTable[year2], AC$3))</f>
        <v>48588</v>
      </c>
      <c r="AD24" s="61">
        <f>SummaryTable[[#This Row],[OriginalBudget25]]-SummaryTable[[#This Row],[OriginalBudget24]]</f>
        <v>-894</v>
      </c>
      <c r="AE24" s="54">
        <f>SummaryTable[[#This Row],[BudgetIncreaseAmount25]]/SummaryTable[[#This Row],[OriginalBudget24]]</f>
        <v>-1.8067175942767067E-2</v>
      </c>
      <c r="AF24" s="61">
        <f>IF(COUNTIFS(allFYsTable[Code], SummaryTable[[#This Row],[Code]], allFYsTable[year2], AC$3)=0, NotFound, SUMIFS(allFYsTable[RevisedBudget], allFYsTable[Code], SummaryTable[[#This Row],[Code]], allFYsTable[year2], AC$3))</f>
        <v>48079</v>
      </c>
      <c r="AG24" s="61">
        <f>IF(COUNTIFS(allFYsTable[Code], SummaryTable[[#This Row],[Code]], allFYsTable[year2], AC$3)=0, NotFound, SUMIFS(allFYsTable[Actual], allFYsTable[Code], SummaryTable[[#This Row],[Code]], allFYsTable[year2], AC$3))</f>
        <v>45953</v>
      </c>
      <c r="AH24" s="61">
        <f>IF(COUNTIFS(allFYsTable[Code], SummaryTable[[#This Row],[Code]], allFYsTable[year2], AC$3)=0, NotFound, SUMIFS(allFYsTable[DiffAmount], allFYsTable[Code], SummaryTable[[#This Row],[Code]], allFYsTable[year2], AC$3))</f>
        <v>-2635</v>
      </c>
      <c r="AI24" s="63">
        <f>IF(SummaryTable[[#This Row],[OriginalBudget25]]=0, IF(SummaryTable[[#This Row],[DiffAmount25]]=0, ZeroBudgetNoSpending, ZeroBudgetWithSpending), SummaryTable[[#This Row],[DiffAmount25]]/SummaryTable[[#This Row],[OriginalBudget25]])</f>
        <v>-5.4231497489091958E-2</v>
      </c>
      <c r="AJ24" s="62">
        <f>IF(COUNTIFS(allFYsTable[Code], SummaryTable[[#This Row],[Code]], allFYsTable[year2], AJ$3)=0, NotFound, SUMIFS(allFYsTable[OriginalBudget], allFYsTable[Code], SummaryTable[[#This Row],[Code]], allFYsTable[year2], AJ$3))</f>
        <v>49482</v>
      </c>
      <c r="AK24" s="61">
        <f>SummaryTable[[#This Row],[OriginalBudget24]]-SummaryTable[[#This Row],[OriginalBudget23]]</f>
        <v>-2704</v>
      </c>
      <c r="AL24" s="54">
        <f>SummaryTable[[#This Row],[BudgetIncreaseAmount24]]/SummaryTable[[#This Row],[OriginalBudget23]]</f>
        <v>-5.1814662936419731E-2</v>
      </c>
      <c r="AM24" s="61">
        <f>IF(COUNTIFS(allFYsTable[Code], SummaryTable[[#This Row],[Code]], allFYsTable[year2], AK$3)=0, NotFound, SUMIFS(allFYsTable[RevisedBudget], allFYsTable[Code], SummaryTable[[#This Row],[Code]], allFYsTable[year2], AJ$3))</f>
        <v>48086</v>
      </c>
      <c r="AN24" s="61">
        <f>IF(COUNTIFS(allFYsTable[Code], SummaryTable[[#This Row],[Code]], allFYsTable[year2], AJ$3)=0, NotFound, SUMIFS(allFYsTable[Actual], allFYsTable[Code], SummaryTable[[#This Row],[Code]], allFYsTable[year2], AJ$3))</f>
        <v>46639</v>
      </c>
      <c r="AO24" s="61">
        <f>IF(COUNTIFS(allFYsTable[Code], SummaryTable[[#This Row],[Code]], allFYsTable[year2], AJ$3)=0, NotFound, SUMIFS(allFYsTable[DiffAmount], allFYsTable[Code], SummaryTable[[#This Row],[Code]], allFYsTable[year2], AJ$3))</f>
        <v>-2843</v>
      </c>
      <c r="AP24" s="63">
        <f>IF(SummaryTable[[#This Row],[OriginalBudget24]]=0, IF(SummaryTable[[#This Row],[DiffAmount24]]=0, ZeroBudgetNoSpending, ZeroBudgetWithSpending), SummaryTable[[#This Row],[DiffAmount24]]/SummaryTable[[#This Row],[OriginalBudget24]])</f>
        <v>-5.7455236247524355E-2</v>
      </c>
      <c r="AQ24" s="62">
        <f>IF(COUNTIFS(allFYsTable[Code], SummaryTable[[#This Row],[Code]], allFYsTable[year2], AQ$3)=0, NotFound, SUMIFS(allFYsTable[OriginalBudget], allFYsTable[Code], SummaryTable[[#This Row],[Code]], allFYsTable[year2], AQ$3))</f>
        <v>52186</v>
      </c>
      <c r="AR24" s="61">
        <f>SummaryTable[[#This Row],[OriginalBudget23]]-SummaryTable[[#This Row],[OriginalBudget22]]</f>
        <v>6326</v>
      </c>
      <c r="AS24" s="54">
        <f>SummaryTable[[#This Row],[BudgetIncreaseAmount23]]/SummaryTable[[#This Row],[OriginalBudget22]]</f>
        <v>0.1379415612734409</v>
      </c>
      <c r="AT24" s="61">
        <f>IF(COUNTIFS(allFYsTable[Code], SummaryTable[[#This Row],[Code]], allFYsTable[year2], AQ$3)=0, NotFound, SUMIFS(allFYsTable[RevisedBudget], allFYsTable[Code], SummaryTable[[#This Row],[Code]], allFYsTable[year2], AQ$3))</f>
        <v>51391</v>
      </c>
      <c r="AU24" s="61">
        <f>IF(COUNTIFS(allFYsTable[Code], SummaryTable[[#This Row],[Code]], allFYsTable[year2], AQ$3)=0, NotFound, SUMIFS(allFYsTable[Actual], allFYsTable[Code], SummaryTable[[#This Row],[Code]], allFYsTable[year2], AQ$3))</f>
        <v>51201</v>
      </c>
      <c r="AV24" s="61">
        <f>IF(COUNTIFS(allFYsTable[Code], SummaryTable[[#This Row],[Code]], allFYsTable[year2], AQ$3)=0, NotFound, SUMIFS(allFYsTable[DiffAmount], allFYsTable[Code], SummaryTable[[#This Row],[Code]], allFYsTable[year2], AQ$3))</f>
        <v>-985</v>
      </c>
      <c r="AW24" s="63">
        <f>IF(SummaryTable[[#This Row],[OriginalBudget23]]=0, IF(SummaryTable[[#This Row],[DiffAmount23]]=0, ZeroBudgetNoSpending, ZeroBudgetWithSpending), SummaryTable[[#This Row],[DiffAmount23]]/SummaryTable[[#This Row],[OriginalBudget23]])</f>
        <v>-1.8874794006055264E-2</v>
      </c>
      <c r="AX24" s="62">
        <f>IF(COUNTIFS(allFYsTable[Code], SummaryTable[[#This Row],[Code]], allFYsTable[year2], AX$3)=0, NotFound, SUMIFS(allFYsTable[OriginalBudget], allFYsTable[Code], SummaryTable[[#This Row],[Code]], allFYsTable[year2], AX$3))</f>
        <v>45860</v>
      </c>
      <c r="AY24" s="61">
        <f>SummaryTable[[#This Row],[OriginalBudget22]]-SummaryTable[[#This Row],[OriginalBudget21]]</f>
        <v>4887</v>
      </c>
      <c r="AZ24" s="54">
        <f>SummaryTable[[#This Row],[BudgetIncreaseAmount22]]/SummaryTable[[#This Row],[OriginalBudget21]]</f>
        <v>0.11927366802528494</v>
      </c>
      <c r="BA24" s="61">
        <f>IF(COUNTIFS(allFYsTable[Code], SummaryTable[[#This Row],[Code]], allFYsTable[year2], AX$3)=0, NotFound, SUMIFS(allFYsTable[RevisedBudget], allFYsTable[Code], SummaryTable[[#This Row],[Code]], allFYsTable[year2], AX$3))</f>
        <v>46468</v>
      </c>
      <c r="BB24" s="61">
        <f>IF(COUNTIFS(allFYsTable[Code], SummaryTable[[#This Row],[Code]], allFYsTable[year2], AX$3)=0, NotFound, SUMIFS(allFYsTable[Actual], allFYsTable[Code], SummaryTable[[#This Row],[Code]], allFYsTable[year2], AX$3))</f>
        <v>45695</v>
      </c>
      <c r="BC24" s="61">
        <f>IF(COUNTIFS(allFYsTable[Code], SummaryTable[[#This Row],[Code]], allFYsTable[year2], AX$3)=0, NotFound, SUMIFS(allFYsTable[DiffAmount], allFYsTable[Code], SummaryTable[[#This Row],[Code]], allFYsTable[year2], AX$3))</f>
        <v>-165</v>
      </c>
      <c r="BD24" s="63">
        <f>IF(SummaryTable[[#This Row],[OriginalBudget22]]=0, IF(SummaryTable[[#This Row],[DiffAmount22]]=0, ZeroBudgetNoSpending, ZeroBudgetWithSpending), SummaryTable[[#This Row],[DiffAmount22]]/SummaryTable[[#This Row],[OriginalBudget22]])</f>
        <v>-3.5979066724814652E-3</v>
      </c>
      <c r="BE24" s="62">
        <f>IF(COUNTIFS(allFYsTable[Code], SummaryTable[[#This Row],[Code]], allFYsTable[year2], BE$3)=0, NotFound, SUMIFS(allFYsTable[OriginalBudget], allFYsTable[Code], SummaryTable[[#This Row],[Code]], allFYsTable[year2], BE$3))</f>
        <v>40973</v>
      </c>
      <c r="BF24" s="61">
        <f>SummaryTable[[#This Row],[OriginalBudget21]]-SummaryTable[[#This Row],[OriginalBudget20]]</f>
        <v>-1026</v>
      </c>
      <c r="BG24" s="54">
        <f>SummaryTable[[#This Row],[BudgetIncreaseAmount21]]/SummaryTable[[#This Row],[OriginalBudget20]]</f>
        <v>-2.4429153075073217E-2</v>
      </c>
      <c r="BH24" s="61">
        <f>IF(COUNTIFS(allFYsTable[Code], SummaryTable[[#This Row],[Code]], allFYsTable[year2], BE$3)=0, NotFound, SUMIFS(allFYsTable[RevisedBudget], allFYsTable[Code], SummaryTable[[#This Row],[Code]], allFYsTable[year2], BE$3))</f>
        <v>40416</v>
      </c>
      <c r="BI24" s="61">
        <f>IF(COUNTIFS(allFYsTable[Code], SummaryTable[[#This Row],[Code]], allFYsTable[year2], BE$3)=0, NotFound, SUMIFS(allFYsTable[Actual], allFYsTable[Code], SummaryTable[[#This Row],[Code]], allFYsTable[year2], BE$3))</f>
        <v>40353</v>
      </c>
      <c r="BJ24" s="61">
        <f>IF(COUNTIFS(allFYsTable[Code], SummaryTable[[#This Row],[Code]], allFYsTable[year2], BE$3)=0, NotFound, SUMIFS(allFYsTable[DiffAmount], allFYsTable[Code], SummaryTable[[#This Row],[Code]], allFYsTable[year2], BE$3))</f>
        <v>-620</v>
      </c>
      <c r="BK24" s="63">
        <f>IF(SummaryTable[[#This Row],[OriginalBudget21]]=0, IF(SummaryTable[[#This Row],[DiffAmount21]]=0, ZeroBudgetNoSpending, ZeroBudgetWithSpending), SummaryTable[[#This Row],[DiffAmount21]]/SummaryTable[[#This Row],[OriginalBudget21]])</f>
        <v>-1.5131916139897006E-2</v>
      </c>
      <c r="BL24" s="62">
        <f>IF(COUNTIFS(allFYsTable[Code], SummaryTable[[#This Row],[Code]], allFYsTable[year2], BL$3)=0, NotFound, SUMIFS(allFYsTable[OriginalBudget], allFYsTable[Code], SummaryTable[[#This Row],[Code]], allFYsTable[year2], BL$3))</f>
        <v>41999</v>
      </c>
      <c r="BM24" s="61">
        <f>SummaryTable[[#This Row],[OriginalBudget20]]-SummaryTable[[#This Row],[OriginalBudget19]]</f>
        <v>3608</v>
      </c>
      <c r="BN24" s="54">
        <f>SummaryTable[[#This Row],[BudgetIncreaseAmount20]]/SummaryTable[[#This Row],[OriginalBudget19]]</f>
        <v>9.3980359980203695E-2</v>
      </c>
      <c r="BO24" s="61">
        <f>IF(COUNTIFS(allFYsTable[Code], SummaryTable[[#This Row],[Code]], allFYsTable[year2], BL$3)=0, NotFound, SUMIFS(allFYsTable[RevisedBudget], allFYsTable[Code], SummaryTable[[#This Row],[Code]], allFYsTable[year2], BL$3))</f>
        <v>40308</v>
      </c>
      <c r="BP24" s="61">
        <f>IF(COUNTIFS(allFYsTable[Code], SummaryTable[[#This Row],[Code]], allFYsTable[year2], BL$3)=0, NotFound, SUMIFS(allFYsTable[Actual], allFYsTable[Code], SummaryTable[[#This Row],[Code]], allFYsTable[year2], BL$3))</f>
        <v>39513</v>
      </c>
      <c r="BQ24" s="61">
        <f>IF(COUNTIFS(allFYsTable[Code], SummaryTable[[#This Row],[Code]], allFYsTable[year2], BL$3)=0, NotFound, SUMIFS(allFYsTable[DiffAmount], allFYsTable[Code], SummaryTable[[#This Row],[Code]], allFYsTable[year2], BL$3))</f>
        <v>-2486</v>
      </c>
      <c r="BR24" s="63">
        <f>IF(SummaryTable[[#This Row],[OriginalBudget20]]=0, IF(SummaryTable[[#This Row],[DiffAmount20]]=0, ZeroBudgetNoSpending, ZeroBudgetWithSpending), SummaryTable[[#This Row],[DiffAmount20]]/SummaryTable[[#This Row],[OriginalBudget20]])</f>
        <v>-5.9191885521083835E-2</v>
      </c>
      <c r="BS24" s="62">
        <f>IF(COUNTIFS(allFYsTable[Code], SummaryTable[[#This Row],[Code]], allFYsTable[year2], BS$3)=0, NotFound, SUMIFS(allFYsTable[OriginalBudget], allFYsTable[Code], SummaryTable[[#This Row],[Code]], allFYsTable[year2], BS$3))</f>
        <v>38391</v>
      </c>
      <c r="BT24" s="61">
        <f>SummaryTable[[#This Row],[OriginalBudget19]]-SummaryTable[[#This Row],[OriginalBudget18]]</f>
        <v>2774</v>
      </c>
      <c r="BU24" s="54">
        <f>SummaryTable[[#This Row],[BudgetIncreaseAmount19]]/SummaryTable[[#This Row],[OriginalBudget18]]</f>
        <v>7.7884156442148411E-2</v>
      </c>
      <c r="BV24" s="61">
        <f>IF(COUNTIFS(allFYsTable[Code], SummaryTable[[#This Row],[Code]], allFYsTable[year2], BS$3)=0, NotFound, SUMIFS(allFYsTable[RevisedBudget], allFYsTable[Code], SummaryTable[[#This Row],[Code]], allFYsTable[year2], BS$3))</f>
        <v>40291</v>
      </c>
      <c r="BW24" s="61">
        <f>IF(COUNTIFS(allFYsTable[Code], SummaryTable[[#This Row],[Code]], allFYsTable[year2], BS$3)=0, NotFound, SUMIFS(allFYsTable[Actual], allFYsTable[Code], SummaryTable[[#This Row],[Code]], allFYsTable[year2], BS$3))</f>
        <v>39979</v>
      </c>
      <c r="BX24" s="61">
        <f>IF(COUNTIFS(allFYsTable[Code], SummaryTable[[#This Row],[Code]], allFYsTable[year2], BS$3)=0, NotFound, SUMIFS(allFYsTable[DiffAmount], allFYsTable[Code], SummaryTable[[#This Row],[Code]], allFYsTable[year2], BS$3))</f>
        <v>1588</v>
      </c>
      <c r="BY24" s="63">
        <f>IF(SummaryTable[[#This Row],[OriginalBudget19]]=0, IF(SummaryTable[[#This Row],[DiffAmount19]]=0, ZeroBudgetNoSpending, ZeroBudgetWithSpending), SummaryTable[[#This Row],[DiffAmount19]]/SummaryTable[[#This Row],[OriginalBudget19]])</f>
        <v>4.1363861321663933E-2</v>
      </c>
      <c r="BZ24" s="62">
        <f>IF(COUNTIFS(allFYsTable[Code], SummaryTable[[#This Row],[Code]], allFYsTable[year2], BZ$3)=0, NotFound, SUMIFS(allFYsTable[OriginalBudget], allFYsTable[Code], SummaryTable[[#This Row],[Code]], allFYsTable[year2], BZ$3))</f>
        <v>35617</v>
      </c>
      <c r="CA24" s="61">
        <f>SummaryTable[[#This Row],[OriginalBudget18]]-SummaryTable[[#This Row],[OriginalBudget17]]</f>
        <v>5354</v>
      </c>
      <c r="CB24" s="54">
        <f>SummaryTable[[#This Row],[BudgetIncreaseAmount18]]/SummaryTable[[#This Row],[OriginalBudget17]]</f>
        <v>0.17691570564715989</v>
      </c>
      <c r="CC24" s="61">
        <f>IF(COUNTIFS(allFYsTable[Code], SummaryTable[[#This Row],[Code]], allFYsTable[year2], BZ$3)=0, NotFound, SUMIFS(allFYsTable[RevisedBudget], allFYsTable[Code], SummaryTable[[#This Row],[Code]], allFYsTable[year2], BZ$3))</f>
        <v>38342</v>
      </c>
      <c r="CD24" s="61">
        <f>IF(COUNTIFS(allFYsTable[Code], SummaryTable[[#This Row],[Code]], allFYsTable[year2], BZ$3)=0, NotFound, SUMIFS(allFYsTable[Actual], allFYsTable[Code], SummaryTable[[#This Row],[Code]], allFYsTable[year2], BZ$3))</f>
        <v>37868</v>
      </c>
      <c r="CE24" s="61">
        <f>IF(COUNTIFS(allFYsTable[Code], SummaryTable[[#This Row],[Code]], allFYsTable[year2], BZ$3)=0, NotFound, SUMIFS(allFYsTable[DiffAmount], allFYsTable[Code], SummaryTable[[#This Row],[Code]], allFYsTable[year2], BZ$3))</f>
        <v>2251</v>
      </c>
      <c r="CF24" s="63">
        <f>IF(SummaryTable[[#This Row],[OriginalBudget18]]=0, IF(SummaryTable[[#This Row],[DiffAmount18]]=0, ZeroBudgetNoSpending, ZeroBudgetWithSpending), SummaryTable[[#This Row],[DiffAmount18]]/SummaryTable[[#This Row],[OriginalBudget18]])</f>
        <v>6.3200157228289866E-2</v>
      </c>
      <c r="CG24" s="62">
        <f>IF(COUNTIFS(allFYsTable[Code], SummaryTable[[#This Row],[Code]], allFYsTable[year2], CG$3)=0, NotFound, SUMIFS(allFYsTable[OriginalBudget], allFYsTable[Code], SummaryTable[[#This Row],[Code]], allFYsTable[year2], CG$3))</f>
        <v>30263</v>
      </c>
      <c r="CH24" s="61">
        <f>SummaryTable[[#This Row],[OriginalBudget17]]-SummaryTable[[#This Row],[OriginalBudget16]]</f>
        <v>-1106</v>
      </c>
      <c r="CI24" s="54">
        <f>SummaryTable[[#This Row],[BudgetIncreaseAmount17]]/SummaryTable[[#This Row],[OriginalBudget16]]</f>
        <v>-3.5257738531671398E-2</v>
      </c>
      <c r="CJ24" s="61">
        <f>IF(COUNTIFS(allFYsTable[Code], SummaryTable[[#This Row],[Code]], allFYsTable[year2], CG$3)=0, NotFound, SUMIFS(allFYsTable[RevisedBudget], allFYsTable[Code], SummaryTable[[#This Row],[Code]], allFYsTable[year2], CG$3))</f>
        <v>31724</v>
      </c>
      <c r="CK24" s="61">
        <f>IF(COUNTIFS(allFYsTable[Code], SummaryTable[[#This Row],[Code]], allFYsTable[year2], CG$3)=0, NotFound, SUMIFS(allFYsTable[Actual], allFYsTable[Code], SummaryTable[[#This Row],[Code]], allFYsTable[year2], CG$3))</f>
        <v>31426</v>
      </c>
      <c r="CL24" s="61">
        <f>IF(COUNTIFS(allFYsTable[Code], SummaryTable[[#This Row],[Code]], allFYsTable[year2], CG$3)=0, NotFound, SUMIFS(allFYsTable[DiffAmount], allFYsTable[Code], SummaryTable[[#This Row],[Code]], allFYsTable[year2], CG$3))</f>
        <v>1163</v>
      </c>
      <c r="CM24" s="63">
        <f>IF(SummaryTable[[#This Row],[OriginalBudget17]]=0, IF(SummaryTable[[#This Row],[DiffAmount17]]=0, ZeroBudgetNoSpending, ZeroBudgetWithSpending), SummaryTable[[#This Row],[DiffAmount17]]/SummaryTable[[#This Row],[OriginalBudget17]])</f>
        <v>3.8429765720516804E-2</v>
      </c>
      <c r="CN24" s="62">
        <f>IF(COUNTIFS(allFYsTable[Code], SummaryTable[[#This Row],[Code]], allFYsTable[year2], CN$3)=0, NotFound, SUMIFS(allFYsTable[OriginalBudget], allFYsTable[Code], SummaryTable[[#This Row],[Code]], allFYsTable[year2], CN$3))</f>
        <v>31369</v>
      </c>
      <c r="CO24" s="61">
        <f>SummaryTable[[#This Row],[OriginalBudget16]]-SummaryTable[[#This Row],[OriginalBudget15]]</f>
        <v>-1605</v>
      </c>
      <c r="CP24" s="54">
        <f>SummaryTable[[#This Row],[BudgetIncreaseAmount16]]/SummaryTable[[#This Row],[OriginalBudget15]]</f>
        <v>-4.8674713410565902E-2</v>
      </c>
      <c r="CQ24" s="61">
        <f>IF(COUNTIFS(allFYsTable[Code], SummaryTable[[#This Row],[Code]], allFYsTable[year2], CN$3)=0, NotFound, SUMIFS(allFYsTable[RevisedBudget], allFYsTable[Code], SummaryTable[[#This Row],[Code]], allFYsTable[year2], CN$3))</f>
        <v>31269</v>
      </c>
      <c r="CR24" s="61">
        <f>IF(COUNTIFS(allFYsTable[Code], SummaryTable[[#This Row],[Code]], allFYsTable[year2], CN$3)=0, NotFound, SUMIFS(allFYsTable[Actual], allFYsTable[Code], SummaryTable[[#This Row],[Code]], allFYsTable[year2], CN$3))</f>
        <v>31011</v>
      </c>
      <c r="CS24" s="61">
        <f>IF(COUNTIFS(allFYsTable[Code], SummaryTable[[#This Row],[Code]], allFYsTable[year2], CN$3)=0, NotFound, SUMIFS(allFYsTable[DiffAmount], allFYsTable[Code], SummaryTable[[#This Row],[Code]], allFYsTable[year2], CN$3))</f>
        <v>-358</v>
      </c>
      <c r="CT24" s="63">
        <f>IF(SummaryTable[[#This Row],[OriginalBudget16]]=0, IF(SummaryTable[[#This Row],[DiffAmount16]]=0, ZeroBudgetNoSpending, ZeroBudgetWithSpending), SummaryTable[[#This Row],[DiffAmount16]]/SummaryTable[[#This Row],[OriginalBudget16]])</f>
        <v>-1.1412541043705569E-2</v>
      </c>
      <c r="CU24" s="62">
        <f>IF(COUNTIFS(allFYsTable[Code], SummaryTable[[#This Row],[Code]], allFYsTable[year2], CU$3)=0, NotFound, SUMIFS(allFYsTable[OriginalBudget], allFYsTable[Code], SummaryTable[[#This Row],[Code]], allFYsTable[year2], CU$3))</f>
        <v>32974</v>
      </c>
      <c r="CV24" s="61">
        <f>SummaryTable[[#This Row],[OriginalBudget15]]-SummaryTable[[#This Row],[OriginalBudget14]]</f>
        <v>7017</v>
      </c>
      <c r="CW24" s="54">
        <f>SummaryTable[[#This Row],[BudgetIncreaseAmount15]]/SummaryTable[[#This Row],[OriginalBudget14]]</f>
        <v>0.27033170243094351</v>
      </c>
      <c r="CX24" s="61">
        <f>IF(COUNTIFS(allFYsTable[Code], SummaryTable[[#This Row],[Code]], allFYsTable[year2], CU$3)=0, NotFound, SUMIFS(allFYsTable[RevisedBudget], allFYsTable[Code], SummaryTable[[#This Row],[Code]], allFYsTable[year2], CU$3))</f>
        <v>32334</v>
      </c>
      <c r="CY24" s="61">
        <f>IF(COUNTIFS(allFYsTable[Code], SummaryTable[[#This Row],[Code]], allFYsTable[year2], CU$3)=0, NotFound, SUMIFS(allFYsTable[Actual], allFYsTable[Code], SummaryTable[[#This Row],[Code]], allFYsTable[year2], CU$3))</f>
        <v>31633</v>
      </c>
      <c r="CZ24" s="61">
        <f>IF(COUNTIFS(allFYsTable[Code], SummaryTable[[#This Row],[Code]], allFYsTable[year2], CU$3)=0, NotFound, SUMIFS(allFYsTable[DiffAmount], allFYsTable[Code], SummaryTable[[#This Row],[Code]], allFYsTable[year2], CU$3))</f>
        <v>-1341</v>
      </c>
      <c r="DA24" s="63">
        <f>IF(SummaryTable[[#This Row],[OriginalBudget15]]=0, IF(SummaryTable[[#This Row],[DiffAmount15]]=0, ZeroBudgetNoSpending, ZeroBudgetWithSpending), SummaryTable[[#This Row],[DiffAmount15]]/SummaryTable[[#This Row],[OriginalBudget15]])</f>
        <v>-4.0668405410323287E-2</v>
      </c>
      <c r="DB24" s="62">
        <f>IF(COUNTIFS(allFYsTable[Code], SummaryTable[[#This Row],[Code]], allFYsTable[year2], DB$3)=0, NotFound, SUMIFS(allFYsTable[OriginalBudget], allFYsTable[Code], SummaryTable[[#This Row],[Code]], allFYsTable[year2], DB$3))</f>
        <v>25957</v>
      </c>
      <c r="DC24" s="61">
        <f>SummaryTable[[#This Row],[OriginalBudget14]]-SummaryTable[[#This Row],[OriginalBudget13]]</f>
        <v>9337</v>
      </c>
      <c r="DD24" s="54">
        <f>SummaryTable[[#This Row],[BudgetIncreaseAmount14]]/SummaryTable[[#This Row],[OriginalBudget13]]</f>
        <v>0.56179302045728041</v>
      </c>
      <c r="DE24" s="61">
        <f>IF(COUNTIFS(allFYsTable[Code], SummaryTable[[#This Row],[Code]], allFYsTable[year2], DB$3)=0, NotFound, SUMIFS(allFYsTable[RevisedBudget], allFYsTable[Code], SummaryTable[[#This Row],[Code]], allFYsTable[year2], DB$3))</f>
        <v>28757</v>
      </c>
      <c r="DF24" s="61">
        <f>IF(COUNTIFS(allFYsTable[Code], SummaryTable[[#This Row],[Code]], allFYsTable[year2], DB$3)=0, NotFound, SUMIFS(allFYsTable[Actual], allFYsTable[Code], SummaryTable[[#This Row],[Code]], allFYsTable[year2], DB$3))</f>
        <v>27884</v>
      </c>
      <c r="DG24" s="61">
        <f>IF(COUNTIFS(allFYsTable[Code], SummaryTable[[#This Row],[Code]], allFYsTable[year2], DB$3)=0, NotFound, SUMIFS(allFYsTable[DiffAmount], allFYsTable[Code], SummaryTable[[#This Row],[Code]], allFYsTable[year2], DB$3))</f>
        <v>1927</v>
      </c>
      <c r="DH24" s="63">
        <f>IF(SummaryTable[[#This Row],[OriginalBudget14]]=0, IF(SummaryTable[[#This Row],[DiffAmount14]]=0, ZeroBudgetNoSpending, ZeroBudgetWithSpending), SummaryTable[[#This Row],[DiffAmount14]]/SummaryTable[[#This Row],[OriginalBudget14]])</f>
        <v>7.423816311592249E-2</v>
      </c>
      <c r="DI24" s="62">
        <f>IF(COUNTIFS(allFYsTable[Code], SummaryTable[[#This Row],[Code]], allFYsTable[year2], DI$3)=0, NotFound, SUMIFS(allFYsTable[OriginalBudget], allFYsTable[Code], SummaryTable[[#This Row],[Code]], allFYsTable[year2], DI$3))</f>
        <v>16620</v>
      </c>
      <c r="DJ24" s="61">
        <f>SummaryTable[[#This Row],[OriginalBudget13]]-SummaryTable[[#This Row],[OriginalBudget12]]</f>
        <v>552</v>
      </c>
      <c r="DK24" s="54">
        <f>SummaryTable[[#This Row],[BudgetIncreaseAmount13]]/SummaryTable[[#This Row],[OriginalBudget12]]</f>
        <v>3.4353995519044063E-2</v>
      </c>
      <c r="DL24" s="61">
        <f>IF(COUNTIFS(allFYsTable[Code], SummaryTable[[#This Row],[Code]], allFYsTable[year2], DI$3)=0, NotFound, SUMIFS(allFYsTable[RevisedBudget], allFYsTable[Code], SummaryTable[[#This Row],[Code]], allFYsTable[year2], DI$3))</f>
        <v>20214</v>
      </c>
      <c r="DM24" s="61">
        <f>IF(COUNTIFS(allFYsTable[Code], SummaryTable[[#This Row],[Code]], allFYsTable[year2], DI$3)=0, NotFound, SUMIFS(allFYsTable[Actual], allFYsTable[Code], SummaryTable[[#This Row],[Code]], allFYsTable[year2], DI$3))</f>
        <v>18912</v>
      </c>
      <c r="DN24" s="61">
        <f>IF(COUNTIFS(allFYsTable[Code], SummaryTable[[#This Row],[Code]], allFYsTable[year2], DI$3)=0, NotFound, SUMIFS(allFYsTable[DiffAmount], allFYsTable[Code], SummaryTable[[#This Row],[Code]], allFYsTable[year2], DI$3))</f>
        <v>2292</v>
      </c>
      <c r="DO24" s="63">
        <f>IF(SummaryTable[[#This Row],[OriginalBudget13]]=0, IF(SummaryTable[[#This Row],[DiffAmount13]]=0, ZeroBudgetNoSpending, ZeroBudgetWithSpending), SummaryTable[[#This Row],[DiffAmount13]]/SummaryTable[[#This Row],[OriginalBudget13]])</f>
        <v>0.13790613718411551</v>
      </c>
      <c r="DP24" s="62">
        <f>IF(COUNTIFS(allFYsTable[Code], SummaryTable[[#This Row],[Code]], allFYsTable[year2], DP$3)=0, NotFound, SUMIFS(allFYsTable[OriginalBudget], allFYsTable[Code], SummaryTable[[#This Row],[Code]], allFYsTable[year2], DP$3))</f>
        <v>16068</v>
      </c>
      <c r="DQ24" s="61">
        <f>SummaryTable[[#This Row],[OriginalBudget12]]-SummaryTable[[#This Row],[OriginalBudget11]]</f>
        <v>-97</v>
      </c>
      <c r="DR24" s="54">
        <f>SummaryTable[[#This Row],[BudgetIncreaseAmount12]]/SummaryTable[[#This Row],[OriginalBudget11]]</f>
        <v>-6.0006186204763379E-3</v>
      </c>
      <c r="DS24" s="61">
        <f>IF(COUNTIFS(allFYsTable[Code], SummaryTable[[#This Row],[Code]], allFYsTable[year2], DP$3)=0, NotFound, SUMIFS(allFYsTable[RevisedBudget], allFYsTable[Code], SummaryTable[[#This Row],[Code]], allFYsTable[year2], DP$3))</f>
        <v>17228</v>
      </c>
      <c r="DT24" s="61">
        <f>IF(COUNTIFS(allFYsTable[Code], SummaryTable[[#This Row],[Code]], allFYsTable[year2], DP$3)=0, NotFound, SUMIFS(allFYsTable[Actual], allFYsTable[Code], SummaryTable[[#This Row],[Code]], allFYsTable[year2], DP$3))</f>
        <v>16719</v>
      </c>
      <c r="DU24" s="61">
        <f>IF(COUNTIFS(allFYsTable[Code], SummaryTable[[#This Row],[Code]], allFYsTable[year2], DP$3)=0, NotFound, SUMIFS(allFYsTable[DiffAmount], allFYsTable[Code], SummaryTable[[#This Row],[Code]], allFYsTable[year2], DP$3))</f>
        <v>651</v>
      </c>
      <c r="DV24" s="63">
        <f>IF(SummaryTable[[#This Row],[OriginalBudget12]]=0, IF(SummaryTable[[#This Row],[DiffAmount12]]=0, ZeroBudgetNoSpending, ZeroBudgetWithSpending), SummaryTable[[#This Row],[DiffAmount12]]/SummaryTable[[#This Row],[OriginalBudget12]])</f>
        <v>4.0515309932785661E-2</v>
      </c>
      <c r="DW24" s="62">
        <f>IF(COUNTIFS(allFYsTable[Code], SummaryTable[[#This Row],[Code]], allFYsTable[year2], DW$3)=0, NotFound, SUMIFS(allFYsTable[OriginalBudget], allFYsTable[Code], SummaryTable[[#This Row],[Code]], allFYsTable[year2], DW$3))</f>
        <v>16165</v>
      </c>
      <c r="DX24" s="61">
        <f>SummaryTable[[#This Row],[OriginalBudget11]]-SummaryTable[[#This Row],[OriginalBudget10]]</f>
        <v>-53</v>
      </c>
      <c r="DY24" s="54">
        <f>SummaryTable[[#This Row],[BudgetIncreaseAmount11]]/SummaryTable[[#This Row],[OriginalBudget10]]</f>
        <v>-3.2679738562091504E-3</v>
      </c>
      <c r="DZ24" s="61">
        <f>IF(COUNTIFS(allFYsTable[Code], SummaryTable[[#This Row],[Code]], allFYsTable[year2], DW$3)=0, NotFound, SUMIFS(allFYsTable[RevisedBudget], allFYsTable[Code], SummaryTable[[#This Row],[Code]], allFYsTable[year2], DW$3))</f>
        <v>16679</v>
      </c>
      <c r="EA24" s="61">
        <f>IF(COUNTIFS(allFYsTable[Code], SummaryTable[[#This Row],[Code]], allFYsTable[year2], DW$3)=0, NotFound, SUMIFS(allFYsTable[Actual], allFYsTable[Code], SummaryTable[[#This Row],[Code]], allFYsTable[year2], DW$3))</f>
        <v>16623</v>
      </c>
      <c r="EB24" s="61">
        <f>IF(COUNTIFS(allFYsTable[Code], SummaryTable[[#This Row],[Code]], allFYsTable[year2], DW$3)=0, NotFound, SUMIFS(allFYsTable[DiffAmount], allFYsTable[Code], SummaryTable[[#This Row],[Code]], allFYsTable[year2], DW$3))</f>
        <v>458</v>
      </c>
      <c r="EC24" s="63">
        <f>IF(SummaryTable[[#This Row],[OriginalBudget11]]=0, IF(SummaryTable[[#This Row],[DiffAmount11]]=0, ZeroBudgetNoSpending, ZeroBudgetWithSpending), SummaryTable[[#This Row],[DiffAmount11]]/SummaryTable[[#This Row],[OriginalBudget11]])</f>
        <v>2.8332817816269718E-2</v>
      </c>
      <c r="ED24" s="62">
        <f>IF(COUNTIFS(allFYsTable[Code], SummaryTable[[#This Row],[Code]], allFYsTable[year2], ED$3)=0, NotFound, SUMIFS(allFYsTable[OriginalBudget], allFYsTable[Code], SummaryTable[[#This Row],[Code]], allFYsTable[year2], ED$3))</f>
        <v>16218</v>
      </c>
      <c r="EE24" s="61">
        <f>SummaryTable[[#This Row],[OriginalBudget10]]-SummaryTable[[#This Row],[OriginalBudget09]]</f>
        <v>-1307</v>
      </c>
      <c r="EF24" s="54">
        <f>SummaryTable[[#This Row],[BudgetIncreaseAmount10]]/SummaryTable[[#This Row],[OriginalBudget09]]</f>
        <v>-7.4579172610556355E-2</v>
      </c>
      <c r="EG24" s="61">
        <f>IF(COUNTIFS(allFYsTable[Code], SummaryTable[[#This Row],[Code]], allFYsTable[year2], ED$3)=0, NotFound, SUMIFS(allFYsTable[RevisedBudget], allFYsTable[Code], SummaryTable[[#This Row],[Code]], allFYsTable[year2], ED$3))</f>
        <v>17336</v>
      </c>
      <c r="EH24" s="61">
        <f>IF(COUNTIFS(allFYsTable[Code], SummaryTable[[#This Row],[Code]], allFYsTable[year2], ED$3)=0, NotFound, SUMIFS(allFYsTable[Actual], allFYsTable[Code], SummaryTable[[#This Row],[Code]], allFYsTable[year2], ED$3))</f>
        <v>16638</v>
      </c>
      <c r="EI24" s="61">
        <f>IF(COUNTIFS(allFYsTable[Code], SummaryTable[[#This Row],[Code]], allFYsTable[year2], ED$3)=0, NotFound, SUMIFS(allFYsTable[DiffAmount], allFYsTable[Code], SummaryTable[[#This Row],[Code]], allFYsTable[year2], ED$3))</f>
        <v>420</v>
      </c>
      <c r="EJ24" s="63">
        <f>IF(SummaryTable[[#This Row],[OriginalBudget10]]=0, IF(SummaryTable[[#This Row],[DiffAmount10]]=0, ZeroBudgetNoSpending, ZeroBudgetWithSpending), SummaryTable[[#This Row],[DiffAmount10]]/SummaryTable[[#This Row],[OriginalBudget10]])</f>
        <v>2.5897151313355529E-2</v>
      </c>
      <c r="EK24" s="62">
        <f>IF(COUNTIFS(allFYsTable[Code], SummaryTable[[#This Row],[Code]], allFYsTable[year2], EK$3)=0, NotFound, SUMIFS(allFYsTable[OriginalBudget], allFYsTable[Code], SummaryTable[[#This Row],[Code]], allFYsTable[year2], EK$3))</f>
        <v>17525</v>
      </c>
      <c r="EL24" s="61">
        <f>SummaryTable[[#This Row],[OriginalBudget09]]-SummaryTable[[#This Row],[OriginalBudget08]]</f>
        <v>82</v>
      </c>
      <c r="EM24" s="54">
        <f>SummaryTable[[#This Row],[BudgetIncreaseAmount09]]/SummaryTable[[#This Row],[OriginalBudget08]]</f>
        <v>4.7010261996216244E-3</v>
      </c>
      <c r="EN24" s="61">
        <f>IF(COUNTIFS(allFYsTable[Code], SummaryTable[[#This Row],[Code]], allFYsTable[year2], EK$3)=0, NotFound, SUMIFS(allFYsTable[RevisedBudget], allFYsTable[Code], SummaryTable[[#This Row],[Code]], allFYsTable[year2], EK$3))</f>
        <v>16975</v>
      </c>
      <c r="EO24" s="61">
        <f>IF(COUNTIFS(allFYsTable[Code], SummaryTable[[#This Row],[Code]], allFYsTable[year2], EK$3)=0, NotFound, SUMIFS(allFYsTable[Actual], allFYsTable[Code], SummaryTable[[#This Row],[Code]], allFYsTable[year2], EK$3))</f>
        <v>16585</v>
      </c>
      <c r="EP24" s="61">
        <f>IF(COUNTIFS(allFYsTable[Code], SummaryTable[[#This Row],[Code]], allFYsTable[year2], EK$3)=0, NotFound, SUMIFS(allFYsTable[DiffAmount], allFYsTable[Code], SummaryTable[[#This Row],[Code]], allFYsTable[year2], EK$3))</f>
        <v>-940</v>
      </c>
      <c r="EQ24" s="63">
        <f>IF(SummaryTable[[#This Row],[OriginalBudget09]]=0, IF(SummaryTable[[#This Row],[DiffAmount09]]=0, ZeroBudgetNoSpending, ZeroBudgetWithSpending), SummaryTable[[#This Row],[DiffAmount09]]/SummaryTable[[#This Row],[OriginalBudget09]])</f>
        <v>-5.3637660485021395E-2</v>
      </c>
      <c r="ER24" s="62">
        <f>IF(COUNTIFS(allFYsTable[Code], SummaryTable[[#This Row],[Code]], allFYsTable[year2], ER$3)=0, NotFound, SUMIFS(allFYsTable[OriginalBudget], allFYsTable[Code], SummaryTable[[#This Row],[Code]], allFYsTable[year2], ER$3))</f>
        <v>17443</v>
      </c>
      <c r="ES24" s="61">
        <f>SummaryTable[[#This Row],[OriginalBudget08]]-SummaryTable[[#This Row],[OriginalBudget07]]</f>
        <v>714</v>
      </c>
      <c r="ET24" s="54">
        <f>SummaryTable[[#This Row],[BudgetIncreaseAmount08]]/SummaryTable[[#This Row],[OriginalBudget07]]</f>
        <v>4.2680375396018891E-2</v>
      </c>
      <c r="EU24" s="61">
        <f>IF(COUNTIFS(allFYsTable[Code], SummaryTable[[#This Row],[Code]], allFYsTable[year2], ER$3)=0, NotFound, SUMIFS(allFYsTable[RevisedBudget], allFYsTable[Code], SummaryTable[[#This Row],[Code]], allFYsTable[year2], ER$3))</f>
        <v>17668</v>
      </c>
      <c r="EV24" s="61">
        <f>IF(COUNTIFS(allFYsTable[Code], SummaryTable[[#This Row],[Code]], allFYsTable[year2], ER$3)=0, NotFound, SUMIFS(allFYsTable[Actual], allFYsTable[Code], SummaryTable[[#This Row],[Code]], allFYsTable[year2], ER$3))</f>
        <v>17198</v>
      </c>
      <c r="EW24" s="61">
        <f>IF(COUNTIFS(allFYsTable[Code], SummaryTable[[#This Row],[Code]], allFYsTable[year2], ER$3)=0, NotFound, SUMIFS(allFYsTable[DiffAmount], allFYsTable[Code], SummaryTable[[#This Row],[Code]], allFYsTable[year2], ER$3))</f>
        <v>-245</v>
      </c>
      <c r="EX24" s="63">
        <f>IF(SummaryTable[[#This Row],[OriginalBudget08]]=0, IF(SummaryTable[[#This Row],[DiffAmount08]]=0, ZeroBudgetNoSpending, ZeroBudgetWithSpending), SummaryTable[[#This Row],[DiffAmount08]]/SummaryTable[[#This Row],[OriginalBudget08]])</f>
        <v>-1.4045749011064611E-2</v>
      </c>
      <c r="EY24" s="62">
        <f>IF(COUNTIFS(allFYsTable[Code], SummaryTable[[#This Row],[Code]], allFYsTable[year2], EY$3)=0, NotFound, SUMIFS(allFYsTable[OriginalBudget], allFYsTable[Code], SummaryTable[[#This Row],[Code]], allFYsTable[year2], EY$3))</f>
        <v>16729</v>
      </c>
      <c r="EZ24" s="61">
        <f>SummaryTable[[#This Row],[OriginalBudget07]]-SummaryTable[[#This Row],[OriginalBudget06]]</f>
        <v>1985</v>
      </c>
      <c r="FA24" s="54">
        <f>SummaryTable[[#This Row],[BudgetIncreaseAmount07]]/SummaryTable[[#This Row],[OriginalBudget06]]</f>
        <v>0.13463103635377102</v>
      </c>
      <c r="FB24" s="61">
        <f>IF(COUNTIFS(allFYsTable[Code], SummaryTable[[#This Row],[Code]], allFYsTable[year2], EY$3)=0, NotFound, SUMIFS(allFYsTable[RevisedBudget], allFYsTable[Code], SummaryTable[[#This Row],[Code]], allFYsTable[year2], EY$3))</f>
        <v>16784</v>
      </c>
      <c r="FC24" s="61">
        <f>IF(COUNTIFS(allFYsTable[Code], SummaryTable[[#This Row],[Code]], allFYsTable[year2], EY$3)=0, NotFound, SUMIFS(allFYsTable[Actual], allFYsTable[Code], SummaryTable[[#This Row],[Code]], allFYsTable[year2], EY$3))</f>
        <v>16460</v>
      </c>
      <c r="FD24" s="61">
        <f>IF(COUNTIFS(allFYsTable[Code], SummaryTable[[#This Row],[Code]], allFYsTable[year2], EY$3)=0, NotFound, SUMIFS(allFYsTable[DiffAmount], allFYsTable[Code], SummaryTable[[#This Row],[Code]], allFYsTable[year2], EY$3))</f>
        <v>-269</v>
      </c>
      <c r="FE24" s="63">
        <f>IF(SummaryTable[[#This Row],[OriginalBudget07]]=0, IF(SummaryTable[[#This Row],[DiffAmount07]]=0, ZeroBudgetNoSpending, ZeroBudgetWithSpending), SummaryTable[[#This Row],[DiffAmount07]]/SummaryTable[[#This Row],[OriginalBudget07]])</f>
        <v>-1.6079861318668179E-2</v>
      </c>
      <c r="FF24" s="62">
        <f>IF(COUNTIFS(allFYsTable[Code], SummaryTable[[#This Row],[Code]], allFYsTable[year2], FF$3)=0, NotFound, SUMIFS(allFYsTable[OriginalBudget], allFYsTable[Code], SummaryTable[[#This Row],[Code]], allFYsTable[year2], FF$3))</f>
        <v>14744</v>
      </c>
      <c r="FI24" s="61">
        <f>IF(COUNTIFS(allFYsTable[Code], SummaryTable[[#This Row],[Code]], allFYsTable[year2], FF$3)=0, NotFound, SUMIFS(allFYsTable[RevisedBudget], allFYsTable[Code], SummaryTable[[#This Row],[Code]], allFYsTable[year2], FF$3))</f>
        <v>14808</v>
      </c>
      <c r="FJ24" s="61">
        <f>IF(COUNTIFS(allFYsTable[Code], SummaryTable[[#This Row],[Code]], allFYsTable[year2], FF$3)=0, NotFound, SUMIFS(allFYsTable[Actual], allFYsTable[Code], SummaryTable[[#This Row],[Code]], allFYsTable[year2], FF$3))</f>
        <v>14681</v>
      </c>
      <c r="FK24" s="61">
        <f>IF(COUNTIFS(allFYsTable[Code], SummaryTable[[#This Row],[Code]], allFYsTable[year2], FF$3)=0, NotFound, SUMIFS(allFYsTable[DiffAmount], allFYsTable[Code], SummaryTable[[#This Row],[Code]], allFYsTable[year2], FF$3))</f>
        <v>-63</v>
      </c>
      <c r="FL24" s="63">
        <f>IF(SummaryTable[[#This Row],[OriginalBudget06]]=0, IF(SummaryTable[[#This Row],[DiffAmount06]]=0, ZeroBudgetNoSpending, ZeroBudgetWithSpending), SummaryTable[[#This Row],[DiffAmount06]]/SummaryTable[[#This Row],[OriginalBudget06]])</f>
        <v>-4.2729245794899621E-3</v>
      </c>
    </row>
    <row r="25" spans="1:168" x14ac:dyDescent="0.45">
      <c r="A25" t="s">
        <v>787</v>
      </c>
      <c r="B25">
        <f>_xlfn.MAXIFS(allFYsTable[year2], allFYsTable[Code], SummaryTable[[#This Row],[Code]])</f>
        <v>2025</v>
      </c>
      <c r="C25" t="str">
        <f>_xlfn.XLOOKUP(SummaryTable[[#This Row],[Code]], NameCodingTable[Code], NameCodingTable[Most Recent Category per allFYs])</f>
        <v>Human support services</v>
      </c>
      <c r="D25" t="str">
        <f>_xlfn.XLOOKUP(SummaryTable[[#This Row],[Code]], NameCodingTable[Code], NameCodingTable[Unit Display Name])</f>
        <v>Department of Behavioral Health (DBH)</v>
      </c>
      <c r="E25" t="str">
        <f>_xlfn.XLOOKUP(SummaryTable[[#This Row],[Code]], NameCodingTable[Code], NameCodingTable[Type])</f>
        <v>agency</v>
      </c>
      <c r="F2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2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13</v>
      </c>
      <c r="H25" s="54">
        <f>SummaryTable[[#This Row],['# Over]]/SummaryTable[[#This Row],[Count]]</f>
        <v>0.65</v>
      </c>
      <c r="I2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7</v>
      </c>
      <c r="J25" s="54">
        <f>SummaryTable[[#This Row],['# Under]]/SummaryTable[[#This Row],[Count]]</f>
        <v>0.35</v>
      </c>
      <c r="K2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25" s="54">
        <f>SummaryTable[[#This Row],['# Equal]]/SummaryTable[[#This Row],[Count]]</f>
        <v>0</v>
      </c>
      <c r="M25" s="61">
        <f>SUMIFS(allFYsTable[OriginalBudget],allFYsTable[Code],SummaryTable[[#This Row],[Code]])/SummaryTable[[#This Row],[Count]]</f>
        <v>235638.6</v>
      </c>
      <c r="N25" s="61">
        <f>SUMIFS(allFYsTable[Actual],allFYsTable[Code],SummaryTable[[#This Row],[Code]])/SummaryTable[[#This Row],[Count]]</f>
        <v>241457.5</v>
      </c>
      <c r="O25" s="61">
        <f>SummaryTable[[#This Row],[AvgActAmt]]-SummaryTable[[#This Row],[AvgBudAmt]]</f>
        <v>5818.8999999999942</v>
      </c>
      <c r="P25" s="54">
        <f>IF(SummaryTable[[#This Row],[AvgBudAmt]]=0, IF(SummaryTable[[#This Row],[AvgDiff'#]]=0, 0, NamedFields!$C$3), SummaryTable[[#This Row],[AvgDiff'#]]/SummaryTable[[#This Row],[AvgBudAmt]])</f>
        <v>2.4694171498218009E-2</v>
      </c>
      <c r="Q25" s="61">
        <f>IFERROR(SUMIFS(allFYsTable[OriginalBudget],allFYsTable[Code],SummaryTable[[#This Row],[Code]],allFYsTable[DiffAmount], "&gt;0")/SummaryTable[[#This Row],['# Over]], 0)</f>
        <v>245005.38461538462</v>
      </c>
      <c r="R25" s="61">
        <f>IFERROR(SUMIFS(allFYsTable[Actual],allFYsTable[Code],SummaryTable[[#This Row],[Code]],allFYsTable[DiffAmount], "&gt;0")/SummaryTable[[#This Row],['# Over]], 0)</f>
        <v>255865.84615384616</v>
      </c>
      <c r="S25" s="61">
        <f>SummaryTable[[#This Row],[OverAvgAct]]-SummaryTable[[#This Row],[OverAvgBud]]</f>
        <v>10860.461538461532</v>
      </c>
      <c r="T25" s="54">
        <f>IF(SummaryTable[[#This Row],[OverAvgBud]]=0, IF(SummaryTable[[#This Row],[OverAvgDiff'#]]=0, ZeroBudgetNoSpending, ZeroBudgetWithSpending), SummaryTable[[#This Row],[OverAvgDiff'#]]/SummaryTable[[#This Row],[OverAvgBud]])</f>
        <v>4.432744021324489E-2</v>
      </c>
      <c r="U25" s="61">
        <f>IFERROR(SUMIFS(allFYsTable[OriginalBudget],allFYsTable[Code],SummaryTable[[#This Row],[Code]],allFYsTable[DiffAmount], "&lt;0")/SummaryTable[[#This Row],['# Under]], 0)</f>
        <v>218243.14285714287</v>
      </c>
      <c r="V25" s="61">
        <f>IFERROR( SUMIFS(allFYsTable[Actual],allFYsTable[Code],SummaryTable[[#This Row],[Code]],allFYsTable[DiffAmount], "&lt;0")/SummaryTable[[#This Row],['# Under]], 0)</f>
        <v>214699.14285714287</v>
      </c>
      <c r="W25" s="61">
        <f>SummaryTable[[#This Row],[UnderAvgAct]]-SummaryTable[[#This Row],[UnderAvgBud]]</f>
        <v>-3544</v>
      </c>
      <c r="X25" s="54">
        <f>IF(SummaryTable[[#This Row],[UnderAvgBud]]=0, IF(SummaryTable[[#This Row],[UnderAvgDiff'#]]=0, ZeroBudgetNoSpending, NamedFields!$C$3), SummaryTable[[#This Row],[UnderAvgDiff'#]]/SummaryTable[[#This Row],[UnderAvgBud]])</f>
        <v>-1.6238769079309968E-2</v>
      </c>
      <c r="Y2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2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25" s="54">
        <f>IF(SummaryTable[[#This Row],[IncreaseYears]]=0, ZeroBudgetNoSpending, SummaryTable[[#This Row],[OSinIncreaseYear'#]]/SummaryTable[[#This Row],[IncreaseYears]])</f>
        <v>0</v>
      </c>
      <c r="AB25" s="58" t="str">
        <f>SummaryTable[[#This Row],[Code]]</f>
        <v>RM0</v>
      </c>
      <c r="AC25" s="62">
        <f>IF(COUNTIFS(allFYsTable[Code], SummaryTable[[#This Row],[Code]], allFYsTable[year2], AC$3)=0, NotFound, SUMIFS(allFYsTable[OriginalBudget], allFYsTable[Code], SummaryTable[[#This Row],[Code]], allFYsTable[year2], AC$3))</f>
        <v>296752</v>
      </c>
      <c r="AD25" s="61">
        <f>SummaryTable[[#This Row],[OriginalBudget25]]-SummaryTable[[#This Row],[OriginalBudget24]]</f>
        <v>-11987</v>
      </c>
      <c r="AE25" s="54">
        <f>SummaryTable[[#This Row],[BudgetIncreaseAmount25]]/SummaryTable[[#This Row],[OriginalBudget24]]</f>
        <v>-3.8825674760882167E-2</v>
      </c>
      <c r="AF25" s="61">
        <f>IF(COUNTIFS(allFYsTable[Code], SummaryTable[[#This Row],[Code]], allFYsTable[year2], AC$3)=0, NotFound, SUMIFS(allFYsTable[RevisedBudget], allFYsTable[Code], SummaryTable[[#This Row],[Code]], allFYsTable[year2], AC$3))</f>
        <v>330686</v>
      </c>
      <c r="AG25" s="61">
        <f>IF(COUNTIFS(allFYsTable[Code], SummaryTable[[#This Row],[Code]], allFYsTable[year2], AC$3)=0, NotFound, SUMIFS(allFYsTable[Actual], allFYsTable[Code], SummaryTable[[#This Row],[Code]], allFYsTable[year2], AC$3))</f>
        <v>330190</v>
      </c>
      <c r="AH25" s="61">
        <f>IF(COUNTIFS(allFYsTable[Code], SummaryTable[[#This Row],[Code]], allFYsTable[year2], AC$3)=0, NotFound, SUMIFS(allFYsTable[DiffAmount], allFYsTable[Code], SummaryTable[[#This Row],[Code]], allFYsTable[year2], AC$3))</f>
        <v>33438</v>
      </c>
      <c r="AI25" s="63">
        <f>IF(SummaryTable[[#This Row],[OriginalBudget25]]=0, IF(SummaryTable[[#This Row],[DiffAmount25]]=0, ZeroBudgetNoSpending, ZeroBudgetWithSpending), SummaryTable[[#This Row],[DiffAmount25]]/SummaryTable[[#This Row],[OriginalBudget25]])</f>
        <v>0.11267994823960749</v>
      </c>
      <c r="AJ25" s="62">
        <f>IF(COUNTIFS(allFYsTable[Code], SummaryTable[[#This Row],[Code]], allFYsTable[year2], AJ$3)=0, NotFound, SUMIFS(allFYsTable[OriginalBudget], allFYsTable[Code], SummaryTable[[#This Row],[Code]], allFYsTable[year2], AJ$3))</f>
        <v>308739</v>
      </c>
      <c r="AK25" s="61">
        <f>SummaryTable[[#This Row],[OriginalBudget24]]-SummaryTable[[#This Row],[OriginalBudget23]]</f>
        <v>2858</v>
      </c>
      <c r="AL25" s="54">
        <f>SummaryTable[[#This Row],[BudgetIncreaseAmount24]]/SummaryTable[[#This Row],[OriginalBudget23]]</f>
        <v>9.3435028654934443E-3</v>
      </c>
      <c r="AM25" s="61">
        <f>IF(COUNTIFS(allFYsTable[Code], SummaryTable[[#This Row],[Code]], allFYsTable[year2], AK$3)=0, NotFound, SUMIFS(allFYsTable[RevisedBudget], allFYsTable[Code], SummaryTable[[#This Row],[Code]], allFYsTable[year2], AJ$3))</f>
        <v>318888</v>
      </c>
      <c r="AN25" s="61">
        <f>IF(COUNTIFS(allFYsTable[Code], SummaryTable[[#This Row],[Code]], allFYsTable[year2], AJ$3)=0, NotFound, SUMIFS(allFYsTable[Actual], allFYsTable[Code], SummaryTable[[#This Row],[Code]], allFYsTable[year2], AJ$3))</f>
        <v>318739</v>
      </c>
      <c r="AO25" s="61">
        <f>IF(COUNTIFS(allFYsTable[Code], SummaryTable[[#This Row],[Code]], allFYsTable[year2], AJ$3)=0, NotFound, SUMIFS(allFYsTable[DiffAmount], allFYsTable[Code], SummaryTable[[#This Row],[Code]], allFYsTable[year2], AJ$3))</f>
        <v>10000</v>
      </c>
      <c r="AP25" s="63">
        <f>IF(SummaryTable[[#This Row],[OriginalBudget24]]=0, IF(SummaryTable[[#This Row],[DiffAmount24]]=0, ZeroBudgetNoSpending, ZeroBudgetWithSpending), SummaryTable[[#This Row],[DiffAmount24]]/SummaryTable[[#This Row],[OriginalBudget24]])</f>
        <v>3.2389817936833376E-2</v>
      </c>
      <c r="AQ25" s="62">
        <f>IF(COUNTIFS(allFYsTable[Code], SummaryTable[[#This Row],[Code]], allFYsTable[year2], AQ$3)=0, NotFound, SUMIFS(allFYsTable[OriginalBudget], allFYsTable[Code], SummaryTable[[#This Row],[Code]], allFYsTable[year2], AQ$3))</f>
        <v>305881</v>
      </c>
      <c r="AR25" s="61">
        <f>SummaryTable[[#This Row],[OriginalBudget23]]-SummaryTable[[#This Row],[OriginalBudget22]]</f>
        <v>18322</v>
      </c>
      <c r="AS25" s="54">
        <f>SummaryTable[[#This Row],[BudgetIncreaseAmount23]]/SummaryTable[[#This Row],[OriginalBudget22]]</f>
        <v>6.3715620098831888E-2</v>
      </c>
      <c r="AT25" s="61">
        <f>IF(COUNTIFS(allFYsTable[Code], SummaryTable[[#This Row],[Code]], allFYsTable[year2], AQ$3)=0, NotFound, SUMIFS(allFYsTable[RevisedBudget], allFYsTable[Code], SummaryTable[[#This Row],[Code]], allFYsTable[year2], AQ$3))</f>
        <v>313155</v>
      </c>
      <c r="AU25" s="61">
        <f>IF(COUNTIFS(allFYsTable[Code], SummaryTable[[#This Row],[Code]], allFYsTable[year2], AQ$3)=0, NotFound, SUMIFS(allFYsTable[Actual], allFYsTable[Code], SummaryTable[[#This Row],[Code]], allFYsTable[year2], AQ$3))</f>
        <v>309157</v>
      </c>
      <c r="AV25" s="61">
        <f>IF(COUNTIFS(allFYsTable[Code], SummaryTable[[#This Row],[Code]], allFYsTable[year2], AQ$3)=0, NotFound, SUMIFS(allFYsTable[DiffAmount], allFYsTable[Code], SummaryTable[[#This Row],[Code]], allFYsTable[year2], AQ$3))</f>
        <v>3276</v>
      </c>
      <c r="AW25" s="63">
        <f>IF(SummaryTable[[#This Row],[OriginalBudget23]]=0, IF(SummaryTable[[#This Row],[DiffAmount23]]=0, ZeroBudgetNoSpending, ZeroBudgetWithSpending), SummaryTable[[#This Row],[DiffAmount23]]/SummaryTable[[#This Row],[OriginalBudget23]])</f>
        <v>1.0710047371363373E-2</v>
      </c>
      <c r="AX25" s="62">
        <f>IF(COUNTIFS(allFYsTable[Code], SummaryTable[[#This Row],[Code]], allFYsTable[year2], AX$3)=0, NotFound, SUMIFS(allFYsTable[OriginalBudget], allFYsTable[Code], SummaryTable[[#This Row],[Code]], allFYsTable[year2], AX$3))</f>
        <v>287559</v>
      </c>
      <c r="AY25" s="61">
        <f>SummaryTable[[#This Row],[OriginalBudget22]]-SummaryTable[[#This Row],[OriginalBudget21]]</f>
        <v>15355</v>
      </c>
      <c r="AZ25" s="54">
        <f>SummaryTable[[#This Row],[BudgetIncreaseAmount22]]/SummaryTable[[#This Row],[OriginalBudget21]]</f>
        <v>5.6409898458509057E-2</v>
      </c>
      <c r="BA25" s="61">
        <f>IF(COUNTIFS(allFYsTable[Code], SummaryTable[[#This Row],[Code]], allFYsTable[year2], AX$3)=0, NotFound, SUMIFS(allFYsTable[RevisedBudget], allFYsTable[Code], SummaryTable[[#This Row],[Code]], allFYsTable[year2], AX$3))</f>
        <v>289683</v>
      </c>
      <c r="BB25" s="61">
        <f>IF(COUNTIFS(allFYsTable[Code], SummaryTable[[#This Row],[Code]], allFYsTable[year2], AX$3)=0, NotFound, SUMIFS(allFYsTable[Actual], allFYsTable[Code], SummaryTable[[#This Row],[Code]], allFYsTable[year2], AX$3))</f>
        <v>288571</v>
      </c>
      <c r="BC25" s="61">
        <f>IF(COUNTIFS(allFYsTable[Code], SummaryTable[[#This Row],[Code]], allFYsTable[year2], AX$3)=0, NotFound, SUMIFS(allFYsTable[DiffAmount], allFYsTable[Code], SummaryTable[[#This Row],[Code]], allFYsTable[year2], AX$3))</f>
        <v>1012</v>
      </c>
      <c r="BD25" s="63">
        <f>IF(SummaryTable[[#This Row],[OriginalBudget22]]=0, IF(SummaryTable[[#This Row],[DiffAmount22]]=0, ZeroBudgetNoSpending, ZeroBudgetWithSpending), SummaryTable[[#This Row],[DiffAmount22]]/SummaryTable[[#This Row],[OriginalBudget22]])</f>
        <v>3.5192777829940987E-3</v>
      </c>
      <c r="BE25" s="62">
        <f>IF(COUNTIFS(allFYsTable[Code], SummaryTable[[#This Row],[Code]], allFYsTable[year2], BE$3)=0, NotFound, SUMIFS(allFYsTable[OriginalBudget], allFYsTable[Code], SummaryTable[[#This Row],[Code]], allFYsTable[year2], BE$3))</f>
        <v>272204</v>
      </c>
      <c r="BF25" s="61">
        <f>SummaryTable[[#This Row],[OriginalBudget21]]-SummaryTable[[#This Row],[OriginalBudget20]]</f>
        <v>5263</v>
      </c>
      <c r="BG25" s="54">
        <f>SummaryTable[[#This Row],[BudgetIncreaseAmount21]]/SummaryTable[[#This Row],[OriginalBudget20]]</f>
        <v>1.9715967198744293E-2</v>
      </c>
      <c r="BH25" s="61">
        <f>IF(COUNTIFS(allFYsTable[Code], SummaryTable[[#This Row],[Code]], allFYsTable[year2], BE$3)=0, NotFound, SUMIFS(allFYsTable[RevisedBudget], allFYsTable[Code], SummaryTable[[#This Row],[Code]], allFYsTable[year2], BE$3))</f>
        <v>262864</v>
      </c>
      <c r="BI25" s="61">
        <f>IF(COUNTIFS(allFYsTable[Code], SummaryTable[[#This Row],[Code]], allFYsTable[year2], BE$3)=0, NotFound, SUMIFS(allFYsTable[Actual], allFYsTable[Code], SummaryTable[[#This Row],[Code]], allFYsTable[year2], BE$3))</f>
        <v>261161</v>
      </c>
      <c r="BJ25" s="61">
        <f>IF(COUNTIFS(allFYsTable[Code], SummaryTable[[#This Row],[Code]], allFYsTable[year2], BE$3)=0, NotFound, SUMIFS(allFYsTable[DiffAmount], allFYsTable[Code], SummaryTable[[#This Row],[Code]], allFYsTable[year2], BE$3))</f>
        <v>-11043</v>
      </c>
      <c r="BK25" s="63">
        <f>IF(SummaryTable[[#This Row],[OriginalBudget21]]=0, IF(SummaryTable[[#This Row],[DiffAmount21]]=0, ZeroBudgetNoSpending, ZeroBudgetWithSpending), SummaryTable[[#This Row],[DiffAmount21]]/SummaryTable[[#This Row],[OriginalBudget21]])</f>
        <v>-4.0568838077324358E-2</v>
      </c>
      <c r="BL25" s="62">
        <f>IF(COUNTIFS(allFYsTable[Code], SummaryTable[[#This Row],[Code]], allFYsTable[year2], BL$3)=0, NotFound, SUMIFS(allFYsTable[OriginalBudget], allFYsTable[Code], SummaryTable[[#This Row],[Code]], allFYsTable[year2], BL$3))</f>
        <v>266941</v>
      </c>
      <c r="BM25" s="61">
        <f>SummaryTable[[#This Row],[OriginalBudget20]]-SummaryTable[[#This Row],[OriginalBudget19]]</f>
        <v>17189</v>
      </c>
      <c r="BN25" s="54">
        <f>SummaryTable[[#This Row],[BudgetIncreaseAmount20]]/SummaryTable[[#This Row],[OriginalBudget19]]</f>
        <v>6.8824273679490053E-2</v>
      </c>
      <c r="BO25" s="61">
        <f>IF(COUNTIFS(allFYsTable[Code], SummaryTable[[#This Row],[Code]], allFYsTable[year2], BL$3)=0, NotFound, SUMIFS(allFYsTable[RevisedBudget], allFYsTable[Code], SummaryTable[[#This Row],[Code]], allFYsTable[year2], BL$3))</f>
        <v>273519</v>
      </c>
      <c r="BP25" s="61">
        <f>IF(COUNTIFS(allFYsTable[Code], SummaryTable[[#This Row],[Code]], allFYsTable[year2], BL$3)=0, NotFound, SUMIFS(allFYsTable[Actual], allFYsTable[Code], SummaryTable[[#This Row],[Code]], allFYsTable[year2], BL$3))</f>
        <v>273265</v>
      </c>
      <c r="BQ25" s="61">
        <f>IF(COUNTIFS(allFYsTable[Code], SummaryTable[[#This Row],[Code]], allFYsTable[year2], BL$3)=0, NotFound, SUMIFS(allFYsTable[DiffAmount], allFYsTable[Code], SummaryTable[[#This Row],[Code]], allFYsTable[year2], BL$3))</f>
        <v>6324</v>
      </c>
      <c r="BR25" s="63">
        <f>IF(SummaryTable[[#This Row],[OriginalBudget20]]=0, IF(SummaryTable[[#This Row],[DiffAmount20]]=0, ZeroBudgetNoSpending, ZeroBudgetWithSpending), SummaryTable[[#This Row],[DiffAmount20]]/SummaryTable[[#This Row],[OriginalBudget20]])</f>
        <v>2.3690628266171177E-2</v>
      </c>
      <c r="BS25" s="62">
        <f>IF(COUNTIFS(allFYsTable[Code], SummaryTable[[#This Row],[Code]], allFYsTable[year2], BS$3)=0, NotFound, SUMIFS(allFYsTable[OriginalBudget], allFYsTable[Code], SummaryTable[[#This Row],[Code]], allFYsTable[year2], BS$3))</f>
        <v>249752</v>
      </c>
      <c r="BT25" s="61">
        <f>SummaryTable[[#This Row],[OriginalBudget19]]-SummaryTable[[#This Row],[OriginalBudget18]]</f>
        <v>20686</v>
      </c>
      <c r="BU25" s="54">
        <f>SummaryTable[[#This Row],[BudgetIncreaseAmount19]]/SummaryTable[[#This Row],[OriginalBudget18]]</f>
        <v>9.0305850715514308E-2</v>
      </c>
      <c r="BV25" s="61">
        <f>IF(COUNTIFS(allFYsTable[Code], SummaryTable[[#This Row],[Code]], allFYsTable[year2], BS$3)=0, NotFound, SUMIFS(allFYsTable[RevisedBudget], allFYsTable[Code], SummaryTable[[#This Row],[Code]], allFYsTable[year2], BS$3))</f>
        <v>248653</v>
      </c>
      <c r="BW25" s="61">
        <f>IF(COUNTIFS(allFYsTable[Code], SummaryTable[[#This Row],[Code]], allFYsTable[year2], BS$3)=0, NotFound, SUMIFS(allFYsTable[Actual], allFYsTable[Code], SummaryTable[[#This Row],[Code]], allFYsTable[year2], BS$3))</f>
        <v>248557</v>
      </c>
      <c r="BX25" s="61">
        <f>IF(COUNTIFS(allFYsTable[Code], SummaryTable[[#This Row],[Code]], allFYsTable[year2], BS$3)=0, NotFound, SUMIFS(allFYsTable[DiffAmount], allFYsTable[Code], SummaryTable[[#This Row],[Code]], allFYsTable[year2], BS$3))</f>
        <v>-1195</v>
      </c>
      <c r="BY25" s="63">
        <f>IF(SummaryTable[[#This Row],[OriginalBudget19]]=0, IF(SummaryTable[[#This Row],[DiffAmount19]]=0, ZeroBudgetNoSpending, ZeroBudgetWithSpending), SummaryTable[[#This Row],[DiffAmount19]]/SummaryTable[[#This Row],[OriginalBudget19]])</f>
        <v>-4.7847464684967487E-3</v>
      </c>
      <c r="BZ25" s="62">
        <f>IF(COUNTIFS(allFYsTable[Code], SummaryTable[[#This Row],[Code]], allFYsTable[year2], BZ$3)=0, NotFound, SUMIFS(allFYsTable[OriginalBudget], allFYsTable[Code], SummaryTable[[#This Row],[Code]], allFYsTable[year2], BZ$3))</f>
        <v>229066</v>
      </c>
      <c r="CA25" s="61">
        <f>SummaryTable[[#This Row],[OriginalBudget18]]-SummaryTable[[#This Row],[OriginalBudget17]]</f>
        <v>2308</v>
      </c>
      <c r="CB25" s="54">
        <f>SummaryTable[[#This Row],[BudgetIncreaseAmount18]]/SummaryTable[[#This Row],[OriginalBudget17]]</f>
        <v>1.0178251704460262E-2</v>
      </c>
      <c r="CC25" s="61">
        <f>IF(COUNTIFS(allFYsTable[Code], SummaryTable[[#This Row],[Code]], allFYsTable[year2], BZ$3)=0, NotFound, SUMIFS(allFYsTable[RevisedBudget], allFYsTable[Code], SummaryTable[[#This Row],[Code]], allFYsTable[year2], BZ$3))</f>
        <v>236946</v>
      </c>
      <c r="CD25" s="61">
        <f>IF(COUNTIFS(allFYsTable[Code], SummaryTable[[#This Row],[Code]], allFYsTable[year2], BZ$3)=0, NotFound, SUMIFS(allFYsTable[Actual], allFYsTable[Code], SummaryTable[[#This Row],[Code]], allFYsTable[year2], BZ$3))</f>
        <v>236814</v>
      </c>
      <c r="CE25" s="61">
        <f>IF(COUNTIFS(allFYsTable[Code], SummaryTable[[#This Row],[Code]], allFYsTable[year2], BZ$3)=0, NotFound, SUMIFS(allFYsTable[DiffAmount], allFYsTable[Code], SummaryTable[[#This Row],[Code]], allFYsTable[year2], BZ$3))</f>
        <v>7748</v>
      </c>
      <c r="CF25" s="63">
        <f>IF(SummaryTable[[#This Row],[OriginalBudget18]]=0, IF(SummaryTable[[#This Row],[DiffAmount18]]=0, ZeroBudgetNoSpending, ZeroBudgetWithSpending), SummaryTable[[#This Row],[DiffAmount18]]/SummaryTable[[#This Row],[OriginalBudget18]])</f>
        <v>3.3824312643517589E-2</v>
      </c>
      <c r="CG25" s="62">
        <f>IF(COUNTIFS(allFYsTable[Code], SummaryTable[[#This Row],[Code]], allFYsTable[year2], CG$3)=0, NotFound, SUMIFS(allFYsTable[OriginalBudget], allFYsTable[Code], SummaryTable[[#This Row],[Code]], allFYsTable[year2], CG$3))</f>
        <v>226758</v>
      </c>
      <c r="CH25" s="61">
        <f>SummaryTable[[#This Row],[OriginalBudget17]]-SummaryTable[[#This Row],[OriginalBudget16]]</f>
        <v>-98</v>
      </c>
      <c r="CI25" s="54">
        <f>SummaryTable[[#This Row],[BudgetIncreaseAmount17]]/SummaryTable[[#This Row],[OriginalBudget16]]</f>
        <v>-4.3199210071587262E-4</v>
      </c>
      <c r="CJ25" s="61">
        <f>IF(COUNTIFS(allFYsTable[Code], SummaryTable[[#This Row],[Code]], allFYsTable[year2], CG$3)=0, NotFound, SUMIFS(allFYsTable[RevisedBudget], allFYsTable[Code], SummaryTable[[#This Row],[Code]], allFYsTable[year2], CG$3))</f>
        <v>232237</v>
      </c>
      <c r="CK25" s="61">
        <f>IF(COUNTIFS(allFYsTable[Code], SummaryTable[[#This Row],[Code]], allFYsTable[year2], CG$3)=0, NotFound, SUMIFS(allFYsTable[Actual], allFYsTable[Code], SummaryTable[[#This Row],[Code]], allFYsTable[year2], CG$3))</f>
        <v>231904</v>
      </c>
      <c r="CL25" s="61">
        <f>IF(COUNTIFS(allFYsTable[Code], SummaryTable[[#This Row],[Code]], allFYsTable[year2], CG$3)=0, NotFound, SUMIFS(allFYsTable[DiffAmount], allFYsTable[Code], SummaryTable[[#This Row],[Code]], allFYsTable[year2], CG$3))</f>
        <v>5146</v>
      </c>
      <c r="CM25" s="63">
        <f>IF(SummaryTable[[#This Row],[OriginalBudget17]]=0, IF(SummaryTable[[#This Row],[DiffAmount17]]=0, ZeroBudgetNoSpending, ZeroBudgetWithSpending), SummaryTable[[#This Row],[DiffAmount17]]/SummaryTable[[#This Row],[OriginalBudget17]])</f>
        <v>2.2693796911244585E-2</v>
      </c>
      <c r="CN25" s="62">
        <f>IF(COUNTIFS(allFYsTable[Code], SummaryTable[[#This Row],[Code]], allFYsTable[year2], CN$3)=0, NotFound, SUMIFS(allFYsTable[OriginalBudget], allFYsTable[Code], SummaryTable[[#This Row],[Code]], allFYsTable[year2], CN$3))</f>
        <v>226856</v>
      </c>
      <c r="CO25" s="61">
        <f>SummaryTable[[#This Row],[OriginalBudget16]]-SummaryTable[[#This Row],[OriginalBudget15]]</f>
        <v>-5001</v>
      </c>
      <c r="CP25" s="54">
        <f>SummaryTable[[#This Row],[BudgetIncreaseAmount16]]/SummaryTable[[#This Row],[OriginalBudget15]]</f>
        <v>-2.1569329371120993E-2</v>
      </c>
      <c r="CQ25" s="61">
        <f>IF(COUNTIFS(allFYsTable[Code], SummaryTable[[#This Row],[Code]], allFYsTable[year2], CN$3)=0, NotFound, SUMIFS(allFYsTable[RevisedBudget], allFYsTable[Code], SummaryTable[[#This Row],[Code]], allFYsTable[year2], CN$3))</f>
        <v>228435</v>
      </c>
      <c r="CR25" s="61">
        <f>IF(COUNTIFS(allFYsTable[Code], SummaryTable[[#This Row],[Code]], allFYsTable[year2], CN$3)=0, NotFound, SUMIFS(allFYsTable[Actual], allFYsTable[Code], SummaryTable[[#This Row],[Code]], allFYsTable[year2], CN$3))</f>
        <v>228301</v>
      </c>
      <c r="CS25" s="61">
        <f>IF(COUNTIFS(allFYsTable[Code], SummaryTable[[#This Row],[Code]], allFYsTable[year2], CN$3)=0, NotFound, SUMIFS(allFYsTable[DiffAmount], allFYsTable[Code], SummaryTable[[#This Row],[Code]], allFYsTable[year2], CN$3))</f>
        <v>1445</v>
      </c>
      <c r="CT25" s="63">
        <f>IF(SummaryTable[[#This Row],[OriginalBudget16]]=0, IF(SummaryTable[[#This Row],[DiffAmount16]]=0, ZeroBudgetNoSpending, ZeroBudgetWithSpending), SummaryTable[[#This Row],[DiffAmount16]]/SummaryTable[[#This Row],[OriginalBudget16]])</f>
        <v>6.369679444228938E-3</v>
      </c>
      <c r="CU25" s="62">
        <f>IF(COUNTIFS(allFYsTable[Code], SummaryTable[[#This Row],[Code]], allFYsTable[year2], CU$3)=0, NotFound, SUMIFS(allFYsTable[OriginalBudget], allFYsTable[Code], SummaryTable[[#This Row],[Code]], allFYsTable[year2], CU$3))</f>
        <v>231857</v>
      </c>
      <c r="CV25" s="61">
        <f>SummaryTable[[#This Row],[OriginalBudget15]]-SummaryTable[[#This Row],[OriginalBudget14]]</f>
        <v>27027</v>
      </c>
      <c r="CW25" s="54">
        <f>SummaryTable[[#This Row],[BudgetIncreaseAmount15]]/SummaryTable[[#This Row],[OriginalBudget14]]</f>
        <v>0.13194844505199432</v>
      </c>
      <c r="CX25" s="61">
        <f>IF(COUNTIFS(allFYsTable[Code], SummaryTable[[#This Row],[Code]], allFYsTable[year2], CU$3)=0, NotFound, SUMIFS(allFYsTable[RevisedBudget], allFYsTable[Code], SummaryTable[[#This Row],[Code]], allFYsTable[year2], CU$3))</f>
        <v>235478</v>
      </c>
      <c r="CY25" s="61">
        <f>IF(COUNTIFS(allFYsTable[Code], SummaryTable[[#This Row],[Code]], allFYsTable[year2], CU$3)=0, NotFound, SUMIFS(allFYsTable[Actual], allFYsTable[Code], SummaryTable[[#This Row],[Code]], allFYsTable[year2], CU$3))</f>
        <v>227869</v>
      </c>
      <c r="CZ25" s="61">
        <f>IF(COUNTIFS(allFYsTable[Code], SummaryTable[[#This Row],[Code]], allFYsTable[year2], CU$3)=0, NotFound, SUMIFS(allFYsTable[DiffAmount], allFYsTable[Code], SummaryTable[[#This Row],[Code]], allFYsTable[year2], CU$3))</f>
        <v>-3988</v>
      </c>
      <c r="DA25" s="63">
        <f>IF(SummaryTable[[#This Row],[OriginalBudget15]]=0, IF(SummaryTable[[#This Row],[DiffAmount15]]=0, ZeroBudgetNoSpending, ZeroBudgetWithSpending), SummaryTable[[#This Row],[DiffAmount15]]/SummaryTable[[#This Row],[OriginalBudget15]])</f>
        <v>-1.7200257054995106E-2</v>
      </c>
      <c r="DB25" s="62">
        <f>IF(COUNTIFS(allFYsTable[Code], SummaryTable[[#This Row],[Code]], allFYsTable[year2], DB$3)=0, NotFound, SUMIFS(allFYsTable[OriginalBudget], allFYsTable[Code], SummaryTable[[#This Row],[Code]], allFYsTable[year2], DB$3))</f>
        <v>204830</v>
      </c>
      <c r="DC25" s="61">
        <f>SummaryTable[[#This Row],[OriginalBudget14]]-SummaryTable[[#This Row],[OriginalBudget13]]</f>
        <v>36953</v>
      </c>
      <c r="DD25" s="54">
        <f>SummaryTable[[#This Row],[BudgetIncreaseAmount14]]/SummaryTable[[#This Row],[OriginalBudget13]]</f>
        <v>0.2201194922473001</v>
      </c>
      <c r="DE25" s="61">
        <f>IF(COUNTIFS(allFYsTable[Code], SummaryTable[[#This Row],[Code]], allFYsTable[year2], DB$3)=0, NotFound, SUMIFS(allFYsTable[RevisedBudget], allFYsTable[Code], SummaryTable[[#This Row],[Code]], allFYsTable[year2], DB$3))</f>
        <v>207502</v>
      </c>
      <c r="DF25" s="61">
        <f>IF(COUNTIFS(allFYsTable[Code], SummaryTable[[#This Row],[Code]], allFYsTable[year2], DB$3)=0, NotFound, SUMIFS(allFYsTable[Actual], allFYsTable[Code], SummaryTable[[#This Row],[Code]], allFYsTable[year2], DB$3))</f>
        <v>205866</v>
      </c>
      <c r="DG25" s="61">
        <f>IF(COUNTIFS(allFYsTable[Code], SummaryTable[[#This Row],[Code]], allFYsTable[year2], DB$3)=0, NotFound, SUMIFS(allFYsTable[DiffAmount], allFYsTable[Code], SummaryTable[[#This Row],[Code]], allFYsTable[year2], DB$3))</f>
        <v>1036</v>
      </c>
      <c r="DH25" s="63">
        <f>IF(SummaryTable[[#This Row],[OriginalBudget14]]=0, IF(SummaryTable[[#This Row],[DiffAmount14]]=0, ZeroBudgetNoSpending, ZeroBudgetWithSpending), SummaryTable[[#This Row],[DiffAmount14]]/SummaryTable[[#This Row],[OriginalBudget14]])</f>
        <v>5.0578528535859006E-3</v>
      </c>
      <c r="DI25" s="62">
        <f>IF(COUNTIFS(allFYsTable[Code], SummaryTable[[#This Row],[Code]], allFYsTable[year2], DI$3)=0, NotFound, SUMIFS(allFYsTable[OriginalBudget], allFYsTable[Code], SummaryTable[[#This Row],[Code]], allFYsTable[year2], DI$3))</f>
        <v>167877</v>
      </c>
      <c r="DJ25" s="61">
        <f>SummaryTable[[#This Row],[OriginalBudget13]]-SummaryTable[[#This Row],[OriginalBudget12]]</f>
        <v>10365</v>
      </c>
      <c r="DK25" s="54">
        <f>SummaryTable[[#This Row],[BudgetIncreaseAmount13]]/SummaryTable[[#This Row],[OriginalBudget12]]</f>
        <v>6.5804510132561334E-2</v>
      </c>
      <c r="DL25" s="61">
        <f>IF(COUNTIFS(allFYsTable[Code], SummaryTable[[#This Row],[Code]], allFYsTable[year2], DI$3)=0, NotFound, SUMIFS(allFYsTable[RevisedBudget], allFYsTable[Code], SummaryTable[[#This Row],[Code]], allFYsTable[year2], DI$3))</f>
        <v>175297</v>
      </c>
      <c r="DM25" s="61">
        <f>IF(COUNTIFS(allFYsTable[Code], SummaryTable[[#This Row],[Code]], allFYsTable[year2], DI$3)=0, NotFound, SUMIFS(allFYsTable[Actual], allFYsTable[Code], SummaryTable[[#This Row],[Code]], allFYsTable[year2], DI$3))</f>
        <v>172613</v>
      </c>
      <c r="DN25" s="61">
        <f>IF(COUNTIFS(allFYsTable[Code], SummaryTable[[#This Row],[Code]], allFYsTable[year2], DI$3)=0, NotFound, SUMIFS(allFYsTable[DiffAmount], allFYsTable[Code], SummaryTable[[#This Row],[Code]], allFYsTable[year2], DI$3))</f>
        <v>4736</v>
      </c>
      <c r="DO25" s="63">
        <f>IF(SummaryTable[[#This Row],[OriginalBudget13]]=0, IF(SummaryTable[[#This Row],[DiffAmount13]]=0, ZeroBudgetNoSpending, ZeroBudgetWithSpending), SummaryTable[[#This Row],[DiffAmount13]]/SummaryTable[[#This Row],[OriginalBudget13]])</f>
        <v>2.8211130768360168E-2</v>
      </c>
      <c r="DP25" s="62">
        <f>IF(COUNTIFS(allFYsTable[Code], SummaryTable[[#This Row],[Code]], allFYsTable[year2], DP$3)=0, NotFound, SUMIFS(allFYsTable[OriginalBudget], allFYsTable[Code], SummaryTable[[#This Row],[Code]], allFYsTable[year2], DP$3))</f>
        <v>157512</v>
      </c>
      <c r="DQ25" s="61">
        <f>SummaryTable[[#This Row],[OriginalBudget12]]-SummaryTable[[#This Row],[OriginalBudget11]]</f>
        <v>-5175</v>
      </c>
      <c r="DR25" s="54">
        <f>SummaryTable[[#This Row],[BudgetIncreaseAmount12]]/SummaryTable[[#This Row],[OriginalBudget11]]</f>
        <v>-3.1809548396614359E-2</v>
      </c>
      <c r="DS25" s="61">
        <f>IF(COUNTIFS(allFYsTable[Code], SummaryTable[[#This Row],[Code]], allFYsTable[year2], DP$3)=0, NotFound, SUMIFS(allFYsTable[RevisedBudget], allFYsTable[Code], SummaryTable[[#This Row],[Code]], allFYsTable[year2], DP$3))</f>
        <v>159048</v>
      </c>
      <c r="DT25" s="61">
        <f>IF(COUNTIFS(allFYsTable[Code], SummaryTable[[#This Row],[Code]], allFYsTable[year2], DP$3)=0, NotFound, SUMIFS(allFYsTable[Actual], allFYsTable[Code], SummaryTable[[#This Row],[Code]], allFYsTable[year2], DP$3))</f>
        <v>158714</v>
      </c>
      <c r="DU25" s="61">
        <f>IF(COUNTIFS(allFYsTable[Code], SummaryTable[[#This Row],[Code]], allFYsTable[year2], DP$3)=0, NotFound, SUMIFS(allFYsTable[DiffAmount], allFYsTable[Code], SummaryTable[[#This Row],[Code]], allFYsTable[year2], DP$3))</f>
        <v>1202</v>
      </c>
      <c r="DV25" s="63">
        <f>IF(SummaryTable[[#This Row],[OriginalBudget12]]=0, IF(SummaryTable[[#This Row],[DiffAmount12]]=0, ZeroBudgetNoSpending, ZeroBudgetWithSpending), SummaryTable[[#This Row],[DiffAmount12]]/SummaryTable[[#This Row],[OriginalBudget12]])</f>
        <v>7.6311646096805319E-3</v>
      </c>
      <c r="DW25" s="62">
        <f>IF(COUNTIFS(allFYsTable[Code], SummaryTable[[#This Row],[Code]], allFYsTable[year2], DW$3)=0, NotFound, SUMIFS(allFYsTable[OriginalBudget], allFYsTable[Code], SummaryTable[[#This Row],[Code]], allFYsTable[year2], DW$3))</f>
        <v>162687</v>
      </c>
      <c r="DX25" s="61">
        <f>SummaryTable[[#This Row],[OriginalBudget11]]-SummaryTable[[#This Row],[OriginalBudget10]]</f>
        <v>-28703</v>
      </c>
      <c r="DY25" s="54">
        <f>SummaryTable[[#This Row],[BudgetIncreaseAmount11]]/SummaryTable[[#This Row],[OriginalBudget10]]</f>
        <v>-0.14997126286639845</v>
      </c>
      <c r="DZ25" s="61">
        <f>IF(COUNTIFS(allFYsTable[Code], SummaryTable[[#This Row],[Code]], allFYsTable[year2], DW$3)=0, NotFound, SUMIFS(allFYsTable[RevisedBudget], allFYsTable[Code], SummaryTable[[#This Row],[Code]], allFYsTable[year2], DW$3))</f>
        <v>162687</v>
      </c>
      <c r="EA25" s="61">
        <f>IF(COUNTIFS(allFYsTable[Code], SummaryTable[[#This Row],[Code]], allFYsTable[year2], DW$3)=0, NotFound, SUMIFS(allFYsTable[Actual], allFYsTable[Code], SummaryTable[[#This Row],[Code]], allFYsTable[year2], DW$3))</f>
        <v>160971</v>
      </c>
      <c r="EB25" s="61">
        <f>IF(COUNTIFS(allFYsTable[Code], SummaryTable[[#This Row],[Code]], allFYsTable[year2], DW$3)=0, NotFound, SUMIFS(allFYsTable[DiffAmount], allFYsTable[Code], SummaryTable[[#This Row],[Code]], allFYsTable[year2], DW$3))</f>
        <v>-1716</v>
      </c>
      <c r="EC25" s="63">
        <f>IF(SummaryTable[[#This Row],[OriginalBudget11]]=0, IF(SummaryTable[[#This Row],[DiffAmount11]]=0, ZeroBudgetNoSpending, ZeroBudgetWithSpending), SummaryTable[[#This Row],[DiffAmount11]]/SummaryTable[[#This Row],[OriginalBudget11]])</f>
        <v>-1.054786184513821E-2</v>
      </c>
      <c r="ED25" s="62">
        <f>IF(COUNTIFS(allFYsTable[Code], SummaryTable[[#This Row],[Code]], allFYsTable[year2], ED$3)=0, NotFound, SUMIFS(allFYsTable[OriginalBudget], allFYsTable[Code], SummaryTable[[#This Row],[Code]], allFYsTable[year2], ED$3))</f>
        <v>191390</v>
      </c>
      <c r="EE25" s="61">
        <f>SummaryTable[[#This Row],[OriginalBudget10]]-SummaryTable[[#This Row],[OriginalBudget09]]</f>
        <v>-18442</v>
      </c>
      <c r="EF25" s="54">
        <f>SummaryTable[[#This Row],[BudgetIncreaseAmount10]]/SummaryTable[[#This Row],[OriginalBudget09]]</f>
        <v>-8.7889359106332679E-2</v>
      </c>
      <c r="EG25" s="61">
        <f>IF(COUNTIFS(allFYsTable[Code], SummaryTable[[#This Row],[Code]], allFYsTable[year2], ED$3)=0, NotFound, SUMIFS(allFYsTable[RevisedBudget], allFYsTable[Code], SummaryTable[[#This Row],[Code]], allFYsTable[year2], ED$3))</f>
        <v>188528</v>
      </c>
      <c r="EH25" s="61">
        <f>IF(COUNTIFS(allFYsTable[Code], SummaryTable[[#This Row],[Code]], allFYsTable[year2], ED$3)=0, NotFound, SUMIFS(allFYsTable[Actual], allFYsTable[Code], SummaryTable[[#This Row],[Code]], allFYsTable[year2], ED$3))</f>
        <v>187898</v>
      </c>
      <c r="EI25" s="61">
        <f>IF(COUNTIFS(allFYsTable[Code], SummaryTable[[#This Row],[Code]], allFYsTable[year2], ED$3)=0, NotFound, SUMIFS(allFYsTable[DiffAmount], allFYsTable[Code], SummaryTable[[#This Row],[Code]], allFYsTable[year2], ED$3))</f>
        <v>-3492</v>
      </c>
      <c r="EJ25" s="63">
        <f>IF(SummaryTable[[#This Row],[OriginalBudget10]]=0, IF(SummaryTable[[#This Row],[DiffAmount10]]=0, ZeroBudgetNoSpending, ZeroBudgetWithSpending), SummaryTable[[#This Row],[DiffAmount10]]/SummaryTable[[#This Row],[OriginalBudget10]])</f>
        <v>-1.8245467370291028E-2</v>
      </c>
      <c r="EK25" s="62">
        <f>IF(COUNTIFS(allFYsTable[Code], SummaryTable[[#This Row],[Code]], allFYsTable[year2], EK$3)=0, NotFound, SUMIFS(allFYsTable[OriginalBudget], allFYsTable[Code], SummaryTable[[#This Row],[Code]], allFYsTable[year2], EK$3))</f>
        <v>209832</v>
      </c>
      <c r="EL25" s="61">
        <f>SummaryTable[[#This Row],[OriginalBudget09]]-SummaryTable[[#This Row],[OriginalBudget08]]</f>
        <v>-148</v>
      </c>
      <c r="EM25" s="54">
        <f>SummaryTable[[#This Row],[BudgetIncreaseAmount09]]/SummaryTable[[#This Row],[OriginalBudget08]]</f>
        <v>-7.0482903133631779E-4</v>
      </c>
      <c r="EN25" s="61">
        <f>IF(COUNTIFS(allFYsTable[Code], SummaryTable[[#This Row],[Code]], allFYsTable[year2], EK$3)=0, NotFound, SUMIFS(allFYsTable[RevisedBudget], allFYsTable[Code], SummaryTable[[#This Row],[Code]], allFYsTable[year2], EK$3))</f>
        <v>210231</v>
      </c>
      <c r="EO25" s="61">
        <f>IF(COUNTIFS(allFYsTable[Code], SummaryTable[[#This Row],[Code]], allFYsTable[year2], EK$3)=0, NotFound, SUMIFS(allFYsTable[Actual], allFYsTable[Code], SummaryTable[[#This Row],[Code]], allFYsTable[year2], EK$3))</f>
        <v>208811</v>
      </c>
      <c r="EP25" s="61">
        <f>IF(COUNTIFS(allFYsTable[Code], SummaryTable[[#This Row],[Code]], allFYsTable[year2], EK$3)=0, NotFound, SUMIFS(allFYsTable[DiffAmount], allFYsTable[Code], SummaryTable[[#This Row],[Code]], allFYsTable[year2], EK$3))</f>
        <v>-1021</v>
      </c>
      <c r="EQ25" s="63">
        <f>IF(SummaryTable[[#This Row],[OriginalBudget09]]=0, IF(SummaryTable[[#This Row],[DiffAmount09]]=0, ZeroBudgetNoSpending, ZeroBudgetWithSpending), SummaryTable[[#This Row],[DiffAmount09]]/SummaryTable[[#This Row],[OriginalBudget09]])</f>
        <v>-4.865797399824622E-3</v>
      </c>
      <c r="ER25" s="62">
        <f>IF(COUNTIFS(allFYsTable[Code], SummaryTable[[#This Row],[Code]], allFYsTable[year2], ER$3)=0, NotFound, SUMIFS(allFYsTable[OriginalBudget], allFYsTable[Code], SummaryTable[[#This Row],[Code]], allFYsTable[year2], ER$3))</f>
        <v>209980</v>
      </c>
      <c r="ES25" s="61">
        <f>SummaryTable[[#This Row],[OriginalBudget08]]-SummaryTable[[#This Row],[OriginalBudget07]]</f>
        <v>36676</v>
      </c>
      <c r="ET25" s="54">
        <f>SummaryTable[[#This Row],[BudgetIncreaseAmount08]]/SummaryTable[[#This Row],[OriginalBudget07]]</f>
        <v>0.21162812168213083</v>
      </c>
      <c r="EU25" s="61">
        <f>IF(COUNTIFS(allFYsTable[Code], SummaryTable[[#This Row],[Code]], allFYsTable[year2], ER$3)=0, NotFound, SUMIFS(allFYsTable[RevisedBudget], allFYsTable[Code], SummaryTable[[#This Row],[Code]], allFYsTable[year2], ER$3))</f>
        <v>209980</v>
      </c>
      <c r="EV25" s="61">
        <f>IF(COUNTIFS(allFYsTable[Code], SummaryTable[[#This Row],[Code]], allFYsTable[year2], ER$3)=0, NotFound, SUMIFS(allFYsTable[Actual], allFYsTable[Code], SummaryTable[[#This Row],[Code]], allFYsTable[year2], ER$3))</f>
        <v>207627</v>
      </c>
      <c r="EW25" s="61">
        <f>IF(COUNTIFS(allFYsTable[Code], SummaryTable[[#This Row],[Code]], allFYsTable[year2], ER$3)=0, NotFound, SUMIFS(allFYsTable[DiffAmount], allFYsTable[Code], SummaryTable[[#This Row],[Code]], allFYsTable[year2], ER$3))</f>
        <v>-2353</v>
      </c>
      <c r="EX25" s="63">
        <f>IF(SummaryTable[[#This Row],[OriginalBudget08]]=0, IF(SummaryTable[[#This Row],[DiffAmount08]]=0, ZeroBudgetNoSpending, ZeroBudgetWithSpending), SummaryTable[[#This Row],[DiffAmount08]]/SummaryTable[[#This Row],[OriginalBudget08]])</f>
        <v>-1.1205829126583484E-2</v>
      </c>
      <c r="EY25" s="62">
        <f>IF(COUNTIFS(allFYsTable[Code], SummaryTable[[#This Row],[Code]], allFYsTable[year2], EY$3)=0, NotFound, SUMIFS(allFYsTable[OriginalBudget], allFYsTable[Code], SummaryTable[[#This Row],[Code]], allFYsTable[year2], EY$3))</f>
        <v>173304</v>
      </c>
      <c r="EZ25" s="61">
        <f>SummaryTable[[#This Row],[OriginalBudget07]]-SummaryTable[[#This Row],[OriginalBudget06]]</f>
        <v>-6463</v>
      </c>
      <c r="FA25" s="54">
        <f>SummaryTable[[#This Row],[BudgetIncreaseAmount07]]/SummaryTable[[#This Row],[OriginalBudget06]]</f>
        <v>-3.595209354330884E-2</v>
      </c>
      <c r="FB25" s="61">
        <f>IF(COUNTIFS(allFYsTable[Code], SummaryTable[[#This Row],[Code]], allFYsTable[year2], EY$3)=0, NotFound, SUMIFS(allFYsTable[RevisedBudget], allFYsTable[Code], SummaryTable[[#This Row],[Code]], allFYsTable[year2], EY$3))</f>
        <v>188022</v>
      </c>
      <c r="FC25" s="61">
        <f>IF(COUNTIFS(allFYsTable[Code], SummaryTable[[#This Row],[Code]], allFYsTable[year2], EY$3)=0, NotFound, SUMIFS(allFYsTable[Actual], allFYsTable[Code], SummaryTable[[#This Row],[Code]], allFYsTable[year2], EY$3))</f>
        <v>186058</v>
      </c>
      <c r="FD25" s="61">
        <f>IF(COUNTIFS(allFYsTable[Code], SummaryTable[[#This Row],[Code]], allFYsTable[year2], EY$3)=0, NotFound, SUMIFS(allFYsTable[DiffAmount], allFYsTable[Code], SummaryTable[[#This Row],[Code]], allFYsTable[year2], EY$3))</f>
        <v>12754</v>
      </c>
      <c r="FE25" s="63">
        <f>IF(SummaryTable[[#This Row],[OriginalBudget07]]=0, IF(SummaryTable[[#This Row],[DiffAmount07]]=0, ZeroBudgetNoSpending, ZeroBudgetWithSpending), SummaryTable[[#This Row],[DiffAmount07]]/SummaryTable[[#This Row],[OriginalBudget07]])</f>
        <v>7.3593223468586988E-2</v>
      </c>
      <c r="FF25" s="62">
        <f>IF(COUNTIFS(allFYsTable[Code], SummaryTable[[#This Row],[Code]], allFYsTable[year2], FF$3)=0, NotFound, SUMIFS(allFYsTable[OriginalBudget], allFYsTable[Code], SummaryTable[[#This Row],[Code]], allFYsTable[year2], FF$3))</f>
        <v>179767</v>
      </c>
      <c r="FI25" s="61">
        <f>IF(COUNTIFS(allFYsTable[Code], SummaryTable[[#This Row],[Code]], allFYsTable[year2], FF$3)=0, NotFound, SUMIFS(allFYsTable[RevisedBudget], allFYsTable[Code], SummaryTable[[#This Row],[Code]], allFYsTable[year2], FF$3))</f>
        <v>196798</v>
      </c>
      <c r="FJ25" s="61">
        <f>IF(COUNTIFS(allFYsTable[Code], SummaryTable[[#This Row],[Code]], allFYsTable[year2], FF$3)=0, NotFound, SUMIFS(allFYsTable[Actual], allFYsTable[Code], SummaryTable[[#This Row],[Code]], allFYsTable[year2], FF$3))</f>
        <v>196723</v>
      </c>
      <c r="FK25" s="61">
        <f>IF(COUNTIFS(allFYsTable[Code], SummaryTable[[#This Row],[Code]], allFYsTable[year2], FF$3)=0, NotFound, SUMIFS(allFYsTable[DiffAmount], allFYsTable[Code], SummaryTable[[#This Row],[Code]], allFYsTable[year2], FF$3))</f>
        <v>16956</v>
      </c>
      <c r="FL25" s="63">
        <f>IF(SummaryTable[[#This Row],[OriginalBudget06]]=0, IF(SummaryTable[[#This Row],[DiffAmount06]]=0, ZeroBudgetNoSpending, ZeroBudgetWithSpending), SummaryTable[[#This Row],[DiffAmount06]]/SummaryTable[[#This Row],[OriginalBudget06]])</f>
        <v>9.4322094711487642E-2</v>
      </c>
    </row>
    <row r="26" spans="1:168" x14ac:dyDescent="0.45">
      <c r="A26" t="s">
        <v>796</v>
      </c>
      <c r="B26">
        <f>_xlfn.MAXIFS(allFYsTable[year2], allFYsTable[Code], SummaryTable[[#This Row],[Code]])</f>
        <v>2025</v>
      </c>
      <c r="C26" t="str">
        <f>_xlfn.XLOOKUP(SummaryTable[[#This Row],[Code]], NameCodingTable[Code], NameCodingTable[Most Recent Category per allFYs])</f>
        <v>Operations and infrastructure</v>
      </c>
      <c r="D26" t="str">
        <f>_xlfn.XLOOKUP(SummaryTable[[#This Row],[Code]], NameCodingTable[Code], NameCodingTable[Unit Display Name])</f>
        <v>Department of Buildings (DOB)</v>
      </c>
      <c r="E26" t="str">
        <f>_xlfn.XLOOKUP(SummaryTable[[#This Row],[Code]], NameCodingTable[Code], NameCodingTable[Type])</f>
        <v>agency</v>
      </c>
      <c r="F2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3</v>
      </c>
      <c r="G2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26" s="54">
        <f>SummaryTable[[#This Row],['# Over]]/SummaryTable[[#This Row],[Count]]</f>
        <v>0</v>
      </c>
      <c r="I2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3</v>
      </c>
      <c r="J26" s="54">
        <f>SummaryTable[[#This Row],['# Under]]/SummaryTable[[#This Row],[Count]]</f>
        <v>1</v>
      </c>
      <c r="K2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26" s="54">
        <f>SummaryTable[[#This Row],['# Equal]]/SummaryTable[[#This Row],[Count]]</f>
        <v>0</v>
      </c>
      <c r="M26" s="61">
        <f>SUMIFS(allFYsTable[OriginalBudget],allFYsTable[Code],SummaryTable[[#This Row],[Code]])/SummaryTable[[#This Row],[Count]]</f>
        <v>46986.666666666664</v>
      </c>
      <c r="N26" s="61">
        <f>SUMIFS(allFYsTable[Actual],allFYsTable[Code],SummaryTable[[#This Row],[Code]])/SummaryTable[[#This Row],[Count]]</f>
        <v>44009</v>
      </c>
      <c r="O26" s="61">
        <f>SummaryTable[[#This Row],[AvgActAmt]]-SummaryTable[[#This Row],[AvgBudAmt]]</f>
        <v>-2977.6666666666642</v>
      </c>
      <c r="P26" s="54">
        <f>IF(SummaryTable[[#This Row],[AvgBudAmt]]=0, IF(SummaryTable[[#This Row],[AvgDiff'#]]=0, 0, NamedFields!$C$3), SummaryTable[[#This Row],[AvgDiff'#]]/SummaryTable[[#This Row],[AvgBudAmt]])</f>
        <v>-6.3372587968217889E-2</v>
      </c>
      <c r="Q26" s="61">
        <f>IFERROR(SUMIFS(allFYsTable[OriginalBudget],allFYsTable[Code],SummaryTable[[#This Row],[Code]],allFYsTable[DiffAmount], "&gt;0")/SummaryTable[[#This Row],['# Over]], 0)</f>
        <v>0</v>
      </c>
      <c r="R26" s="61">
        <f>IFERROR(SUMIFS(allFYsTable[Actual],allFYsTable[Code],SummaryTable[[#This Row],[Code]],allFYsTable[DiffAmount], "&gt;0")/SummaryTable[[#This Row],['# Over]], 0)</f>
        <v>0</v>
      </c>
      <c r="S26" s="61">
        <f>SummaryTable[[#This Row],[OverAvgAct]]-SummaryTable[[#This Row],[OverAvgBud]]</f>
        <v>0</v>
      </c>
      <c r="T26" s="54">
        <f>IF(SummaryTable[[#This Row],[OverAvgBud]]=0, IF(SummaryTable[[#This Row],[OverAvgDiff'#]]=0, ZeroBudgetNoSpending, ZeroBudgetWithSpending), SummaryTable[[#This Row],[OverAvgDiff'#]]/SummaryTable[[#This Row],[OverAvgBud]])</f>
        <v>0</v>
      </c>
      <c r="U26" s="61">
        <f>IFERROR(SUMIFS(allFYsTable[OriginalBudget],allFYsTable[Code],SummaryTable[[#This Row],[Code]],allFYsTable[DiffAmount], "&lt;0")/SummaryTable[[#This Row],['# Under]], 0)</f>
        <v>46986.666666666664</v>
      </c>
      <c r="V26" s="61">
        <f>IFERROR( SUMIFS(allFYsTable[Actual],allFYsTable[Code],SummaryTable[[#This Row],[Code]],allFYsTable[DiffAmount], "&lt;0")/SummaryTable[[#This Row],['# Under]], 0)</f>
        <v>44009</v>
      </c>
      <c r="W26" s="61">
        <f>SummaryTable[[#This Row],[UnderAvgAct]]-SummaryTable[[#This Row],[UnderAvgBud]]</f>
        <v>-2977.6666666666642</v>
      </c>
      <c r="X26" s="54">
        <f>IF(SummaryTable[[#This Row],[UnderAvgBud]]=0, IF(SummaryTable[[#This Row],[UnderAvgDiff'#]]=0, ZeroBudgetNoSpending, NamedFields!$C$3), SummaryTable[[#This Row],[UnderAvgDiff'#]]/SummaryTable[[#This Row],[UnderAvgBud]])</f>
        <v>-6.3372587968217889E-2</v>
      </c>
      <c r="Y2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2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26" s="54">
        <f>IF(SummaryTable[[#This Row],[IncreaseYears]]=0, ZeroBudgetNoSpending, SummaryTable[[#This Row],[OSinIncreaseYear'#]]/SummaryTable[[#This Row],[IncreaseYears]])</f>
        <v>0</v>
      </c>
      <c r="AB26" s="58" t="str">
        <f>SummaryTable[[#This Row],[Code]]</f>
        <v>CU0</v>
      </c>
      <c r="AC26" s="62">
        <f>IF(COUNTIFS(allFYsTable[Code], SummaryTable[[#This Row],[Code]], allFYsTable[year2], AC$3)=0, NotFound, SUMIFS(allFYsTable[OriginalBudget], allFYsTable[Code], SummaryTable[[#This Row],[Code]], allFYsTable[year2], AC$3))</f>
        <v>48894</v>
      </c>
      <c r="AD26" s="61">
        <f>SummaryTable[[#This Row],[OriginalBudget25]]-SummaryTable[[#This Row],[OriginalBudget24]]</f>
        <v>2461</v>
      </c>
      <c r="AE26" s="54">
        <f>SummaryTable[[#This Row],[BudgetIncreaseAmount25]]/SummaryTable[[#This Row],[OriginalBudget24]]</f>
        <v>5.3001098356772122E-2</v>
      </c>
      <c r="AF26" s="61">
        <f>IF(COUNTIFS(allFYsTable[Code], SummaryTable[[#This Row],[Code]], allFYsTable[year2], AC$3)=0, NotFound, SUMIFS(allFYsTable[RevisedBudget], allFYsTable[Code], SummaryTable[[#This Row],[Code]], allFYsTable[year2], AC$3))</f>
        <v>44791</v>
      </c>
      <c r="AG26" s="61">
        <f>IF(COUNTIFS(allFYsTable[Code], SummaryTable[[#This Row],[Code]], allFYsTable[year2], AC$3)=0, NotFound, SUMIFS(allFYsTable[Actual], allFYsTable[Code], SummaryTable[[#This Row],[Code]], allFYsTable[year2], AC$3))</f>
        <v>43963</v>
      </c>
      <c r="AH26" s="61">
        <f>IF(COUNTIFS(allFYsTable[Code], SummaryTable[[#This Row],[Code]], allFYsTable[year2], AC$3)=0, NotFound, SUMIFS(allFYsTable[DiffAmount], allFYsTable[Code], SummaryTable[[#This Row],[Code]], allFYsTable[year2], AC$3))</f>
        <v>-4931</v>
      </c>
      <c r="AI26" s="63">
        <f>IF(SummaryTable[[#This Row],[OriginalBudget25]]=0, IF(SummaryTable[[#This Row],[DiffAmount25]]=0, ZeroBudgetNoSpending, ZeroBudgetWithSpending), SummaryTable[[#This Row],[DiffAmount25]]/SummaryTable[[#This Row],[OriginalBudget25]])</f>
        <v>-0.10085082014153066</v>
      </c>
      <c r="AJ26" s="62">
        <f>IF(COUNTIFS(allFYsTable[Code], SummaryTable[[#This Row],[Code]], allFYsTable[year2], AJ$3)=0, NotFound, SUMIFS(allFYsTable[OriginalBudget], allFYsTable[Code], SummaryTable[[#This Row],[Code]], allFYsTable[year2], AJ$3))</f>
        <v>46433</v>
      </c>
      <c r="AK26" s="61">
        <f>SummaryTable[[#This Row],[OriginalBudget24]]-SummaryTable[[#This Row],[OriginalBudget23]]</f>
        <v>800</v>
      </c>
      <c r="AL26" s="54">
        <f>SummaryTable[[#This Row],[BudgetIncreaseAmount24]]/SummaryTable[[#This Row],[OriginalBudget23]]</f>
        <v>1.7531172616308374E-2</v>
      </c>
      <c r="AM26" s="61">
        <f>IF(COUNTIFS(allFYsTable[Code], SummaryTable[[#This Row],[Code]], allFYsTable[year2], AK$3)=0, NotFound, SUMIFS(allFYsTable[RevisedBudget], allFYsTable[Code], SummaryTable[[#This Row],[Code]], allFYsTable[year2], AJ$3))</f>
        <v>44732</v>
      </c>
      <c r="AN26" s="61">
        <f>IF(COUNTIFS(allFYsTable[Code], SummaryTable[[#This Row],[Code]], allFYsTable[year2], AJ$3)=0, NotFound, SUMIFS(allFYsTable[Actual], allFYsTable[Code], SummaryTable[[#This Row],[Code]], allFYsTable[year2], AJ$3))</f>
        <v>44229</v>
      </c>
      <c r="AO26" s="61">
        <f>IF(COUNTIFS(allFYsTable[Code], SummaryTable[[#This Row],[Code]], allFYsTable[year2], AJ$3)=0, NotFound, SUMIFS(allFYsTable[DiffAmount], allFYsTable[Code], SummaryTable[[#This Row],[Code]], allFYsTable[year2], AJ$3))</f>
        <v>-2204</v>
      </c>
      <c r="AP26" s="63">
        <f>IF(SummaryTable[[#This Row],[OriginalBudget24]]=0, IF(SummaryTable[[#This Row],[DiffAmount24]]=0, ZeroBudgetNoSpending, ZeroBudgetWithSpending), SummaryTable[[#This Row],[DiffAmount24]]/SummaryTable[[#This Row],[OriginalBudget24]])</f>
        <v>-4.7466241681562681E-2</v>
      </c>
      <c r="AQ26" s="62">
        <f>IF(COUNTIFS(allFYsTable[Code], SummaryTable[[#This Row],[Code]], allFYsTable[year2], AQ$3)=0, NotFound, SUMIFS(allFYsTable[OriginalBudget], allFYsTable[Code], SummaryTable[[#This Row],[Code]], allFYsTable[year2], AQ$3))</f>
        <v>45633</v>
      </c>
      <c r="AR26" s="61" t="e">
        <f>SummaryTable[[#This Row],[OriginalBudget23]]-SummaryTable[[#This Row],[OriginalBudget22]]</f>
        <v>#N/A</v>
      </c>
      <c r="AS26" s="54" t="e">
        <f>SummaryTable[[#This Row],[BudgetIncreaseAmount23]]/SummaryTable[[#This Row],[OriginalBudget22]]</f>
        <v>#N/A</v>
      </c>
      <c r="AT26" s="61">
        <f>IF(COUNTIFS(allFYsTable[Code], SummaryTable[[#This Row],[Code]], allFYsTable[year2], AQ$3)=0, NotFound, SUMIFS(allFYsTable[RevisedBudget], allFYsTable[Code], SummaryTable[[#This Row],[Code]], allFYsTable[year2], AQ$3))</f>
        <v>44287</v>
      </c>
      <c r="AU26" s="61">
        <f>IF(COUNTIFS(allFYsTable[Code], SummaryTable[[#This Row],[Code]], allFYsTable[year2], AQ$3)=0, NotFound, SUMIFS(allFYsTable[Actual], allFYsTable[Code], SummaryTable[[#This Row],[Code]], allFYsTable[year2], AQ$3))</f>
        <v>43835</v>
      </c>
      <c r="AV26" s="61">
        <f>IF(COUNTIFS(allFYsTable[Code], SummaryTable[[#This Row],[Code]], allFYsTable[year2], AQ$3)=0, NotFound, SUMIFS(allFYsTable[DiffAmount], allFYsTable[Code], SummaryTable[[#This Row],[Code]], allFYsTable[year2], AQ$3))</f>
        <v>-1798</v>
      </c>
      <c r="AW26" s="63">
        <f>IF(SummaryTable[[#This Row],[OriginalBudget23]]=0, IF(SummaryTable[[#This Row],[DiffAmount23]]=0, ZeroBudgetNoSpending, ZeroBudgetWithSpending), SummaryTable[[#This Row],[DiffAmount23]]/SummaryTable[[#This Row],[OriginalBudget23]])</f>
        <v>-3.940131045515307E-2</v>
      </c>
      <c r="AX26" s="62" t="e">
        <f>IF(COUNTIFS(allFYsTable[Code], SummaryTable[[#This Row],[Code]], allFYsTable[year2], AX$3)=0, NotFound, SUMIFS(allFYsTable[OriginalBudget], allFYsTable[Code], SummaryTable[[#This Row],[Code]], allFYsTable[year2], AX$3))</f>
        <v>#N/A</v>
      </c>
      <c r="AY26" s="61" t="e">
        <f>SummaryTable[[#This Row],[OriginalBudget22]]-SummaryTable[[#This Row],[OriginalBudget21]]</f>
        <v>#N/A</v>
      </c>
      <c r="AZ26" s="54" t="e">
        <f>SummaryTable[[#This Row],[BudgetIncreaseAmount22]]/SummaryTable[[#This Row],[OriginalBudget21]]</f>
        <v>#N/A</v>
      </c>
      <c r="BA26" s="61" t="e">
        <f>IF(COUNTIFS(allFYsTable[Code], SummaryTable[[#This Row],[Code]], allFYsTable[year2], AX$3)=0, NotFound, SUMIFS(allFYsTable[RevisedBudget], allFYsTable[Code], SummaryTable[[#This Row],[Code]], allFYsTable[year2], AX$3))</f>
        <v>#N/A</v>
      </c>
      <c r="BB26" s="61" t="e">
        <f>IF(COUNTIFS(allFYsTable[Code], SummaryTable[[#This Row],[Code]], allFYsTable[year2], AX$3)=0, NotFound, SUMIFS(allFYsTable[Actual], allFYsTable[Code], SummaryTable[[#This Row],[Code]], allFYsTable[year2], AX$3))</f>
        <v>#N/A</v>
      </c>
      <c r="BC26" s="61" t="e">
        <f>IF(COUNTIFS(allFYsTable[Code], SummaryTable[[#This Row],[Code]], allFYsTable[year2], AX$3)=0, NotFound, SUMIFS(allFYsTable[DiffAmount], allFYsTable[Code], SummaryTable[[#This Row],[Code]], allFYsTable[year2], AX$3))</f>
        <v>#N/A</v>
      </c>
      <c r="BD26" s="63" t="e">
        <f>IF(SummaryTable[[#This Row],[OriginalBudget22]]=0, IF(SummaryTable[[#This Row],[DiffAmount22]]=0, ZeroBudgetNoSpending, ZeroBudgetWithSpending), SummaryTable[[#This Row],[DiffAmount22]]/SummaryTable[[#This Row],[OriginalBudget22]])</f>
        <v>#N/A</v>
      </c>
      <c r="BE26" s="62" t="e">
        <f>IF(COUNTIFS(allFYsTable[Code], SummaryTable[[#This Row],[Code]], allFYsTable[year2], BE$3)=0, NotFound, SUMIFS(allFYsTable[OriginalBudget], allFYsTable[Code], SummaryTable[[#This Row],[Code]], allFYsTable[year2], BE$3))</f>
        <v>#N/A</v>
      </c>
      <c r="BF26" s="61" t="e">
        <f>SummaryTable[[#This Row],[OriginalBudget21]]-SummaryTable[[#This Row],[OriginalBudget20]]</f>
        <v>#N/A</v>
      </c>
      <c r="BG26" s="54" t="e">
        <f>SummaryTable[[#This Row],[BudgetIncreaseAmount21]]/SummaryTable[[#This Row],[OriginalBudget20]]</f>
        <v>#N/A</v>
      </c>
      <c r="BH26" s="61" t="e">
        <f>IF(COUNTIFS(allFYsTable[Code], SummaryTable[[#This Row],[Code]], allFYsTable[year2], BE$3)=0, NotFound, SUMIFS(allFYsTable[RevisedBudget], allFYsTable[Code], SummaryTable[[#This Row],[Code]], allFYsTable[year2], BE$3))</f>
        <v>#N/A</v>
      </c>
      <c r="BI26" s="61" t="e">
        <f>IF(COUNTIFS(allFYsTable[Code], SummaryTable[[#This Row],[Code]], allFYsTable[year2], BE$3)=0, NotFound, SUMIFS(allFYsTable[Actual], allFYsTable[Code], SummaryTable[[#This Row],[Code]], allFYsTable[year2], BE$3))</f>
        <v>#N/A</v>
      </c>
      <c r="BJ26" s="61" t="e">
        <f>IF(COUNTIFS(allFYsTable[Code], SummaryTable[[#This Row],[Code]], allFYsTable[year2], BE$3)=0, NotFound, SUMIFS(allFYsTable[DiffAmount], allFYsTable[Code], SummaryTable[[#This Row],[Code]], allFYsTable[year2], BE$3))</f>
        <v>#N/A</v>
      </c>
      <c r="BK26" s="63" t="e">
        <f>IF(SummaryTable[[#This Row],[OriginalBudget21]]=0, IF(SummaryTable[[#This Row],[DiffAmount21]]=0, ZeroBudgetNoSpending, ZeroBudgetWithSpending), SummaryTable[[#This Row],[DiffAmount21]]/SummaryTable[[#This Row],[OriginalBudget21]])</f>
        <v>#N/A</v>
      </c>
      <c r="BL26" s="62" t="e">
        <f>IF(COUNTIFS(allFYsTable[Code], SummaryTable[[#This Row],[Code]], allFYsTable[year2], BL$3)=0, NotFound, SUMIFS(allFYsTable[OriginalBudget], allFYsTable[Code], SummaryTable[[#This Row],[Code]], allFYsTable[year2], BL$3))</f>
        <v>#N/A</v>
      </c>
      <c r="BM26" s="61" t="e">
        <f>SummaryTable[[#This Row],[OriginalBudget20]]-SummaryTable[[#This Row],[OriginalBudget19]]</f>
        <v>#N/A</v>
      </c>
      <c r="BN26" s="54" t="e">
        <f>SummaryTable[[#This Row],[BudgetIncreaseAmount20]]/SummaryTable[[#This Row],[OriginalBudget19]]</f>
        <v>#N/A</v>
      </c>
      <c r="BO26" s="61" t="e">
        <f>IF(COUNTIFS(allFYsTable[Code], SummaryTable[[#This Row],[Code]], allFYsTable[year2], BL$3)=0, NotFound, SUMIFS(allFYsTable[RevisedBudget], allFYsTable[Code], SummaryTable[[#This Row],[Code]], allFYsTable[year2], BL$3))</f>
        <v>#N/A</v>
      </c>
      <c r="BP26" s="61" t="e">
        <f>IF(COUNTIFS(allFYsTable[Code], SummaryTable[[#This Row],[Code]], allFYsTable[year2], BL$3)=0, NotFound, SUMIFS(allFYsTable[Actual], allFYsTable[Code], SummaryTable[[#This Row],[Code]], allFYsTable[year2], BL$3))</f>
        <v>#N/A</v>
      </c>
      <c r="BQ26" s="61" t="e">
        <f>IF(COUNTIFS(allFYsTable[Code], SummaryTable[[#This Row],[Code]], allFYsTable[year2], BL$3)=0, NotFound, SUMIFS(allFYsTable[DiffAmount], allFYsTable[Code], SummaryTable[[#This Row],[Code]], allFYsTable[year2], BL$3))</f>
        <v>#N/A</v>
      </c>
      <c r="BR26" s="63" t="e">
        <f>IF(SummaryTable[[#This Row],[OriginalBudget20]]=0, IF(SummaryTable[[#This Row],[DiffAmount20]]=0, ZeroBudgetNoSpending, ZeroBudgetWithSpending), SummaryTable[[#This Row],[DiffAmount20]]/SummaryTable[[#This Row],[OriginalBudget20]])</f>
        <v>#N/A</v>
      </c>
      <c r="BS26" s="62" t="e">
        <f>IF(COUNTIFS(allFYsTable[Code], SummaryTable[[#This Row],[Code]], allFYsTable[year2], BS$3)=0, NotFound, SUMIFS(allFYsTable[OriginalBudget], allFYsTable[Code], SummaryTable[[#This Row],[Code]], allFYsTable[year2], BS$3))</f>
        <v>#N/A</v>
      </c>
      <c r="BT26" s="61" t="e">
        <f>SummaryTable[[#This Row],[OriginalBudget19]]-SummaryTable[[#This Row],[OriginalBudget18]]</f>
        <v>#N/A</v>
      </c>
      <c r="BU26" s="54" t="e">
        <f>SummaryTable[[#This Row],[BudgetIncreaseAmount19]]/SummaryTable[[#This Row],[OriginalBudget18]]</f>
        <v>#N/A</v>
      </c>
      <c r="BV26" s="61" t="e">
        <f>IF(COUNTIFS(allFYsTable[Code], SummaryTable[[#This Row],[Code]], allFYsTable[year2], BS$3)=0, NotFound, SUMIFS(allFYsTable[RevisedBudget], allFYsTable[Code], SummaryTable[[#This Row],[Code]], allFYsTable[year2], BS$3))</f>
        <v>#N/A</v>
      </c>
      <c r="BW26" s="61" t="e">
        <f>IF(COUNTIFS(allFYsTable[Code], SummaryTable[[#This Row],[Code]], allFYsTable[year2], BS$3)=0, NotFound, SUMIFS(allFYsTable[Actual], allFYsTable[Code], SummaryTable[[#This Row],[Code]], allFYsTable[year2], BS$3))</f>
        <v>#N/A</v>
      </c>
      <c r="BX26" s="61" t="e">
        <f>IF(COUNTIFS(allFYsTable[Code], SummaryTable[[#This Row],[Code]], allFYsTable[year2], BS$3)=0, NotFound, SUMIFS(allFYsTable[DiffAmount], allFYsTable[Code], SummaryTable[[#This Row],[Code]], allFYsTable[year2], BS$3))</f>
        <v>#N/A</v>
      </c>
      <c r="BY26" s="63" t="e">
        <f>IF(SummaryTable[[#This Row],[OriginalBudget19]]=0, IF(SummaryTable[[#This Row],[DiffAmount19]]=0, ZeroBudgetNoSpending, ZeroBudgetWithSpending), SummaryTable[[#This Row],[DiffAmount19]]/SummaryTable[[#This Row],[OriginalBudget19]])</f>
        <v>#N/A</v>
      </c>
      <c r="BZ26" s="62" t="e">
        <f>IF(COUNTIFS(allFYsTable[Code], SummaryTable[[#This Row],[Code]], allFYsTable[year2], BZ$3)=0, NotFound, SUMIFS(allFYsTable[OriginalBudget], allFYsTable[Code], SummaryTable[[#This Row],[Code]], allFYsTable[year2], BZ$3))</f>
        <v>#N/A</v>
      </c>
      <c r="CA26" s="61" t="e">
        <f>SummaryTable[[#This Row],[OriginalBudget18]]-SummaryTable[[#This Row],[OriginalBudget17]]</f>
        <v>#N/A</v>
      </c>
      <c r="CB26" s="54" t="e">
        <f>SummaryTable[[#This Row],[BudgetIncreaseAmount18]]/SummaryTable[[#This Row],[OriginalBudget17]]</f>
        <v>#N/A</v>
      </c>
      <c r="CC26" s="61" t="e">
        <f>IF(COUNTIFS(allFYsTable[Code], SummaryTable[[#This Row],[Code]], allFYsTable[year2], BZ$3)=0, NotFound, SUMIFS(allFYsTable[RevisedBudget], allFYsTable[Code], SummaryTable[[#This Row],[Code]], allFYsTable[year2], BZ$3))</f>
        <v>#N/A</v>
      </c>
      <c r="CD26" s="61" t="e">
        <f>IF(COUNTIFS(allFYsTable[Code], SummaryTable[[#This Row],[Code]], allFYsTable[year2], BZ$3)=0, NotFound, SUMIFS(allFYsTable[Actual], allFYsTable[Code], SummaryTable[[#This Row],[Code]], allFYsTable[year2], BZ$3))</f>
        <v>#N/A</v>
      </c>
      <c r="CE26" s="61" t="e">
        <f>IF(COUNTIFS(allFYsTable[Code], SummaryTable[[#This Row],[Code]], allFYsTable[year2], BZ$3)=0, NotFound, SUMIFS(allFYsTable[DiffAmount], allFYsTable[Code], SummaryTable[[#This Row],[Code]], allFYsTable[year2], BZ$3))</f>
        <v>#N/A</v>
      </c>
      <c r="CF26" s="63" t="e">
        <f>IF(SummaryTable[[#This Row],[OriginalBudget18]]=0, IF(SummaryTable[[#This Row],[DiffAmount18]]=0, ZeroBudgetNoSpending, ZeroBudgetWithSpending), SummaryTable[[#This Row],[DiffAmount18]]/SummaryTable[[#This Row],[OriginalBudget18]])</f>
        <v>#N/A</v>
      </c>
      <c r="CG26" s="62" t="e">
        <f>IF(COUNTIFS(allFYsTable[Code], SummaryTable[[#This Row],[Code]], allFYsTable[year2], CG$3)=0, NotFound, SUMIFS(allFYsTable[OriginalBudget], allFYsTable[Code], SummaryTable[[#This Row],[Code]], allFYsTable[year2], CG$3))</f>
        <v>#N/A</v>
      </c>
      <c r="CH26" s="61" t="e">
        <f>SummaryTable[[#This Row],[OriginalBudget17]]-SummaryTable[[#This Row],[OriginalBudget16]]</f>
        <v>#N/A</v>
      </c>
      <c r="CI26" s="54" t="e">
        <f>SummaryTable[[#This Row],[BudgetIncreaseAmount17]]/SummaryTable[[#This Row],[OriginalBudget16]]</f>
        <v>#N/A</v>
      </c>
      <c r="CJ26" s="61" t="e">
        <f>IF(COUNTIFS(allFYsTable[Code], SummaryTable[[#This Row],[Code]], allFYsTable[year2], CG$3)=0, NotFound, SUMIFS(allFYsTable[RevisedBudget], allFYsTable[Code], SummaryTable[[#This Row],[Code]], allFYsTable[year2], CG$3))</f>
        <v>#N/A</v>
      </c>
      <c r="CK26" s="61" t="e">
        <f>IF(COUNTIFS(allFYsTable[Code], SummaryTable[[#This Row],[Code]], allFYsTable[year2], CG$3)=0, NotFound, SUMIFS(allFYsTable[Actual], allFYsTable[Code], SummaryTable[[#This Row],[Code]], allFYsTable[year2], CG$3))</f>
        <v>#N/A</v>
      </c>
      <c r="CL26" s="61" t="e">
        <f>IF(COUNTIFS(allFYsTable[Code], SummaryTable[[#This Row],[Code]], allFYsTable[year2], CG$3)=0, NotFound, SUMIFS(allFYsTable[DiffAmount], allFYsTable[Code], SummaryTable[[#This Row],[Code]], allFYsTable[year2], CG$3))</f>
        <v>#N/A</v>
      </c>
      <c r="CM26" s="63" t="e">
        <f>IF(SummaryTable[[#This Row],[OriginalBudget17]]=0, IF(SummaryTable[[#This Row],[DiffAmount17]]=0, ZeroBudgetNoSpending, ZeroBudgetWithSpending), SummaryTable[[#This Row],[DiffAmount17]]/SummaryTable[[#This Row],[OriginalBudget17]])</f>
        <v>#N/A</v>
      </c>
      <c r="CN26" s="62" t="e">
        <f>IF(COUNTIFS(allFYsTable[Code], SummaryTable[[#This Row],[Code]], allFYsTable[year2], CN$3)=0, NotFound, SUMIFS(allFYsTable[OriginalBudget], allFYsTable[Code], SummaryTable[[#This Row],[Code]], allFYsTable[year2], CN$3))</f>
        <v>#N/A</v>
      </c>
      <c r="CO26" s="61" t="e">
        <f>SummaryTable[[#This Row],[OriginalBudget16]]-SummaryTable[[#This Row],[OriginalBudget15]]</f>
        <v>#N/A</v>
      </c>
      <c r="CP26" s="54" t="e">
        <f>SummaryTable[[#This Row],[BudgetIncreaseAmount16]]/SummaryTable[[#This Row],[OriginalBudget15]]</f>
        <v>#N/A</v>
      </c>
      <c r="CQ26" s="61" t="e">
        <f>IF(COUNTIFS(allFYsTable[Code], SummaryTable[[#This Row],[Code]], allFYsTable[year2], CN$3)=0, NotFound, SUMIFS(allFYsTable[RevisedBudget], allFYsTable[Code], SummaryTable[[#This Row],[Code]], allFYsTable[year2], CN$3))</f>
        <v>#N/A</v>
      </c>
      <c r="CR26" s="61" t="e">
        <f>IF(COUNTIFS(allFYsTable[Code], SummaryTable[[#This Row],[Code]], allFYsTable[year2], CN$3)=0, NotFound, SUMIFS(allFYsTable[Actual], allFYsTable[Code], SummaryTable[[#This Row],[Code]], allFYsTable[year2], CN$3))</f>
        <v>#N/A</v>
      </c>
      <c r="CS26" s="61" t="e">
        <f>IF(COUNTIFS(allFYsTable[Code], SummaryTable[[#This Row],[Code]], allFYsTable[year2], CN$3)=0, NotFound, SUMIFS(allFYsTable[DiffAmount], allFYsTable[Code], SummaryTable[[#This Row],[Code]], allFYsTable[year2], CN$3))</f>
        <v>#N/A</v>
      </c>
      <c r="CT26" s="63" t="e">
        <f>IF(SummaryTable[[#This Row],[OriginalBudget16]]=0, IF(SummaryTable[[#This Row],[DiffAmount16]]=0, ZeroBudgetNoSpending, ZeroBudgetWithSpending), SummaryTable[[#This Row],[DiffAmount16]]/SummaryTable[[#This Row],[OriginalBudget16]])</f>
        <v>#N/A</v>
      </c>
      <c r="CU26" s="62" t="e">
        <f>IF(COUNTIFS(allFYsTable[Code], SummaryTable[[#This Row],[Code]], allFYsTable[year2], CU$3)=0, NotFound, SUMIFS(allFYsTable[OriginalBudget], allFYsTable[Code], SummaryTable[[#This Row],[Code]], allFYsTable[year2], CU$3))</f>
        <v>#N/A</v>
      </c>
      <c r="CV26" s="61" t="e">
        <f>SummaryTable[[#This Row],[OriginalBudget15]]-SummaryTable[[#This Row],[OriginalBudget14]]</f>
        <v>#N/A</v>
      </c>
      <c r="CW26" s="54" t="e">
        <f>SummaryTable[[#This Row],[BudgetIncreaseAmount15]]/SummaryTable[[#This Row],[OriginalBudget14]]</f>
        <v>#N/A</v>
      </c>
      <c r="CX26" s="61" t="e">
        <f>IF(COUNTIFS(allFYsTable[Code], SummaryTable[[#This Row],[Code]], allFYsTable[year2], CU$3)=0, NotFound, SUMIFS(allFYsTable[RevisedBudget], allFYsTable[Code], SummaryTable[[#This Row],[Code]], allFYsTable[year2], CU$3))</f>
        <v>#N/A</v>
      </c>
      <c r="CY26" s="61" t="e">
        <f>IF(COUNTIFS(allFYsTable[Code], SummaryTable[[#This Row],[Code]], allFYsTable[year2], CU$3)=0, NotFound, SUMIFS(allFYsTable[Actual], allFYsTable[Code], SummaryTable[[#This Row],[Code]], allFYsTable[year2], CU$3))</f>
        <v>#N/A</v>
      </c>
      <c r="CZ26" s="61" t="e">
        <f>IF(COUNTIFS(allFYsTable[Code], SummaryTable[[#This Row],[Code]], allFYsTable[year2], CU$3)=0, NotFound, SUMIFS(allFYsTable[DiffAmount], allFYsTable[Code], SummaryTable[[#This Row],[Code]], allFYsTable[year2], CU$3))</f>
        <v>#N/A</v>
      </c>
      <c r="DA26" s="63" t="e">
        <f>IF(SummaryTable[[#This Row],[OriginalBudget15]]=0, IF(SummaryTable[[#This Row],[DiffAmount15]]=0, ZeroBudgetNoSpending, ZeroBudgetWithSpending), SummaryTable[[#This Row],[DiffAmount15]]/SummaryTable[[#This Row],[OriginalBudget15]])</f>
        <v>#N/A</v>
      </c>
      <c r="DB26" s="62" t="e">
        <f>IF(COUNTIFS(allFYsTable[Code], SummaryTable[[#This Row],[Code]], allFYsTable[year2], DB$3)=0, NotFound, SUMIFS(allFYsTable[OriginalBudget], allFYsTable[Code], SummaryTable[[#This Row],[Code]], allFYsTable[year2], DB$3))</f>
        <v>#N/A</v>
      </c>
      <c r="DC26" s="61" t="e">
        <f>SummaryTable[[#This Row],[OriginalBudget14]]-SummaryTable[[#This Row],[OriginalBudget13]]</f>
        <v>#N/A</v>
      </c>
      <c r="DD26" s="54" t="e">
        <f>SummaryTable[[#This Row],[BudgetIncreaseAmount14]]/SummaryTable[[#This Row],[OriginalBudget13]]</f>
        <v>#N/A</v>
      </c>
      <c r="DE26" s="61" t="e">
        <f>IF(COUNTIFS(allFYsTable[Code], SummaryTable[[#This Row],[Code]], allFYsTable[year2], DB$3)=0, NotFound, SUMIFS(allFYsTable[RevisedBudget], allFYsTable[Code], SummaryTable[[#This Row],[Code]], allFYsTable[year2], DB$3))</f>
        <v>#N/A</v>
      </c>
      <c r="DF26" s="61" t="e">
        <f>IF(COUNTIFS(allFYsTable[Code], SummaryTable[[#This Row],[Code]], allFYsTable[year2], DB$3)=0, NotFound, SUMIFS(allFYsTable[Actual], allFYsTable[Code], SummaryTable[[#This Row],[Code]], allFYsTable[year2], DB$3))</f>
        <v>#N/A</v>
      </c>
      <c r="DG26" s="61" t="e">
        <f>IF(COUNTIFS(allFYsTable[Code], SummaryTable[[#This Row],[Code]], allFYsTable[year2], DB$3)=0, NotFound, SUMIFS(allFYsTable[DiffAmount], allFYsTable[Code], SummaryTable[[#This Row],[Code]], allFYsTable[year2], DB$3))</f>
        <v>#N/A</v>
      </c>
      <c r="DH26" s="63" t="e">
        <f>IF(SummaryTable[[#This Row],[OriginalBudget14]]=0, IF(SummaryTable[[#This Row],[DiffAmount14]]=0, ZeroBudgetNoSpending, ZeroBudgetWithSpending), SummaryTable[[#This Row],[DiffAmount14]]/SummaryTable[[#This Row],[OriginalBudget14]])</f>
        <v>#N/A</v>
      </c>
      <c r="DI26" s="62" t="e">
        <f>IF(COUNTIFS(allFYsTable[Code], SummaryTable[[#This Row],[Code]], allFYsTable[year2], DI$3)=0, NotFound, SUMIFS(allFYsTable[OriginalBudget], allFYsTable[Code], SummaryTable[[#This Row],[Code]], allFYsTable[year2], DI$3))</f>
        <v>#N/A</v>
      </c>
      <c r="DJ26" s="61" t="e">
        <f>SummaryTable[[#This Row],[OriginalBudget13]]-SummaryTable[[#This Row],[OriginalBudget12]]</f>
        <v>#N/A</v>
      </c>
      <c r="DK26" s="54" t="e">
        <f>SummaryTable[[#This Row],[BudgetIncreaseAmount13]]/SummaryTable[[#This Row],[OriginalBudget12]]</f>
        <v>#N/A</v>
      </c>
      <c r="DL26" s="61" t="e">
        <f>IF(COUNTIFS(allFYsTable[Code], SummaryTable[[#This Row],[Code]], allFYsTable[year2], DI$3)=0, NotFound, SUMIFS(allFYsTable[RevisedBudget], allFYsTable[Code], SummaryTable[[#This Row],[Code]], allFYsTable[year2], DI$3))</f>
        <v>#N/A</v>
      </c>
      <c r="DM26" s="61" t="e">
        <f>IF(COUNTIFS(allFYsTable[Code], SummaryTable[[#This Row],[Code]], allFYsTable[year2], DI$3)=0, NotFound, SUMIFS(allFYsTable[Actual], allFYsTable[Code], SummaryTable[[#This Row],[Code]], allFYsTable[year2], DI$3))</f>
        <v>#N/A</v>
      </c>
      <c r="DN26" s="61" t="e">
        <f>IF(COUNTIFS(allFYsTable[Code], SummaryTable[[#This Row],[Code]], allFYsTable[year2], DI$3)=0, NotFound, SUMIFS(allFYsTable[DiffAmount], allFYsTable[Code], SummaryTable[[#This Row],[Code]], allFYsTable[year2], DI$3))</f>
        <v>#N/A</v>
      </c>
      <c r="DO26" s="63" t="e">
        <f>IF(SummaryTable[[#This Row],[OriginalBudget13]]=0, IF(SummaryTable[[#This Row],[DiffAmount13]]=0, ZeroBudgetNoSpending, ZeroBudgetWithSpending), SummaryTable[[#This Row],[DiffAmount13]]/SummaryTable[[#This Row],[OriginalBudget13]])</f>
        <v>#N/A</v>
      </c>
      <c r="DP26" s="62" t="e">
        <f>IF(COUNTIFS(allFYsTable[Code], SummaryTable[[#This Row],[Code]], allFYsTable[year2], DP$3)=0, NotFound, SUMIFS(allFYsTable[OriginalBudget], allFYsTable[Code], SummaryTable[[#This Row],[Code]], allFYsTable[year2], DP$3))</f>
        <v>#N/A</v>
      </c>
      <c r="DQ26" s="61" t="e">
        <f>SummaryTable[[#This Row],[OriginalBudget12]]-SummaryTable[[#This Row],[OriginalBudget11]]</f>
        <v>#N/A</v>
      </c>
      <c r="DR26" s="54" t="e">
        <f>SummaryTable[[#This Row],[BudgetIncreaseAmount12]]/SummaryTable[[#This Row],[OriginalBudget11]]</f>
        <v>#N/A</v>
      </c>
      <c r="DS26" s="61" t="e">
        <f>IF(COUNTIFS(allFYsTable[Code], SummaryTable[[#This Row],[Code]], allFYsTable[year2], DP$3)=0, NotFound, SUMIFS(allFYsTable[RevisedBudget], allFYsTable[Code], SummaryTable[[#This Row],[Code]], allFYsTable[year2], DP$3))</f>
        <v>#N/A</v>
      </c>
      <c r="DT26" s="61" t="e">
        <f>IF(COUNTIFS(allFYsTable[Code], SummaryTable[[#This Row],[Code]], allFYsTable[year2], DP$3)=0, NotFound, SUMIFS(allFYsTable[Actual], allFYsTable[Code], SummaryTable[[#This Row],[Code]], allFYsTable[year2], DP$3))</f>
        <v>#N/A</v>
      </c>
      <c r="DU26" s="61" t="e">
        <f>IF(COUNTIFS(allFYsTable[Code], SummaryTable[[#This Row],[Code]], allFYsTable[year2], DP$3)=0, NotFound, SUMIFS(allFYsTable[DiffAmount], allFYsTable[Code], SummaryTable[[#This Row],[Code]], allFYsTable[year2], DP$3))</f>
        <v>#N/A</v>
      </c>
      <c r="DV26" s="63" t="e">
        <f>IF(SummaryTable[[#This Row],[OriginalBudget12]]=0, IF(SummaryTable[[#This Row],[DiffAmount12]]=0, ZeroBudgetNoSpending, ZeroBudgetWithSpending), SummaryTable[[#This Row],[DiffAmount12]]/SummaryTable[[#This Row],[OriginalBudget12]])</f>
        <v>#N/A</v>
      </c>
      <c r="DW26" s="62" t="e">
        <f>IF(COUNTIFS(allFYsTable[Code], SummaryTable[[#This Row],[Code]], allFYsTable[year2], DW$3)=0, NotFound, SUMIFS(allFYsTable[OriginalBudget], allFYsTable[Code], SummaryTable[[#This Row],[Code]], allFYsTable[year2], DW$3))</f>
        <v>#N/A</v>
      </c>
      <c r="DX26" s="61" t="e">
        <f>SummaryTable[[#This Row],[OriginalBudget11]]-SummaryTable[[#This Row],[OriginalBudget10]]</f>
        <v>#N/A</v>
      </c>
      <c r="DY26" s="54" t="e">
        <f>SummaryTable[[#This Row],[BudgetIncreaseAmount11]]/SummaryTable[[#This Row],[OriginalBudget10]]</f>
        <v>#N/A</v>
      </c>
      <c r="DZ26" s="61" t="e">
        <f>IF(COUNTIFS(allFYsTable[Code], SummaryTable[[#This Row],[Code]], allFYsTable[year2], DW$3)=0, NotFound, SUMIFS(allFYsTable[RevisedBudget], allFYsTable[Code], SummaryTable[[#This Row],[Code]], allFYsTable[year2], DW$3))</f>
        <v>#N/A</v>
      </c>
      <c r="EA26" s="61" t="e">
        <f>IF(COUNTIFS(allFYsTable[Code], SummaryTable[[#This Row],[Code]], allFYsTable[year2], DW$3)=0, NotFound, SUMIFS(allFYsTable[Actual], allFYsTable[Code], SummaryTable[[#This Row],[Code]], allFYsTable[year2], DW$3))</f>
        <v>#N/A</v>
      </c>
      <c r="EB26" s="61" t="e">
        <f>IF(COUNTIFS(allFYsTable[Code], SummaryTable[[#This Row],[Code]], allFYsTable[year2], DW$3)=0, NotFound, SUMIFS(allFYsTable[DiffAmount], allFYsTable[Code], SummaryTable[[#This Row],[Code]], allFYsTable[year2], DW$3))</f>
        <v>#N/A</v>
      </c>
      <c r="EC26" s="63" t="e">
        <f>IF(SummaryTable[[#This Row],[OriginalBudget11]]=0, IF(SummaryTable[[#This Row],[DiffAmount11]]=0, ZeroBudgetNoSpending, ZeroBudgetWithSpending), SummaryTable[[#This Row],[DiffAmount11]]/SummaryTable[[#This Row],[OriginalBudget11]])</f>
        <v>#N/A</v>
      </c>
      <c r="ED26" s="62" t="e">
        <f>IF(COUNTIFS(allFYsTable[Code], SummaryTable[[#This Row],[Code]], allFYsTable[year2], ED$3)=0, NotFound, SUMIFS(allFYsTable[OriginalBudget], allFYsTable[Code], SummaryTable[[#This Row],[Code]], allFYsTable[year2], ED$3))</f>
        <v>#N/A</v>
      </c>
      <c r="EE26" s="61" t="e">
        <f>SummaryTable[[#This Row],[OriginalBudget10]]-SummaryTable[[#This Row],[OriginalBudget09]]</f>
        <v>#N/A</v>
      </c>
      <c r="EF26" s="54" t="e">
        <f>SummaryTable[[#This Row],[BudgetIncreaseAmount10]]/SummaryTable[[#This Row],[OriginalBudget09]]</f>
        <v>#N/A</v>
      </c>
      <c r="EG26" s="61" t="e">
        <f>IF(COUNTIFS(allFYsTable[Code], SummaryTable[[#This Row],[Code]], allFYsTable[year2], ED$3)=0, NotFound, SUMIFS(allFYsTable[RevisedBudget], allFYsTable[Code], SummaryTable[[#This Row],[Code]], allFYsTable[year2], ED$3))</f>
        <v>#N/A</v>
      </c>
      <c r="EH26" s="61" t="e">
        <f>IF(COUNTIFS(allFYsTable[Code], SummaryTable[[#This Row],[Code]], allFYsTable[year2], ED$3)=0, NotFound, SUMIFS(allFYsTable[Actual], allFYsTable[Code], SummaryTable[[#This Row],[Code]], allFYsTable[year2], ED$3))</f>
        <v>#N/A</v>
      </c>
      <c r="EI26" s="61" t="e">
        <f>IF(COUNTIFS(allFYsTable[Code], SummaryTable[[#This Row],[Code]], allFYsTable[year2], ED$3)=0, NotFound, SUMIFS(allFYsTable[DiffAmount], allFYsTable[Code], SummaryTable[[#This Row],[Code]], allFYsTable[year2], ED$3))</f>
        <v>#N/A</v>
      </c>
      <c r="EJ26" s="63" t="e">
        <f>IF(SummaryTable[[#This Row],[OriginalBudget10]]=0, IF(SummaryTable[[#This Row],[DiffAmount10]]=0, ZeroBudgetNoSpending, ZeroBudgetWithSpending), SummaryTable[[#This Row],[DiffAmount10]]/SummaryTable[[#This Row],[OriginalBudget10]])</f>
        <v>#N/A</v>
      </c>
      <c r="EK26" s="62" t="e">
        <f>IF(COUNTIFS(allFYsTable[Code], SummaryTable[[#This Row],[Code]], allFYsTable[year2], EK$3)=0, NotFound, SUMIFS(allFYsTable[OriginalBudget], allFYsTable[Code], SummaryTable[[#This Row],[Code]], allFYsTable[year2], EK$3))</f>
        <v>#N/A</v>
      </c>
      <c r="EL26" s="61" t="e">
        <f>SummaryTable[[#This Row],[OriginalBudget09]]-SummaryTable[[#This Row],[OriginalBudget08]]</f>
        <v>#N/A</v>
      </c>
      <c r="EM26" s="54" t="e">
        <f>SummaryTable[[#This Row],[BudgetIncreaseAmount09]]/SummaryTable[[#This Row],[OriginalBudget08]]</f>
        <v>#N/A</v>
      </c>
      <c r="EN26" s="61" t="e">
        <f>IF(COUNTIFS(allFYsTable[Code], SummaryTable[[#This Row],[Code]], allFYsTable[year2], EK$3)=0, NotFound, SUMIFS(allFYsTable[RevisedBudget], allFYsTable[Code], SummaryTable[[#This Row],[Code]], allFYsTable[year2], EK$3))</f>
        <v>#N/A</v>
      </c>
      <c r="EO26" s="61" t="e">
        <f>IF(COUNTIFS(allFYsTable[Code], SummaryTable[[#This Row],[Code]], allFYsTable[year2], EK$3)=0, NotFound, SUMIFS(allFYsTable[Actual], allFYsTable[Code], SummaryTable[[#This Row],[Code]], allFYsTable[year2], EK$3))</f>
        <v>#N/A</v>
      </c>
      <c r="EP26" s="61" t="e">
        <f>IF(COUNTIFS(allFYsTable[Code], SummaryTable[[#This Row],[Code]], allFYsTable[year2], EK$3)=0, NotFound, SUMIFS(allFYsTable[DiffAmount], allFYsTable[Code], SummaryTable[[#This Row],[Code]], allFYsTable[year2], EK$3))</f>
        <v>#N/A</v>
      </c>
      <c r="EQ26" s="63" t="e">
        <f>IF(SummaryTable[[#This Row],[OriginalBudget09]]=0, IF(SummaryTable[[#This Row],[DiffAmount09]]=0, ZeroBudgetNoSpending, ZeroBudgetWithSpending), SummaryTable[[#This Row],[DiffAmount09]]/SummaryTable[[#This Row],[OriginalBudget09]])</f>
        <v>#N/A</v>
      </c>
      <c r="ER26" s="62" t="e">
        <f>IF(COUNTIFS(allFYsTable[Code], SummaryTable[[#This Row],[Code]], allFYsTable[year2], ER$3)=0, NotFound, SUMIFS(allFYsTable[OriginalBudget], allFYsTable[Code], SummaryTable[[#This Row],[Code]], allFYsTable[year2], ER$3))</f>
        <v>#N/A</v>
      </c>
      <c r="ES26" s="61" t="e">
        <f>SummaryTable[[#This Row],[OriginalBudget08]]-SummaryTable[[#This Row],[OriginalBudget07]]</f>
        <v>#N/A</v>
      </c>
      <c r="ET26" s="54" t="e">
        <f>SummaryTable[[#This Row],[BudgetIncreaseAmount08]]/SummaryTable[[#This Row],[OriginalBudget07]]</f>
        <v>#N/A</v>
      </c>
      <c r="EU26" s="61" t="e">
        <f>IF(COUNTIFS(allFYsTable[Code], SummaryTable[[#This Row],[Code]], allFYsTable[year2], ER$3)=0, NotFound, SUMIFS(allFYsTable[RevisedBudget], allFYsTable[Code], SummaryTable[[#This Row],[Code]], allFYsTable[year2], ER$3))</f>
        <v>#N/A</v>
      </c>
      <c r="EV26" s="61" t="e">
        <f>IF(COUNTIFS(allFYsTable[Code], SummaryTable[[#This Row],[Code]], allFYsTable[year2], ER$3)=0, NotFound, SUMIFS(allFYsTable[Actual], allFYsTable[Code], SummaryTable[[#This Row],[Code]], allFYsTable[year2], ER$3))</f>
        <v>#N/A</v>
      </c>
      <c r="EW26" s="61" t="e">
        <f>IF(COUNTIFS(allFYsTable[Code], SummaryTable[[#This Row],[Code]], allFYsTable[year2], ER$3)=0, NotFound, SUMIFS(allFYsTable[DiffAmount], allFYsTable[Code], SummaryTable[[#This Row],[Code]], allFYsTable[year2], ER$3))</f>
        <v>#N/A</v>
      </c>
      <c r="EX26" s="63" t="e">
        <f>IF(SummaryTable[[#This Row],[OriginalBudget08]]=0, IF(SummaryTable[[#This Row],[DiffAmount08]]=0, ZeroBudgetNoSpending, ZeroBudgetWithSpending), SummaryTable[[#This Row],[DiffAmount08]]/SummaryTable[[#This Row],[OriginalBudget08]])</f>
        <v>#N/A</v>
      </c>
      <c r="EY26" s="62" t="e">
        <f>IF(COUNTIFS(allFYsTable[Code], SummaryTable[[#This Row],[Code]], allFYsTable[year2], EY$3)=0, NotFound, SUMIFS(allFYsTable[OriginalBudget], allFYsTable[Code], SummaryTable[[#This Row],[Code]], allFYsTable[year2], EY$3))</f>
        <v>#N/A</v>
      </c>
      <c r="EZ26" s="61" t="e">
        <f>SummaryTable[[#This Row],[OriginalBudget07]]-SummaryTable[[#This Row],[OriginalBudget06]]</f>
        <v>#N/A</v>
      </c>
      <c r="FA26" s="54" t="e">
        <f>SummaryTable[[#This Row],[BudgetIncreaseAmount07]]/SummaryTable[[#This Row],[OriginalBudget06]]</f>
        <v>#N/A</v>
      </c>
      <c r="FB26" s="61" t="e">
        <f>IF(COUNTIFS(allFYsTable[Code], SummaryTable[[#This Row],[Code]], allFYsTable[year2], EY$3)=0, NotFound, SUMIFS(allFYsTable[RevisedBudget], allFYsTable[Code], SummaryTable[[#This Row],[Code]], allFYsTable[year2], EY$3))</f>
        <v>#N/A</v>
      </c>
      <c r="FC26" s="61" t="e">
        <f>IF(COUNTIFS(allFYsTable[Code], SummaryTable[[#This Row],[Code]], allFYsTable[year2], EY$3)=0, NotFound, SUMIFS(allFYsTable[Actual], allFYsTable[Code], SummaryTable[[#This Row],[Code]], allFYsTable[year2], EY$3))</f>
        <v>#N/A</v>
      </c>
      <c r="FD26" s="61" t="e">
        <f>IF(COUNTIFS(allFYsTable[Code], SummaryTable[[#This Row],[Code]], allFYsTable[year2], EY$3)=0, NotFound, SUMIFS(allFYsTable[DiffAmount], allFYsTable[Code], SummaryTable[[#This Row],[Code]], allFYsTable[year2], EY$3))</f>
        <v>#N/A</v>
      </c>
      <c r="FE26" s="63" t="e">
        <f>IF(SummaryTable[[#This Row],[OriginalBudget07]]=0, IF(SummaryTable[[#This Row],[DiffAmount07]]=0, ZeroBudgetNoSpending, ZeroBudgetWithSpending), SummaryTable[[#This Row],[DiffAmount07]]/SummaryTable[[#This Row],[OriginalBudget07]])</f>
        <v>#N/A</v>
      </c>
      <c r="FF26" s="62" t="e">
        <f>IF(COUNTIFS(allFYsTable[Code], SummaryTable[[#This Row],[Code]], allFYsTable[year2], FF$3)=0, NotFound, SUMIFS(allFYsTable[OriginalBudget], allFYsTable[Code], SummaryTable[[#This Row],[Code]], allFYsTable[year2], FF$3))</f>
        <v>#N/A</v>
      </c>
      <c r="FI26" s="61" t="e">
        <f>IF(COUNTIFS(allFYsTable[Code], SummaryTable[[#This Row],[Code]], allFYsTable[year2], FF$3)=0, NotFound, SUMIFS(allFYsTable[RevisedBudget], allFYsTable[Code], SummaryTable[[#This Row],[Code]], allFYsTable[year2], FF$3))</f>
        <v>#N/A</v>
      </c>
      <c r="FJ26" s="61" t="e">
        <f>IF(COUNTIFS(allFYsTable[Code], SummaryTable[[#This Row],[Code]], allFYsTable[year2], FF$3)=0, NotFound, SUMIFS(allFYsTable[Actual], allFYsTable[Code], SummaryTable[[#This Row],[Code]], allFYsTable[year2], FF$3))</f>
        <v>#N/A</v>
      </c>
      <c r="FK26" s="61" t="e">
        <f>IF(COUNTIFS(allFYsTable[Code], SummaryTable[[#This Row],[Code]], allFYsTable[year2], FF$3)=0, NotFound, SUMIFS(allFYsTable[DiffAmount], allFYsTable[Code], SummaryTable[[#This Row],[Code]], allFYsTable[year2], FF$3))</f>
        <v>#N/A</v>
      </c>
      <c r="FL26" s="63" t="e">
        <f>IF(SummaryTable[[#This Row],[OriginalBudget06]]=0, IF(SummaryTable[[#This Row],[DiffAmount06]]=0, ZeroBudgetNoSpending, ZeroBudgetWithSpending), SummaryTable[[#This Row],[DiffAmount06]]/SummaryTable[[#This Row],[OriginalBudget06]])</f>
        <v>#N/A</v>
      </c>
    </row>
    <row r="27" spans="1:168" x14ac:dyDescent="0.45">
      <c r="A27" t="s">
        <v>750</v>
      </c>
      <c r="B27">
        <f>_xlfn.MAXIFS(allFYsTable[year2], allFYsTable[Code], SummaryTable[[#This Row],[Code]])</f>
        <v>2025</v>
      </c>
      <c r="C27" t="str">
        <f>_xlfn.XLOOKUP(SummaryTable[[#This Row],[Code]], NameCodingTable[Code], NameCodingTable[Most Recent Category per allFYs])</f>
        <v>Public safety and justice</v>
      </c>
      <c r="D27" t="str">
        <f>_xlfn.XLOOKUP(SummaryTable[[#This Row],[Code]], NameCodingTable[Code], NameCodingTable[Unit Display Name])</f>
        <v>Department of Corrections (DOC)</v>
      </c>
      <c r="E27" t="str">
        <f>_xlfn.XLOOKUP(SummaryTable[[#This Row],[Code]], NameCodingTable[Code], NameCodingTable[Type])</f>
        <v>agency</v>
      </c>
      <c r="F2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2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10</v>
      </c>
      <c r="H27" s="54">
        <f>SummaryTable[[#This Row],['# Over]]/SummaryTable[[#This Row],[Count]]</f>
        <v>0.5</v>
      </c>
      <c r="I2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27" s="54">
        <f>SummaryTable[[#This Row],['# Under]]/SummaryTable[[#This Row],[Count]]</f>
        <v>0.5</v>
      </c>
      <c r="K2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27" s="54">
        <f>SummaryTable[[#This Row],['# Equal]]/SummaryTable[[#This Row],[Count]]</f>
        <v>0</v>
      </c>
      <c r="M27" s="61">
        <f>SUMIFS(allFYsTable[OriginalBudget],allFYsTable[Code],SummaryTable[[#This Row],[Code]])/SummaryTable[[#This Row],[Count]]</f>
        <v>140252.29999999999</v>
      </c>
      <c r="N27" s="61">
        <f>SUMIFS(allFYsTable[Actual],allFYsTable[Code],SummaryTable[[#This Row],[Code]])/SummaryTable[[#This Row],[Count]]</f>
        <v>141163.65</v>
      </c>
      <c r="O27" s="61">
        <f>SummaryTable[[#This Row],[AvgActAmt]]-SummaryTable[[#This Row],[AvgBudAmt]]</f>
        <v>911.35000000000582</v>
      </c>
      <c r="P27" s="54">
        <f>IF(SummaryTable[[#This Row],[AvgBudAmt]]=0, IF(SummaryTable[[#This Row],[AvgDiff'#]]=0, 0, NamedFields!$C$3), SummaryTable[[#This Row],[AvgDiff'#]]/SummaryTable[[#This Row],[AvgBudAmt]])</f>
        <v>6.4979326542238943E-3</v>
      </c>
      <c r="Q27" s="61">
        <f>IFERROR(SUMIFS(allFYsTable[OriginalBudget],allFYsTable[Code],SummaryTable[[#This Row],[Code]],allFYsTable[DiffAmount], "&gt;0")/SummaryTable[[#This Row],['# Over]], 0)</f>
        <v>142039.79999999999</v>
      </c>
      <c r="R27" s="61">
        <f>IFERROR(SUMIFS(allFYsTable[Actual],allFYsTable[Code],SummaryTable[[#This Row],[Code]],allFYsTable[DiffAmount], "&gt;0")/SummaryTable[[#This Row],['# Over]], 0)</f>
        <v>150163.20000000001</v>
      </c>
      <c r="S27" s="61">
        <f>SummaryTable[[#This Row],[OverAvgAct]]-SummaryTable[[#This Row],[OverAvgBud]]</f>
        <v>8123.4000000000233</v>
      </c>
      <c r="T27" s="54">
        <f>IF(SummaryTable[[#This Row],[OverAvgBud]]=0, IF(SummaryTable[[#This Row],[OverAvgDiff'#]]=0, ZeroBudgetNoSpending, ZeroBudgetWithSpending), SummaryTable[[#This Row],[OverAvgDiff'#]]/SummaryTable[[#This Row],[OverAvgBud]])</f>
        <v>5.7191012659832133E-2</v>
      </c>
      <c r="U27" s="61">
        <f>IFERROR(SUMIFS(allFYsTable[OriginalBudget],allFYsTable[Code],SummaryTable[[#This Row],[Code]],allFYsTable[DiffAmount], "&lt;0")/SummaryTable[[#This Row],['# Under]], 0)</f>
        <v>138464.79999999999</v>
      </c>
      <c r="V27" s="61">
        <f>IFERROR( SUMIFS(allFYsTable[Actual],allFYsTable[Code],SummaryTable[[#This Row],[Code]],allFYsTable[DiffAmount], "&lt;0")/SummaryTable[[#This Row],['# Under]], 0)</f>
        <v>132164.1</v>
      </c>
      <c r="W27" s="61">
        <f>SummaryTable[[#This Row],[UnderAvgAct]]-SummaryTable[[#This Row],[UnderAvgBud]]</f>
        <v>-6300.6999999999825</v>
      </c>
      <c r="X27" s="54">
        <f>IF(SummaryTable[[#This Row],[UnderAvgBud]]=0, IF(SummaryTable[[#This Row],[UnderAvgDiff'#]]=0, ZeroBudgetNoSpending, NamedFields!$C$3), SummaryTable[[#This Row],[UnderAvgDiff'#]]/SummaryTable[[#This Row],[UnderAvgBud]])</f>
        <v>-4.5503983683939764E-2</v>
      </c>
      <c r="Y2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2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27" s="54">
        <f>IF(SummaryTable[[#This Row],[IncreaseYears]]=0, ZeroBudgetNoSpending, SummaryTable[[#This Row],[OSinIncreaseYear'#]]/SummaryTable[[#This Row],[IncreaseYears]])</f>
        <v>0</v>
      </c>
      <c r="AB27" s="58" t="str">
        <f>SummaryTable[[#This Row],[Code]]</f>
        <v>FL0</v>
      </c>
      <c r="AC27" s="62">
        <f>IF(COUNTIFS(allFYsTable[Code], SummaryTable[[#This Row],[Code]], allFYsTable[year2], AC$3)=0, NotFound, SUMIFS(allFYsTable[OriginalBudget], allFYsTable[Code], SummaryTable[[#This Row],[Code]], allFYsTable[year2], AC$3))</f>
        <v>203229</v>
      </c>
      <c r="AD27" s="61">
        <f>SummaryTable[[#This Row],[OriginalBudget25]]-SummaryTable[[#This Row],[OriginalBudget24]]</f>
        <v>23138</v>
      </c>
      <c r="AE27" s="54">
        <f>SummaryTable[[#This Row],[BudgetIncreaseAmount25]]/SummaryTable[[#This Row],[OriginalBudget24]]</f>
        <v>0.12847949092403285</v>
      </c>
      <c r="AF27" s="61">
        <f>IF(COUNTIFS(allFYsTable[Code], SummaryTable[[#This Row],[Code]], allFYsTable[year2], AC$3)=0, NotFound, SUMIFS(allFYsTable[RevisedBudget], allFYsTable[Code], SummaryTable[[#This Row],[Code]], allFYsTable[year2], AC$3))</f>
        <v>212859</v>
      </c>
      <c r="AG27" s="61">
        <f>IF(COUNTIFS(allFYsTable[Code], SummaryTable[[#This Row],[Code]], allFYsTable[year2], AC$3)=0, NotFound, SUMIFS(allFYsTable[Actual], allFYsTable[Code], SummaryTable[[#This Row],[Code]], allFYsTable[year2], AC$3))</f>
        <v>205566</v>
      </c>
      <c r="AH27" s="61">
        <f>IF(COUNTIFS(allFYsTable[Code], SummaryTable[[#This Row],[Code]], allFYsTable[year2], AC$3)=0, NotFound, SUMIFS(allFYsTable[DiffAmount], allFYsTable[Code], SummaryTable[[#This Row],[Code]], allFYsTable[year2], AC$3))</f>
        <v>2337</v>
      </c>
      <c r="AI27" s="63">
        <f>IF(SummaryTable[[#This Row],[OriginalBudget25]]=0, IF(SummaryTable[[#This Row],[DiffAmount25]]=0, ZeroBudgetNoSpending, ZeroBudgetWithSpending), SummaryTable[[#This Row],[DiffAmount25]]/SummaryTable[[#This Row],[OriginalBudget25]])</f>
        <v>1.1499343105560722E-2</v>
      </c>
      <c r="AJ27" s="62">
        <f>IF(COUNTIFS(allFYsTable[Code], SummaryTable[[#This Row],[Code]], allFYsTable[year2], AJ$3)=0, NotFound, SUMIFS(allFYsTable[OriginalBudget], allFYsTable[Code], SummaryTable[[#This Row],[Code]], allFYsTable[year2], AJ$3))</f>
        <v>180091</v>
      </c>
      <c r="AK27" s="61">
        <f>SummaryTable[[#This Row],[OriginalBudget24]]-SummaryTable[[#This Row],[OriginalBudget23]]</f>
        <v>-5435</v>
      </c>
      <c r="AL27" s="54">
        <f>SummaryTable[[#This Row],[BudgetIncreaseAmount24]]/SummaryTable[[#This Row],[OriginalBudget23]]</f>
        <v>-2.929508532496793E-2</v>
      </c>
      <c r="AM27" s="61">
        <f>IF(COUNTIFS(allFYsTable[Code], SummaryTable[[#This Row],[Code]], allFYsTable[year2], AK$3)=0, NotFound, SUMIFS(allFYsTable[RevisedBudget], allFYsTable[Code], SummaryTable[[#This Row],[Code]], allFYsTable[year2], AJ$3))</f>
        <v>185367</v>
      </c>
      <c r="AN27" s="61">
        <f>IF(COUNTIFS(allFYsTable[Code], SummaryTable[[#This Row],[Code]], allFYsTable[year2], AJ$3)=0, NotFound, SUMIFS(allFYsTable[Actual], allFYsTable[Code], SummaryTable[[#This Row],[Code]], allFYsTable[year2], AJ$3))</f>
        <v>184867</v>
      </c>
      <c r="AO27" s="61">
        <f>IF(COUNTIFS(allFYsTable[Code], SummaryTable[[#This Row],[Code]], allFYsTable[year2], AJ$3)=0, NotFound, SUMIFS(allFYsTable[DiffAmount], allFYsTable[Code], SummaryTable[[#This Row],[Code]], allFYsTable[year2], AJ$3))</f>
        <v>4776</v>
      </c>
      <c r="AP27" s="63">
        <f>IF(SummaryTable[[#This Row],[OriginalBudget24]]=0, IF(SummaryTable[[#This Row],[DiffAmount24]]=0, ZeroBudgetNoSpending, ZeroBudgetWithSpending), SummaryTable[[#This Row],[DiffAmount24]]/SummaryTable[[#This Row],[OriginalBudget24]])</f>
        <v>2.6519926037392207E-2</v>
      </c>
      <c r="AQ27" s="62">
        <f>IF(COUNTIFS(allFYsTable[Code], SummaryTable[[#This Row],[Code]], allFYsTable[year2], AQ$3)=0, NotFound, SUMIFS(allFYsTable[OriginalBudget], allFYsTable[Code], SummaryTable[[#This Row],[Code]], allFYsTable[year2], AQ$3))</f>
        <v>185526</v>
      </c>
      <c r="AR27" s="61">
        <f>SummaryTable[[#This Row],[OriginalBudget23]]-SummaryTable[[#This Row],[OriginalBudget22]]</f>
        <v>22822</v>
      </c>
      <c r="AS27" s="54">
        <f>SummaryTable[[#This Row],[BudgetIncreaseAmount23]]/SummaryTable[[#This Row],[OriginalBudget22]]</f>
        <v>0.14026698790441539</v>
      </c>
      <c r="AT27" s="61">
        <f>IF(COUNTIFS(allFYsTable[Code], SummaryTable[[#This Row],[Code]], allFYsTable[year2], AQ$3)=0, NotFound, SUMIFS(allFYsTable[RevisedBudget], allFYsTable[Code], SummaryTable[[#This Row],[Code]], allFYsTable[year2], AQ$3))</f>
        <v>178452</v>
      </c>
      <c r="AU27" s="61">
        <f>IF(COUNTIFS(allFYsTable[Code], SummaryTable[[#This Row],[Code]], allFYsTable[year2], AQ$3)=0, NotFound, SUMIFS(allFYsTable[Actual], allFYsTable[Code], SummaryTable[[#This Row],[Code]], allFYsTable[year2], AQ$3))</f>
        <v>176677</v>
      </c>
      <c r="AV27" s="61">
        <f>IF(COUNTIFS(allFYsTable[Code], SummaryTable[[#This Row],[Code]], allFYsTable[year2], AQ$3)=0, NotFound, SUMIFS(allFYsTable[DiffAmount], allFYsTable[Code], SummaryTable[[#This Row],[Code]], allFYsTable[year2], AQ$3))</f>
        <v>-8849</v>
      </c>
      <c r="AW27" s="63">
        <f>IF(SummaryTable[[#This Row],[OriginalBudget23]]=0, IF(SummaryTable[[#This Row],[DiffAmount23]]=0, ZeroBudgetNoSpending, ZeroBudgetWithSpending), SummaryTable[[#This Row],[DiffAmount23]]/SummaryTable[[#This Row],[OriginalBudget23]])</f>
        <v>-4.7696818774726993E-2</v>
      </c>
      <c r="AX27" s="62">
        <f>IF(COUNTIFS(allFYsTable[Code], SummaryTable[[#This Row],[Code]], allFYsTable[year2], AX$3)=0, NotFound, SUMIFS(allFYsTable[OriginalBudget], allFYsTable[Code], SummaryTable[[#This Row],[Code]], allFYsTable[year2], AX$3))</f>
        <v>162704</v>
      </c>
      <c r="AY27" s="61">
        <f>SummaryTable[[#This Row],[OriginalBudget22]]-SummaryTable[[#This Row],[OriginalBudget21]]</f>
        <v>14704</v>
      </c>
      <c r="AZ27" s="54">
        <f>SummaryTable[[#This Row],[BudgetIncreaseAmount22]]/SummaryTable[[#This Row],[OriginalBudget21]]</f>
        <v>9.9351351351351355E-2</v>
      </c>
      <c r="BA27" s="61">
        <f>IF(COUNTIFS(allFYsTable[Code], SummaryTable[[#This Row],[Code]], allFYsTable[year2], AX$3)=0, NotFound, SUMIFS(allFYsTable[RevisedBudget], allFYsTable[Code], SummaryTable[[#This Row],[Code]], allFYsTable[year2], AX$3))</f>
        <v>160152</v>
      </c>
      <c r="BB27" s="61">
        <f>IF(COUNTIFS(allFYsTable[Code], SummaryTable[[#This Row],[Code]], allFYsTable[year2], AX$3)=0, NotFound, SUMIFS(allFYsTable[Actual], allFYsTable[Code], SummaryTable[[#This Row],[Code]], allFYsTable[year2], AX$3))</f>
        <v>159649</v>
      </c>
      <c r="BC27" s="61">
        <f>IF(COUNTIFS(allFYsTable[Code], SummaryTable[[#This Row],[Code]], allFYsTable[year2], AX$3)=0, NotFound, SUMIFS(allFYsTable[DiffAmount], allFYsTable[Code], SummaryTable[[#This Row],[Code]], allFYsTable[year2], AX$3))</f>
        <v>-3055</v>
      </c>
      <c r="BD27" s="63">
        <f>IF(SummaryTable[[#This Row],[OriginalBudget22]]=0, IF(SummaryTable[[#This Row],[DiffAmount22]]=0, ZeroBudgetNoSpending, ZeroBudgetWithSpending), SummaryTable[[#This Row],[DiffAmount22]]/SummaryTable[[#This Row],[OriginalBudget22]])</f>
        <v>-1.87764283607041E-2</v>
      </c>
      <c r="BE27" s="62">
        <f>IF(COUNTIFS(allFYsTable[Code], SummaryTable[[#This Row],[Code]], allFYsTable[year2], BE$3)=0, NotFound, SUMIFS(allFYsTable[OriginalBudget], allFYsTable[Code], SummaryTable[[#This Row],[Code]], allFYsTable[year2], BE$3))</f>
        <v>148000</v>
      </c>
      <c r="BF27" s="61">
        <f>SummaryTable[[#This Row],[OriginalBudget21]]-SummaryTable[[#This Row],[OriginalBudget20]]</f>
        <v>-4936</v>
      </c>
      <c r="BG27" s="54">
        <f>SummaryTable[[#This Row],[BudgetIncreaseAmount21]]/SummaryTable[[#This Row],[OriginalBudget20]]</f>
        <v>-3.2274938536381234E-2</v>
      </c>
      <c r="BH27" s="61">
        <f>IF(COUNTIFS(allFYsTable[Code], SummaryTable[[#This Row],[Code]], allFYsTable[year2], BE$3)=0, NotFound, SUMIFS(allFYsTable[RevisedBudget], allFYsTable[Code], SummaryTable[[#This Row],[Code]], allFYsTable[year2], BE$3))</f>
        <v>148335</v>
      </c>
      <c r="BI27" s="61">
        <f>IF(COUNTIFS(allFYsTable[Code], SummaryTable[[#This Row],[Code]], allFYsTable[year2], BE$3)=0, NotFound, SUMIFS(allFYsTable[Actual], allFYsTable[Code], SummaryTable[[#This Row],[Code]], allFYsTable[year2], BE$3))</f>
        <v>147999</v>
      </c>
      <c r="BJ27" s="61">
        <f>IF(COUNTIFS(allFYsTable[Code], SummaryTable[[#This Row],[Code]], allFYsTable[year2], BE$3)=0, NotFound, SUMIFS(allFYsTable[DiffAmount], allFYsTable[Code], SummaryTable[[#This Row],[Code]], allFYsTable[year2], BE$3))</f>
        <v>-1</v>
      </c>
      <c r="BK27" s="63">
        <f>IF(SummaryTable[[#This Row],[OriginalBudget21]]=0, IF(SummaryTable[[#This Row],[DiffAmount21]]=0, ZeroBudgetNoSpending, ZeroBudgetWithSpending), SummaryTable[[#This Row],[DiffAmount21]]/SummaryTable[[#This Row],[OriginalBudget21]])</f>
        <v>-6.7567567567567567E-6</v>
      </c>
      <c r="BL27" s="62">
        <f>IF(COUNTIFS(allFYsTable[Code], SummaryTable[[#This Row],[Code]], allFYsTable[year2], BL$3)=0, NotFound, SUMIFS(allFYsTable[OriginalBudget], allFYsTable[Code], SummaryTable[[#This Row],[Code]], allFYsTable[year2], BL$3))</f>
        <v>152936</v>
      </c>
      <c r="BM27" s="61">
        <f>SummaryTable[[#This Row],[OriginalBudget20]]-SummaryTable[[#This Row],[OriginalBudget19]]</f>
        <v>9019</v>
      </c>
      <c r="BN27" s="54">
        <f>SummaryTable[[#This Row],[BudgetIncreaseAmount20]]/SummaryTable[[#This Row],[OriginalBudget19]]</f>
        <v>6.2668065621156635E-2</v>
      </c>
      <c r="BO27" s="61">
        <f>IF(COUNTIFS(allFYsTable[Code], SummaryTable[[#This Row],[Code]], allFYsTable[year2], BL$3)=0, NotFound, SUMIFS(allFYsTable[RevisedBudget], allFYsTable[Code], SummaryTable[[#This Row],[Code]], allFYsTable[year2], BL$3))</f>
        <v>126870</v>
      </c>
      <c r="BP27" s="61">
        <f>IF(COUNTIFS(allFYsTable[Code], SummaryTable[[#This Row],[Code]], allFYsTable[year2], BL$3)=0, NotFound, SUMIFS(allFYsTable[Actual], allFYsTable[Code], SummaryTable[[#This Row],[Code]], allFYsTable[year2], BL$3))</f>
        <v>126407</v>
      </c>
      <c r="BQ27" s="61">
        <f>IF(COUNTIFS(allFYsTable[Code], SummaryTable[[#This Row],[Code]], allFYsTable[year2], BL$3)=0, NotFound, SUMIFS(allFYsTable[DiffAmount], allFYsTable[Code], SummaryTable[[#This Row],[Code]], allFYsTable[year2], BL$3))</f>
        <v>-26529</v>
      </c>
      <c r="BR27" s="63">
        <f>IF(SummaryTable[[#This Row],[OriginalBudget20]]=0, IF(SummaryTable[[#This Row],[DiffAmount20]]=0, ZeroBudgetNoSpending, ZeroBudgetWithSpending), SummaryTable[[#This Row],[DiffAmount20]]/SummaryTable[[#This Row],[OriginalBudget20]])</f>
        <v>-0.17346471726735366</v>
      </c>
      <c r="BS27" s="62">
        <f>IF(COUNTIFS(allFYsTable[Code], SummaryTable[[#This Row],[Code]], allFYsTable[year2], BS$3)=0, NotFound, SUMIFS(allFYsTable[OriginalBudget], allFYsTable[Code], SummaryTable[[#This Row],[Code]], allFYsTable[year2], BS$3))</f>
        <v>143917</v>
      </c>
      <c r="BT27" s="61">
        <f>SummaryTable[[#This Row],[OriginalBudget19]]-SummaryTable[[#This Row],[OriginalBudget18]]</f>
        <v>19840</v>
      </c>
      <c r="BU27" s="54">
        <f>SummaryTable[[#This Row],[BudgetIncreaseAmount19]]/SummaryTable[[#This Row],[OriginalBudget18]]</f>
        <v>0.15990070681915261</v>
      </c>
      <c r="BV27" s="61">
        <f>IF(COUNTIFS(allFYsTable[Code], SummaryTable[[#This Row],[Code]], allFYsTable[year2], BS$3)=0, NotFound, SUMIFS(allFYsTable[RevisedBudget], allFYsTable[Code], SummaryTable[[#This Row],[Code]], allFYsTable[year2], BS$3))</f>
        <v>144068</v>
      </c>
      <c r="BW27" s="61">
        <f>IF(COUNTIFS(allFYsTable[Code], SummaryTable[[#This Row],[Code]], allFYsTable[year2], BS$3)=0, NotFound, SUMIFS(allFYsTable[Actual], allFYsTable[Code], SummaryTable[[#This Row],[Code]], allFYsTable[year2], BS$3))</f>
        <v>142985</v>
      </c>
      <c r="BX27" s="61">
        <f>IF(COUNTIFS(allFYsTable[Code], SummaryTable[[#This Row],[Code]], allFYsTable[year2], BS$3)=0, NotFound, SUMIFS(allFYsTable[DiffAmount], allFYsTable[Code], SummaryTable[[#This Row],[Code]], allFYsTable[year2], BS$3))</f>
        <v>-932</v>
      </c>
      <c r="BY27" s="63">
        <f>IF(SummaryTable[[#This Row],[OriginalBudget19]]=0, IF(SummaryTable[[#This Row],[DiffAmount19]]=0, ZeroBudgetNoSpending, ZeroBudgetWithSpending), SummaryTable[[#This Row],[DiffAmount19]]/SummaryTable[[#This Row],[OriginalBudget19]])</f>
        <v>-6.4759548906661475E-3</v>
      </c>
      <c r="BZ27" s="62">
        <f>IF(COUNTIFS(allFYsTable[Code], SummaryTable[[#This Row],[Code]], allFYsTable[year2], BZ$3)=0, NotFound, SUMIFS(allFYsTable[OriginalBudget], allFYsTable[Code], SummaryTable[[#This Row],[Code]], allFYsTable[year2], BZ$3))</f>
        <v>124077</v>
      </c>
      <c r="CA27" s="61">
        <f>SummaryTable[[#This Row],[OriginalBudget18]]-SummaryTable[[#This Row],[OriginalBudget17]]</f>
        <v>-2327</v>
      </c>
      <c r="CB27" s="54">
        <f>SummaryTable[[#This Row],[BudgetIncreaseAmount18]]/SummaryTable[[#This Row],[OriginalBudget17]]</f>
        <v>-1.8409227556089997E-2</v>
      </c>
      <c r="CC27" s="61">
        <f>IF(COUNTIFS(allFYsTable[Code], SummaryTable[[#This Row],[Code]], allFYsTable[year2], BZ$3)=0, NotFound, SUMIFS(allFYsTable[RevisedBudget], allFYsTable[Code], SummaryTable[[#This Row],[Code]], allFYsTable[year2], BZ$3))</f>
        <v>138898</v>
      </c>
      <c r="CD27" s="61">
        <f>IF(COUNTIFS(allFYsTable[Code], SummaryTable[[#This Row],[Code]], allFYsTable[year2], BZ$3)=0, NotFound, SUMIFS(allFYsTable[Actual], allFYsTable[Code], SummaryTable[[#This Row],[Code]], allFYsTable[year2], BZ$3))</f>
        <v>138884</v>
      </c>
      <c r="CE27" s="61">
        <f>IF(COUNTIFS(allFYsTable[Code], SummaryTable[[#This Row],[Code]], allFYsTable[year2], BZ$3)=0, NotFound, SUMIFS(allFYsTable[DiffAmount], allFYsTable[Code], SummaryTable[[#This Row],[Code]], allFYsTable[year2], BZ$3))</f>
        <v>14807</v>
      </c>
      <c r="CF27" s="63">
        <f>IF(SummaryTable[[#This Row],[OriginalBudget18]]=0, IF(SummaryTable[[#This Row],[DiffAmount18]]=0, ZeroBudgetNoSpending, ZeroBudgetWithSpending), SummaryTable[[#This Row],[DiffAmount18]]/SummaryTable[[#This Row],[OriginalBudget18]])</f>
        <v>0.11933718577979803</v>
      </c>
      <c r="CG27" s="62">
        <f>IF(COUNTIFS(allFYsTable[Code], SummaryTable[[#This Row],[Code]], allFYsTable[year2], CG$3)=0, NotFound, SUMIFS(allFYsTable[OriginalBudget], allFYsTable[Code], SummaryTable[[#This Row],[Code]], allFYsTable[year2], CG$3))</f>
        <v>126404</v>
      </c>
      <c r="CH27" s="61">
        <f>SummaryTable[[#This Row],[OriginalBudget17]]-SummaryTable[[#This Row],[OriginalBudget16]]</f>
        <v>4228</v>
      </c>
      <c r="CI27" s="54">
        <f>SummaryTable[[#This Row],[BudgetIncreaseAmount17]]/SummaryTable[[#This Row],[OriginalBudget16]]</f>
        <v>3.4605814562598217E-2</v>
      </c>
      <c r="CJ27" s="61">
        <f>IF(COUNTIFS(allFYsTable[Code], SummaryTable[[#This Row],[Code]], allFYsTable[year2], CG$3)=0, NotFound, SUMIFS(allFYsTable[RevisedBudget], allFYsTable[Code], SummaryTable[[#This Row],[Code]], allFYsTable[year2], CG$3))</f>
        <v>135222</v>
      </c>
      <c r="CK27" s="61">
        <f>IF(COUNTIFS(allFYsTable[Code], SummaryTable[[#This Row],[Code]], allFYsTable[year2], CG$3)=0, NotFound, SUMIFS(allFYsTable[Actual], allFYsTable[Code], SummaryTable[[#This Row],[Code]], allFYsTable[year2], CG$3))</f>
        <v>135051</v>
      </c>
      <c r="CL27" s="61">
        <f>IF(COUNTIFS(allFYsTable[Code], SummaryTable[[#This Row],[Code]], allFYsTable[year2], CG$3)=0, NotFound, SUMIFS(allFYsTable[DiffAmount], allFYsTable[Code], SummaryTable[[#This Row],[Code]], allFYsTable[year2], CG$3))</f>
        <v>8647</v>
      </c>
      <c r="CM27" s="63">
        <f>IF(SummaryTable[[#This Row],[OriginalBudget17]]=0, IF(SummaryTable[[#This Row],[DiffAmount17]]=0, ZeroBudgetNoSpending, ZeroBudgetWithSpending), SummaryTable[[#This Row],[DiffAmount17]]/SummaryTable[[#This Row],[OriginalBudget17]])</f>
        <v>6.8407645327679498E-2</v>
      </c>
      <c r="CN27" s="62">
        <f>IF(COUNTIFS(allFYsTable[Code], SummaryTable[[#This Row],[Code]], allFYsTable[year2], CN$3)=0, NotFound, SUMIFS(allFYsTable[OriginalBudget], allFYsTable[Code], SummaryTable[[#This Row],[Code]], allFYsTable[year2], CN$3))</f>
        <v>122176</v>
      </c>
      <c r="CO27" s="61">
        <f>SummaryTable[[#This Row],[OriginalBudget16]]-SummaryTable[[#This Row],[OriginalBudget15]]</f>
        <v>-973</v>
      </c>
      <c r="CP27" s="54">
        <f>SummaryTable[[#This Row],[BudgetIncreaseAmount16]]/SummaryTable[[#This Row],[OriginalBudget15]]</f>
        <v>-7.9009979780590989E-3</v>
      </c>
      <c r="CQ27" s="61">
        <f>IF(COUNTIFS(allFYsTable[Code], SummaryTable[[#This Row],[Code]], allFYsTable[year2], CN$3)=0, NotFound, SUMIFS(allFYsTable[RevisedBudget], allFYsTable[Code], SummaryTable[[#This Row],[Code]], allFYsTable[year2], CN$3))</f>
        <v>123176</v>
      </c>
      <c r="CR27" s="61">
        <f>IF(COUNTIFS(allFYsTable[Code], SummaryTable[[#This Row],[Code]], allFYsTable[year2], CN$3)=0, NotFound, SUMIFS(allFYsTable[Actual], allFYsTable[Code], SummaryTable[[#This Row],[Code]], allFYsTable[year2], CN$3))</f>
        <v>123167</v>
      </c>
      <c r="CS27" s="61">
        <f>IF(COUNTIFS(allFYsTable[Code], SummaryTable[[#This Row],[Code]], allFYsTable[year2], CN$3)=0, NotFound, SUMIFS(allFYsTable[DiffAmount], allFYsTable[Code], SummaryTable[[#This Row],[Code]], allFYsTable[year2], CN$3))</f>
        <v>991</v>
      </c>
      <c r="CT27" s="63">
        <f>IF(SummaryTable[[#This Row],[OriginalBudget16]]=0, IF(SummaryTable[[#This Row],[DiffAmount16]]=0, ZeroBudgetNoSpending, ZeroBudgetWithSpending), SummaryTable[[#This Row],[DiffAmount16]]/SummaryTable[[#This Row],[OriginalBudget16]])</f>
        <v>8.1112493452069143E-3</v>
      </c>
      <c r="CU27" s="62">
        <f>IF(COUNTIFS(allFYsTable[Code], SummaryTable[[#This Row],[Code]], allFYsTable[year2], CU$3)=0, NotFound, SUMIFS(allFYsTable[OriginalBudget], allFYsTable[Code], SummaryTable[[#This Row],[Code]], allFYsTable[year2], CU$3))</f>
        <v>123149</v>
      </c>
      <c r="CV27" s="61">
        <f>SummaryTable[[#This Row],[OriginalBudget15]]-SummaryTable[[#This Row],[OriginalBudget14]]</f>
        <v>4346</v>
      </c>
      <c r="CW27" s="54">
        <f>SummaryTable[[#This Row],[BudgetIncreaseAmount15]]/SummaryTable[[#This Row],[OriginalBudget14]]</f>
        <v>3.6581567805526793E-2</v>
      </c>
      <c r="CX27" s="61">
        <f>IF(COUNTIFS(allFYsTable[Code], SummaryTable[[#This Row],[Code]], allFYsTable[year2], CU$3)=0, NotFound, SUMIFS(allFYsTable[RevisedBudget], allFYsTable[Code], SummaryTable[[#This Row],[Code]], allFYsTable[year2], CU$3))</f>
        <v>118496</v>
      </c>
      <c r="CY27" s="61">
        <f>IF(COUNTIFS(allFYsTable[Code], SummaryTable[[#This Row],[Code]], allFYsTable[year2], CU$3)=0, NotFound, SUMIFS(allFYsTable[Actual], allFYsTable[Code], SummaryTable[[#This Row],[Code]], allFYsTable[year2], CU$3))</f>
        <v>117540</v>
      </c>
      <c r="CZ27" s="61">
        <f>IF(COUNTIFS(allFYsTable[Code], SummaryTable[[#This Row],[Code]], allFYsTable[year2], CU$3)=0, NotFound, SUMIFS(allFYsTable[DiffAmount], allFYsTable[Code], SummaryTable[[#This Row],[Code]], allFYsTable[year2], CU$3))</f>
        <v>-5609</v>
      </c>
      <c r="DA27" s="63">
        <f>IF(SummaryTable[[#This Row],[OriginalBudget15]]=0, IF(SummaryTable[[#This Row],[DiffAmount15]]=0, ZeroBudgetNoSpending, ZeroBudgetWithSpending), SummaryTable[[#This Row],[DiffAmount15]]/SummaryTable[[#This Row],[OriginalBudget15]])</f>
        <v>-4.5546451859129998E-2</v>
      </c>
      <c r="DB27" s="62">
        <f>IF(COUNTIFS(allFYsTable[Code], SummaryTable[[#This Row],[Code]], allFYsTable[year2], DB$3)=0, NotFound, SUMIFS(allFYsTable[OriginalBudget], allFYsTable[Code], SummaryTable[[#This Row],[Code]], allFYsTable[year2], DB$3))</f>
        <v>118803</v>
      </c>
      <c r="DC27" s="61">
        <f>SummaryTable[[#This Row],[OriginalBudget14]]-SummaryTable[[#This Row],[OriginalBudget13]]</f>
        <v>1655</v>
      </c>
      <c r="DD27" s="54">
        <f>SummaryTable[[#This Row],[BudgetIncreaseAmount14]]/SummaryTable[[#This Row],[OriginalBudget13]]</f>
        <v>1.4127428551917233E-2</v>
      </c>
      <c r="DE27" s="61">
        <f>IF(COUNTIFS(allFYsTable[Code], SummaryTable[[#This Row],[Code]], allFYsTable[year2], DB$3)=0, NotFound, SUMIFS(allFYsTable[RevisedBudget], allFYsTable[Code], SummaryTable[[#This Row],[Code]], allFYsTable[year2], DB$3))</f>
        <v>117339</v>
      </c>
      <c r="DF27" s="61">
        <f>IF(COUNTIFS(allFYsTable[Code], SummaryTable[[#This Row],[Code]], allFYsTable[year2], DB$3)=0, NotFound, SUMIFS(allFYsTable[Actual], allFYsTable[Code], SummaryTable[[#This Row],[Code]], allFYsTable[year2], DB$3))</f>
        <v>114521</v>
      </c>
      <c r="DG27" s="61">
        <f>IF(COUNTIFS(allFYsTable[Code], SummaryTable[[#This Row],[Code]], allFYsTable[year2], DB$3)=0, NotFound, SUMIFS(allFYsTable[DiffAmount], allFYsTable[Code], SummaryTable[[#This Row],[Code]], allFYsTable[year2], DB$3))</f>
        <v>-4282</v>
      </c>
      <c r="DH27" s="63">
        <f>IF(SummaryTable[[#This Row],[OriginalBudget14]]=0, IF(SummaryTable[[#This Row],[DiffAmount14]]=0, ZeroBudgetNoSpending, ZeroBudgetWithSpending), SummaryTable[[#This Row],[DiffAmount14]]/SummaryTable[[#This Row],[OriginalBudget14]])</f>
        <v>-3.6042860870516738E-2</v>
      </c>
      <c r="DI27" s="62">
        <f>IF(COUNTIFS(allFYsTable[Code], SummaryTable[[#This Row],[Code]], allFYsTable[year2], DI$3)=0, NotFound, SUMIFS(allFYsTable[OriginalBudget], allFYsTable[Code], SummaryTable[[#This Row],[Code]], allFYsTable[year2], DI$3))</f>
        <v>117148</v>
      </c>
      <c r="DJ27" s="61">
        <f>SummaryTable[[#This Row],[OriginalBudget13]]-SummaryTable[[#This Row],[OriginalBudget12]]</f>
        <v>1854</v>
      </c>
      <c r="DK27" s="54">
        <f>SummaryTable[[#This Row],[BudgetIncreaseAmount13]]/SummaryTable[[#This Row],[OriginalBudget12]]</f>
        <v>1.6080628653702706E-2</v>
      </c>
      <c r="DL27" s="61">
        <f>IF(COUNTIFS(allFYsTable[Code], SummaryTable[[#This Row],[Code]], allFYsTable[year2], DI$3)=0, NotFound, SUMIFS(allFYsTable[RevisedBudget], allFYsTable[Code], SummaryTable[[#This Row],[Code]], allFYsTable[year2], DI$3))</f>
        <v>113053</v>
      </c>
      <c r="DM27" s="61">
        <f>IF(COUNTIFS(allFYsTable[Code], SummaryTable[[#This Row],[Code]], allFYsTable[year2], DI$3)=0, NotFound, SUMIFS(allFYsTable[Actual], allFYsTable[Code], SummaryTable[[#This Row],[Code]], allFYsTable[year2], DI$3))</f>
        <v>110996</v>
      </c>
      <c r="DN27" s="61">
        <f>IF(COUNTIFS(allFYsTable[Code], SummaryTable[[#This Row],[Code]], allFYsTable[year2], DI$3)=0, NotFound, SUMIFS(allFYsTable[DiffAmount], allFYsTable[Code], SummaryTable[[#This Row],[Code]], allFYsTable[year2], DI$3))</f>
        <v>-6152</v>
      </c>
      <c r="DO27" s="63">
        <f>IF(SummaryTable[[#This Row],[OriginalBudget13]]=0, IF(SummaryTable[[#This Row],[DiffAmount13]]=0, ZeroBudgetNoSpending, ZeroBudgetWithSpending), SummaryTable[[#This Row],[DiffAmount13]]/SummaryTable[[#This Row],[OriginalBudget13]])</f>
        <v>-5.2514767644347322E-2</v>
      </c>
      <c r="DP27" s="62">
        <f>IF(COUNTIFS(allFYsTable[Code], SummaryTable[[#This Row],[Code]], allFYsTable[year2], DP$3)=0, NotFound, SUMIFS(allFYsTable[OriginalBudget], allFYsTable[Code], SummaryTable[[#This Row],[Code]], allFYsTable[year2], DP$3))</f>
        <v>115294</v>
      </c>
      <c r="DQ27" s="61">
        <f>SummaryTable[[#This Row],[OriginalBudget12]]-SummaryTable[[#This Row],[OriginalBudget11]]</f>
        <v>6760</v>
      </c>
      <c r="DR27" s="54">
        <f>SummaryTable[[#This Row],[BudgetIncreaseAmount12]]/SummaryTable[[#This Row],[OriginalBudget11]]</f>
        <v>6.2284629701291762E-2</v>
      </c>
      <c r="DS27" s="61">
        <f>IF(COUNTIFS(allFYsTable[Code], SummaryTable[[#This Row],[Code]], allFYsTable[year2], DP$3)=0, NotFound, SUMIFS(allFYsTable[RevisedBudget], allFYsTable[Code], SummaryTable[[#This Row],[Code]], allFYsTable[year2], DP$3))</f>
        <v>108819</v>
      </c>
      <c r="DT27" s="61">
        <f>IF(COUNTIFS(allFYsTable[Code], SummaryTable[[#This Row],[Code]], allFYsTable[year2], DP$3)=0, NotFound, SUMIFS(allFYsTable[Actual], allFYsTable[Code], SummaryTable[[#This Row],[Code]], allFYsTable[year2], DP$3))</f>
        <v>108219</v>
      </c>
      <c r="DU27" s="61">
        <f>IF(COUNTIFS(allFYsTable[Code], SummaryTable[[#This Row],[Code]], allFYsTable[year2], DP$3)=0, NotFound, SUMIFS(allFYsTable[DiffAmount], allFYsTable[Code], SummaryTable[[#This Row],[Code]], allFYsTable[year2], DP$3))</f>
        <v>-7075</v>
      </c>
      <c r="DV27" s="63">
        <f>IF(SummaryTable[[#This Row],[OriginalBudget12]]=0, IF(SummaryTable[[#This Row],[DiffAmount12]]=0, ZeroBudgetNoSpending, ZeroBudgetWithSpending), SummaryTable[[#This Row],[DiffAmount12]]/SummaryTable[[#This Row],[OriginalBudget12]])</f>
        <v>-6.1364858535569937E-2</v>
      </c>
      <c r="DW27" s="62">
        <f>IF(COUNTIFS(allFYsTable[Code], SummaryTable[[#This Row],[Code]], allFYsTable[year2], DW$3)=0, NotFound, SUMIFS(allFYsTable[OriginalBudget], allFYsTable[Code], SummaryTable[[#This Row],[Code]], allFYsTable[year2], DW$3))</f>
        <v>108534</v>
      </c>
      <c r="DX27" s="61">
        <f>SummaryTable[[#This Row],[OriginalBudget11]]-SummaryTable[[#This Row],[OriginalBudget10]]</f>
        <v>4647</v>
      </c>
      <c r="DY27" s="54">
        <f>SummaryTable[[#This Row],[BudgetIncreaseAmount11]]/SummaryTable[[#This Row],[OriginalBudget10]]</f>
        <v>4.4731294579687546E-2</v>
      </c>
      <c r="DZ27" s="61">
        <f>IF(COUNTIFS(allFYsTable[Code], SummaryTable[[#This Row],[Code]], allFYsTable[year2], DW$3)=0, NotFound, SUMIFS(allFYsTable[RevisedBudget], allFYsTable[Code], SummaryTable[[#This Row],[Code]], allFYsTable[year2], DW$3))</f>
        <v>119026</v>
      </c>
      <c r="EA27" s="61">
        <f>IF(COUNTIFS(allFYsTable[Code], SummaryTable[[#This Row],[Code]], allFYsTable[year2], DW$3)=0, NotFound, SUMIFS(allFYsTable[Actual], allFYsTable[Code], SummaryTable[[#This Row],[Code]], allFYsTable[year2], DW$3))</f>
        <v>117369</v>
      </c>
      <c r="EB27" s="61">
        <f>IF(COUNTIFS(allFYsTable[Code], SummaryTable[[#This Row],[Code]], allFYsTable[year2], DW$3)=0, NotFound, SUMIFS(allFYsTable[DiffAmount], allFYsTable[Code], SummaryTable[[#This Row],[Code]], allFYsTable[year2], DW$3))</f>
        <v>8835</v>
      </c>
      <c r="EC27" s="63">
        <f>IF(SummaryTable[[#This Row],[OriginalBudget11]]=0, IF(SummaryTable[[#This Row],[DiffAmount11]]=0, ZeroBudgetNoSpending, ZeroBudgetWithSpending), SummaryTable[[#This Row],[DiffAmount11]]/SummaryTable[[#This Row],[OriginalBudget11]])</f>
        <v>8.1403062634750403E-2</v>
      </c>
      <c r="ED27" s="62">
        <f>IF(COUNTIFS(allFYsTable[Code], SummaryTable[[#This Row],[Code]], allFYsTable[year2], ED$3)=0, NotFound, SUMIFS(allFYsTable[OriginalBudget], allFYsTable[Code], SummaryTable[[#This Row],[Code]], allFYsTable[year2], ED$3))</f>
        <v>103887</v>
      </c>
      <c r="EE27" s="61">
        <f>SummaryTable[[#This Row],[OriginalBudget10]]-SummaryTable[[#This Row],[OriginalBudget09]]</f>
        <v>-11701</v>
      </c>
      <c r="EF27" s="54">
        <f>SummaryTable[[#This Row],[BudgetIncreaseAmount10]]/SummaryTable[[#This Row],[OriginalBudget09]]</f>
        <v>-0.10123023151192165</v>
      </c>
      <c r="EG27" s="61">
        <f>IF(COUNTIFS(allFYsTable[Code], SummaryTable[[#This Row],[Code]], allFYsTable[year2], ED$3)=0, NotFound, SUMIFS(allFYsTable[RevisedBudget], allFYsTable[Code], SummaryTable[[#This Row],[Code]], allFYsTable[year2], ED$3))</f>
        <v>125301</v>
      </c>
      <c r="EH27" s="61">
        <f>IF(COUNTIFS(allFYsTable[Code], SummaryTable[[#This Row],[Code]], allFYsTable[year2], ED$3)=0, NotFound, SUMIFS(allFYsTable[Actual], allFYsTable[Code], SummaryTable[[#This Row],[Code]], allFYsTable[year2], ED$3))</f>
        <v>124778</v>
      </c>
      <c r="EI27" s="61">
        <f>IF(COUNTIFS(allFYsTable[Code], SummaryTable[[#This Row],[Code]], allFYsTable[year2], ED$3)=0, NotFound, SUMIFS(allFYsTable[DiffAmount], allFYsTable[Code], SummaryTable[[#This Row],[Code]], allFYsTable[year2], ED$3))</f>
        <v>20891</v>
      </c>
      <c r="EJ27" s="63">
        <f>IF(SummaryTable[[#This Row],[OriginalBudget10]]=0, IF(SummaryTable[[#This Row],[DiffAmount10]]=0, ZeroBudgetNoSpending, ZeroBudgetWithSpending), SummaryTable[[#This Row],[DiffAmount10]]/SummaryTable[[#This Row],[OriginalBudget10]])</f>
        <v>0.20109349581757102</v>
      </c>
      <c r="EK27" s="62">
        <f>IF(COUNTIFS(allFYsTable[Code], SummaryTable[[#This Row],[Code]], allFYsTable[year2], EK$3)=0, NotFound, SUMIFS(allFYsTable[OriginalBudget], allFYsTable[Code], SummaryTable[[#This Row],[Code]], allFYsTable[year2], EK$3))</f>
        <v>115588</v>
      </c>
      <c r="EL27" s="61">
        <f>SummaryTable[[#This Row],[OriginalBudget09]]-SummaryTable[[#This Row],[OriginalBudget08]]</f>
        <v>-1583</v>
      </c>
      <c r="EM27" s="54">
        <f>SummaryTable[[#This Row],[BudgetIncreaseAmount09]]/SummaryTable[[#This Row],[OriginalBudget08]]</f>
        <v>-1.3510168898447568E-2</v>
      </c>
      <c r="EN27" s="61">
        <f>IF(COUNTIFS(allFYsTable[Code], SummaryTable[[#This Row],[Code]], allFYsTable[year2], EK$3)=0, NotFound, SUMIFS(allFYsTable[RevisedBudget], allFYsTable[Code], SummaryTable[[#This Row],[Code]], allFYsTable[year2], EK$3))</f>
        <v>117688</v>
      </c>
      <c r="EO27" s="61">
        <f>IF(COUNTIFS(allFYsTable[Code], SummaryTable[[#This Row],[Code]], allFYsTable[year2], EK$3)=0, NotFound, SUMIFS(allFYsTable[Actual], allFYsTable[Code], SummaryTable[[#This Row],[Code]], allFYsTable[year2], EK$3))</f>
        <v>117610</v>
      </c>
      <c r="EP27" s="61">
        <f>IF(COUNTIFS(allFYsTable[Code], SummaryTable[[#This Row],[Code]], allFYsTable[year2], EK$3)=0, NotFound, SUMIFS(allFYsTable[DiffAmount], allFYsTable[Code], SummaryTable[[#This Row],[Code]], allFYsTable[year2], EK$3))</f>
        <v>2022</v>
      </c>
      <c r="EQ27" s="63">
        <f>IF(SummaryTable[[#This Row],[OriginalBudget09]]=0, IF(SummaryTable[[#This Row],[DiffAmount09]]=0, ZeroBudgetNoSpending, ZeroBudgetWithSpending), SummaryTable[[#This Row],[DiffAmount09]]/SummaryTable[[#This Row],[OriginalBudget09]])</f>
        <v>1.7493165380489326E-2</v>
      </c>
      <c r="ER27" s="62">
        <f>IF(COUNTIFS(allFYsTable[Code], SummaryTable[[#This Row],[Code]], allFYsTable[year2], ER$3)=0, NotFound, SUMIFS(allFYsTable[OriginalBudget], allFYsTable[Code], SummaryTable[[#This Row],[Code]], allFYsTable[year2], ER$3))</f>
        <v>117171</v>
      </c>
      <c r="ES27" s="61">
        <f>SummaryTable[[#This Row],[OriginalBudget08]]-SummaryTable[[#This Row],[OriginalBudget07]]</f>
        <v>5779</v>
      </c>
      <c r="ET27" s="54">
        <f>SummaryTable[[#This Row],[BudgetIncreaseAmount08]]/SummaryTable[[#This Row],[OriginalBudget07]]</f>
        <v>5.1879847744900891E-2</v>
      </c>
      <c r="EU27" s="61">
        <f>IF(COUNTIFS(allFYsTable[Code], SummaryTable[[#This Row],[Code]], allFYsTable[year2], ER$3)=0, NotFound, SUMIFS(allFYsTable[RevisedBudget], allFYsTable[Code], SummaryTable[[#This Row],[Code]], allFYsTable[year2], ER$3))</f>
        <v>116871</v>
      </c>
      <c r="EV27" s="61">
        <f>IF(COUNTIFS(allFYsTable[Code], SummaryTable[[#This Row],[Code]], allFYsTable[year2], ER$3)=0, NotFound, SUMIFS(allFYsTable[Actual], allFYsTable[Code], SummaryTable[[#This Row],[Code]], allFYsTable[year2], ER$3))</f>
        <v>116648</v>
      </c>
      <c r="EW27" s="61">
        <f>IF(COUNTIFS(allFYsTable[Code], SummaryTable[[#This Row],[Code]], allFYsTable[year2], ER$3)=0, NotFound, SUMIFS(allFYsTable[DiffAmount], allFYsTable[Code], SummaryTable[[#This Row],[Code]], allFYsTable[year2], ER$3))</f>
        <v>-523</v>
      </c>
      <c r="EX27" s="63">
        <f>IF(SummaryTable[[#This Row],[OriginalBudget08]]=0, IF(SummaryTable[[#This Row],[DiffAmount08]]=0, ZeroBudgetNoSpending, ZeroBudgetWithSpending), SummaryTable[[#This Row],[DiffAmount08]]/SummaryTable[[#This Row],[OriginalBudget08]])</f>
        <v>-4.4635618028351729E-3</v>
      </c>
      <c r="EY27" s="62">
        <f>IF(COUNTIFS(allFYsTable[Code], SummaryTable[[#This Row],[Code]], allFYsTable[year2], EY$3)=0, NotFound, SUMIFS(allFYsTable[OriginalBudget], allFYsTable[Code], SummaryTable[[#This Row],[Code]], allFYsTable[year2], EY$3))</f>
        <v>111392</v>
      </c>
      <c r="EZ27" s="61">
        <f>SummaryTable[[#This Row],[OriginalBudget07]]-SummaryTable[[#This Row],[OriginalBudget06]]</f>
        <v>6396</v>
      </c>
      <c r="FA27" s="54">
        <f>SummaryTable[[#This Row],[BudgetIncreaseAmount07]]/SummaryTable[[#This Row],[OriginalBudget06]]</f>
        <v>6.0916606346908451E-2</v>
      </c>
      <c r="FB27" s="61">
        <f>IF(COUNTIFS(allFYsTable[Code], SummaryTable[[#This Row],[Code]], allFYsTable[year2], EY$3)=0, NotFound, SUMIFS(allFYsTable[RevisedBudget], allFYsTable[Code], SummaryTable[[#This Row],[Code]], allFYsTable[year2], EY$3))</f>
        <v>121864</v>
      </c>
      <c r="FC27" s="61">
        <f>IF(COUNTIFS(allFYsTable[Code], SummaryTable[[#This Row],[Code]], allFYsTable[year2], EY$3)=0, NotFound, SUMIFS(allFYsTable[Actual], allFYsTable[Code], SummaryTable[[#This Row],[Code]], allFYsTable[year2], EY$3))</f>
        <v>121417</v>
      </c>
      <c r="FD27" s="61">
        <f>IF(COUNTIFS(allFYsTable[Code], SummaryTable[[#This Row],[Code]], allFYsTable[year2], EY$3)=0, NotFound, SUMIFS(allFYsTable[DiffAmount], allFYsTable[Code], SummaryTable[[#This Row],[Code]], allFYsTable[year2], EY$3))</f>
        <v>10025</v>
      </c>
      <c r="FE27" s="63">
        <f>IF(SummaryTable[[#This Row],[OriginalBudget07]]=0, IF(SummaryTable[[#This Row],[DiffAmount07]]=0, ZeroBudgetNoSpending, ZeroBudgetWithSpending), SummaryTable[[#This Row],[DiffAmount07]]/SummaryTable[[#This Row],[OriginalBudget07]])</f>
        <v>8.9997486354495837E-2</v>
      </c>
      <c r="FF27" s="62">
        <f>IF(COUNTIFS(allFYsTable[Code], SummaryTable[[#This Row],[Code]], allFYsTable[year2], FF$3)=0, NotFound, SUMIFS(allFYsTable[OriginalBudget], allFYsTable[Code], SummaryTable[[#This Row],[Code]], allFYsTable[year2], FF$3))</f>
        <v>104996</v>
      </c>
      <c r="FI27" s="61">
        <f>IF(COUNTIFS(allFYsTable[Code], SummaryTable[[#This Row],[Code]], allFYsTable[year2], FF$3)=0, NotFound, SUMIFS(allFYsTable[RevisedBudget], allFYsTable[Code], SummaryTable[[#This Row],[Code]], allFYsTable[year2], FF$3))</f>
        <v>112199</v>
      </c>
      <c r="FJ27" s="61">
        <f>IF(COUNTIFS(allFYsTable[Code], SummaryTable[[#This Row],[Code]], allFYsTable[year2], FF$3)=0, NotFound, SUMIFS(allFYsTable[Actual], allFYsTable[Code], SummaryTable[[#This Row],[Code]], allFYsTable[year2], FF$3))</f>
        <v>109832</v>
      </c>
      <c r="FK27" s="61">
        <f>IF(COUNTIFS(allFYsTable[Code], SummaryTable[[#This Row],[Code]], allFYsTable[year2], FF$3)=0, NotFound, SUMIFS(allFYsTable[DiffAmount], allFYsTable[Code], SummaryTable[[#This Row],[Code]], allFYsTable[year2], FF$3))</f>
        <v>4836</v>
      </c>
      <c r="FL27" s="63">
        <f>IF(SummaryTable[[#This Row],[OriginalBudget06]]=0, IF(SummaryTable[[#This Row],[DiffAmount06]]=0, ZeroBudgetNoSpending, ZeroBudgetWithSpending), SummaryTable[[#This Row],[DiffAmount06]]/SummaryTable[[#This Row],[OriginalBudget06]])</f>
        <v>4.605889748180883E-2</v>
      </c>
    </row>
    <row r="28" spans="1:168" x14ac:dyDescent="0.45">
      <c r="A28" t="s">
        <v>769</v>
      </c>
      <c r="B28">
        <f>_xlfn.MAXIFS(allFYsTable[year2], allFYsTable[Code], SummaryTable[[#This Row],[Code]])</f>
        <v>2025</v>
      </c>
      <c r="C28" t="str">
        <f>_xlfn.XLOOKUP(SummaryTable[[#This Row],[Code]], NameCodingTable[Code], NameCodingTable[Most Recent Category per allFYs])</f>
        <v>Public education system</v>
      </c>
      <c r="D28" t="str">
        <f>_xlfn.XLOOKUP(SummaryTable[[#This Row],[Code]], NameCodingTable[Code], NameCodingTable[Unit Display Name])</f>
        <v>Department of Employment Services (DOES)</v>
      </c>
      <c r="E28" t="str">
        <f>_xlfn.XLOOKUP(SummaryTable[[#This Row],[Code]], NameCodingTable[Code], NameCodingTable[Type])</f>
        <v>agency</v>
      </c>
      <c r="F2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2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7</v>
      </c>
      <c r="H28" s="54">
        <f>SummaryTable[[#This Row],['# Over]]/SummaryTable[[#This Row],[Count]]</f>
        <v>0.35</v>
      </c>
      <c r="I2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13</v>
      </c>
      <c r="J28" s="54">
        <f>SummaryTable[[#This Row],['# Under]]/SummaryTable[[#This Row],[Count]]</f>
        <v>0.65</v>
      </c>
      <c r="K2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28" s="54">
        <f>SummaryTable[[#This Row],['# Equal]]/SummaryTable[[#This Row],[Count]]</f>
        <v>0</v>
      </c>
      <c r="M28" s="61">
        <f>SUMIFS(allFYsTable[OriginalBudget],allFYsTable[Code],SummaryTable[[#This Row],[Code]])/SummaryTable[[#This Row],[Count]]</f>
        <v>56083.3</v>
      </c>
      <c r="N28" s="61">
        <f>SUMIFS(allFYsTable[Actual],allFYsTable[Code],SummaryTable[[#This Row],[Code]])/SummaryTable[[#This Row],[Count]]</f>
        <v>58029.5</v>
      </c>
      <c r="O28" s="61">
        <f>SummaryTable[[#This Row],[AvgActAmt]]-SummaryTable[[#This Row],[AvgBudAmt]]</f>
        <v>1946.1999999999971</v>
      </c>
      <c r="P28" s="54">
        <f>IF(SummaryTable[[#This Row],[AvgBudAmt]]=0, IF(SummaryTable[[#This Row],[AvgDiff'#]]=0, 0, NamedFields!$C$3), SummaryTable[[#This Row],[AvgDiff'#]]/SummaryTable[[#This Row],[AvgBudAmt]])</f>
        <v>3.4701952274562964E-2</v>
      </c>
      <c r="Q28" s="61">
        <f>IFERROR(SUMIFS(allFYsTable[OriginalBudget],allFYsTable[Code],SummaryTable[[#This Row],[Code]],allFYsTable[DiffAmount], "&gt;0")/SummaryTable[[#This Row],['# Over]], 0)</f>
        <v>58961</v>
      </c>
      <c r="R28" s="61">
        <f>IFERROR(SUMIFS(allFYsTable[Actual],allFYsTable[Code],SummaryTable[[#This Row],[Code]],allFYsTable[DiffAmount], "&gt;0")/SummaryTable[[#This Row],['# Over]], 0)</f>
        <v>71790</v>
      </c>
      <c r="S28" s="61">
        <f>SummaryTable[[#This Row],[OverAvgAct]]-SummaryTable[[#This Row],[OverAvgBud]]</f>
        <v>12829</v>
      </c>
      <c r="T28" s="54">
        <f>IF(SummaryTable[[#This Row],[OverAvgBud]]=0, IF(SummaryTable[[#This Row],[OverAvgDiff'#]]=0, ZeroBudgetNoSpending, ZeroBudgetWithSpending), SummaryTable[[#This Row],[OverAvgDiff'#]]/SummaryTable[[#This Row],[OverAvgBud]])</f>
        <v>0.21758450501178744</v>
      </c>
      <c r="U28" s="61">
        <f>IFERROR(SUMIFS(allFYsTable[OriginalBudget],allFYsTable[Code],SummaryTable[[#This Row],[Code]],allFYsTable[DiffAmount], "&lt;0")/SummaryTable[[#This Row],['# Under]], 0)</f>
        <v>54533.769230769234</v>
      </c>
      <c r="V28" s="61">
        <f>IFERROR( SUMIFS(allFYsTable[Actual],allFYsTable[Code],SummaryTable[[#This Row],[Code]],allFYsTable[DiffAmount], "&lt;0")/SummaryTable[[#This Row],['# Under]], 0)</f>
        <v>50620</v>
      </c>
      <c r="W28" s="61">
        <f>SummaryTable[[#This Row],[UnderAvgAct]]-SummaryTable[[#This Row],[UnderAvgBud]]</f>
        <v>-3913.7692307692341</v>
      </c>
      <c r="X28" s="54">
        <f>IF(SummaryTable[[#This Row],[UnderAvgBud]]=0, IF(SummaryTable[[#This Row],[UnderAvgDiff'#]]=0, ZeroBudgetNoSpending, NamedFields!$C$3), SummaryTable[[#This Row],[UnderAvgDiff'#]]/SummaryTable[[#This Row],[UnderAvgBud]])</f>
        <v>-7.1767810770743373E-2</v>
      </c>
      <c r="Y2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2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3</v>
      </c>
      <c r="AA28" s="54">
        <f>IF(SummaryTable[[#This Row],[IncreaseYears]]=0, ZeroBudgetNoSpending, SummaryTable[[#This Row],[OSinIncreaseYear'#]]/SummaryTable[[#This Row],[IncreaseYears]])</f>
        <v>0.5</v>
      </c>
      <c r="AB28" s="58" t="str">
        <f>SummaryTable[[#This Row],[Code]]</f>
        <v>CF0</v>
      </c>
      <c r="AC28" s="62">
        <f>IF(COUNTIFS(allFYsTable[Code], SummaryTable[[#This Row],[Code]], allFYsTable[year2], AC$3)=0, NotFound, SUMIFS(allFYsTable[OriginalBudget], allFYsTable[Code], SummaryTable[[#This Row],[Code]], allFYsTable[year2], AC$3))</f>
        <v>70918</v>
      </c>
      <c r="AD28" s="61">
        <f>SummaryTable[[#This Row],[OriginalBudget25]]-SummaryTable[[#This Row],[OriginalBudget24]]</f>
        <v>-3533</v>
      </c>
      <c r="AE28" s="54">
        <f>SummaryTable[[#This Row],[BudgetIncreaseAmount25]]/SummaryTable[[#This Row],[OriginalBudget24]]</f>
        <v>-4.7454030167492715E-2</v>
      </c>
      <c r="AF28" s="61">
        <f>IF(COUNTIFS(allFYsTable[Code], SummaryTable[[#This Row],[Code]], allFYsTable[year2], AC$3)=0, NotFound, SUMIFS(allFYsTable[RevisedBudget], allFYsTable[Code], SummaryTable[[#This Row],[Code]], allFYsTable[year2], AC$3))</f>
        <v>69725</v>
      </c>
      <c r="AG28" s="61">
        <f>IF(COUNTIFS(allFYsTable[Code], SummaryTable[[#This Row],[Code]], allFYsTable[year2], AC$3)=0, NotFound, SUMIFS(allFYsTable[Actual], allFYsTable[Code], SummaryTable[[#This Row],[Code]], allFYsTable[year2], AC$3))</f>
        <v>67402</v>
      </c>
      <c r="AH28" s="61">
        <f>IF(COUNTIFS(allFYsTable[Code], SummaryTable[[#This Row],[Code]], allFYsTable[year2], AC$3)=0, NotFound, SUMIFS(allFYsTable[DiffAmount], allFYsTable[Code], SummaryTable[[#This Row],[Code]], allFYsTable[year2], AC$3))</f>
        <v>-3516</v>
      </c>
      <c r="AI28" s="63">
        <f>IF(SummaryTable[[#This Row],[OriginalBudget25]]=0, IF(SummaryTable[[#This Row],[DiffAmount25]]=0, ZeroBudgetNoSpending, ZeroBudgetWithSpending), SummaryTable[[#This Row],[DiffAmount25]]/SummaryTable[[#This Row],[OriginalBudget25]])</f>
        <v>-4.9578386305310355E-2</v>
      </c>
      <c r="AJ28" s="62">
        <f>IF(COUNTIFS(allFYsTable[Code], SummaryTable[[#This Row],[Code]], allFYsTable[year2], AJ$3)=0, NotFound, SUMIFS(allFYsTable[OriginalBudget], allFYsTable[Code], SummaryTable[[#This Row],[Code]], allFYsTable[year2], AJ$3))</f>
        <v>74451</v>
      </c>
      <c r="AK28" s="61">
        <f>SummaryTable[[#This Row],[OriginalBudget24]]-SummaryTable[[#This Row],[OriginalBudget23]]</f>
        <v>2993</v>
      </c>
      <c r="AL28" s="54">
        <f>SummaryTable[[#This Row],[BudgetIncreaseAmount24]]/SummaryTable[[#This Row],[OriginalBudget23]]</f>
        <v>4.1884743485683898E-2</v>
      </c>
      <c r="AM28" s="61">
        <f>IF(COUNTIFS(allFYsTable[Code], SummaryTable[[#This Row],[Code]], allFYsTable[year2], AK$3)=0, NotFound, SUMIFS(allFYsTable[RevisedBudget], allFYsTable[Code], SummaryTable[[#This Row],[Code]], allFYsTable[year2], AJ$3))</f>
        <v>78817</v>
      </c>
      <c r="AN28" s="61">
        <f>IF(COUNTIFS(allFYsTable[Code], SummaryTable[[#This Row],[Code]], allFYsTable[year2], AJ$3)=0, NotFound, SUMIFS(allFYsTable[Actual], allFYsTable[Code], SummaryTable[[#This Row],[Code]], allFYsTable[year2], AJ$3))</f>
        <v>76669</v>
      </c>
      <c r="AO28" s="61">
        <f>IF(COUNTIFS(allFYsTable[Code], SummaryTable[[#This Row],[Code]], allFYsTable[year2], AJ$3)=0, NotFound, SUMIFS(allFYsTable[DiffAmount], allFYsTable[Code], SummaryTable[[#This Row],[Code]], allFYsTable[year2], AJ$3))</f>
        <v>2218</v>
      </c>
      <c r="AP28" s="63">
        <f>IF(SummaryTable[[#This Row],[OriginalBudget24]]=0, IF(SummaryTable[[#This Row],[DiffAmount24]]=0, ZeroBudgetNoSpending, ZeroBudgetWithSpending), SummaryTable[[#This Row],[DiffAmount24]]/SummaryTable[[#This Row],[OriginalBudget24]])</f>
        <v>2.9791406428389143E-2</v>
      </c>
      <c r="AQ28" s="62">
        <f>IF(COUNTIFS(allFYsTable[Code], SummaryTable[[#This Row],[Code]], allFYsTable[year2], AQ$3)=0, NotFound, SUMIFS(allFYsTable[OriginalBudget], allFYsTable[Code], SummaryTable[[#This Row],[Code]], allFYsTable[year2], AQ$3))</f>
        <v>71458</v>
      </c>
      <c r="AR28" s="61">
        <f>SummaryTable[[#This Row],[OriginalBudget23]]-SummaryTable[[#This Row],[OriginalBudget22]]</f>
        <v>14869</v>
      </c>
      <c r="AS28" s="54">
        <f>SummaryTable[[#This Row],[BudgetIncreaseAmount23]]/SummaryTable[[#This Row],[OriginalBudget22]]</f>
        <v>0.26275424552474863</v>
      </c>
      <c r="AT28" s="61">
        <f>IF(COUNTIFS(allFYsTable[Code], SummaryTable[[#This Row],[Code]], allFYsTable[year2], AQ$3)=0, NotFound, SUMIFS(allFYsTable[RevisedBudget], allFYsTable[Code], SummaryTable[[#This Row],[Code]], allFYsTable[year2], AQ$3))</f>
        <v>86826</v>
      </c>
      <c r="AU28" s="61">
        <f>IF(COUNTIFS(allFYsTable[Code], SummaryTable[[#This Row],[Code]], allFYsTable[year2], AQ$3)=0, NotFound, SUMIFS(allFYsTable[Actual], allFYsTable[Code], SummaryTable[[#This Row],[Code]], allFYsTable[year2], AQ$3))</f>
        <v>83688</v>
      </c>
      <c r="AV28" s="61">
        <f>IF(COUNTIFS(allFYsTable[Code], SummaryTable[[#This Row],[Code]], allFYsTable[year2], AQ$3)=0, NotFound, SUMIFS(allFYsTable[DiffAmount], allFYsTable[Code], SummaryTable[[#This Row],[Code]], allFYsTable[year2], AQ$3))</f>
        <v>12230</v>
      </c>
      <c r="AW28" s="63">
        <f>IF(SummaryTable[[#This Row],[OriginalBudget23]]=0, IF(SummaryTable[[#This Row],[DiffAmount23]]=0, ZeroBudgetNoSpending, ZeroBudgetWithSpending), SummaryTable[[#This Row],[DiffAmount23]]/SummaryTable[[#This Row],[OriginalBudget23]])</f>
        <v>0.17114948641159841</v>
      </c>
      <c r="AX28" s="62">
        <f>IF(COUNTIFS(allFYsTable[Code], SummaryTable[[#This Row],[Code]], allFYsTable[year2], AX$3)=0, NotFound, SUMIFS(allFYsTable[OriginalBudget], allFYsTable[Code], SummaryTable[[#This Row],[Code]], allFYsTable[year2], AX$3))</f>
        <v>56589</v>
      </c>
      <c r="AY28" s="61">
        <f>SummaryTable[[#This Row],[OriginalBudget22]]-SummaryTable[[#This Row],[OriginalBudget21]]</f>
        <v>588</v>
      </c>
      <c r="AZ28" s="54">
        <f>SummaryTable[[#This Row],[BudgetIncreaseAmount22]]/SummaryTable[[#This Row],[OriginalBudget21]]</f>
        <v>1.0499812503348154E-2</v>
      </c>
      <c r="BA28" s="61">
        <f>IF(COUNTIFS(allFYsTable[Code], SummaryTable[[#This Row],[Code]], allFYsTable[year2], AX$3)=0, NotFound, SUMIFS(allFYsTable[RevisedBudget], allFYsTable[Code], SummaryTable[[#This Row],[Code]], allFYsTable[year2], AX$3))</f>
        <v>63315</v>
      </c>
      <c r="BB28" s="61">
        <f>IF(COUNTIFS(allFYsTable[Code], SummaryTable[[#This Row],[Code]], allFYsTable[year2], AX$3)=0, NotFound, SUMIFS(allFYsTable[Actual], allFYsTable[Code], SummaryTable[[#This Row],[Code]], allFYsTable[year2], AX$3))</f>
        <v>61894</v>
      </c>
      <c r="BC28" s="61">
        <f>IF(COUNTIFS(allFYsTable[Code], SummaryTable[[#This Row],[Code]], allFYsTable[year2], AX$3)=0, NotFound, SUMIFS(allFYsTable[DiffAmount], allFYsTable[Code], SummaryTable[[#This Row],[Code]], allFYsTable[year2], AX$3))</f>
        <v>5305</v>
      </c>
      <c r="BD28" s="63">
        <f>IF(SummaryTable[[#This Row],[OriginalBudget22]]=0, IF(SummaryTable[[#This Row],[DiffAmount22]]=0, ZeroBudgetNoSpending, ZeroBudgetWithSpending), SummaryTable[[#This Row],[DiffAmount22]]/SummaryTable[[#This Row],[OriginalBudget22]])</f>
        <v>9.3746134407747095E-2</v>
      </c>
      <c r="BE28" s="62">
        <f>IF(COUNTIFS(allFYsTable[Code], SummaryTable[[#This Row],[Code]], allFYsTable[year2], BE$3)=0, NotFound, SUMIFS(allFYsTable[OriginalBudget], allFYsTable[Code], SummaryTable[[#This Row],[Code]], allFYsTable[year2], BE$3))</f>
        <v>56001</v>
      </c>
      <c r="BF28" s="61">
        <f>SummaryTable[[#This Row],[OriginalBudget21]]-SummaryTable[[#This Row],[OriginalBudget20]]</f>
        <v>-4400</v>
      </c>
      <c r="BG28" s="54">
        <f>SummaryTable[[#This Row],[BudgetIncreaseAmount21]]/SummaryTable[[#This Row],[OriginalBudget20]]</f>
        <v>-7.2846476051720996E-2</v>
      </c>
      <c r="BH28" s="61">
        <f>IF(COUNTIFS(allFYsTable[Code], SummaryTable[[#This Row],[Code]], allFYsTable[year2], BE$3)=0, NotFound, SUMIFS(allFYsTable[RevisedBudget], allFYsTable[Code], SummaryTable[[#This Row],[Code]], allFYsTable[year2], BE$3))</f>
        <v>54225</v>
      </c>
      <c r="BI28" s="61">
        <f>IF(COUNTIFS(allFYsTable[Code], SummaryTable[[#This Row],[Code]], allFYsTable[year2], BE$3)=0, NotFound, SUMIFS(allFYsTable[Actual], allFYsTable[Code], SummaryTable[[#This Row],[Code]], allFYsTable[year2], BE$3))</f>
        <v>49562</v>
      </c>
      <c r="BJ28" s="61">
        <f>IF(COUNTIFS(allFYsTable[Code], SummaryTable[[#This Row],[Code]], allFYsTable[year2], BE$3)=0, NotFound, SUMIFS(allFYsTable[DiffAmount], allFYsTable[Code], SummaryTable[[#This Row],[Code]], allFYsTable[year2], BE$3))</f>
        <v>-6439</v>
      </c>
      <c r="BK28" s="63">
        <f>IF(SummaryTable[[#This Row],[OriginalBudget21]]=0, IF(SummaryTable[[#This Row],[DiffAmount21]]=0, ZeroBudgetNoSpending, ZeroBudgetWithSpending), SummaryTable[[#This Row],[DiffAmount21]]/SummaryTable[[#This Row],[OriginalBudget21]])</f>
        <v>-0.1149800896412564</v>
      </c>
      <c r="BL28" s="62">
        <f>IF(COUNTIFS(allFYsTable[Code], SummaryTable[[#This Row],[Code]], allFYsTable[year2], BL$3)=0, NotFound, SUMIFS(allFYsTable[OriginalBudget], allFYsTable[Code], SummaryTable[[#This Row],[Code]], allFYsTable[year2], BL$3))</f>
        <v>60401</v>
      </c>
      <c r="BM28" s="61">
        <f>SummaryTable[[#This Row],[OriginalBudget20]]-SummaryTable[[#This Row],[OriginalBudget19]]</f>
        <v>-9022</v>
      </c>
      <c r="BN28" s="54">
        <f>SummaryTable[[#This Row],[BudgetIncreaseAmount20]]/SummaryTable[[#This Row],[OriginalBudget19]]</f>
        <v>-0.12995693070020023</v>
      </c>
      <c r="BO28" s="61">
        <f>IF(COUNTIFS(allFYsTable[Code], SummaryTable[[#This Row],[Code]], allFYsTable[year2], BL$3)=0, NotFound, SUMIFS(allFYsTable[RevisedBudget], allFYsTable[Code], SummaryTable[[#This Row],[Code]], allFYsTable[year2], BL$3))</f>
        <v>57208</v>
      </c>
      <c r="BP28" s="61">
        <f>IF(COUNTIFS(allFYsTable[Code], SummaryTable[[#This Row],[Code]], allFYsTable[year2], BL$3)=0, NotFound, SUMIFS(allFYsTable[Actual], allFYsTable[Code], SummaryTable[[#This Row],[Code]], allFYsTable[year2], BL$3))</f>
        <v>55791</v>
      </c>
      <c r="BQ28" s="61">
        <f>IF(COUNTIFS(allFYsTable[Code], SummaryTable[[#This Row],[Code]], allFYsTable[year2], BL$3)=0, NotFound, SUMIFS(allFYsTable[DiffAmount], allFYsTable[Code], SummaryTable[[#This Row],[Code]], allFYsTable[year2], BL$3))</f>
        <v>-4610</v>
      </c>
      <c r="BR28" s="63">
        <f>IF(SummaryTable[[#This Row],[OriginalBudget20]]=0, IF(SummaryTable[[#This Row],[DiffAmount20]]=0, ZeroBudgetNoSpending, ZeroBudgetWithSpending), SummaryTable[[#This Row],[DiffAmount20]]/SummaryTable[[#This Row],[OriginalBudget20]])</f>
        <v>-7.6323239681462221E-2</v>
      </c>
      <c r="BS28" s="62">
        <f>IF(COUNTIFS(allFYsTable[Code], SummaryTable[[#This Row],[Code]], allFYsTable[year2], BS$3)=0, NotFound, SUMIFS(allFYsTable[OriginalBudget], allFYsTable[Code], SummaryTable[[#This Row],[Code]], allFYsTable[year2], BS$3))</f>
        <v>69423</v>
      </c>
      <c r="BT28" s="61">
        <f>SummaryTable[[#This Row],[OriginalBudget19]]-SummaryTable[[#This Row],[OriginalBudget18]]</f>
        <v>7043</v>
      </c>
      <c r="BU28" s="54">
        <f>SummaryTable[[#This Row],[BudgetIncreaseAmount19]]/SummaryTable[[#This Row],[OriginalBudget18]]</f>
        <v>0.11290477717217057</v>
      </c>
      <c r="BV28" s="61">
        <f>IF(COUNTIFS(allFYsTable[Code], SummaryTable[[#This Row],[Code]], allFYsTable[year2], BS$3)=0, NotFound, SUMIFS(allFYsTable[RevisedBudget], allFYsTable[Code], SummaryTable[[#This Row],[Code]], allFYsTable[year2], BS$3))</f>
        <v>69650</v>
      </c>
      <c r="BW28" s="61">
        <f>IF(COUNTIFS(allFYsTable[Code], SummaryTable[[#This Row],[Code]], allFYsTable[year2], BS$3)=0, NotFound, SUMIFS(allFYsTable[Actual], allFYsTable[Code], SummaryTable[[#This Row],[Code]], allFYsTable[year2], BS$3))</f>
        <v>67635</v>
      </c>
      <c r="BX28" s="61">
        <f>IF(COUNTIFS(allFYsTable[Code], SummaryTable[[#This Row],[Code]], allFYsTable[year2], BS$3)=0, NotFound, SUMIFS(allFYsTable[DiffAmount], allFYsTable[Code], SummaryTable[[#This Row],[Code]], allFYsTable[year2], BS$3))</f>
        <v>-1788</v>
      </c>
      <c r="BY28" s="63">
        <f>IF(SummaryTable[[#This Row],[OriginalBudget19]]=0, IF(SummaryTable[[#This Row],[DiffAmount19]]=0, ZeroBudgetNoSpending, ZeroBudgetWithSpending), SummaryTable[[#This Row],[DiffAmount19]]/SummaryTable[[#This Row],[OriginalBudget19]])</f>
        <v>-2.5755153191305474E-2</v>
      </c>
      <c r="BZ28" s="62">
        <f>IF(COUNTIFS(allFYsTable[Code], SummaryTable[[#This Row],[Code]], allFYsTable[year2], BZ$3)=0, NotFound, SUMIFS(allFYsTable[OriginalBudget], allFYsTable[Code], SummaryTable[[#This Row],[Code]], allFYsTable[year2], BZ$3))</f>
        <v>62380</v>
      </c>
      <c r="CA28" s="61">
        <f>SummaryTable[[#This Row],[OriginalBudget18]]-SummaryTable[[#This Row],[OriginalBudget17]]</f>
        <v>-1390</v>
      </c>
      <c r="CB28" s="54">
        <f>SummaryTable[[#This Row],[BudgetIncreaseAmount18]]/SummaryTable[[#This Row],[OriginalBudget17]]</f>
        <v>-2.1797083267994354E-2</v>
      </c>
      <c r="CC28" s="61">
        <f>IF(COUNTIFS(allFYsTable[Code], SummaryTable[[#This Row],[Code]], allFYsTable[year2], BZ$3)=0, NotFound, SUMIFS(allFYsTable[RevisedBudget], allFYsTable[Code], SummaryTable[[#This Row],[Code]], allFYsTable[year2], BZ$3))</f>
        <v>65020</v>
      </c>
      <c r="CD28" s="61">
        <f>IF(COUNTIFS(allFYsTable[Code], SummaryTable[[#This Row],[Code]], allFYsTable[year2], BZ$3)=0, NotFound, SUMIFS(allFYsTable[Actual], allFYsTable[Code], SummaryTable[[#This Row],[Code]], allFYsTable[year2], BZ$3))</f>
        <v>62304</v>
      </c>
      <c r="CE28" s="61">
        <f>IF(COUNTIFS(allFYsTable[Code], SummaryTable[[#This Row],[Code]], allFYsTable[year2], BZ$3)=0, NotFound, SUMIFS(allFYsTable[DiffAmount], allFYsTable[Code], SummaryTable[[#This Row],[Code]], allFYsTable[year2], BZ$3))</f>
        <v>-76</v>
      </c>
      <c r="CF28" s="63">
        <f>IF(SummaryTable[[#This Row],[OriginalBudget18]]=0, IF(SummaryTable[[#This Row],[DiffAmount18]]=0, ZeroBudgetNoSpending, ZeroBudgetWithSpending), SummaryTable[[#This Row],[DiffAmount18]]/SummaryTable[[#This Row],[OriginalBudget18]])</f>
        <v>-1.2183392112856686E-3</v>
      </c>
      <c r="CG28" s="62">
        <f>IF(COUNTIFS(allFYsTable[Code], SummaryTable[[#This Row],[Code]], allFYsTable[year2], CG$3)=0, NotFound, SUMIFS(allFYsTable[OriginalBudget], allFYsTable[Code], SummaryTable[[#This Row],[Code]], allFYsTable[year2], CG$3))</f>
        <v>63770</v>
      </c>
      <c r="CH28" s="61">
        <f>SummaryTable[[#This Row],[OriginalBudget17]]-SummaryTable[[#This Row],[OriginalBudget16]]</f>
        <v>4579</v>
      </c>
      <c r="CI28" s="54">
        <f>SummaryTable[[#This Row],[BudgetIncreaseAmount17]]/SummaryTable[[#This Row],[OriginalBudget16]]</f>
        <v>7.735973374330557E-2</v>
      </c>
      <c r="CJ28" s="61">
        <f>IF(COUNTIFS(allFYsTable[Code], SummaryTable[[#This Row],[Code]], allFYsTable[year2], CG$3)=0, NotFound, SUMIFS(allFYsTable[RevisedBudget], allFYsTable[Code], SummaryTable[[#This Row],[Code]], allFYsTable[year2], CG$3))</f>
        <v>62265</v>
      </c>
      <c r="CK28" s="61">
        <f>IF(COUNTIFS(allFYsTable[Code], SummaryTable[[#This Row],[Code]], allFYsTable[year2], CG$3)=0, NotFound, SUMIFS(allFYsTable[Actual], allFYsTable[Code], SummaryTable[[#This Row],[Code]], allFYsTable[year2], CG$3))</f>
        <v>61079</v>
      </c>
      <c r="CL28" s="61">
        <f>IF(COUNTIFS(allFYsTable[Code], SummaryTable[[#This Row],[Code]], allFYsTable[year2], CG$3)=0, NotFound, SUMIFS(allFYsTable[DiffAmount], allFYsTable[Code], SummaryTable[[#This Row],[Code]], allFYsTable[year2], CG$3))</f>
        <v>-2691</v>
      </c>
      <c r="CM28" s="63">
        <f>IF(SummaryTable[[#This Row],[OriginalBudget17]]=0, IF(SummaryTable[[#This Row],[DiffAmount17]]=0, ZeroBudgetNoSpending, ZeroBudgetWithSpending), SummaryTable[[#This Row],[DiffAmount17]]/SummaryTable[[#This Row],[OriginalBudget17]])</f>
        <v>-4.2198525952642306E-2</v>
      </c>
      <c r="CN28" s="62">
        <f>IF(COUNTIFS(allFYsTable[Code], SummaryTable[[#This Row],[Code]], allFYsTable[year2], CN$3)=0, NotFound, SUMIFS(allFYsTable[OriginalBudget], allFYsTable[Code], SummaryTable[[#This Row],[Code]], allFYsTable[year2], CN$3))</f>
        <v>59191</v>
      </c>
      <c r="CO28" s="61">
        <f>SummaryTable[[#This Row],[OriginalBudget16]]-SummaryTable[[#This Row],[OriginalBudget15]]</f>
        <v>4288</v>
      </c>
      <c r="CP28" s="54">
        <f>SummaryTable[[#This Row],[BudgetIncreaseAmount16]]/SummaryTable[[#This Row],[OriginalBudget15]]</f>
        <v>7.810137879532994E-2</v>
      </c>
      <c r="CQ28" s="61">
        <f>IF(COUNTIFS(allFYsTable[Code], SummaryTable[[#This Row],[Code]], allFYsTable[year2], CN$3)=0, NotFound, SUMIFS(allFYsTable[RevisedBudget], allFYsTable[Code], SummaryTable[[#This Row],[Code]], allFYsTable[year2], CN$3))</f>
        <v>60067</v>
      </c>
      <c r="CR28" s="61">
        <f>IF(COUNTIFS(allFYsTable[Code], SummaryTable[[#This Row],[Code]], allFYsTable[year2], CN$3)=0, NotFound, SUMIFS(allFYsTable[Actual], allFYsTable[Code], SummaryTable[[#This Row],[Code]], allFYsTable[year2], CN$3))</f>
        <v>58145</v>
      </c>
      <c r="CS28" s="61">
        <f>IF(COUNTIFS(allFYsTable[Code], SummaryTable[[#This Row],[Code]], allFYsTable[year2], CN$3)=0, NotFound, SUMIFS(allFYsTable[DiffAmount], allFYsTable[Code], SummaryTable[[#This Row],[Code]], allFYsTable[year2], CN$3))</f>
        <v>-1046</v>
      </c>
      <c r="CT28" s="63">
        <f>IF(SummaryTable[[#This Row],[OriginalBudget16]]=0, IF(SummaryTable[[#This Row],[DiffAmount16]]=0, ZeroBudgetNoSpending, ZeroBudgetWithSpending), SummaryTable[[#This Row],[DiffAmount16]]/SummaryTable[[#This Row],[OriginalBudget16]])</f>
        <v>-1.7671605480562923E-2</v>
      </c>
      <c r="CU28" s="62">
        <f>IF(COUNTIFS(allFYsTable[Code], SummaryTable[[#This Row],[Code]], allFYsTable[year2], CU$3)=0, NotFound, SUMIFS(allFYsTable[OriginalBudget], allFYsTable[Code], SummaryTable[[#This Row],[Code]], allFYsTable[year2], CU$3))</f>
        <v>54903</v>
      </c>
      <c r="CV28" s="61">
        <f>SummaryTable[[#This Row],[OriginalBudget15]]-SummaryTable[[#This Row],[OriginalBudget14]]</f>
        <v>6741</v>
      </c>
      <c r="CW28" s="54">
        <f>SummaryTable[[#This Row],[BudgetIncreaseAmount15]]/SummaryTable[[#This Row],[OriginalBudget14]]</f>
        <v>0.13996511772766912</v>
      </c>
      <c r="CX28" s="61">
        <f>IF(COUNTIFS(allFYsTable[Code], SummaryTable[[#This Row],[Code]], allFYsTable[year2], CU$3)=0, NotFound, SUMIFS(allFYsTable[RevisedBudget], allFYsTable[Code], SummaryTable[[#This Row],[Code]], allFYsTable[year2], CU$3))</f>
        <v>59582</v>
      </c>
      <c r="CY28" s="61">
        <f>IF(COUNTIFS(allFYsTable[Code], SummaryTable[[#This Row],[Code]], allFYsTable[year2], CU$3)=0, NotFound, SUMIFS(allFYsTable[Actual], allFYsTable[Code], SummaryTable[[#This Row],[Code]], allFYsTable[year2], CU$3))</f>
        <v>56819</v>
      </c>
      <c r="CZ28" s="61">
        <f>IF(COUNTIFS(allFYsTable[Code], SummaryTable[[#This Row],[Code]], allFYsTable[year2], CU$3)=0, NotFound, SUMIFS(allFYsTable[DiffAmount], allFYsTable[Code], SummaryTable[[#This Row],[Code]], allFYsTable[year2], CU$3))</f>
        <v>1916</v>
      </c>
      <c r="DA28" s="63">
        <f>IF(SummaryTable[[#This Row],[OriginalBudget15]]=0, IF(SummaryTable[[#This Row],[DiffAmount15]]=0, ZeroBudgetNoSpending, ZeroBudgetWithSpending), SummaryTable[[#This Row],[DiffAmount15]]/SummaryTable[[#This Row],[OriginalBudget15]])</f>
        <v>3.4897910860972992E-2</v>
      </c>
      <c r="DB28" s="62">
        <f>IF(COUNTIFS(allFYsTable[Code], SummaryTable[[#This Row],[Code]], allFYsTable[year2], DB$3)=0, NotFound, SUMIFS(allFYsTable[OriginalBudget], allFYsTable[Code], SummaryTable[[#This Row],[Code]], allFYsTable[year2], DB$3))</f>
        <v>48162</v>
      </c>
      <c r="DC28" s="61">
        <f>SummaryTable[[#This Row],[OriginalBudget14]]-SummaryTable[[#This Row],[OriginalBudget13]]</f>
        <v>705</v>
      </c>
      <c r="DD28" s="54">
        <f>SummaryTable[[#This Row],[BudgetIncreaseAmount14]]/SummaryTable[[#This Row],[OriginalBudget13]]</f>
        <v>1.4855553448384854E-2</v>
      </c>
      <c r="DE28" s="61">
        <f>IF(COUNTIFS(allFYsTable[Code], SummaryTable[[#This Row],[Code]], allFYsTable[year2], DB$3)=0, NotFound, SUMIFS(allFYsTable[RevisedBudget], allFYsTable[Code], SummaryTable[[#This Row],[Code]], allFYsTable[year2], DB$3))</f>
        <v>51351</v>
      </c>
      <c r="DF28" s="61">
        <f>IF(COUNTIFS(allFYsTable[Code], SummaryTable[[#This Row],[Code]], allFYsTable[year2], DB$3)=0, NotFound, SUMIFS(allFYsTable[Actual], allFYsTable[Code], SummaryTable[[#This Row],[Code]], allFYsTable[year2], DB$3))</f>
        <v>46058</v>
      </c>
      <c r="DG28" s="61">
        <f>IF(COUNTIFS(allFYsTable[Code], SummaryTable[[#This Row],[Code]], allFYsTable[year2], DB$3)=0, NotFound, SUMIFS(allFYsTable[DiffAmount], allFYsTable[Code], SummaryTable[[#This Row],[Code]], allFYsTable[year2], DB$3))</f>
        <v>-2104</v>
      </c>
      <c r="DH28" s="63">
        <f>IF(SummaryTable[[#This Row],[OriginalBudget14]]=0, IF(SummaryTable[[#This Row],[DiffAmount14]]=0, ZeroBudgetNoSpending, ZeroBudgetWithSpending), SummaryTable[[#This Row],[DiffAmount14]]/SummaryTable[[#This Row],[OriginalBudget14]])</f>
        <v>-4.3685893442963329E-2</v>
      </c>
      <c r="DI28" s="62">
        <f>IF(COUNTIFS(allFYsTable[Code], SummaryTable[[#This Row],[Code]], allFYsTable[year2], DI$3)=0, NotFound, SUMIFS(allFYsTable[OriginalBudget], allFYsTable[Code], SummaryTable[[#This Row],[Code]], allFYsTable[year2], DI$3))</f>
        <v>47457</v>
      </c>
      <c r="DJ28" s="61">
        <f>SummaryTable[[#This Row],[OriginalBudget13]]-SummaryTable[[#This Row],[OriginalBudget12]]</f>
        <v>6803</v>
      </c>
      <c r="DK28" s="54">
        <f>SummaryTable[[#This Row],[BudgetIncreaseAmount13]]/SummaryTable[[#This Row],[OriginalBudget12]]</f>
        <v>0.16733900723176071</v>
      </c>
      <c r="DL28" s="61">
        <f>IF(COUNTIFS(allFYsTable[Code], SummaryTable[[#This Row],[Code]], allFYsTable[year2], DI$3)=0, NotFound, SUMIFS(allFYsTable[RevisedBudget], allFYsTable[Code], SummaryTable[[#This Row],[Code]], allFYsTable[year2], DI$3))</f>
        <v>39945</v>
      </c>
      <c r="DM28" s="61">
        <f>IF(COUNTIFS(allFYsTable[Code], SummaryTable[[#This Row],[Code]], allFYsTable[year2], DI$3)=0, NotFound, SUMIFS(allFYsTable[Actual], allFYsTable[Code], SummaryTable[[#This Row],[Code]], allFYsTable[year2], DI$3))</f>
        <v>37754</v>
      </c>
      <c r="DN28" s="61">
        <f>IF(COUNTIFS(allFYsTable[Code], SummaryTable[[#This Row],[Code]], allFYsTable[year2], DI$3)=0, NotFound, SUMIFS(allFYsTable[DiffAmount], allFYsTable[Code], SummaryTable[[#This Row],[Code]], allFYsTable[year2], DI$3))</f>
        <v>-9703</v>
      </c>
      <c r="DO28" s="63">
        <f>IF(SummaryTable[[#This Row],[OriginalBudget13]]=0, IF(SummaryTable[[#This Row],[DiffAmount13]]=0, ZeroBudgetNoSpending, ZeroBudgetWithSpending), SummaryTable[[#This Row],[DiffAmount13]]/SummaryTable[[#This Row],[OriginalBudget13]])</f>
        <v>-0.20445877320521735</v>
      </c>
      <c r="DP28" s="62">
        <f>IF(COUNTIFS(allFYsTable[Code], SummaryTable[[#This Row],[Code]], allFYsTable[year2], DP$3)=0, NotFound, SUMIFS(allFYsTable[OriginalBudget], allFYsTable[Code], SummaryTable[[#This Row],[Code]], allFYsTable[year2], DP$3))</f>
        <v>40654</v>
      </c>
      <c r="DQ28" s="61">
        <f>SummaryTable[[#This Row],[OriginalBudget12]]-SummaryTable[[#This Row],[OriginalBudget11]]</f>
        <v>2495</v>
      </c>
      <c r="DR28" s="54">
        <f>SummaryTable[[#This Row],[BudgetIncreaseAmount12]]/SummaryTable[[#This Row],[OriginalBudget11]]</f>
        <v>6.5384313006106032E-2</v>
      </c>
      <c r="DS28" s="61">
        <f>IF(COUNTIFS(allFYsTable[Code], SummaryTable[[#This Row],[Code]], allFYsTable[year2], DP$3)=0, NotFound, SUMIFS(allFYsTable[RevisedBudget], allFYsTable[Code], SummaryTable[[#This Row],[Code]], allFYsTable[year2], DP$3))</f>
        <v>31953</v>
      </c>
      <c r="DT28" s="61">
        <f>IF(COUNTIFS(allFYsTable[Code], SummaryTable[[#This Row],[Code]], allFYsTable[year2], DP$3)=0, NotFound, SUMIFS(allFYsTable[Actual], allFYsTable[Code], SummaryTable[[#This Row],[Code]], allFYsTable[year2], DP$3))</f>
        <v>31387</v>
      </c>
      <c r="DU28" s="61">
        <f>IF(COUNTIFS(allFYsTable[Code], SummaryTable[[#This Row],[Code]], allFYsTable[year2], DP$3)=0, NotFound, SUMIFS(allFYsTable[DiffAmount], allFYsTable[Code], SummaryTable[[#This Row],[Code]], allFYsTable[year2], DP$3))</f>
        <v>-9267</v>
      </c>
      <c r="DV28" s="63">
        <f>IF(SummaryTable[[#This Row],[OriginalBudget12]]=0, IF(SummaryTable[[#This Row],[DiffAmount12]]=0, ZeroBudgetNoSpending, ZeroBudgetWithSpending), SummaryTable[[#This Row],[DiffAmount12]]/SummaryTable[[#This Row],[OriginalBudget12]])</f>
        <v>-0.22794804939243371</v>
      </c>
      <c r="DW28" s="62">
        <f>IF(COUNTIFS(allFYsTable[Code], SummaryTable[[#This Row],[Code]], allFYsTable[year2], DW$3)=0, NotFound, SUMIFS(allFYsTable[OriginalBudget], allFYsTable[Code], SummaryTable[[#This Row],[Code]], allFYsTable[year2], DW$3))</f>
        <v>38159</v>
      </c>
      <c r="DX28" s="61">
        <f>SummaryTable[[#This Row],[OriginalBudget11]]-SummaryTable[[#This Row],[OriginalBudget10]]</f>
        <v>-19056</v>
      </c>
      <c r="DY28" s="54">
        <f>SummaryTable[[#This Row],[BudgetIncreaseAmount11]]/SummaryTable[[#This Row],[OriginalBudget10]]</f>
        <v>-0.33305951236563835</v>
      </c>
      <c r="DZ28" s="61">
        <f>IF(COUNTIFS(allFYsTable[Code], SummaryTable[[#This Row],[Code]], allFYsTable[year2], DW$3)=0, NotFound, SUMIFS(allFYsTable[RevisedBudget], allFYsTable[Code], SummaryTable[[#This Row],[Code]], allFYsTable[year2], DW$3))</f>
        <v>38860</v>
      </c>
      <c r="EA28" s="61">
        <f>IF(COUNTIFS(allFYsTable[Code], SummaryTable[[#This Row],[Code]], allFYsTable[year2], DW$3)=0, NotFound, SUMIFS(allFYsTable[Actual], allFYsTable[Code], SummaryTable[[#This Row],[Code]], allFYsTable[year2], DW$3))</f>
        <v>38148</v>
      </c>
      <c r="EB28" s="61">
        <f>IF(COUNTIFS(allFYsTable[Code], SummaryTable[[#This Row],[Code]], allFYsTable[year2], DW$3)=0, NotFound, SUMIFS(allFYsTable[DiffAmount], allFYsTable[Code], SummaryTable[[#This Row],[Code]], allFYsTable[year2], DW$3))</f>
        <v>-11</v>
      </c>
      <c r="EC28" s="63">
        <f>IF(SummaryTable[[#This Row],[OriginalBudget11]]=0, IF(SummaryTable[[#This Row],[DiffAmount11]]=0, ZeroBudgetNoSpending, ZeroBudgetWithSpending), SummaryTable[[#This Row],[DiffAmount11]]/SummaryTable[[#This Row],[OriginalBudget11]])</f>
        <v>-2.8826751225136929E-4</v>
      </c>
      <c r="ED28" s="62">
        <f>IF(COUNTIFS(allFYsTable[Code], SummaryTable[[#This Row],[Code]], allFYsTable[year2], ED$3)=0, NotFound, SUMIFS(allFYsTable[OriginalBudget], allFYsTable[Code], SummaryTable[[#This Row],[Code]], allFYsTable[year2], ED$3))</f>
        <v>57215</v>
      </c>
      <c r="EE28" s="61">
        <f>SummaryTable[[#This Row],[OriginalBudget10]]-SummaryTable[[#This Row],[OriginalBudget09]]</f>
        <v>-912</v>
      </c>
      <c r="EF28" s="54">
        <f>SummaryTable[[#This Row],[BudgetIncreaseAmount10]]/SummaryTable[[#This Row],[OriginalBudget09]]</f>
        <v>-1.5689782717153818E-2</v>
      </c>
      <c r="EG28" s="61">
        <f>IF(COUNTIFS(allFYsTable[Code], SummaryTable[[#This Row],[Code]], allFYsTable[year2], ED$3)=0, NotFound, SUMIFS(allFYsTable[RevisedBudget], allFYsTable[Code], SummaryTable[[#This Row],[Code]], allFYsTable[year2], ED$3))</f>
        <v>51459</v>
      </c>
      <c r="EH28" s="61">
        <f>IF(COUNTIFS(allFYsTable[Code], SummaryTable[[#This Row],[Code]], allFYsTable[year2], ED$3)=0, NotFound, SUMIFS(allFYsTable[Actual], allFYsTable[Code], SummaryTable[[#This Row],[Code]], allFYsTable[year2], ED$3))</f>
        <v>50980</v>
      </c>
      <c r="EI28" s="61">
        <f>IF(COUNTIFS(allFYsTable[Code], SummaryTable[[#This Row],[Code]], allFYsTable[year2], ED$3)=0, NotFound, SUMIFS(allFYsTable[DiffAmount], allFYsTable[Code], SummaryTable[[#This Row],[Code]], allFYsTable[year2], ED$3))</f>
        <v>-6235</v>
      </c>
      <c r="EJ28" s="63">
        <f>IF(SummaryTable[[#This Row],[OriginalBudget10]]=0, IF(SummaryTable[[#This Row],[DiffAmount10]]=0, ZeroBudgetNoSpending, ZeroBudgetWithSpending), SummaryTable[[#This Row],[DiffAmount10]]/SummaryTable[[#This Row],[OriginalBudget10]])</f>
        <v>-0.10897491916455475</v>
      </c>
      <c r="EK28" s="62">
        <f>IF(COUNTIFS(allFYsTable[Code], SummaryTable[[#This Row],[Code]], allFYsTable[year2], EK$3)=0, NotFound, SUMIFS(allFYsTable[OriginalBudget], allFYsTable[Code], SummaryTable[[#This Row],[Code]], allFYsTable[year2], EK$3))</f>
        <v>58127</v>
      </c>
      <c r="EL28" s="61">
        <f>SummaryTable[[#This Row],[OriginalBudget09]]-SummaryTable[[#This Row],[OriginalBudget08]]</f>
        <v>12008</v>
      </c>
      <c r="EM28" s="54">
        <f>SummaryTable[[#This Row],[BudgetIncreaseAmount09]]/SummaryTable[[#This Row],[OriginalBudget08]]</f>
        <v>0.26036991261735942</v>
      </c>
      <c r="EN28" s="61">
        <f>IF(COUNTIFS(allFYsTable[Code], SummaryTable[[#This Row],[Code]], allFYsTable[year2], EK$3)=0, NotFound, SUMIFS(allFYsTable[RevisedBudget], allFYsTable[Code], SummaryTable[[#This Row],[Code]], allFYsTable[year2], EK$3))</f>
        <v>77856</v>
      </c>
      <c r="EO28" s="61">
        <f>IF(COUNTIFS(allFYsTable[Code], SummaryTable[[#This Row],[Code]], allFYsTable[year2], EK$3)=0, NotFound, SUMIFS(allFYsTable[Actual], allFYsTable[Code], SummaryTable[[#This Row],[Code]], allFYsTable[year2], EK$3))</f>
        <v>68652</v>
      </c>
      <c r="EP28" s="61">
        <f>IF(COUNTIFS(allFYsTable[Code], SummaryTable[[#This Row],[Code]], allFYsTable[year2], EK$3)=0, NotFound, SUMIFS(allFYsTable[DiffAmount], allFYsTable[Code], SummaryTable[[#This Row],[Code]], allFYsTable[year2], EK$3))</f>
        <v>10525</v>
      </c>
      <c r="EQ28" s="63">
        <f>IF(SummaryTable[[#This Row],[OriginalBudget09]]=0, IF(SummaryTable[[#This Row],[DiffAmount09]]=0, ZeroBudgetNoSpending, ZeroBudgetWithSpending), SummaryTable[[#This Row],[DiffAmount09]]/SummaryTable[[#This Row],[OriginalBudget09]])</f>
        <v>0.1810690384846973</v>
      </c>
      <c r="ER28" s="62">
        <f>IF(COUNTIFS(allFYsTable[Code], SummaryTable[[#This Row],[Code]], allFYsTable[year2], ER$3)=0, NotFound, SUMIFS(allFYsTable[OriginalBudget], allFYsTable[Code], SummaryTable[[#This Row],[Code]], allFYsTable[year2], ER$3))</f>
        <v>46119</v>
      </c>
      <c r="ES28" s="61">
        <f>SummaryTable[[#This Row],[OriginalBudget08]]-SummaryTable[[#This Row],[OriginalBudget07]]</f>
        <v>8999</v>
      </c>
      <c r="ET28" s="54">
        <f>SummaryTable[[#This Row],[BudgetIncreaseAmount08]]/SummaryTable[[#This Row],[OriginalBudget07]]</f>
        <v>0.24242995689655172</v>
      </c>
      <c r="EU28" s="61">
        <f>IF(COUNTIFS(allFYsTable[Code], SummaryTable[[#This Row],[Code]], allFYsTable[year2], ER$3)=0, NotFound, SUMIFS(allFYsTable[RevisedBudget], allFYsTable[Code], SummaryTable[[#This Row],[Code]], allFYsTable[year2], ER$3))</f>
        <v>89918</v>
      </c>
      <c r="EV28" s="61">
        <f>IF(COUNTIFS(allFYsTable[Code], SummaryTable[[#This Row],[Code]], allFYsTable[year2], ER$3)=0, NotFound, SUMIFS(allFYsTable[Actual], allFYsTable[Code], SummaryTable[[#This Row],[Code]], allFYsTable[year2], ER$3))</f>
        <v>86415</v>
      </c>
      <c r="EW28" s="61">
        <f>IF(COUNTIFS(allFYsTable[Code], SummaryTable[[#This Row],[Code]], allFYsTable[year2], ER$3)=0, NotFound, SUMIFS(allFYsTable[DiffAmount], allFYsTable[Code], SummaryTable[[#This Row],[Code]], allFYsTable[year2], ER$3))</f>
        <v>40296</v>
      </c>
      <c r="EX28" s="63">
        <f>IF(SummaryTable[[#This Row],[OriginalBudget08]]=0, IF(SummaryTable[[#This Row],[DiffAmount08]]=0, ZeroBudgetNoSpending, ZeroBudgetWithSpending), SummaryTable[[#This Row],[DiffAmount08]]/SummaryTable[[#This Row],[OriginalBudget08]])</f>
        <v>0.87373967345345738</v>
      </c>
      <c r="EY28" s="62">
        <f>IF(COUNTIFS(allFYsTable[Code], SummaryTable[[#This Row],[Code]], allFYsTable[year2], EY$3)=0, NotFound, SUMIFS(allFYsTable[OriginalBudget], allFYsTable[Code], SummaryTable[[#This Row],[Code]], allFYsTable[year2], EY$3))</f>
        <v>37120</v>
      </c>
      <c r="EZ28" s="61">
        <f>SummaryTable[[#This Row],[OriginalBudget07]]-SummaryTable[[#This Row],[OriginalBudget06]]</f>
        <v>1912</v>
      </c>
      <c r="FA28" s="54">
        <f>SummaryTable[[#This Row],[BudgetIncreaseAmount07]]/SummaryTable[[#This Row],[OriginalBudget06]]</f>
        <v>5.43058395819132E-2</v>
      </c>
      <c r="FB28" s="61">
        <f>IF(COUNTIFS(allFYsTable[Code], SummaryTable[[#This Row],[Code]], allFYsTable[year2], EY$3)=0, NotFound, SUMIFS(allFYsTable[RevisedBudget], allFYsTable[Code], SummaryTable[[#This Row],[Code]], allFYsTable[year2], EY$3))</f>
        <v>48007</v>
      </c>
      <c r="FC28" s="61">
        <f>IF(COUNTIFS(allFYsTable[Code], SummaryTable[[#This Row],[Code]], allFYsTable[year2], EY$3)=0, NotFound, SUMIFS(allFYsTable[Actual], allFYsTable[Code], SummaryTable[[#This Row],[Code]], allFYsTable[year2], EY$3))</f>
        <v>46115</v>
      </c>
      <c r="FD28" s="61">
        <f>IF(COUNTIFS(allFYsTable[Code], SummaryTable[[#This Row],[Code]], allFYsTable[year2], EY$3)=0, NotFound, SUMIFS(allFYsTable[DiffAmount], allFYsTable[Code], SummaryTable[[#This Row],[Code]], allFYsTable[year2], EY$3))</f>
        <v>8995</v>
      </c>
      <c r="FE28" s="63">
        <f>IF(SummaryTable[[#This Row],[OriginalBudget07]]=0, IF(SummaryTable[[#This Row],[DiffAmount07]]=0, ZeroBudgetNoSpending, ZeroBudgetWithSpending), SummaryTable[[#This Row],[DiffAmount07]]/SummaryTable[[#This Row],[OriginalBudget07]])</f>
        <v>0.24232219827586207</v>
      </c>
      <c r="FF28" s="62">
        <f>IF(COUNTIFS(allFYsTable[Code], SummaryTable[[#This Row],[Code]], allFYsTable[year2], FF$3)=0, NotFound, SUMIFS(allFYsTable[OriginalBudget], allFYsTable[Code], SummaryTable[[#This Row],[Code]], allFYsTable[year2], FF$3))</f>
        <v>35208</v>
      </c>
      <c r="FI28" s="61">
        <f>IF(COUNTIFS(allFYsTable[Code], SummaryTable[[#This Row],[Code]], allFYsTable[year2], FF$3)=0, NotFound, SUMIFS(allFYsTable[RevisedBudget], allFYsTable[Code], SummaryTable[[#This Row],[Code]], allFYsTable[year2], FF$3))</f>
        <v>34726</v>
      </c>
      <c r="FJ28" s="61">
        <f>IF(COUNTIFS(allFYsTable[Code], SummaryTable[[#This Row],[Code]], allFYsTable[year2], FF$3)=0, NotFound, SUMIFS(allFYsTable[Actual], allFYsTable[Code], SummaryTable[[#This Row],[Code]], allFYsTable[year2], FF$3))</f>
        <v>31815</v>
      </c>
      <c r="FK28" s="61">
        <f>IF(COUNTIFS(allFYsTable[Code], SummaryTable[[#This Row],[Code]], allFYsTable[year2], FF$3)=0, NotFound, SUMIFS(allFYsTable[DiffAmount], allFYsTable[Code], SummaryTable[[#This Row],[Code]], allFYsTable[year2], FF$3))</f>
        <v>-3393</v>
      </c>
      <c r="FL28" s="63">
        <f>IF(SummaryTable[[#This Row],[OriginalBudget06]]=0, IF(SummaryTable[[#This Row],[DiffAmount06]]=0, ZeroBudgetNoSpending, ZeroBudgetWithSpending), SummaryTable[[#This Row],[DiffAmount06]]/SummaryTable[[#This Row],[OriginalBudget06]])</f>
        <v>-9.6370143149284257E-2</v>
      </c>
    </row>
    <row r="29" spans="1:168" x14ac:dyDescent="0.45">
      <c r="A29" t="s">
        <v>798</v>
      </c>
      <c r="B29">
        <f>_xlfn.MAXIFS(allFYsTable[year2], allFYsTable[Code], SummaryTable[[#This Row],[Code]])</f>
        <v>2025</v>
      </c>
      <c r="C29" t="str">
        <f>_xlfn.XLOOKUP(SummaryTable[[#This Row],[Code]], NameCodingTable[Code], NameCodingTable[Most Recent Category per allFYs])</f>
        <v>Operations and infrastructure</v>
      </c>
      <c r="D29" t="str">
        <f>_xlfn.XLOOKUP(SummaryTable[[#This Row],[Code]], NameCodingTable[Code], NameCodingTable[Unit Display Name])</f>
        <v>Department of Energy and Environment (DOEE)</v>
      </c>
      <c r="E29" t="str">
        <f>_xlfn.XLOOKUP(SummaryTable[[#This Row],[Code]], NameCodingTable[Code], NameCodingTable[Type])</f>
        <v>agency</v>
      </c>
      <c r="F2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2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8</v>
      </c>
      <c r="H29" s="54">
        <f>SummaryTable[[#This Row],['# Over]]/SummaryTable[[#This Row],[Count]]</f>
        <v>0.4</v>
      </c>
      <c r="I2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29" s="54">
        <f>SummaryTable[[#This Row],['# Under]]/SummaryTable[[#This Row],[Count]]</f>
        <v>0.6</v>
      </c>
      <c r="K2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29" s="54">
        <f>SummaryTable[[#This Row],['# Equal]]/SummaryTable[[#This Row],[Count]]</f>
        <v>0</v>
      </c>
      <c r="M29" s="61">
        <f>SUMIFS(allFYsTable[OriginalBudget],allFYsTable[Code],SummaryTable[[#This Row],[Code]])/SummaryTable[[#This Row],[Count]]</f>
        <v>21721.85</v>
      </c>
      <c r="N29" s="61">
        <f>SUMIFS(allFYsTable[Actual],allFYsTable[Code],SummaryTable[[#This Row],[Code]])/SummaryTable[[#This Row],[Count]]</f>
        <v>22732.45</v>
      </c>
      <c r="O29" s="61">
        <f>SummaryTable[[#This Row],[AvgActAmt]]-SummaryTable[[#This Row],[AvgBudAmt]]</f>
        <v>1010.6000000000022</v>
      </c>
      <c r="P29" s="54">
        <f>IF(SummaryTable[[#This Row],[AvgBudAmt]]=0, IF(SummaryTable[[#This Row],[AvgDiff'#]]=0, 0, NamedFields!$C$3), SummaryTable[[#This Row],[AvgDiff'#]]/SummaryTable[[#This Row],[AvgBudAmt]])</f>
        <v>4.6524582390542343E-2</v>
      </c>
      <c r="Q29" s="61">
        <f>IFERROR(SUMIFS(allFYsTable[OriginalBudget],allFYsTable[Code],SummaryTable[[#This Row],[Code]],allFYsTable[DiffAmount], "&gt;0")/SummaryTable[[#This Row],['# Over]], 0)</f>
        <v>20638.875</v>
      </c>
      <c r="R29" s="61">
        <f>IFERROR(SUMIFS(allFYsTable[Actual],allFYsTable[Code],SummaryTable[[#This Row],[Code]],allFYsTable[DiffAmount], "&gt;0")/SummaryTable[[#This Row],['# Over]], 0)</f>
        <v>27032.5</v>
      </c>
      <c r="S29" s="61">
        <f>SummaryTable[[#This Row],[OverAvgAct]]-SummaryTable[[#This Row],[OverAvgBud]]</f>
        <v>6393.625</v>
      </c>
      <c r="T29" s="54">
        <f>IF(SummaryTable[[#This Row],[OverAvgBud]]=0, IF(SummaryTable[[#This Row],[OverAvgDiff'#]]=0, ZeroBudgetNoSpending, ZeroBudgetWithSpending), SummaryTable[[#This Row],[OverAvgDiff'#]]/SummaryTable[[#This Row],[OverAvgBud]])</f>
        <v>0.30978553821368654</v>
      </c>
      <c r="U29" s="61">
        <f>IFERROR(SUMIFS(allFYsTable[OriginalBudget],allFYsTable[Code],SummaryTable[[#This Row],[Code]],allFYsTable[DiffAmount], "&lt;0")/SummaryTable[[#This Row],['# Under]], 0)</f>
        <v>22443.833333333332</v>
      </c>
      <c r="V29" s="61">
        <f>IFERROR( SUMIFS(allFYsTable[Actual],allFYsTable[Code],SummaryTable[[#This Row],[Code]],allFYsTable[DiffAmount], "&lt;0")/SummaryTable[[#This Row],['# Under]], 0)</f>
        <v>19865.75</v>
      </c>
      <c r="W29" s="61">
        <f>SummaryTable[[#This Row],[UnderAvgAct]]-SummaryTable[[#This Row],[UnderAvgBud]]</f>
        <v>-2578.0833333333321</v>
      </c>
      <c r="X29" s="54">
        <f>IF(SummaryTable[[#This Row],[UnderAvgBud]]=0, IF(SummaryTable[[#This Row],[UnderAvgDiff'#]]=0, ZeroBudgetNoSpending, NamedFields!$C$3), SummaryTable[[#This Row],[UnderAvgDiff'#]]/SummaryTable[[#This Row],[UnderAvgBud]])</f>
        <v>-0.11486822661013042</v>
      </c>
      <c r="Y2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7</v>
      </c>
      <c r="Z2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29" s="54">
        <f>IF(SummaryTable[[#This Row],[IncreaseYears]]=0, ZeroBudgetNoSpending, SummaryTable[[#This Row],[OSinIncreaseYear'#]]/SummaryTable[[#This Row],[IncreaseYears]])</f>
        <v>0.14285714285714285</v>
      </c>
      <c r="AB29" s="58" t="str">
        <f>SummaryTable[[#This Row],[Code]]</f>
        <v>KG0</v>
      </c>
      <c r="AC29" s="62">
        <f>IF(COUNTIFS(allFYsTable[Code], SummaryTable[[#This Row],[Code]], allFYsTable[year2], AC$3)=0, NotFound, SUMIFS(allFYsTable[OriginalBudget], allFYsTable[Code], SummaryTable[[#This Row],[Code]], allFYsTable[year2], AC$3))</f>
        <v>27305</v>
      </c>
      <c r="AD29" s="61">
        <f>SummaryTable[[#This Row],[OriginalBudget25]]-SummaryTable[[#This Row],[OriginalBudget24]]</f>
        <v>-1066</v>
      </c>
      <c r="AE29" s="54">
        <f>SummaryTable[[#This Row],[BudgetIncreaseAmount25]]/SummaryTable[[#This Row],[OriginalBudget24]]</f>
        <v>-3.7573578654259629E-2</v>
      </c>
      <c r="AF29" s="61">
        <f>IF(COUNTIFS(allFYsTable[Code], SummaryTable[[#This Row],[Code]], allFYsTable[year2], AC$3)=0, NotFound, SUMIFS(allFYsTable[RevisedBudget], allFYsTable[Code], SummaryTable[[#This Row],[Code]], allFYsTable[year2], AC$3))</f>
        <v>26820</v>
      </c>
      <c r="AG29" s="61">
        <f>IF(COUNTIFS(allFYsTable[Code], SummaryTable[[#This Row],[Code]], allFYsTable[year2], AC$3)=0, NotFound, SUMIFS(allFYsTable[Actual], allFYsTable[Code], SummaryTable[[#This Row],[Code]], allFYsTable[year2], AC$3))</f>
        <v>26728</v>
      </c>
      <c r="AH29" s="61">
        <f>IF(COUNTIFS(allFYsTable[Code], SummaryTable[[#This Row],[Code]], allFYsTable[year2], AC$3)=0, NotFound, SUMIFS(allFYsTable[DiffAmount], allFYsTable[Code], SummaryTable[[#This Row],[Code]], allFYsTable[year2], AC$3))</f>
        <v>-577</v>
      </c>
      <c r="AI29" s="63">
        <f>IF(SummaryTable[[#This Row],[OriginalBudget25]]=0, IF(SummaryTable[[#This Row],[DiffAmount25]]=0, ZeroBudgetNoSpending, ZeroBudgetWithSpending), SummaryTable[[#This Row],[DiffAmount25]]/SummaryTable[[#This Row],[OriginalBudget25]])</f>
        <v>-2.1131660867972898E-2</v>
      </c>
      <c r="AJ29" s="62">
        <f>IF(COUNTIFS(allFYsTable[Code], SummaryTable[[#This Row],[Code]], allFYsTable[year2], AJ$3)=0, NotFound, SUMIFS(allFYsTable[OriginalBudget], allFYsTable[Code], SummaryTable[[#This Row],[Code]], allFYsTable[year2], AJ$3))</f>
        <v>28371</v>
      </c>
      <c r="AK29" s="61">
        <f>SummaryTable[[#This Row],[OriginalBudget24]]-SummaryTable[[#This Row],[OriginalBudget23]]</f>
        <v>-38223</v>
      </c>
      <c r="AL29" s="54">
        <f>SummaryTable[[#This Row],[BudgetIncreaseAmount24]]/SummaryTable[[#This Row],[OriginalBudget23]]</f>
        <v>-0.57397062798450316</v>
      </c>
      <c r="AM29" s="61">
        <f>IF(COUNTIFS(allFYsTable[Code], SummaryTable[[#This Row],[Code]], allFYsTable[year2], AK$3)=0, NotFound, SUMIFS(allFYsTable[RevisedBudget], allFYsTable[Code], SummaryTable[[#This Row],[Code]], allFYsTable[year2], AJ$3))</f>
        <v>40927</v>
      </c>
      <c r="AN29" s="61">
        <f>IF(COUNTIFS(allFYsTable[Code], SummaryTable[[#This Row],[Code]], allFYsTable[year2], AJ$3)=0, NotFound, SUMIFS(allFYsTable[Actual], allFYsTable[Code], SummaryTable[[#This Row],[Code]], allFYsTable[year2], AJ$3))</f>
        <v>40654</v>
      </c>
      <c r="AO29" s="61">
        <f>IF(COUNTIFS(allFYsTable[Code], SummaryTable[[#This Row],[Code]], allFYsTable[year2], AJ$3)=0, NotFound, SUMIFS(allFYsTable[DiffAmount], allFYsTable[Code], SummaryTable[[#This Row],[Code]], allFYsTable[year2], AJ$3))</f>
        <v>12283</v>
      </c>
      <c r="AP29" s="63">
        <f>IF(SummaryTable[[#This Row],[OriginalBudget24]]=0, IF(SummaryTable[[#This Row],[DiffAmount24]]=0, ZeroBudgetNoSpending, ZeroBudgetWithSpending), SummaryTable[[#This Row],[DiffAmount24]]/SummaryTable[[#This Row],[OriginalBudget24]])</f>
        <v>0.43294208875259949</v>
      </c>
      <c r="AQ29" s="62">
        <f>IF(COUNTIFS(allFYsTable[Code], SummaryTable[[#This Row],[Code]], allFYsTable[year2], AQ$3)=0, NotFound, SUMIFS(allFYsTable[OriginalBudget], allFYsTable[Code], SummaryTable[[#This Row],[Code]], allFYsTable[year2], AQ$3))</f>
        <v>66594</v>
      </c>
      <c r="AR29" s="61">
        <f>SummaryTable[[#This Row],[OriginalBudget23]]-SummaryTable[[#This Row],[OriginalBudget22]]</f>
        <v>44365</v>
      </c>
      <c r="AS29" s="54">
        <f>SummaryTable[[#This Row],[BudgetIncreaseAmount23]]/SummaryTable[[#This Row],[OriginalBudget22]]</f>
        <v>1.9958162760358091</v>
      </c>
      <c r="AT29" s="61">
        <f>IF(COUNTIFS(allFYsTable[Code], SummaryTable[[#This Row],[Code]], allFYsTable[year2], AQ$3)=0, NotFound, SUMIFS(allFYsTable[RevisedBudget], allFYsTable[Code], SummaryTable[[#This Row],[Code]], allFYsTable[year2], AQ$3))</f>
        <v>59970</v>
      </c>
      <c r="AU29" s="61">
        <f>IF(COUNTIFS(allFYsTable[Code], SummaryTable[[#This Row],[Code]], allFYsTable[year2], AQ$3)=0, NotFound, SUMIFS(allFYsTable[Actual], allFYsTable[Code], SummaryTable[[#This Row],[Code]], allFYsTable[year2], AQ$3))</f>
        <v>58511</v>
      </c>
      <c r="AV29" s="61">
        <f>IF(COUNTIFS(allFYsTable[Code], SummaryTable[[#This Row],[Code]], allFYsTable[year2], AQ$3)=0, NotFound, SUMIFS(allFYsTable[DiffAmount], allFYsTable[Code], SummaryTable[[#This Row],[Code]], allFYsTable[year2], AQ$3))</f>
        <v>-8083</v>
      </c>
      <c r="AW29" s="63">
        <f>IF(SummaryTable[[#This Row],[OriginalBudget23]]=0, IF(SummaryTable[[#This Row],[DiffAmount23]]=0, ZeroBudgetNoSpending, ZeroBudgetWithSpending), SummaryTable[[#This Row],[DiffAmount23]]/SummaryTable[[#This Row],[OriginalBudget23]])</f>
        <v>-0.12137730125837162</v>
      </c>
      <c r="AX29" s="62">
        <f>IF(COUNTIFS(allFYsTable[Code], SummaryTable[[#This Row],[Code]], allFYsTable[year2], AX$3)=0, NotFound, SUMIFS(allFYsTable[OriginalBudget], allFYsTable[Code], SummaryTable[[#This Row],[Code]], allFYsTable[year2], AX$3))</f>
        <v>22229</v>
      </c>
      <c r="AY29" s="61">
        <f>SummaryTable[[#This Row],[OriginalBudget22]]-SummaryTable[[#This Row],[OriginalBudget21]]</f>
        <v>-1203</v>
      </c>
      <c r="AZ29" s="54">
        <f>SummaryTable[[#This Row],[BudgetIncreaseAmount22]]/SummaryTable[[#This Row],[OriginalBudget21]]</f>
        <v>-5.1340047797883238E-2</v>
      </c>
      <c r="BA29" s="61">
        <f>IF(COUNTIFS(allFYsTable[Code], SummaryTable[[#This Row],[Code]], allFYsTable[year2], AX$3)=0, NotFound, SUMIFS(allFYsTable[RevisedBudget], allFYsTable[Code], SummaryTable[[#This Row],[Code]], allFYsTable[year2], AX$3))</f>
        <v>53912</v>
      </c>
      <c r="BB29" s="61">
        <f>IF(COUNTIFS(allFYsTable[Code], SummaryTable[[#This Row],[Code]], allFYsTable[year2], AX$3)=0, NotFound, SUMIFS(allFYsTable[Actual], allFYsTable[Code], SummaryTable[[#This Row],[Code]], allFYsTable[year2], AX$3))</f>
        <v>53004</v>
      </c>
      <c r="BC29" s="61">
        <f>IF(COUNTIFS(allFYsTable[Code], SummaryTable[[#This Row],[Code]], allFYsTable[year2], AX$3)=0, NotFound, SUMIFS(allFYsTable[DiffAmount], allFYsTable[Code], SummaryTable[[#This Row],[Code]], allFYsTable[year2], AX$3))</f>
        <v>30775</v>
      </c>
      <c r="BD29" s="63">
        <f>IF(SummaryTable[[#This Row],[OriginalBudget22]]=0, IF(SummaryTable[[#This Row],[DiffAmount22]]=0, ZeroBudgetNoSpending, ZeroBudgetWithSpending), SummaryTable[[#This Row],[DiffAmount22]]/SummaryTable[[#This Row],[OriginalBudget22]])</f>
        <v>1.3844527419137163</v>
      </c>
      <c r="BE29" s="62">
        <f>IF(COUNTIFS(allFYsTable[Code], SummaryTable[[#This Row],[Code]], allFYsTable[year2], BE$3)=0, NotFound, SUMIFS(allFYsTable[OriginalBudget], allFYsTable[Code], SummaryTable[[#This Row],[Code]], allFYsTable[year2], BE$3))</f>
        <v>23432</v>
      </c>
      <c r="BF29" s="61">
        <f>SummaryTable[[#This Row],[OriginalBudget21]]-SummaryTable[[#This Row],[OriginalBudget20]]</f>
        <v>-6963</v>
      </c>
      <c r="BG29" s="54">
        <f>SummaryTable[[#This Row],[BudgetIncreaseAmount21]]/SummaryTable[[#This Row],[OriginalBudget20]]</f>
        <v>-0.22908373087678893</v>
      </c>
      <c r="BH29" s="61">
        <f>IF(COUNTIFS(allFYsTable[Code], SummaryTable[[#This Row],[Code]], allFYsTable[year2], BE$3)=0, NotFound, SUMIFS(allFYsTable[RevisedBudget], allFYsTable[Code], SummaryTable[[#This Row],[Code]], allFYsTable[year2], BE$3))</f>
        <v>23090</v>
      </c>
      <c r="BI29" s="61">
        <f>IF(COUNTIFS(allFYsTable[Code], SummaryTable[[#This Row],[Code]], allFYsTable[year2], BE$3)=0, NotFound, SUMIFS(allFYsTable[Actual], allFYsTable[Code], SummaryTable[[#This Row],[Code]], allFYsTable[year2], BE$3))</f>
        <v>22811</v>
      </c>
      <c r="BJ29" s="61">
        <f>IF(COUNTIFS(allFYsTable[Code], SummaryTable[[#This Row],[Code]], allFYsTable[year2], BE$3)=0, NotFound, SUMIFS(allFYsTable[DiffAmount], allFYsTable[Code], SummaryTable[[#This Row],[Code]], allFYsTable[year2], BE$3))</f>
        <v>-621</v>
      </c>
      <c r="BK29" s="63">
        <f>IF(SummaryTable[[#This Row],[OriginalBudget21]]=0, IF(SummaryTable[[#This Row],[DiffAmount21]]=0, ZeroBudgetNoSpending, ZeroBudgetWithSpending), SummaryTable[[#This Row],[DiffAmount21]]/SummaryTable[[#This Row],[OriginalBudget21]])</f>
        <v>-2.6502219187435984E-2</v>
      </c>
      <c r="BL29" s="62">
        <f>IF(COUNTIFS(allFYsTable[Code], SummaryTable[[#This Row],[Code]], allFYsTable[year2], BL$3)=0, NotFound, SUMIFS(allFYsTable[OriginalBudget], allFYsTable[Code], SummaryTable[[#This Row],[Code]], allFYsTable[year2], BL$3))</f>
        <v>30395</v>
      </c>
      <c r="BM29" s="61">
        <f>SummaryTable[[#This Row],[OriginalBudget20]]-SummaryTable[[#This Row],[OriginalBudget19]]</f>
        <v>1444</v>
      </c>
      <c r="BN29" s="54">
        <f>SummaryTable[[#This Row],[BudgetIncreaseAmount20]]/SummaryTable[[#This Row],[OriginalBudget19]]</f>
        <v>4.987737901972298E-2</v>
      </c>
      <c r="BO29" s="61">
        <f>IF(COUNTIFS(allFYsTable[Code], SummaryTable[[#This Row],[Code]], allFYsTable[year2], BL$3)=0, NotFound, SUMIFS(allFYsTable[RevisedBudget], allFYsTable[Code], SummaryTable[[#This Row],[Code]], allFYsTable[year2], BL$3))</f>
        <v>27010</v>
      </c>
      <c r="BP29" s="61">
        <f>IF(COUNTIFS(allFYsTable[Code], SummaryTable[[#This Row],[Code]], allFYsTable[year2], BL$3)=0, NotFound, SUMIFS(allFYsTable[Actual], allFYsTable[Code], SummaryTable[[#This Row],[Code]], allFYsTable[year2], BL$3))</f>
        <v>26429</v>
      </c>
      <c r="BQ29" s="61">
        <f>IF(COUNTIFS(allFYsTable[Code], SummaryTable[[#This Row],[Code]], allFYsTable[year2], BL$3)=0, NotFound, SUMIFS(allFYsTable[DiffAmount], allFYsTable[Code], SummaryTable[[#This Row],[Code]], allFYsTable[year2], BL$3))</f>
        <v>-3966</v>
      </c>
      <c r="BR29" s="63">
        <f>IF(SummaryTable[[#This Row],[OriginalBudget20]]=0, IF(SummaryTable[[#This Row],[DiffAmount20]]=0, ZeroBudgetNoSpending, ZeroBudgetWithSpending), SummaryTable[[#This Row],[DiffAmount20]]/SummaryTable[[#This Row],[OriginalBudget20]])</f>
        <v>-0.13048198716894227</v>
      </c>
      <c r="BS29" s="62">
        <f>IF(COUNTIFS(allFYsTable[Code], SummaryTable[[#This Row],[Code]], allFYsTable[year2], BS$3)=0, NotFound, SUMIFS(allFYsTable[OriginalBudget], allFYsTable[Code], SummaryTable[[#This Row],[Code]], allFYsTable[year2], BS$3))</f>
        <v>28951</v>
      </c>
      <c r="BT29" s="61">
        <f>SummaryTable[[#This Row],[OriginalBudget19]]-SummaryTable[[#This Row],[OriginalBudget18]]</f>
        <v>10836</v>
      </c>
      <c r="BU29" s="54">
        <f>SummaryTable[[#This Row],[BudgetIncreaseAmount19]]/SummaryTable[[#This Row],[OriginalBudget18]]</f>
        <v>0.5981783052718741</v>
      </c>
      <c r="BV29" s="61">
        <f>IF(COUNTIFS(allFYsTable[Code], SummaryTable[[#This Row],[Code]], allFYsTable[year2], BS$3)=0, NotFound, SUMIFS(allFYsTable[RevisedBudget], allFYsTable[Code], SummaryTable[[#This Row],[Code]], allFYsTable[year2], BS$3))</f>
        <v>28514</v>
      </c>
      <c r="BW29" s="61">
        <f>IF(COUNTIFS(allFYsTable[Code], SummaryTable[[#This Row],[Code]], allFYsTable[year2], BS$3)=0, NotFound, SUMIFS(allFYsTable[Actual], allFYsTable[Code], SummaryTable[[#This Row],[Code]], allFYsTable[year2], BS$3))</f>
        <v>21576</v>
      </c>
      <c r="BX29" s="61">
        <f>IF(COUNTIFS(allFYsTable[Code], SummaryTable[[#This Row],[Code]], allFYsTable[year2], BS$3)=0, NotFound, SUMIFS(allFYsTable[DiffAmount], allFYsTable[Code], SummaryTable[[#This Row],[Code]], allFYsTable[year2], BS$3))</f>
        <v>-7375</v>
      </c>
      <c r="BY29" s="63">
        <f>IF(SummaryTable[[#This Row],[OriginalBudget19]]=0, IF(SummaryTable[[#This Row],[DiffAmount19]]=0, ZeroBudgetNoSpending, ZeroBudgetWithSpending), SummaryTable[[#This Row],[DiffAmount19]]/SummaryTable[[#This Row],[OriginalBudget19]])</f>
        <v>-0.25474076888535802</v>
      </c>
      <c r="BZ29" s="62">
        <f>IF(COUNTIFS(allFYsTable[Code], SummaryTable[[#This Row],[Code]], allFYsTable[year2], BZ$3)=0, NotFound, SUMIFS(allFYsTable[OriginalBudget], allFYsTable[Code], SummaryTable[[#This Row],[Code]], allFYsTable[year2], BZ$3))</f>
        <v>18115</v>
      </c>
      <c r="CA29" s="61">
        <f>SummaryTable[[#This Row],[OriginalBudget18]]-SummaryTable[[#This Row],[OriginalBudget17]]</f>
        <v>-11</v>
      </c>
      <c r="CB29" s="54">
        <f>SummaryTable[[#This Row],[BudgetIncreaseAmount18]]/SummaryTable[[#This Row],[OriginalBudget17]]</f>
        <v>-6.0686306962374494E-4</v>
      </c>
      <c r="CC29" s="61">
        <f>IF(COUNTIFS(allFYsTable[Code], SummaryTable[[#This Row],[Code]], allFYsTable[year2], BZ$3)=0, NotFound, SUMIFS(allFYsTable[RevisedBudget], allFYsTable[Code], SummaryTable[[#This Row],[Code]], allFYsTable[year2], BZ$3))</f>
        <v>16086</v>
      </c>
      <c r="CD29" s="61">
        <f>IF(COUNTIFS(allFYsTable[Code], SummaryTable[[#This Row],[Code]], allFYsTable[year2], BZ$3)=0, NotFound, SUMIFS(allFYsTable[Actual], allFYsTable[Code], SummaryTable[[#This Row],[Code]], allFYsTable[year2], BZ$3))</f>
        <v>15863</v>
      </c>
      <c r="CE29" s="61">
        <f>IF(COUNTIFS(allFYsTable[Code], SummaryTable[[#This Row],[Code]], allFYsTable[year2], BZ$3)=0, NotFound, SUMIFS(allFYsTable[DiffAmount], allFYsTable[Code], SummaryTable[[#This Row],[Code]], allFYsTable[year2], BZ$3))</f>
        <v>-2252</v>
      </c>
      <c r="CF29" s="63">
        <f>IF(SummaryTable[[#This Row],[OriginalBudget18]]=0, IF(SummaryTable[[#This Row],[DiffAmount18]]=0, ZeroBudgetNoSpending, ZeroBudgetWithSpending), SummaryTable[[#This Row],[DiffAmount18]]/SummaryTable[[#This Row],[OriginalBudget18]])</f>
        <v>-0.1243168644769528</v>
      </c>
      <c r="CG29" s="62">
        <f>IF(COUNTIFS(allFYsTable[Code], SummaryTable[[#This Row],[Code]], allFYsTable[year2], CG$3)=0, NotFound, SUMIFS(allFYsTable[OriginalBudget], allFYsTable[Code], SummaryTable[[#This Row],[Code]], allFYsTable[year2], CG$3))</f>
        <v>18126</v>
      </c>
      <c r="CH29" s="61">
        <f>SummaryTable[[#This Row],[OriginalBudget17]]-SummaryTable[[#This Row],[OriginalBudget16]]</f>
        <v>970</v>
      </c>
      <c r="CI29" s="54">
        <f>SummaryTable[[#This Row],[BudgetIncreaseAmount17]]/SummaryTable[[#This Row],[OriginalBudget16]]</f>
        <v>5.6539986010725109E-2</v>
      </c>
      <c r="CJ29" s="61">
        <f>IF(COUNTIFS(allFYsTable[Code], SummaryTable[[#This Row],[Code]], allFYsTable[year2], CG$3)=0, NotFound, SUMIFS(allFYsTable[RevisedBudget], allFYsTable[Code], SummaryTable[[#This Row],[Code]], allFYsTable[year2], CG$3))</f>
        <v>18789</v>
      </c>
      <c r="CK29" s="61">
        <f>IF(COUNTIFS(allFYsTable[Code], SummaryTable[[#This Row],[Code]], allFYsTable[year2], CG$3)=0, NotFound, SUMIFS(allFYsTable[Actual], allFYsTable[Code], SummaryTable[[#This Row],[Code]], allFYsTable[year2], CG$3))</f>
        <v>18651</v>
      </c>
      <c r="CL29" s="61">
        <f>IF(COUNTIFS(allFYsTable[Code], SummaryTable[[#This Row],[Code]], allFYsTable[year2], CG$3)=0, NotFound, SUMIFS(allFYsTable[DiffAmount], allFYsTable[Code], SummaryTable[[#This Row],[Code]], allFYsTable[year2], CG$3))</f>
        <v>525</v>
      </c>
      <c r="CM29" s="63">
        <f>IF(SummaryTable[[#This Row],[OriginalBudget17]]=0, IF(SummaryTable[[#This Row],[DiffAmount17]]=0, ZeroBudgetNoSpending, ZeroBudgetWithSpending), SummaryTable[[#This Row],[DiffAmount17]]/SummaryTable[[#This Row],[OriginalBudget17]])</f>
        <v>2.8963919232042369E-2</v>
      </c>
      <c r="CN29" s="62">
        <f>IF(COUNTIFS(allFYsTable[Code], SummaryTable[[#This Row],[Code]], allFYsTable[year2], CN$3)=0, NotFound, SUMIFS(allFYsTable[OriginalBudget], allFYsTable[Code], SummaryTable[[#This Row],[Code]], allFYsTable[year2], CN$3))</f>
        <v>17156</v>
      </c>
      <c r="CO29" s="61">
        <f>SummaryTable[[#This Row],[OriginalBudget16]]-SummaryTable[[#This Row],[OriginalBudget15]]</f>
        <v>-1381</v>
      </c>
      <c r="CP29" s="54">
        <f>SummaryTable[[#This Row],[BudgetIncreaseAmount16]]/SummaryTable[[#This Row],[OriginalBudget15]]</f>
        <v>-7.4499649349948752E-2</v>
      </c>
      <c r="CQ29" s="61">
        <f>IF(COUNTIFS(allFYsTable[Code], SummaryTable[[#This Row],[Code]], allFYsTable[year2], CN$3)=0, NotFound, SUMIFS(allFYsTable[RevisedBudget], allFYsTable[Code], SummaryTable[[#This Row],[Code]], allFYsTable[year2], CN$3))</f>
        <v>18032</v>
      </c>
      <c r="CR29" s="61">
        <f>IF(COUNTIFS(allFYsTable[Code], SummaryTable[[#This Row],[Code]], allFYsTable[year2], CN$3)=0, NotFound, SUMIFS(allFYsTable[Actual], allFYsTable[Code], SummaryTable[[#This Row],[Code]], allFYsTable[year2], CN$3))</f>
        <v>17862</v>
      </c>
      <c r="CS29" s="61">
        <f>IF(COUNTIFS(allFYsTable[Code], SummaryTable[[#This Row],[Code]], allFYsTable[year2], CN$3)=0, NotFound, SUMIFS(allFYsTable[DiffAmount], allFYsTable[Code], SummaryTable[[#This Row],[Code]], allFYsTable[year2], CN$3))</f>
        <v>706</v>
      </c>
      <c r="CT29" s="63">
        <f>IF(SummaryTable[[#This Row],[OriginalBudget16]]=0, IF(SummaryTable[[#This Row],[DiffAmount16]]=0, ZeroBudgetNoSpending, ZeroBudgetWithSpending), SummaryTable[[#This Row],[DiffAmount16]]/SummaryTable[[#This Row],[OriginalBudget16]])</f>
        <v>4.1151783632548379E-2</v>
      </c>
      <c r="CU29" s="62">
        <f>IF(COUNTIFS(allFYsTable[Code], SummaryTable[[#This Row],[Code]], allFYsTable[year2], CU$3)=0, NotFound, SUMIFS(allFYsTable[OriginalBudget], allFYsTable[Code], SummaryTable[[#This Row],[Code]], allFYsTable[year2], CU$3))</f>
        <v>18537</v>
      </c>
      <c r="CV29" s="61">
        <f>SummaryTable[[#This Row],[OriginalBudget15]]-SummaryTable[[#This Row],[OriginalBudget14]]</f>
        <v>1337</v>
      </c>
      <c r="CW29" s="54">
        <f>SummaryTable[[#This Row],[BudgetIncreaseAmount15]]/SummaryTable[[#This Row],[OriginalBudget14]]</f>
        <v>7.7732558139534877E-2</v>
      </c>
      <c r="CX29" s="61">
        <f>IF(COUNTIFS(allFYsTable[Code], SummaryTable[[#This Row],[Code]], allFYsTable[year2], CU$3)=0, NotFound, SUMIFS(allFYsTable[RevisedBudget], allFYsTable[Code], SummaryTable[[#This Row],[Code]], allFYsTable[year2], CU$3))</f>
        <v>18890</v>
      </c>
      <c r="CY29" s="61">
        <f>IF(COUNTIFS(allFYsTable[Code], SummaryTable[[#This Row],[Code]], allFYsTable[year2], CU$3)=0, NotFound, SUMIFS(allFYsTable[Actual], allFYsTable[Code], SummaryTable[[#This Row],[Code]], allFYsTable[year2], CU$3))</f>
        <v>18727</v>
      </c>
      <c r="CZ29" s="61">
        <f>IF(COUNTIFS(allFYsTable[Code], SummaryTable[[#This Row],[Code]], allFYsTable[year2], CU$3)=0, NotFound, SUMIFS(allFYsTable[DiffAmount], allFYsTable[Code], SummaryTable[[#This Row],[Code]], allFYsTable[year2], CU$3))</f>
        <v>190</v>
      </c>
      <c r="DA29" s="63">
        <f>IF(SummaryTable[[#This Row],[OriginalBudget15]]=0, IF(SummaryTable[[#This Row],[DiffAmount15]]=0, ZeroBudgetNoSpending, ZeroBudgetWithSpending), SummaryTable[[#This Row],[DiffAmount15]]/SummaryTable[[#This Row],[OriginalBudget15]])</f>
        <v>1.0249770728812646E-2</v>
      </c>
      <c r="DB29" s="62">
        <f>IF(COUNTIFS(allFYsTable[Code], SummaryTable[[#This Row],[Code]], allFYsTable[year2], DB$3)=0, NotFound, SUMIFS(allFYsTable[OriginalBudget], allFYsTable[Code], SummaryTable[[#This Row],[Code]], allFYsTable[year2], DB$3))</f>
        <v>17200</v>
      </c>
      <c r="DC29" s="61">
        <f>SummaryTable[[#This Row],[OriginalBudget14]]-SummaryTable[[#This Row],[OriginalBudget13]]</f>
        <v>2404</v>
      </c>
      <c r="DD29" s="54">
        <f>SummaryTable[[#This Row],[BudgetIncreaseAmount14]]/SummaryTable[[#This Row],[OriginalBudget13]]</f>
        <v>0.16247634495809679</v>
      </c>
      <c r="DE29" s="61">
        <f>IF(COUNTIFS(allFYsTable[Code], SummaryTable[[#This Row],[Code]], allFYsTable[year2], DB$3)=0, NotFound, SUMIFS(allFYsTable[RevisedBudget], allFYsTable[Code], SummaryTable[[#This Row],[Code]], allFYsTable[year2], DB$3))</f>
        <v>17668</v>
      </c>
      <c r="DF29" s="61">
        <f>IF(COUNTIFS(allFYsTable[Code], SummaryTable[[#This Row],[Code]], allFYsTable[year2], DB$3)=0, NotFound, SUMIFS(allFYsTable[Actual], allFYsTable[Code], SummaryTable[[#This Row],[Code]], allFYsTable[year2], DB$3))</f>
        <v>17384</v>
      </c>
      <c r="DG29" s="61">
        <f>IF(COUNTIFS(allFYsTable[Code], SummaryTable[[#This Row],[Code]], allFYsTable[year2], DB$3)=0, NotFound, SUMIFS(allFYsTable[DiffAmount], allFYsTable[Code], SummaryTable[[#This Row],[Code]], allFYsTable[year2], DB$3))</f>
        <v>184</v>
      </c>
      <c r="DH29" s="63">
        <f>IF(SummaryTable[[#This Row],[OriginalBudget14]]=0, IF(SummaryTable[[#This Row],[DiffAmount14]]=0, ZeroBudgetNoSpending, ZeroBudgetWithSpending), SummaryTable[[#This Row],[DiffAmount14]]/SummaryTable[[#This Row],[OriginalBudget14]])</f>
        <v>1.0697674418604652E-2</v>
      </c>
      <c r="DI29" s="62">
        <f>IF(COUNTIFS(allFYsTable[Code], SummaryTable[[#This Row],[Code]], allFYsTable[year2], DI$3)=0, NotFound, SUMIFS(allFYsTable[OriginalBudget], allFYsTable[Code], SummaryTable[[#This Row],[Code]], allFYsTable[year2], DI$3))</f>
        <v>14796</v>
      </c>
      <c r="DJ29" s="61">
        <f>SummaryTable[[#This Row],[OriginalBudget13]]-SummaryTable[[#This Row],[OriginalBudget12]]</f>
        <v>-1361</v>
      </c>
      <c r="DK29" s="54">
        <f>SummaryTable[[#This Row],[BudgetIncreaseAmount13]]/SummaryTable[[#This Row],[OriginalBudget12]]</f>
        <v>-8.4235934888902644E-2</v>
      </c>
      <c r="DL29" s="61">
        <f>IF(COUNTIFS(allFYsTable[Code], SummaryTable[[#This Row],[Code]], allFYsTable[year2], DI$3)=0, NotFound, SUMIFS(allFYsTable[RevisedBudget], allFYsTable[Code], SummaryTable[[#This Row],[Code]], allFYsTable[year2], DI$3))</f>
        <v>14121</v>
      </c>
      <c r="DM29" s="61">
        <f>IF(COUNTIFS(allFYsTable[Code], SummaryTable[[#This Row],[Code]], allFYsTable[year2], DI$3)=0, NotFound, SUMIFS(allFYsTable[Actual], allFYsTable[Code], SummaryTable[[#This Row],[Code]], allFYsTable[year2], DI$3))</f>
        <v>13727</v>
      </c>
      <c r="DN29" s="61">
        <f>IF(COUNTIFS(allFYsTable[Code], SummaryTable[[#This Row],[Code]], allFYsTable[year2], DI$3)=0, NotFound, SUMIFS(allFYsTable[DiffAmount], allFYsTable[Code], SummaryTable[[#This Row],[Code]], allFYsTable[year2], DI$3))</f>
        <v>-1069</v>
      </c>
      <c r="DO29" s="63">
        <f>IF(SummaryTable[[#This Row],[OriginalBudget13]]=0, IF(SummaryTable[[#This Row],[DiffAmount13]]=0, ZeroBudgetNoSpending, ZeroBudgetWithSpending), SummaryTable[[#This Row],[DiffAmount13]]/SummaryTable[[#This Row],[OriginalBudget13]])</f>
        <v>-7.2249256555825897E-2</v>
      </c>
      <c r="DP29" s="62">
        <f>IF(COUNTIFS(allFYsTable[Code], SummaryTable[[#This Row],[Code]], allFYsTable[year2], DP$3)=0, NotFound, SUMIFS(allFYsTable[OriginalBudget], allFYsTable[Code], SummaryTable[[#This Row],[Code]], allFYsTable[year2], DP$3))</f>
        <v>16157</v>
      </c>
      <c r="DQ29" s="61">
        <f>SummaryTable[[#This Row],[OriginalBudget12]]-SummaryTable[[#This Row],[OriginalBudget11]]</f>
        <v>3546</v>
      </c>
      <c r="DR29" s="54">
        <f>SummaryTable[[#This Row],[BudgetIncreaseAmount12]]/SummaryTable[[#This Row],[OriginalBudget11]]</f>
        <v>0.2811830941241773</v>
      </c>
      <c r="DS29" s="61">
        <f>IF(COUNTIFS(allFYsTable[Code], SummaryTable[[#This Row],[Code]], allFYsTable[year2], DP$3)=0, NotFound, SUMIFS(allFYsTable[RevisedBudget], allFYsTable[Code], SummaryTable[[#This Row],[Code]], allFYsTable[year2], DP$3))</f>
        <v>16416</v>
      </c>
      <c r="DT29" s="61">
        <f>IF(COUNTIFS(allFYsTable[Code], SummaryTable[[#This Row],[Code]], allFYsTable[year2], DP$3)=0, NotFound, SUMIFS(allFYsTable[Actual], allFYsTable[Code], SummaryTable[[#This Row],[Code]], allFYsTable[year2], DP$3))</f>
        <v>16414</v>
      </c>
      <c r="DU29" s="61">
        <f>IF(COUNTIFS(allFYsTable[Code], SummaryTable[[#This Row],[Code]], allFYsTable[year2], DP$3)=0, NotFound, SUMIFS(allFYsTable[DiffAmount], allFYsTable[Code], SummaryTable[[#This Row],[Code]], allFYsTable[year2], DP$3))</f>
        <v>257</v>
      </c>
      <c r="DV29" s="63">
        <f>IF(SummaryTable[[#This Row],[OriginalBudget12]]=0, IF(SummaryTable[[#This Row],[DiffAmount12]]=0, ZeroBudgetNoSpending, ZeroBudgetWithSpending), SummaryTable[[#This Row],[DiffAmount12]]/SummaryTable[[#This Row],[OriginalBudget12]])</f>
        <v>1.5906418270718575E-2</v>
      </c>
      <c r="DW29" s="62">
        <f>IF(COUNTIFS(allFYsTable[Code], SummaryTable[[#This Row],[Code]], allFYsTable[year2], DW$3)=0, NotFound, SUMIFS(allFYsTable[OriginalBudget], allFYsTable[Code], SummaryTable[[#This Row],[Code]], allFYsTable[year2], DW$3))</f>
        <v>12611</v>
      </c>
      <c r="DX29" s="61">
        <f>SummaryTable[[#This Row],[OriginalBudget11]]-SummaryTable[[#This Row],[OriginalBudget10]]</f>
        <v>-4732</v>
      </c>
      <c r="DY29" s="54">
        <f>SummaryTable[[#This Row],[BudgetIncreaseAmount11]]/SummaryTable[[#This Row],[OriginalBudget10]]</f>
        <v>-0.27284783486132735</v>
      </c>
      <c r="DZ29" s="61">
        <f>IF(COUNTIFS(allFYsTable[Code], SummaryTable[[#This Row],[Code]], allFYsTable[year2], DW$3)=0, NotFound, SUMIFS(allFYsTable[RevisedBudget], allFYsTable[Code], SummaryTable[[#This Row],[Code]], allFYsTable[year2], DW$3))</f>
        <v>12611</v>
      </c>
      <c r="EA29" s="61">
        <f>IF(COUNTIFS(allFYsTable[Code], SummaryTable[[#This Row],[Code]], allFYsTable[year2], DW$3)=0, NotFound, SUMIFS(allFYsTable[Actual], allFYsTable[Code], SummaryTable[[#This Row],[Code]], allFYsTable[year2], DW$3))</f>
        <v>12321</v>
      </c>
      <c r="EB29" s="61">
        <f>IF(COUNTIFS(allFYsTable[Code], SummaryTable[[#This Row],[Code]], allFYsTable[year2], DW$3)=0, NotFound, SUMIFS(allFYsTable[DiffAmount], allFYsTable[Code], SummaryTable[[#This Row],[Code]], allFYsTable[year2], DW$3))</f>
        <v>-290</v>
      </c>
      <c r="EC29" s="63">
        <f>IF(SummaryTable[[#This Row],[OriginalBudget11]]=0, IF(SummaryTable[[#This Row],[DiffAmount11]]=0, ZeroBudgetNoSpending, ZeroBudgetWithSpending), SummaryTable[[#This Row],[DiffAmount11]]/SummaryTable[[#This Row],[OriginalBudget11]])</f>
        <v>-2.2995797319800174E-2</v>
      </c>
      <c r="ED29" s="62">
        <f>IF(COUNTIFS(allFYsTable[Code], SummaryTable[[#This Row],[Code]], allFYsTable[year2], ED$3)=0, NotFound, SUMIFS(allFYsTable[OriginalBudget], allFYsTable[Code], SummaryTable[[#This Row],[Code]], allFYsTable[year2], ED$3))</f>
        <v>17343</v>
      </c>
      <c r="EE29" s="61">
        <f>SummaryTable[[#This Row],[OriginalBudget10]]-SummaryTable[[#This Row],[OriginalBudget09]]</f>
        <v>-5520</v>
      </c>
      <c r="EF29" s="54">
        <f>SummaryTable[[#This Row],[BudgetIncreaseAmount10]]/SummaryTable[[#This Row],[OriginalBudget09]]</f>
        <v>-0.24143813147880855</v>
      </c>
      <c r="EG29" s="61">
        <f>IF(COUNTIFS(allFYsTable[Code], SummaryTable[[#This Row],[Code]], allFYsTable[year2], ED$3)=0, NotFound, SUMIFS(allFYsTable[RevisedBudget], allFYsTable[Code], SummaryTable[[#This Row],[Code]], allFYsTable[year2], ED$3))</f>
        <v>17083</v>
      </c>
      <c r="EH29" s="61">
        <f>IF(COUNTIFS(allFYsTable[Code], SummaryTable[[#This Row],[Code]], allFYsTable[year2], ED$3)=0, NotFound, SUMIFS(allFYsTable[Actual], allFYsTable[Code], SummaryTable[[#This Row],[Code]], allFYsTable[year2], ED$3))</f>
        <v>16314</v>
      </c>
      <c r="EI29" s="61">
        <f>IF(COUNTIFS(allFYsTable[Code], SummaryTable[[#This Row],[Code]], allFYsTable[year2], ED$3)=0, NotFound, SUMIFS(allFYsTable[DiffAmount], allFYsTable[Code], SummaryTable[[#This Row],[Code]], allFYsTable[year2], ED$3))</f>
        <v>-1029</v>
      </c>
      <c r="EJ29" s="63">
        <f>IF(SummaryTable[[#This Row],[OriginalBudget10]]=0, IF(SummaryTable[[#This Row],[DiffAmount10]]=0, ZeroBudgetNoSpending, ZeroBudgetWithSpending), SummaryTable[[#This Row],[DiffAmount10]]/SummaryTable[[#This Row],[OriginalBudget10]])</f>
        <v>-5.9332295450614081E-2</v>
      </c>
      <c r="EK29" s="62">
        <f>IF(COUNTIFS(allFYsTable[Code], SummaryTable[[#This Row],[Code]], allFYsTable[year2], EK$3)=0, NotFound, SUMIFS(allFYsTable[OriginalBudget], allFYsTable[Code], SummaryTable[[#This Row],[Code]], allFYsTable[year2], EK$3))</f>
        <v>22863</v>
      </c>
      <c r="EL29" s="61">
        <f>SummaryTable[[#This Row],[OriginalBudget09]]-SummaryTable[[#This Row],[OriginalBudget08]]</f>
        <v>4709</v>
      </c>
      <c r="EM29" s="54">
        <f>SummaryTable[[#This Row],[BudgetIncreaseAmount09]]/SummaryTable[[#This Row],[OriginalBudget08]]</f>
        <v>0.25939186956042748</v>
      </c>
      <c r="EN29" s="61">
        <f>IF(COUNTIFS(allFYsTable[Code], SummaryTable[[#This Row],[Code]], allFYsTable[year2], EK$3)=0, NotFound, SUMIFS(allFYsTable[RevisedBudget], allFYsTable[Code], SummaryTable[[#This Row],[Code]], allFYsTable[year2], EK$3))</f>
        <v>21340</v>
      </c>
      <c r="EO29" s="61">
        <f>IF(COUNTIFS(allFYsTable[Code], SummaryTable[[#This Row],[Code]], allFYsTable[year2], EK$3)=0, NotFound, SUMIFS(allFYsTable[Actual], allFYsTable[Code], SummaryTable[[#This Row],[Code]], allFYsTable[year2], EK$3))</f>
        <v>21175</v>
      </c>
      <c r="EP29" s="61">
        <f>IF(COUNTIFS(allFYsTable[Code], SummaryTable[[#This Row],[Code]], allFYsTable[year2], EK$3)=0, NotFound, SUMIFS(allFYsTable[DiffAmount], allFYsTable[Code], SummaryTable[[#This Row],[Code]], allFYsTable[year2], EK$3))</f>
        <v>-1688</v>
      </c>
      <c r="EQ29" s="63">
        <f>IF(SummaryTable[[#This Row],[OriginalBudget09]]=0, IF(SummaryTable[[#This Row],[DiffAmount09]]=0, ZeroBudgetNoSpending, ZeroBudgetWithSpending), SummaryTable[[#This Row],[DiffAmount09]]/SummaryTable[[#This Row],[OriginalBudget09]])</f>
        <v>-7.3831080785548703E-2</v>
      </c>
      <c r="ER29" s="62">
        <f>IF(COUNTIFS(allFYsTable[Code], SummaryTable[[#This Row],[Code]], allFYsTable[year2], ER$3)=0, NotFound, SUMIFS(allFYsTable[OriginalBudget], allFYsTable[Code], SummaryTable[[#This Row],[Code]], allFYsTable[year2], ER$3))</f>
        <v>18154</v>
      </c>
      <c r="ES29" s="61">
        <f>SummaryTable[[#This Row],[OriginalBudget08]]-SummaryTable[[#This Row],[OriginalBudget07]]</f>
        <v>5419</v>
      </c>
      <c r="ET29" s="54">
        <f>SummaryTable[[#This Row],[BudgetIncreaseAmount08]]/SummaryTable[[#This Row],[OriginalBudget07]]</f>
        <v>0.42552021986650962</v>
      </c>
      <c r="EU29" s="61">
        <f>IF(COUNTIFS(allFYsTable[Code], SummaryTable[[#This Row],[Code]], allFYsTable[year2], ER$3)=0, NotFound, SUMIFS(allFYsTable[RevisedBudget], allFYsTable[Code], SummaryTable[[#This Row],[Code]], allFYsTable[year2], ER$3))</f>
        <v>21832</v>
      </c>
      <c r="EV29" s="61">
        <f>IF(COUNTIFS(allFYsTable[Code], SummaryTable[[#This Row],[Code]], allFYsTable[year2], ER$3)=0, NotFound, SUMIFS(allFYsTable[Actual], allFYsTable[Code], SummaryTable[[#This Row],[Code]], allFYsTable[year2], ER$3))</f>
        <v>20716</v>
      </c>
      <c r="EW29" s="61">
        <f>IF(COUNTIFS(allFYsTable[Code], SummaryTable[[#This Row],[Code]], allFYsTable[year2], ER$3)=0, NotFound, SUMIFS(allFYsTable[DiffAmount], allFYsTable[Code], SummaryTable[[#This Row],[Code]], allFYsTable[year2], ER$3))</f>
        <v>2562</v>
      </c>
      <c r="EX29" s="63">
        <f>IF(SummaryTable[[#This Row],[OriginalBudget08]]=0, IF(SummaryTable[[#This Row],[DiffAmount08]]=0, ZeroBudgetNoSpending, ZeroBudgetWithSpending), SummaryTable[[#This Row],[DiffAmount08]]/SummaryTable[[#This Row],[OriginalBudget08]])</f>
        <v>0.14112592266167237</v>
      </c>
      <c r="EY29" s="62">
        <f>IF(COUNTIFS(allFYsTable[Code], SummaryTable[[#This Row],[Code]], allFYsTable[year2], EY$3)=0, NotFound, SUMIFS(allFYsTable[OriginalBudget], allFYsTable[Code], SummaryTable[[#This Row],[Code]], allFYsTable[year2], EY$3))</f>
        <v>12735</v>
      </c>
      <c r="EZ29" s="61">
        <f>SummaryTable[[#This Row],[OriginalBudget07]]-SummaryTable[[#This Row],[OriginalBudget06]]</f>
        <v>9795</v>
      </c>
      <c r="FA29" s="54">
        <f>SummaryTable[[#This Row],[BudgetIncreaseAmount07]]/SummaryTable[[#This Row],[OriginalBudget06]]</f>
        <v>3.3316326530612246</v>
      </c>
      <c r="FB29" s="61">
        <f>IF(COUNTIFS(allFYsTable[Code], SummaryTable[[#This Row],[Code]], allFYsTable[year2], EY$3)=0, NotFound, SUMIFS(allFYsTable[RevisedBudget], allFYsTable[Code], SummaryTable[[#This Row],[Code]], allFYsTable[year2], EY$3))</f>
        <v>12927</v>
      </c>
      <c r="FC29" s="61">
        <f>IF(COUNTIFS(allFYsTable[Code], SummaryTable[[#This Row],[Code]], allFYsTable[year2], EY$3)=0, NotFound, SUMIFS(allFYsTable[Actual], allFYsTable[Code], SummaryTable[[#This Row],[Code]], allFYsTable[year2], EY$3))</f>
        <v>11421</v>
      </c>
      <c r="FD29" s="61">
        <f>IF(COUNTIFS(allFYsTable[Code], SummaryTable[[#This Row],[Code]], allFYsTable[year2], EY$3)=0, NotFound, SUMIFS(allFYsTable[DiffAmount], allFYsTable[Code], SummaryTable[[#This Row],[Code]], allFYsTable[year2], EY$3))</f>
        <v>-1314</v>
      </c>
      <c r="FE29" s="63">
        <f>IF(SummaryTable[[#This Row],[OriginalBudget07]]=0, IF(SummaryTable[[#This Row],[DiffAmount07]]=0, ZeroBudgetNoSpending, ZeroBudgetWithSpending), SummaryTable[[#This Row],[DiffAmount07]]/SummaryTable[[#This Row],[OriginalBudget07]])</f>
        <v>-0.10318021201413427</v>
      </c>
      <c r="FF29" s="62">
        <f>IF(COUNTIFS(allFYsTable[Code], SummaryTable[[#This Row],[Code]], allFYsTable[year2], FF$3)=0, NotFound, SUMIFS(allFYsTable[OriginalBudget], allFYsTable[Code], SummaryTable[[#This Row],[Code]], allFYsTable[year2], FF$3))</f>
        <v>2940</v>
      </c>
      <c r="FI29" s="61">
        <f>IF(COUNTIFS(allFYsTable[Code], SummaryTable[[#This Row],[Code]], allFYsTable[year2], FF$3)=0, NotFound, SUMIFS(allFYsTable[RevisedBudget], allFYsTable[Code], SummaryTable[[#This Row],[Code]], allFYsTable[year2], FF$3))</f>
        <v>2944</v>
      </c>
      <c r="FJ29" s="61">
        <f>IF(COUNTIFS(allFYsTable[Code], SummaryTable[[#This Row],[Code]], allFYsTable[year2], FF$3)=0, NotFound, SUMIFS(allFYsTable[Actual], allFYsTable[Code], SummaryTable[[#This Row],[Code]], allFYsTable[year2], FF$3))</f>
        <v>2934</v>
      </c>
      <c r="FK29" s="61">
        <f>IF(COUNTIFS(allFYsTable[Code], SummaryTable[[#This Row],[Code]], allFYsTable[year2], FF$3)=0, NotFound, SUMIFS(allFYsTable[DiffAmount], allFYsTable[Code], SummaryTable[[#This Row],[Code]], allFYsTable[year2], FF$3))</f>
        <v>-6</v>
      </c>
      <c r="FL29" s="63">
        <f>IF(SummaryTable[[#This Row],[OriginalBudget06]]=0, IF(SummaryTable[[#This Row],[DiffAmount06]]=0, ZeroBudgetNoSpending, ZeroBudgetWithSpending), SummaryTable[[#This Row],[DiffAmount06]]/SummaryTable[[#This Row],[OriginalBudget06]])</f>
        <v>-2.0408163265306124E-3</v>
      </c>
    </row>
    <row r="30" spans="1:168" x14ac:dyDescent="0.45">
      <c r="A30" t="s">
        <v>751</v>
      </c>
      <c r="B30">
        <f>_xlfn.MAXIFS(allFYsTable[year2], allFYsTable[Code], SummaryTable[[#This Row],[Code]])</f>
        <v>2025</v>
      </c>
      <c r="C30" t="str">
        <f>_xlfn.XLOOKUP(SummaryTable[[#This Row],[Code]], NameCodingTable[Code], NameCodingTable[Most Recent Category per allFYs])</f>
        <v>Public safety and justice</v>
      </c>
      <c r="D30" t="str">
        <f>_xlfn.XLOOKUP(SummaryTable[[#This Row],[Code]], NameCodingTable[Code], NameCodingTable[Unit Display Name])</f>
        <v>Department of Forensic Sciences (DFS)</v>
      </c>
      <c r="E30" t="str">
        <f>_xlfn.XLOOKUP(SummaryTable[[#This Row],[Code]], NameCodingTable[Code], NameCodingTable[Type])</f>
        <v>agency</v>
      </c>
      <c r="F3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3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5</v>
      </c>
      <c r="H30" s="54">
        <f>SummaryTable[[#This Row],['# Over]]/SummaryTable[[#This Row],[Count]]</f>
        <v>0.25</v>
      </c>
      <c r="I3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15</v>
      </c>
      <c r="J30" s="54">
        <f>SummaryTable[[#This Row],['# Under]]/SummaryTable[[#This Row],[Count]]</f>
        <v>0.75</v>
      </c>
      <c r="K3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30" s="54">
        <f>SummaryTable[[#This Row],['# Equal]]/SummaryTable[[#This Row],[Count]]</f>
        <v>0</v>
      </c>
      <c r="M30" s="61">
        <f>SUMIFS(allFYsTable[OriginalBudget],allFYsTable[Code],SummaryTable[[#This Row],[Code]])/SummaryTable[[#This Row],[Count]]</f>
        <v>16306.2</v>
      </c>
      <c r="N30" s="61">
        <f>SUMIFS(allFYsTable[Actual],allFYsTable[Code],SummaryTable[[#This Row],[Code]])/SummaryTable[[#This Row],[Count]]</f>
        <v>15549.8</v>
      </c>
      <c r="O30" s="61">
        <f>SummaryTable[[#This Row],[AvgActAmt]]-SummaryTable[[#This Row],[AvgBudAmt]]</f>
        <v>-756.40000000000146</v>
      </c>
      <c r="P30" s="54">
        <f>IF(SummaryTable[[#This Row],[AvgBudAmt]]=0, IF(SummaryTable[[#This Row],[AvgDiff'#]]=0, 0, NamedFields!$C$3), SummaryTable[[#This Row],[AvgDiff'#]]/SummaryTable[[#This Row],[AvgBudAmt]])</f>
        <v>-4.6387263740172539E-2</v>
      </c>
      <c r="Q30" s="61">
        <f>IFERROR(SUMIFS(allFYsTable[OriginalBudget],allFYsTable[Code],SummaryTable[[#This Row],[Code]],allFYsTable[DiffAmount], "&gt;0")/SummaryTable[[#This Row],['# Over]], 0)</f>
        <v>14315.6</v>
      </c>
      <c r="R30" s="61">
        <f>IFERROR(SUMIFS(allFYsTable[Actual],allFYsTable[Code],SummaryTable[[#This Row],[Code]],allFYsTable[DiffAmount], "&gt;0")/SummaryTable[[#This Row],['# Over]], 0)</f>
        <v>14880.4</v>
      </c>
      <c r="S30" s="61">
        <f>SummaryTable[[#This Row],[OverAvgAct]]-SummaryTable[[#This Row],[OverAvgBud]]</f>
        <v>564.79999999999927</v>
      </c>
      <c r="T30" s="54">
        <f>IF(SummaryTable[[#This Row],[OverAvgBud]]=0, IF(SummaryTable[[#This Row],[OverAvgDiff'#]]=0, ZeroBudgetNoSpending, ZeroBudgetWithSpending), SummaryTable[[#This Row],[OverAvgDiff'#]]/SummaryTable[[#This Row],[OverAvgBud]])</f>
        <v>3.9453463354661995E-2</v>
      </c>
      <c r="U30" s="61">
        <f>IFERROR(SUMIFS(allFYsTable[OriginalBudget],allFYsTable[Code],SummaryTable[[#This Row],[Code]],allFYsTable[DiffAmount], "&lt;0")/SummaryTable[[#This Row],['# Under]], 0)</f>
        <v>16969.733333333334</v>
      </c>
      <c r="V30" s="61">
        <f>IFERROR( SUMIFS(allFYsTable[Actual],allFYsTable[Code],SummaryTable[[#This Row],[Code]],allFYsTable[DiffAmount], "&lt;0")/SummaryTable[[#This Row],['# Under]], 0)</f>
        <v>15772.933333333332</v>
      </c>
      <c r="W30" s="61">
        <f>SummaryTable[[#This Row],[UnderAvgAct]]-SummaryTable[[#This Row],[UnderAvgBud]]</f>
        <v>-1196.8000000000011</v>
      </c>
      <c r="X30" s="54">
        <f>IF(SummaryTable[[#This Row],[UnderAvgBud]]=0, IF(SummaryTable[[#This Row],[UnderAvgDiff'#]]=0, ZeroBudgetNoSpending, NamedFields!$C$3), SummaryTable[[#This Row],[UnderAvgDiff'#]]/SummaryTable[[#This Row],[UnderAvgBud]])</f>
        <v>-7.0525563159507573E-2</v>
      </c>
      <c r="Y3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8</v>
      </c>
      <c r="Z3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30" s="54">
        <f>IF(SummaryTable[[#This Row],[IncreaseYears]]=0, ZeroBudgetNoSpending, SummaryTable[[#This Row],[OSinIncreaseYear'#]]/SummaryTable[[#This Row],[IncreaseYears]])</f>
        <v>0</v>
      </c>
      <c r="AB30" s="58" t="str">
        <f>SummaryTable[[#This Row],[Code]]</f>
        <v>FR0</v>
      </c>
      <c r="AC30" s="62">
        <f>IF(COUNTIFS(allFYsTable[Code], SummaryTable[[#This Row],[Code]], allFYsTable[year2], AC$3)=0, NotFound, SUMIFS(allFYsTable[OriginalBudget], allFYsTable[Code], SummaryTable[[#This Row],[Code]], allFYsTable[year2], AC$3))</f>
        <v>34674</v>
      </c>
      <c r="AD30" s="61">
        <f>SummaryTable[[#This Row],[OriginalBudget25]]-SummaryTable[[#This Row],[OriginalBudget24]]</f>
        <v>1969</v>
      </c>
      <c r="AE30" s="54">
        <f>SummaryTable[[#This Row],[BudgetIncreaseAmount25]]/SummaryTable[[#This Row],[OriginalBudget24]]</f>
        <v>6.0204861641950769E-2</v>
      </c>
      <c r="AF30" s="61">
        <f>IF(COUNTIFS(allFYsTable[Code], SummaryTable[[#This Row],[Code]], allFYsTable[year2], AC$3)=0, NotFound, SUMIFS(allFYsTable[RevisedBudget], allFYsTable[Code], SummaryTable[[#This Row],[Code]], allFYsTable[year2], AC$3))</f>
        <v>34120</v>
      </c>
      <c r="AG30" s="61">
        <f>IF(COUNTIFS(allFYsTable[Code], SummaryTable[[#This Row],[Code]], allFYsTable[year2], AC$3)=0, NotFound, SUMIFS(allFYsTable[Actual], allFYsTable[Code], SummaryTable[[#This Row],[Code]], allFYsTable[year2], AC$3))</f>
        <v>31718</v>
      </c>
      <c r="AH30" s="61">
        <f>IF(COUNTIFS(allFYsTable[Code], SummaryTable[[#This Row],[Code]], allFYsTable[year2], AC$3)=0, NotFound, SUMIFS(allFYsTable[DiffAmount], allFYsTable[Code], SummaryTable[[#This Row],[Code]], allFYsTable[year2], AC$3))</f>
        <v>-2956</v>
      </c>
      <c r="AI30" s="63">
        <f>IF(SummaryTable[[#This Row],[OriginalBudget25]]=0, IF(SummaryTable[[#This Row],[DiffAmount25]]=0, ZeroBudgetNoSpending, ZeroBudgetWithSpending), SummaryTable[[#This Row],[DiffAmount25]]/SummaryTable[[#This Row],[OriginalBudget25]])</f>
        <v>-8.5251196862202228E-2</v>
      </c>
      <c r="AJ30" s="62">
        <f>IF(COUNTIFS(allFYsTable[Code], SummaryTable[[#This Row],[Code]], allFYsTable[year2], AJ$3)=0, NotFound, SUMIFS(allFYsTable[OriginalBudget], allFYsTable[Code], SummaryTable[[#This Row],[Code]], allFYsTable[year2], AJ$3))</f>
        <v>32705</v>
      </c>
      <c r="AK30" s="61">
        <f>SummaryTable[[#This Row],[OriginalBudget24]]-SummaryTable[[#This Row],[OriginalBudget23]]</f>
        <v>1760</v>
      </c>
      <c r="AL30" s="54">
        <f>SummaryTable[[#This Row],[BudgetIncreaseAmount24]]/SummaryTable[[#This Row],[OriginalBudget23]]</f>
        <v>5.6875100985619646E-2</v>
      </c>
      <c r="AM30" s="61">
        <f>IF(COUNTIFS(allFYsTable[Code], SummaryTable[[#This Row],[Code]], allFYsTable[year2], AK$3)=0, NotFound, SUMIFS(allFYsTable[RevisedBudget], allFYsTable[Code], SummaryTable[[#This Row],[Code]], allFYsTable[year2], AJ$3))</f>
        <v>31744</v>
      </c>
      <c r="AN30" s="61">
        <f>IF(COUNTIFS(allFYsTable[Code], SummaryTable[[#This Row],[Code]], allFYsTable[year2], AJ$3)=0, NotFound, SUMIFS(allFYsTable[Actual], allFYsTable[Code], SummaryTable[[#This Row],[Code]], allFYsTable[year2], AJ$3))</f>
        <v>30315</v>
      </c>
      <c r="AO30" s="61">
        <f>IF(COUNTIFS(allFYsTable[Code], SummaryTable[[#This Row],[Code]], allFYsTable[year2], AJ$3)=0, NotFound, SUMIFS(allFYsTable[DiffAmount], allFYsTable[Code], SummaryTable[[#This Row],[Code]], allFYsTable[year2], AJ$3))</f>
        <v>-2390</v>
      </c>
      <c r="AP30" s="63">
        <f>IF(SummaryTable[[#This Row],[OriginalBudget24]]=0, IF(SummaryTable[[#This Row],[DiffAmount24]]=0, ZeroBudgetNoSpending, ZeroBudgetWithSpending), SummaryTable[[#This Row],[DiffAmount24]]/SummaryTable[[#This Row],[OriginalBudget24]])</f>
        <v>-7.3077511083932123E-2</v>
      </c>
      <c r="AQ30" s="62">
        <f>IF(COUNTIFS(allFYsTable[Code], SummaryTable[[#This Row],[Code]], allFYsTable[year2], AQ$3)=0, NotFound, SUMIFS(allFYsTable[OriginalBudget], allFYsTable[Code], SummaryTable[[#This Row],[Code]], allFYsTable[year2], AQ$3))</f>
        <v>30945</v>
      </c>
      <c r="AR30" s="61">
        <f>SummaryTable[[#This Row],[OriginalBudget23]]-SummaryTable[[#This Row],[OriginalBudget22]]</f>
        <v>2512</v>
      </c>
      <c r="AS30" s="54">
        <f>SummaryTable[[#This Row],[BudgetIncreaseAmount23]]/SummaryTable[[#This Row],[OriginalBudget22]]</f>
        <v>8.8348046284247181E-2</v>
      </c>
      <c r="AT30" s="61">
        <f>IF(COUNTIFS(allFYsTable[Code], SummaryTable[[#This Row],[Code]], allFYsTable[year2], AQ$3)=0, NotFound, SUMIFS(allFYsTable[RevisedBudget], allFYsTable[Code], SummaryTable[[#This Row],[Code]], allFYsTable[year2], AQ$3))</f>
        <v>28445</v>
      </c>
      <c r="AU30" s="61">
        <f>IF(COUNTIFS(allFYsTable[Code], SummaryTable[[#This Row],[Code]], allFYsTable[year2], AQ$3)=0, NotFound, SUMIFS(allFYsTable[Actual], allFYsTable[Code], SummaryTable[[#This Row],[Code]], allFYsTable[year2], AQ$3))</f>
        <v>27691</v>
      </c>
      <c r="AV30" s="61">
        <f>IF(COUNTIFS(allFYsTable[Code], SummaryTable[[#This Row],[Code]], allFYsTable[year2], AQ$3)=0, NotFound, SUMIFS(allFYsTable[DiffAmount], allFYsTable[Code], SummaryTable[[#This Row],[Code]], allFYsTable[year2], AQ$3))</f>
        <v>-3254</v>
      </c>
      <c r="AW30" s="63">
        <f>IF(SummaryTable[[#This Row],[OriginalBudget23]]=0, IF(SummaryTable[[#This Row],[DiffAmount23]]=0, ZeroBudgetNoSpending, ZeroBudgetWithSpending), SummaryTable[[#This Row],[DiffAmount23]]/SummaryTable[[#This Row],[OriginalBudget23]])</f>
        <v>-0.10515430602682178</v>
      </c>
      <c r="AX30" s="62">
        <f>IF(COUNTIFS(allFYsTable[Code], SummaryTable[[#This Row],[Code]], allFYsTable[year2], AX$3)=0, NotFound, SUMIFS(allFYsTable[OriginalBudget], allFYsTable[Code], SummaryTable[[#This Row],[Code]], allFYsTable[year2], AX$3))</f>
        <v>28433</v>
      </c>
      <c r="AY30" s="61">
        <f>SummaryTable[[#This Row],[OriginalBudget22]]-SummaryTable[[#This Row],[OriginalBudget21]]</f>
        <v>6</v>
      </c>
      <c r="AZ30" s="54">
        <f>SummaryTable[[#This Row],[BudgetIncreaseAmount22]]/SummaryTable[[#This Row],[OriginalBudget21]]</f>
        <v>2.1106694339888135E-4</v>
      </c>
      <c r="BA30" s="61">
        <f>IF(COUNTIFS(allFYsTable[Code], SummaryTable[[#This Row],[Code]], allFYsTable[year2], AX$3)=0, NotFound, SUMIFS(allFYsTable[RevisedBudget], allFYsTable[Code], SummaryTable[[#This Row],[Code]], allFYsTable[year2], AX$3))</f>
        <v>30666</v>
      </c>
      <c r="BB30" s="61">
        <f>IF(COUNTIFS(allFYsTable[Code], SummaryTable[[#This Row],[Code]], allFYsTable[year2], AX$3)=0, NotFound, SUMIFS(allFYsTable[Actual], allFYsTable[Code], SummaryTable[[#This Row],[Code]], allFYsTable[year2], AX$3))</f>
        <v>30324</v>
      </c>
      <c r="BC30" s="61">
        <f>IF(COUNTIFS(allFYsTable[Code], SummaryTable[[#This Row],[Code]], allFYsTable[year2], AX$3)=0, NotFound, SUMIFS(allFYsTable[DiffAmount], allFYsTable[Code], SummaryTable[[#This Row],[Code]], allFYsTable[year2], AX$3))</f>
        <v>1891</v>
      </c>
      <c r="BD30" s="63">
        <f>IF(SummaryTable[[#This Row],[OriginalBudget22]]=0, IF(SummaryTable[[#This Row],[DiffAmount22]]=0, ZeroBudgetNoSpending, ZeroBudgetWithSpending), SummaryTable[[#This Row],[DiffAmount22]]/SummaryTable[[#This Row],[OriginalBudget22]])</f>
        <v>6.6507227517321424E-2</v>
      </c>
      <c r="BE30" s="62">
        <f>IF(COUNTIFS(allFYsTable[Code], SummaryTable[[#This Row],[Code]], allFYsTable[year2], BE$3)=0, NotFound, SUMIFS(allFYsTable[OriginalBudget], allFYsTable[Code], SummaryTable[[#This Row],[Code]], allFYsTable[year2], BE$3))</f>
        <v>28427</v>
      </c>
      <c r="BF30" s="61">
        <f>SummaryTable[[#This Row],[OriginalBudget21]]-SummaryTable[[#This Row],[OriginalBudget20]]</f>
        <v>370</v>
      </c>
      <c r="BG30" s="54">
        <f>SummaryTable[[#This Row],[BudgetIncreaseAmount21]]/SummaryTable[[#This Row],[OriginalBudget20]]</f>
        <v>1.3187439854581744E-2</v>
      </c>
      <c r="BH30" s="61">
        <f>IF(COUNTIFS(allFYsTable[Code], SummaryTable[[#This Row],[Code]], allFYsTable[year2], BE$3)=0, NotFound, SUMIFS(allFYsTable[RevisedBudget], allFYsTable[Code], SummaryTable[[#This Row],[Code]], allFYsTable[year2], BE$3))</f>
        <v>27773</v>
      </c>
      <c r="BI30" s="61">
        <f>IF(COUNTIFS(allFYsTable[Code], SummaryTable[[#This Row],[Code]], allFYsTable[year2], BE$3)=0, NotFound, SUMIFS(allFYsTable[Actual], allFYsTable[Code], SummaryTable[[#This Row],[Code]], allFYsTable[year2], BE$3))</f>
        <v>27610</v>
      </c>
      <c r="BJ30" s="61">
        <f>IF(COUNTIFS(allFYsTable[Code], SummaryTable[[#This Row],[Code]], allFYsTable[year2], BE$3)=0, NotFound, SUMIFS(allFYsTable[DiffAmount], allFYsTable[Code], SummaryTable[[#This Row],[Code]], allFYsTable[year2], BE$3))</f>
        <v>-817</v>
      </c>
      <c r="BK30" s="63">
        <f>IF(SummaryTable[[#This Row],[OriginalBudget21]]=0, IF(SummaryTable[[#This Row],[DiffAmount21]]=0, ZeroBudgetNoSpending, ZeroBudgetWithSpending), SummaryTable[[#This Row],[DiffAmount21]]/SummaryTable[[#This Row],[OriginalBudget21]])</f>
        <v>-2.8740282126147678E-2</v>
      </c>
      <c r="BL30" s="62">
        <f>IF(COUNTIFS(allFYsTable[Code], SummaryTable[[#This Row],[Code]], allFYsTable[year2], BL$3)=0, NotFound, SUMIFS(allFYsTable[OriginalBudget], allFYsTable[Code], SummaryTable[[#This Row],[Code]], allFYsTable[year2], BL$3))</f>
        <v>28057</v>
      </c>
      <c r="BM30" s="61">
        <f>SummaryTable[[#This Row],[OriginalBudget20]]-SummaryTable[[#This Row],[OriginalBudget19]]</f>
        <v>1956</v>
      </c>
      <c r="BN30" s="54">
        <f>SummaryTable[[#This Row],[BudgetIncreaseAmount20]]/SummaryTable[[#This Row],[OriginalBudget19]]</f>
        <v>7.4939657484387565E-2</v>
      </c>
      <c r="BO30" s="61">
        <f>IF(COUNTIFS(allFYsTable[Code], SummaryTable[[#This Row],[Code]], allFYsTable[year2], BL$3)=0, NotFound, SUMIFS(allFYsTable[RevisedBudget], allFYsTable[Code], SummaryTable[[#This Row],[Code]], allFYsTable[year2], BL$3))</f>
        <v>27378</v>
      </c>
      <c r="BP30" s="61">
        <f>IF(COUNTIFS(allFYsTable[Code], SummaryTable[[#This Row],[Code]], allFYsTable[year2], BL$3)=0, NotFound, SUMIFS(allFYsTable[Actual], allFYsTable[Code], SummaryTable[[#This Row],[Code]], allFYsTable[year2], BL$3))</f>
        <v>27227</v>
      </c>
      <c r="BQ30" s="61">
        <f>IF(COUNTIFS(allFYsTable[Code], SummaryTable[[#This Row],[Code]], allFYsTable[year2], BL$3)=0, NotFound, SUMIFS(allFYsTable[DiffAmount], allFYsTable[Code], SummaryTable[[#This Row],[Code]], allFYsTable[year2], BL$3))</f>
        <v>-830</v>
      </c>
      <c r="BR30" s="63">
        <f>IF(SummaryTable[[#This Row],[OriginalBudget20]]=0, IF(SummaryTable[[#This Row],[DiffAmount20]]=0, ZeroBudgetNoSpending, ZeroBudgetWithSpending), SummaryTable[[#This Row],[DiffAmount20]]/SummaryTable[[#This Row],[OriginalBudget20]])</f>
        <v>-2.9582635349467156E-2</v>
      </c>
      <c r="BS30" s="62">
        <f>IF(COUNTIFS(allFYsTable[Code], SummaryTable[[#This Row],[Code]], allFYsTable[year2], BS$3)=0, NotFound, SUMIFS(allFYsTable[OriginalBudget], allFYsTable[Code], SummaryTable[[#This Row],[Code]], allFYsTable[year2], BS$3))</f>
        <v>26101</v>
      </c>
      <c r="BT30" s="61">
        <f>SummaryTable[[#This Row],[OriginalBudget19]]-SummaryTable[[#This Row],[OriginalBudget18]]</f>
        <v>314</v>
      </c>
      <c r="BU30" s="54">
        <f>SummaryTable[[#This Row],[BudgetIncreaseAmount19]]/SummaryTable[[#This Row],[OriginalBudget18]]</f>
        <v>1.2176678171171521E-2</v>
      </c>
      <c r="BV30" s="61">
        <f>IF(COUNTIFS(allFYsTable[Code], SummaryTable[[#This Row],[Code]], allFYsTable[year2], BS$3)=0, NotFound, SUMIFS(allFYsTable[RevisedBudget], allFYsTable[Code], SummaryTable[[#This Row],[Code]], allFYsTable[year2], BS$3))</f>
        <v>26380</v>
      </c>
      <c r="BW30" s="61">
        <f>IF(COUNTIFS(allFYsTable[Code], SummaryTable[[#This Row],[Code]], allFYsTable[year2], BS$3)=0, NotFound, SUMIFS(allFYsTable[Actual], allFYsTable[Code], SummaryTable[[#This Row],[Code]], allFYsTable[year2], BS$3))</f>
        <v>26205</v>
      </c>
      <c r="BX30" s="61">
        <f>IF(COUNTIFS(allFYsTable[Code], SummaryTable[[#This Row],[Code]], allFYsTable[year2], BS$3)=0, NotFound, SUMIFS(allFYsTable[DiffAmount], allFYsTable[Code], SummaryTable[[#This Row],[Code]], allFYsTable[year2], BS$3))</f>
        <v>104</v>
      </c>
      <c r="BY30" s="63">
        <f>IF(SummaryTable[[#This Row],[OriginalBudget19]]=0, IF(SummaryTable[[#This Row],[DiffAmount19]]=0, ZeroBudgetNoSpending, ZeroBudgetWithSpending), SummaryTable[[#This Row],[DiffAmount19]]/SummaryTable[[#This Row],[OriginalBudget19]])</f>
        <v>3.9845216658365582E-3</v>
      </c>
      <c r="BZ30" s="62">
        <f>IF(COUNTIFS(allFYsTable[Code], SummaryTable[[#This Row],[Code]], allFYsTable[year2], BZ$3)=0, NotFound, SUMIFS(allFYsTable[OriginalBudget], allFYsTable[Code], SummaryTable[[#This Row],[Code]], allFYsTable[year2], BZ$3))</f>
        <v>25787</v>
      </c>
      <c r="CA30" s="61">
        <f>SummaryTable[[#This Row],[OriginalBudget18]]-SummaryTable[[#This Row],[OriginalBudget17]]</f>
        <v>2908</v>
      </c>
      <c r="CB30" s="54">
        <f>SummaryTable[[#This Row],[BudgetIncreaseAmount18]]/SummaryTable[[#This Row],[OriginalBudget17]]</f>
        <v>0.12710345731893877</v>
      </c>
      <c r="CC30" s="61">
        <f>IF(COUNTIFS(allFYsTable[Code], SummaryTable[[#This Row],[Code]], allFYsTable[year2], BZ$3)=0, NotFound, SUMIFS(allFYsTable[RevisedBudget], allFYsTable[Code], SummaryTable[[#This Row],[Code]], allFYsTable[year2], BZ$3))</f>
        <v>25405</v>
      </c>
      <c r="CD30" s="61">
        <f>IF(COUNTIFS(allFYsTable[Code], SummaryTable[[#This Row],[Code]], allFYsTable[year2], BZ$3)=0, NotFound, SUMIFS(allFYsTable[Actual], allFYsTable[Code], SummaryTable[[#This Row],[Code]], allFYsTable[year2], BZ$3))</f>
        <v>25113</v>
      </c>
      <c r="CE30" s="61">
        <f>IF(COUNTIFS(allFYsTable[Code], SummaryTable[[#This Row],[Code]], allFYsTable[year2], BZ$3)=0, NotFound, SUMIFS(allFYsTable[DiffAmount], allFYsTable[Code], SummaryTable[[#This Row],[Code]], allFYsTable[year2], BZ$3))</f>
        <v>-674</v>
      </c>
      <c r="CF30" s="63">
        <f>IF(SummaryTable[[#This Row],[OriginalBudget18]]=0, IF(SummaryTable[[#This Row],[DiffAmount18]]=0, ZeroBudgetNoSpending, ZeroBudgetWithSpending), SummaryTable[[#This Row],[DiffAmount18]]/SummaryTable[[#This Row],[OriginalBudget18]])</f>
        <v>-2.6137200915189826E-2</v>
      </c>
      <c r="CG30" s="62">
        <f>IF(COUNTIFS(allFYsTable[Code], SummaryTable[[#This Row],[Code]], allFYsTable[year2], CG$3)=0, NotFound, SUMIFS(allFYsTable[OriginalBudget], allFYsTable[Code], SummaryTable[[#This Row],[Code]], allFYsTable[year2], CG$3))</f>
        <v>22879</v>
      </c>
      <c r="CH30" s="61">
        <f>SummaryTable[[#This Row],[OriginalBudget17]]-SummaryTable[[#This Row],[OriginalBudget16]]</f>
        <v>379</v>
      </c>
      <c r="CI30" s="54">
        <f>SummaryTable[[#This Row],[BudgetIncreaseAmount17]]/SummaryTable[[#This Row],[OriginalBudget16]]</f>
        <v>1.6844444444444443E-2</v>
      </c>
      <c r="CJ30" s="61">
        <f>IF(COUNTIFS(allFYsTable[Code], SummaryTable[[#This Row],[Code]], allFYsTable[year2], CG$3)=0, NotFound, SUMIFS(allFYsTable[RevisedBudget], allFYsTable[Code], SummaryTable[[#This Row],[Code]], allFYsTable[year2], CG$3))</f>
        <v>21048</v>
      </c>
      <c r="CK30" s="61">
        <f>IF(COUNTIFS(allFYsTable[Code], SummaryTable[[#This Row],[Code]], allFYsTable[year2], CG$3)=0, NotFound, SUMIFS(allFYsTable[Actual], allFYsTable[Code], SummaryTable[[#This Row],[Code]], allFYsTable[year2], CG$3))</f>
        <v>20529</v>
      </c>
      <c r="CL30" s="61">
        <f>IF(COUNTIFS(allFYsTable[Code], SummaryTable[[#This Row],[Code]], allFYsTable[year2], CG$3)=0, NotFound, SUMIFS(allFYsTable[DiffAmount], allFYsTable[Code], SummaryTable[[#This Row],[Code]], allFYsTable[year2], CG$3))</f>
        <v>-2350</v>
      </c>
      <c r="CM30" s="63">
        <f>IF(SummaryTable[[#This Row],[OriginalBudget17]]=0, IF(SummaryTable[[#This Row],[DiffAmount17]]=0, ZeroBudgetNoSpending, ZeroBudgetWithSpending), SummaryTable[[#This Row],[DiffAmount17]]/SummaryTable[[#This Row],[OriginalBudget17]])</f>
        <v>-0.10271427947025656</v>
      </c>
      <c r="CN30" s="62">
        <f>IF(COUNTIFS(allFYsTable[Code], SummaryTable[[#This Row],[Code]], allFYsTable[year2], CN$3)=0, NotFound, SUMIFS(allFYsTable[OriginalBudget], allFYsTable[Code], SummaryTable[[#This Row],[Code]], allFYsTable[year2], CN$3))</f>
        <v>22500</v>
      </c>
      <c r="CO30" s="61">
        <f>SummaryTable[[#This Row],[OriginalBudget16]]-SummaryTable[[#This Row],[OriginalBudget15]]</f>
        <v>8028</v>
      </c>
      <c r="CP30" s="54">
        <f>SummaryTable[[#This Row],[BudgetIncreaseAmount16]]/SummaryTable[[#This Row],[OriginalBudget15]]</f>
        <v>0.55472636815920395</v>
      </c>
      <c r="CQ30" s="61">
        <f>IF(COUNTIFS(allFYsTable[Code], SummaryTable[[#This Row],[Code]], allFYsTable[year2], CN$3)=0, NotFound, SUMIFS(allFYsTable[RevisedBudget], allFYsTable[Code], SummaryTable[[#This Row],[Code]], allFYsTable[year2], CN$3))</f>
        <v>20900</v>
      </c>
      <c r="CR30" s="61">
        <f>IF(COUNTIFS(allFYsTable[Code], SummaryTable[[#This Row],[Code]], allFYsTable[year2], CN$3)=0, NotFound, SUMIFS(allFYsTable[Actual], allFYsTable[Code], SummaryTable[[#This Row],[Code]], allFYsTable[year2], CN$3))</f>
        <v>20865</v>
      </c>
      <c r="CS30" s="61">
        <f>IF(COUNTIFS(allFYsTable[Code], SummaryTable[[#This Row],[Code]], allFYsTable[year2], CN$3)=0, NotFound, SUMIFS(allFYsTable[DiffAmount], allFYsTable[Code], SummaryTable[[#This Row],[Code]], allFYsTable[year2], CN$3))</f>
        <v>-1635</v>
      </c>
      <c r="CT30" s="63">
        <f>IF(SummaryTable[[#This Row],[OriginalBudget16]]=0, IF(SummaryTable[[#This Row],[DiffAmount16]]=0, ZeroBudgetNoSpending, ZeroBudgetWithSpending), SummaryTable[[#This Row],[DiffAmount16]]/SummaryTable[[#This Row],[OriginalBudget16]])</f>
        <v>-7.2666666666666671E-2</v>
      </c>
      <c r="CU30" s="62">
        <f>IF(COUNTIFS(allFYsTable[Code], SummaryTable[[#This Row],[Code]], allFYsTable[year2], CU$3)=0, NotFound, SUMIFS(allFYsTable[OriginalBudget], allFYsTable[Code], SummaryTable[[#This Row],[Code]], allFYsTable[year2], CU$3))</f>
        <v>14472</v>
      </c>
      <c r="CV30" s="61">
        <f>SummaryTable[[#This Row],[OriginalBudget15]]-SummaryTable[[#This Row],[OriginalBudget14]]</f>
        <v>2081</v>
      </c>
      <c r="CW30" s="54">
        <f>SummaryTable[[#This Row],[BudgetIncreaseAmount15]]/SummaryTable[[#This Row],[OriginalBudget14]]</f>
        <v>0.16794447582923089</v>
      </c>
      <c r="CX30" s="61">
        <f>IF(COUNTIFS(allFYsTable[Code], SummaryTable[[#This Row],[Code]], allFYsTable[year2], CU$3)=0, NotFound, SUMIFS(allFYsTable[RevisedBudget], allFYsTable[Code], SummaryTable[[#This Row],[Code]], allFYsTable[year2], CU$3))</f>
        <v>15277</v>
      </c>
      <c r="CY30" s="61">
        <f>IF(COUNTIFS(allFYsTable[Code], SummaryTable[[#This Row],[Code]], allFYsTable[year2], CU$3)=0, NotFound, SUMIFS(allFYsTable[Actual], allFYsTable[Code], SummaryTable[[#This Row],[Code]], allFYsTable[year2], CU$3))</f>
        <v>15205</v>
      </c>
      <c r="CZ30" s="61">
        <f>IF(COUNTIFS(allFYsTable[Code], SummaryTable[[#This Row],[Code]], allFYsTable[year2], CU$3)=0, NotFound, SUMIFS(allFYsTable[DiffAmount], allFYsTable[Code], SummaryTable[[#This Row],[Code]], allFYsTable[year2], CU$3))</f>
        <v>733</v>
      </c>
      <c r="DA30" s="63">
        <f>IF(SummaryTable[[#This Row],[OriginalBudget15]]=0, IF(SummaryTable[[#This Row],[DiffAmount15]]=0, ZeroBudgetNoSpending, ZeroBudgetWithSpending), SummaryTable[[#This Row],[DiffAmount15]]/SummaryTable[[#This Row],[OriginalBudget15]])</f>
        <v>5.0649530127142066E-2</v>
      </c>
      <c r="DB30" s="62">
        <f>IF(COUNTIFS(allFYsTable[Code], SummaryTable[[#This Row],[Code]], allFYsTable[year2], DB$3)=0, NotFound, SUMIFS(allFYsTable[OriginalBudget], allFYsTable[Code], SummaryTable[[#This Row],[Code]], allFYsTable[year2], DB$3))</f>
        <v>12391</v>
      </c>
      <c r="DC30" s="61">
        <f>SummaryTable[[#This Row],[OriginalBudget14]]-SummaryTable[[#This Row],[OriginalBudget13]]</f>
        <v>3886</v>
      </c>
      <c r="DD30" s="54">
        <f>SummaryTable[[#This Row],[BudgetIncreaseAmount14]]/SummaryTable[[#This Row],[OriginalBudget13]]</f>
        <v>0.45690770135214581</v>
      </c>
      <c r="DE30" s="61">
        <f>IF(COUNTIFS(allFYsTable[Code], SummaryTable[[#This Row],[Code]], allFYsTable[year2], DB$3)=0, NotFound, SUMIFS(allFYsTable[RevisedBudget], allFYsTable[Code], SummaryTable[[#This Row],[Code]], allFYsTable[year2], DB$3))</f>
        <v>12646</v>
      </c>
      <c r="DF30" s="61">
        <f>IF(COUNTIFS(allFYsTable[Code], SummaryTable[[#This Row],[Code]], allFYsTable[year2], DB$3)=0, NotFound, SUMIFS(allFYsTable[Actual], allFYsTable[Code], SummaryTable[[#This Row],[Code]], allFYsTable[year2], DB$3))</f>
        <v>11856</v>
      </c>
      <c r="DG30" s="61">
        <f>IF(COUNTIFS(allFYsTable[Code], SummaryTable[[#This Row],[Code]], allFYsTable[year2], DB$3)=0, NotFound, SUMIFS(allFYsTable[DiffAmount], allFYsTable[Code], SummaryTable[[#This Row],[Code]], allFYsTable[year2], DB$3))</f>
        <v>-535</v>
      </c>
      <c r="DH30" s="63">
        <f>IF(SummaryTable[[#This Row],[OriginalBudget14]]=0, IF(SummaryTable[[#This Row],[DiffAmount14]]=0, ZeroBudgetNoSpending, ZeroBudgetWithSpending), SummaryTable[[#This Row],[DiffAmount14]]/SummaryTable[[#This Row],[OriginalBudget14]])</f>
        <v>-4.3176499071907029E-2</v>
      </c>
      <c r="DI30" s="62">
        <f>IF(COUNTIFS(allFYsTable[Code], SummaryTable[[#This Row],[Code]], allFYsTable[year2], DI$3)=0, NotFound, SUMIFS(allFYsTable[OriginalBudget], allFYsTable[Code], SummaryTable[[#This Row],[Code]], allFYsTable[year2], DI$3))</f>
        <v>8505</v>
      </c>
      <c r="DJ30" s="61">
        <f>SummaryTable[[#This Row],[OriginalBudget13]]-SummaryTable[[#This Row],[OriginalBudget12]]</f>
        <v>6954</v>
      </c>
      <c r="DK30" s="54">
        <f>SummaryTable[[#This Row],[BudgetIncreaseAmount13]]/SummaryTable[[#This Row],[OriginalBudget12]]</f>
        <v>4.483558994197292</v>
      </c>
      <c r="DL30" s="61">
        <f>IF(COUNTIFS(allFYsTable[Code], SummaryTable[[#This Row],[Code]], allFYsTable[year2], DI$3)=0, NotFound, SUMIFS(allFYsTable[RevisedBudget], allFYsTable[Code], SummaryTable[[#This Row],[Code]], allFYsTable[year2], DI$3))</f>
        <v>8505</v>
      </c>
      <c r="DM30" s="61">
        <f>IF(COUNTIFS(allFYsTable[Code], SummaryTable[[#This Row],[Code]], allFYsTable[year2], DI$3)=0, NotFound, SUMIFS(allFYsTable[Actual], allFYsTable[Code], SummaryTable[[#This Row],[Code]], allFYsTable[year2], DI$3))</f>
        <v>7546</v>
      </c>
      <c r="DN30" s="61">
        <f>IF(COUNTIFS(allFYsTable[Code], SummaryTable[[#This Row],[Code]], allFYsTable[year2], DI$3)=0, NotFound, SUMIFS(allFYsTable[DiffAmount], allFYsTable[Code], SummaryTable[[#This Row],[Code]], allFYsTable[year2], DI$3))</f>
        <v>-959</v>
      </c>
      <c r="DO30" s="63">
        <f>IF(SummaryTable[[#This Row],[OriginalBudget13]]=0, IF(SummaryTable[[#This Row],[DiffAmount13]]=0, ZeroBudgetNoSpending, ZeroBudgetWithSpending), SummaryTable[[#This Row],[DiffAmount13]]/SummaryTable[[#This Row],[OriginalBudget13]])</f>
        <v>-0.11275720164609053</v>
      </c>
      <c r="DP30" s="62">
        <f>IF(COUNTIFS(allFYsTable[Code], SummaryTable[[#This Row],[Code]], allFYsTable[year2], DP$3)=0, NotFound, SUMIFS(allFYsTable[OriginalBudget], allFYsTable[Code], SummaryTable[[#This Row],[Code]], allFYsTable[year2], DP$3))</f>
        <v>1551</v>
      </c>
      <c r="DQ30" s="61">
        <f>SummaryTable[[#This Row],[OriginalBudget12]]-SummaryTable[[#This Row],[OriginalBudget11]]</f>
        <v>-50</v>
      </c>
      <c r="DR30" s="54">
        <f>SummaryTable[[#This Row],[BudgetIncreaseAmount12]]/SummaryTable[[#This Row],[OriginalBudget11]]</f>
        <v>-3.1230480949406621E-2</v>
      </c>
      <c r="DS30" s="61">
        <f>IF(COUNTIFS(allFYsTable[Code], SummaryTable[[#This Row],[Code]], allFYsTable[year2], DP$3)=0, NotFound, SUMIFS(allFYsTable[RevisedBudget], allFYsTable[Code], SummaryTable[[#This Row],[Code]], allFYsTable[year2], DP$3))</f>
        <v>1401</v>
      </c>
      <c r="DT30" s="61">
        <f>IF(COUNTIFS(allFYsTable[Code], SummaryTable[[#This Row],[Code]], allFYsTable[year2], DP$3)=0, NotFound, SUMIFS(allFYsTable[Actual], allFYsTable[Code], SummaryTable[[#This Row],[Code]], allFYsTable[year2], DP$3))</f>
        <v>1400</v>
      </c>
      <c r="DU30" s="61">
        <f>IF(COUNTIFS(allFYsTable[Code], SummaryTable[[#This Row],[Code]], allFYsTable[year2], DP$3)=0, NotFound, SUMIFS(allFYsTable[DiffAmount], allFYsTable[Code], SummaryTable[[#This Row],[Code]], allFYsTable[year2], DP$3))</f>
        <v>-151</v>
      </c>
      <c r="DV30" s="63">
        <f>IF(SummaryTable[[#This Row],[OriginalBudget12]]=0, IF(SummaryTable[[#This Row],[DiffAmount12]]=0, ZeroBudgetNoSpending, ZeroBudgetWithSpending), SummaryTable[[#This Row],[DiffAmount12]]/SummaryTable[[#This Row],[OriginalBudget12]])</f>
        <v>-9.7356544165054806E-2</v>
      </c>
      <c r="DW30" s="62">
        <f>IF(COUNTIFS(allFYsTable[Code], SummaryTable[[#This Row],[Code]], allFYsTable[year2], DW$3)=0, NotFound, SUMIFS(allFYsTable[OriginalBudget], allFYsTable[Code], SummaryTable[[#This Row],[Code]], allFYsTable[year2], DW$3))</f>
        <v>1601</v>
      </c>
      <c r="DX30" s="61">
        <f>SummaryTable[[#This Row],[OriginalBudget11]]-SummaryTable[[#This Row],[OriginalBudget10]]</f>
        <v>352</v>
      </c>
      <c r="DY30" s="54">
        <f>SummaryTable[[#This Row],[BudgetIncreaseAmount11]]/SummaryTable[[#This Row],[OriginalBudget10]]</f>
        <v>0.28182546036829464</v>
      </c>
      <c r="DZ30" s="61">
        <f>IF(COUNTIFS(allFYsTable[Code], SummaryTable[[#This Row],[Code]], allFYsTable[year2], DW$3)=0, NotFound, SUMIFS(allFYsTable[RevisedBudget], allFYsTable[Code], SummaryTable[[#This Row],[Code]], allFYsTable[year2], DW$3))</f>
        <v>1601</v>
      </c>
      <c r="EA30" s="61">
        <f>IF(COUNTIFS(allFYsTable[Code], SummaryTable[[#This Row],[Code]], allFYsTable[year2], DW$3)=0, NotFound, SUMIFS(allFYsTable[Actual], allFYsTable[Code], SummaryTable[[#This Row],[Code]], allFYsTable[year2], DW$3))</f>
        <v>1191</v>
      </c>
      <c r="EB30" s="61">
        <f>IF(COUNTIFS(allFYsTable[Code], SummaryTable[[#This Row],[Code]], allFYsTable[year2], DW$3)=0, NotFound, SUMIFS(allFYsTable[DiffAmount], allFYsTable[Code], SummaryTable[[#This Row],[Code]], allFYsTable[year2], DW$3))</f>
        <v>-410</v>
      </c>
      <c r="EC30" s="63">
        <f>IF(SummaryTable[[#This Row],[OriginalBudget11]]=0, IF(SummaryTable[[#This Row],[DiffAmount11]]=0, ZeroBudgetNoSpending, ZeroBudgetWithSpending), SummaryTable[[#This Row],[DiffAmount11]]/SummaryTable[[#This Row],[OriginalBudget11]])</f>
        <v>-0.25608994378513428</v>
      </c>
      <c r="ED30" s="62">
        <f>IF(COUNTIFS(allFYsTable[Code], SummaryTable[[#This Row],[Code]], allFYsTable[year2], ED$3)=0, NotFound, SUMIFS(allFYsTable[OriginalBudget], allFYsTable[Code], SummaryTable[[#This Row],[Code]], allFYsTable[year2], ED$3))</f>
        <v>1249</v>
      </c>
      <c r="EE30" s="61">
        <f>SummaryTable[[#This Row],[OriginalBudget10]]-SummaryTable[[#This Row],[OriginalBudget09]]</f>
        <v>-74</v>
      </c>
      <c r="EF30" s="54">
        <f>SummaryTable[[#This Row],[BudgetIncreaseAmount10]]/SummaryTable[[#This Row],[OriginalBudget09]]</f>
        <v>-5.5933484504913075E-2</v>
      </c>
      <c r="EG30" s="61">
        <f>IF(COUNTIFS(allFYsTable[Code], SummaryTable[[#This Row],[Code]], allFYsTable[year2], ED$3)=0, NotFound, SUMIFS(allFYsTable[RevisedBudget], allFYsTable[Code], SummaryTable[[#This Row],[Code]], allFYsTable[year2], ED$3))</f>
        <v>1293</v>
      </c>
      <c r="EH30" s="61">
        <f>IF(COUNTIFS(allFYsTable[Code], SummaryTable[[#This Row],[Code]], allFYsTable[year2], ED$3)=0, NotFound, SUMIFS(allFYsTable[Actual], allFYsTable[Code], SummaryTable[[#This Row],[Code]], allFYsTable[year2], ED$3))</f>
        <v>1293</v>
      </c>
      <c r="EI30" s="61">
        <f>IF(COUNTIFS(allFYsTable[Code], SummaryTable[[#This Row],[Code]], allFYsTable[year2], ED$3)=0, NotFound, SUMIFS(allFYsTable[DiffAmount], allFYsTable[Code], SummaryTable[[#This Row],[Code]], allFYsTable[year2], ED$3))</f>
        <v>44</v>
      </c>
      <c r="EJ30" s="63">
        <f>IF(SummaryTable[[#This Row],[OriginalBudget10]]=0, IF(SummaryTable[[#This Row],[DiffAmount10]]=0, ZeroBudgetNoSpending, ZeroBudgetWithSpending), SummaryTable[[#This Row],[DiffAmount10]]/SummaryTable[[#This Row],[OriginalBudget10]])</f>
        <v>3.5228182546036831E-2</v>
      </c>
      <c r="EK30" s="62">
        <f>IF(COUNTIFS(allFYsTable[Code], SummaryTable[[#This Row],[Code]], allFYsTable[year2], EK$3)=0, NotFound, SUMIFS(allFYsTable[OriginalBudget], allFYsTable[Code], SummaryTable[[#This Row],[Code]], allFYsTable[year2], EK$3))</f>
        <v>1323</v>
      </c>
      <c r="EL30" s="61">
        <f>SummaryTable[[#This Row],[OriginalBudget09]]-SummaryTable[[#This Row],[OriginalBudget08]]</f>
        <v>-363</v>
      </c>
      <c r="EM30" s="54">
        <f>SummaryTable[[#This Row],[BudgetIncreaseAmount09]]/SummaryTable[[#This Row],[OriginalBudget08]]</f>
        <v>-0.21530249110320285</v>
      </c>
      <c r="EN30" s="61">
        <f>IF(COUNTIFS(allFYsTable[Code], SummaryTable[[#This Row],[Code]], allFYsTable[year2], EK$3)=0, NotFound, SUMIFS(allFYsTable[RevisedBudget], allFYsTable[Code], SummaryTable[[#This Row],[Code]], allFYsTable[year2], EK$3))</f>
        <v>1377</v>
      </c>
      <c r="EO30" s="61">
        <f>IF(COUNTIFS(allFYsTable[Code], SummaryTable[[#This Row],[Code]], allFYsTable[year2], EK$3)=0, NotFound, SUMIFS(allFYsTable[Actual], allFYsTable[Code], SummaryTable[[#This Row],[Code]], allFYsTable[year2], EK$3))</f>
        <v>1375</v>
      </c>
      <c r="EP30" s="61">
        <f>IF(COUNTIFS(allFYsTable[Code], SummaryTable[[#This Row],[Code]], allFYsTable[year2], EK$3)=0, NotFound, SUMIFS(allFYsTable[DiffAmount], allFYsTable[Code], SummaryTable[[#This Row],[Code]], allFYsTable[year2], EK$3))</f>
        <v>52</v>
      </c>
      <c r="EQ30" s="63">
        <f>IF(SummaryTable[[#This Row],[OriginalBudget09]]=0, IF(SummaryTable[[#This Row],[DiffAmount09]]=0, ZeroBudgetNoSpending, ZeroBudgetWithSpending), SummaryTable[[#This Row],[DiffAmount09]]/SummaryTable[[#This Row],[OriginalBudget09]])</f>
        <v>3.9304610733182165E-2</v>
      </c>
      <c r="ER30" s="62">
        <f>IF(COUNTIFS(allFYsTable[Code], SummaryTable[[#This Row],[Code]], allFYsTable[year2], ER$3)=0, NotFound, SUMIFS(allFYsTable[OriginalBudget], allFYsTable[Code], SummaryTable[[#This Row],[Code]], allFYsTable[year2], ER$3))</f>
        <v>1686</v>
      </c>
      <c r="ES30" s="61">
        <f>SummaryTable[[#This Row],[OriginalBudget08]]-SummaryTable[[#This Row],[OriginalBudget07]]</f>
        <v>448</v>
      </c>
      <c r="ET30" s="54">
        <f>SummaryTable[[#This Row],[BudgetIncreaseAmount08]]/SummaryTable[[#This Row],[OriginalBudget07]]</f>
        <v>0.36187399030694667</v>
      </c>
      <c r="EU30" s="61">
        <f>IF(COUNTIFS(allFYsTable[Code], SummaryTable[[#This Row],[Code]], allFYsTable[year2], ER$3)=0, NotFound, SUMIFS(allFYsTable[RevisedBudget], allFYsTable[Code], SummaryTable[[#This Row],[Code]], allFYsTable[year2], ER$3))</f>
        <v>1481</v>
      </c>
      <c r="EV30" s="61">
        <f>IF(COUNTIFS(allFYsTable[Code], SummaryTable[[#This Row],[Code]], allFYsTable[year2], ER$3)=0, NotFound, SUMIFS(allFYsTable[Actual], allFYsTable[Code], SummaryTable[[#This Row],[Code]], allFYsTable[year2], ER$3))</f>
        <v>1476</v>
      </c>
      <c r="EW30" s="61">
        <f>IF(COUNTIFS(allFYsTable[Code], SummaryTable[[#This Row],[Code]], allFYsTable[year2], ER$3)=0, NotFound, SUMIFS(allFYsTable[DiffAmount], allFYsTable[Code], SummaryTable[[#This Row],[Code]], allFYsTable[year2], ER$3))</f>
        <v>-210</v>
      </c>
      <c r="EX30" s="63">
        <f>IF(SummaryTable[[#This Row],[OriginalBudget08]]=0, IF(SummaryTable[[#This Row],[DiffAmount08]]=0, ZeroBudgetNoSpending, ZeroBudgetWithSpending), SummaryTable[[#This Row],[DiffAmount08]]/SummaryTable[[#This Row],[OriginalBudget08]])</f>
        <v>-0.12455516014234876</v>
      </c>
      <c r="EY30" s="62">
        <f>IF(COUNTIFS(allFYsTable[Code], SummaryTable[[#This Row],[Code]], allFYsTable[year2], EY$3)=0, NotFound, SUMIFS(allFYsTable[OriginalBudget], allFYsTable[Code], SummaryTable[[#This Row],[Code]], allFYsTable[year2], EY$3))</f>
        <v>1238</v>
      </c>
      <c r="EZ30" s="61">
        <f>SummaryTable[[#This Row],[OriginalBudget07]]-SummaryTable[[#This Row],[OriginalBudget06]]</f>
        <v>438</v>
      </c>
      <c r="FA30" s="54">
        <f>SummaryTable[[#This Row],[BudgetIncreaseAmount07]]/SummaryTable[[#This Row],[OriginalBudget06]]</f>
        <v>0.54749999999999999</v>
      </c>
      <c r="FB30" s="61">
        <f>IF(COUNTIFS(allFYsTable[Code], SummaryTable[[#This Row],[Code]], allFYsTable[year2], EY$3)=0, NotFound, SUMIFS(allFYsTable[RevisedBudget], allFYsTable[Code], SummaryTable[[#This Row],[Code]], allFYsTable[year2], EY$3))</f>
        <v>838</v>
      </c>
      <c r="FC30" s="61">
        <f>IF(COUNTIFS(allFYsTable[Code], SummaryTable[[#This Row],[Code]], allFYsTable[year2], EY$3)=0, NotFound, SUMIFS(allFYsTable[Actual], allFYsTable[Code], SummaryTable[[#This Row],[Code]], allFYsTable[year2], EY$3))</f>
        <v>811</v>
      </c>
      <c r="FD30" s="61">
        <f>IF(COUNTIFS(allFYsTable[Code], SummaryTable[[#This Row],[Code]], allFYsTable[year2], EY$3)=0, NotFound, SUMIFS(allFYsTable[DiffAmount], allFYsTable[Code], SummaryTable[[#This Row],[Code]], allFYsTable[year2], EY$3))</f>
        <v>-427</v>
      </c>
      <c r="FE30" s="63">
        <f>IF(SummaryTable[[#This Row],[OriginalBudget07]]=0, IF(SummaryTable[[#This Row],[DiffAmount07]]=0, ZeroBudgetNoSpending, ZeroBudgetWithSpending), SummaryTable[[#This Row],[DiffAmount07]]/SummaryTable[[#This Row],[OriginalBudget07]])</f>
        <v>-0.34491114701130854</v>
      </c>
      <c r="FF30" s="62">
        <f>IF(COUNTIFS(allFYsTable[Code], SummaryTable[[#This Row],[Code]], allFYsTable[year2], FF$3)=0, NotFound, SUMIFS(allFYsTable[OriginalBudget], allFYsTable[Code], SummaryTable[[#This Row],[Code]], allFYsTable[year2], FF$3))</f>
        <v>800</v>
      </c>
      <c r="FI30" s="61">
        <f>IF(COUNTIFS(allFYsTable[Code], SummaryTable[[#This Row],[Code]], allFYsTable[year2], FF$3)=0, NotFound, SUMIFS(allFYsTable[RevisedBudget], allFYsTable[Code], SummaryTable[[#This Row],[Code]], allFYsTable[year2], FF$3))</f>
        <v>800</v>
      </c>
      <c r="FJ30" s="61">
        <f>IF(COUNTIFS(allFYsTable[Code], SummaryTable[[#This Row],[Code]], allFYsTable[year2], FF$3)=0, NotFound, SUMIFS(allFYsTable[Actual], allFYsTable[Code], SummaryTable[[#This Row],[Code]], allFYsTable[year2], FF$3))</f>
        <v>516</v>
      </c>
      <c r="FK30" s="61">
        <f>IF(COUNTIFS(allFYsTable[Code], SummaryTable[[#This Row],[Code]], allFYsTable[year2], FF$3)=0, NotFound, SUMIFS(allFYsTable[DiffAmount], allFYsTable[Code], SummaryTable[[#This Row],[Code]], allFYsTable[year2], FF$3))</f>
        <v>-284</v>
      </c>
      <c r="FL30" s="63">
        <f>IF(SummaryTable[[#This Row],[OriginalBudget06]]=0, IF(SummaryTable[[#This Row],[DiffAmount06]]=0, ZeroBudgetNoSpending, ZeroBudgetWithSpending), SummaryTable[[#This Row],[DiffAmount06]]/SummaryTable[[#This Row],[OriginalBudget06]])</f>
        <v>-0.35499999999999998</v>
      </c>
    </row>
    <row r="31" spans="1:168" x14ac:dyDescent="0.45">
      <c r="A31" t="s">
        <v>799</v>
      </c>
      <c r="B31">
        <f>_xlfn.MAXIFS(allFYsTable[year2], allFYsTable[Code], SummaryTable[[#This Row],[Code]])</f>
        <v>2025</v>
      </c>
      <c r="C31" t="str">
        <f>_xlfn.XLOOKUP(SummaryTable[[#This Row],[Code]], NameCodingTable[Code], NameCodingTable[Most Recent Category per allFYs])</f>
        <v>Operations and infrastructure</v>
      </c>
      <c r="D31" t="str">
        <f>_xlfn.XLOOKUP(SummaryTable[[#This Row],[Code]], NameCodingTable[Code], NameCodingTable[Unit Display Name])</f>
        <v>Department of For-hire Vehicles</v>
      </c>
      <c r="E31" t="str">
        <f>_xlfn.XLOOKUP(SummaryTable[[#This Row],[Code]], NameCodingTable[Code], NameCodingTable[Type])</f>
        <v>agency</v>
      </c>
      <c r="F3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3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31" s="54">
        <f>SummaryTable[[#This Row],['# Over]]/SummaryTable[[#This Row],[Count]]</f>
        <v>0.3</v>
      </c>
      <c r="I3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14</v>
      </c>
      <c r="J31" s="54">
        <f>SummaryTable[[#This Row],['# Under]]/SummaryTable[[#This Row],[Count]]</f>
        <v>0.7</v>
      </c>
      <c r="K3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31" s="54">
        <f>SummaryTable[[#This Row],['# Equal]]/SummaryTable[[#This Row],[Count]]</f>
        <v>0</v>
      </c>
      <c r="M31" s="61">
        <f>SUMIFS(allFYsTable[OriginalBudget],allFYsTable[Code],SummaryTable[[#This Row],[Code]])/SummaryTable[[#This Row],[Count]]</f>
        <v>4291.8999999999996</v>
      </c>
      <c r="N31" s="61">
        <f>SUMIFS(allFYsTable[Actual],allFYsTable[Code],SummaryTable[[#This Row],[Code]])/SummaryTable[[#This Row],[Count]]</f>
        <v>4229.3</v>
      </c>
      <c r="O31" s="61">
        <f>SummaryTable[[#This Row],[AvgActAmt]]-SummaryTable[[#This Row],[AvgBudAmt]]</f>
        <v>-62.599999999999454</v>
      </c>
      <c r="P31" s="54">
        <f>IF(SummaryTable[[#This Row],[AvgBudAmt]]=0, IF(SummaryTable[[#This Row],[AvgDiff'#]]=0, 0, NamedFields!$C$3), SummaryTable[[#This Row],[AvgDiff'#]]/SummaryTable[[#This Row],[AvgBudAmt]])</f>
        <v>-1.4585614762692389E-2</v>
      </c>
      <c r="Q31" s="61">
        <f>IFERROR(SUMIFS(allFYsTable[OriginalBudget],allFYsTable[Code],SummaryTable[[#This Row],[Code]],allFYsTable[DiffAmount], "&gt;0")/SummaryTable[[#This Row],['# Over]], 0)</f>
        <v>2025.5</v>
      </c>
      <c r="R31" s="61">
        <f>IFERROR(SUMIFS(allFYsTable[Actual],allFYsTable[Code],SummaryTable[[#This Row],[Code]],allFYsTable[DiffAmount], "&gt;0")/SummaryTable[[#This Row],['# Over]], 0)</f>
        <v>3610.1666666666665</v>
      </c>
      <c r="S31" s="61">
        <f>SummaryTable[[#This Row],[OverAvgAct]]-SummaryTable[[#This Row],[OverAvgBud]]</f>
        <v>1584.6666666666665</v>
      </c>
      <c r="T31" s="54">
        <f>IF(SummaryTable[[#This Row],[OverAvgBud]]=0, IF(SummaryTable[[#This Row],[OverAvgDiff'#]]=0, ZeroBudgetNoSpending, ZeroBudgetWithSpending), SummaryTable[[#This Row],[OverAvgDiff'#]]/SummaryTable[[#This Row],[OverAvgBud]])</f>
        <v>0.78235826544886033</v>
      </c>
      <c r="U31" s="61">
        <f>IFERROR(SUMIFS(allFYsTable[OriginalBudget],allFYsTable[Code],SummaryTable[[#This Row],[Code]],allFYsTable[DiffAmount], "&lt;0")/SummaryTable[[#This Row],['# Under]], 0)</f>
        <v>5263.2142857142853</v>
      </c>
      <c r="V31" s="61">
        <f>IFERROR( SUMIFS(allFYsTable[Actual],allFYsTable[Code],SummaryTable[[#This Row],[Code]],allFYsTable[DiffAmount], "&lt;0")/SummaryTable[[#This Row],['# Under]], 0)</f>
        <v>4494.6428571428569</v>
      </c>
      <c r="W31" s="61">
        <f>SummaryTable[[#This Row],[UnderAvgAct]]-SummaryTable[[#This Row],[UnderAvgBud]]</f>
        <v>-768.57142857142844</v>
      </c>
      <c r="X31" s="54">
        <f>IF(SummaryTable[[#This Row],[UnderAvgBud]]=0, IF(SummaryTable[[#This Row],[UnderAvgDiff'#]]=0, ZeroBudgetNoSpending, NamedFields!$C$3), SummaryTable[[#This Row],[UnderAvgDiff'#]]/SummaryTable[[#This Row],[UnderAvgBud]])</f>
        <v>-0.14602700685349798</v>
      </c>
      <c r="Y3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3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31" s="54">
        <f>IF(SummaryTable[[#This Row],[IncreaseYears]]=0, ZeroBudgetNoSpending, SummaryTable[[#This Row],[OSinIncreaseYear'#]]/SummaryTable[[#This Row],[IncreaseYears]])</f>
        <v>0</v>
      </c>
      <c r="AB31" s="58" t="str">
        <f>SummaryTable[[#This Row],[Code]]</f>
        <v>TC0</v>
      </c>
      <c r="AC31" s="62">
        <f>IF(COUNTIFS(allFYsTable[Code], SummaryTable[[#This Row],[Code]], allFYsTable[year2], AC$3)=0, NotFound, SUMIFS(allFYsTable[OriginalBudget], allFYsTable[Code], SummaryTable[[#This Row],[Code]], allFYsTable[year2], AC$3))</f>
        <v>10101</v>
      </c>
      <c r="AD31" s="61">
        <f>SummaryTable[[#This Row],[OriginalBudget25]]-SummaryTable[[#This Row],[OriginalBudget24]]</f>
        <v>-3210</v>
      </c>
      <c r="AE31" s="54">
        <f>SummaryTable[[#This Row],[BudgetIncreaseAmount25]]/SummaryTable[[#This Row],[OriginalBudget24]]</f>
        <v>-0.2411539328375028</v>
      </c>
      <c r="AF31" s="61">
        <f>IF(COUNTIFS(allFYsTable[Code], SummaryTable[[#This Row],[Code]], allFYsTable[year2], AC$3)=0, NotFound, SUMIFS(allFYsTable[RevisedBudget], allFYsTable[Code], SummaryTable[[#This Row],[Code]], allFYsTable[year2], AC$3))</f>
        <v>6213</v>
      </c>
      <c r="AG31" s="61">
        <f>IF(COUNTIFS(allFYsTable[Code], SummaryTable[[#This Row],[Code]], allFYsTable[year2], AC$3)=0, NotFound, SUMIFS(allFYsTable[Actual], allFYsTable[Code], SummaryTable[[#This Row],[Code]], allFYsTable[year2], AC$3))</f>
        <v>4977</v>
      </c>
      <c r="AH31" s="61">
        <f>IF(COUNTIFS(allFYsTable[Code], SummaryTable[[#This Row],[Code]], allFYsTable[year2], AC$3)=0, NotFound, SUMIFS(allFYsTable[DiffAmount], allFYsTable[Code], SummaryTable[[#This Row],[Code]], allFYsTable[year2], AC$3))</f>
        <v>-5124</v>
      </c>
      <c r="AI31" s="63">
        <f>IF(SummaryTable[[#This Row],[OriginalBudget25]]=0, IF(SummaryTable[[#This Row],[DiffAmount25]]=0, ZeroBudgetNoSpending, ZeroBudgetWithSpending), SummaryTable[[#This Row],[DiffAmount25]]/SummaryTable[[#This Row],[OriginalBudget25]])</f>
        <v>-0.5072765072765073</v>
      </c>
      <c r="AJ31" s="62">
        <f>IF(COUNTIFS(allFYsTable[Code], SummaryTable[[#This Row],[Code]], allFYsTable[year2], AJ$3)=0, NotFound, SUMIFS(allFYsTable[OriginalBudget], allFYsTable[Code], SummaryTable[[#This Row],[Code]], allFYsTable[year2], AJ$3))</f>
        <v>13311</v>
      </c>
      <c r="AK31" s="61">
        <f>SummaryTable[[#This Row],[OriginalBudget24]]-SummaryTable[[#This Row],[OriginalBudget23]]</f>
        <v>1270</v>
      </c>
      <c r="AL31" s="54">
        <f>SummaryTable[[#This Row],[BudgetIncreaseAmount24]]/SummaryTable[[#This Row],[OriginalBudget23]]</f>
        <v>0.10547296736151482</v>
      </c>
      <c r="AM31" s="61">
        <f>IF(COUNTIFS(allFYsTable[Code], SummaryTable[[#This Row],[Code]], allFYsTable[year2], AK$3)=0, NotFound, SUMIFS(allFYsTable[RevisedBudget], allFYsTable[Code], SummaryTable[[#This Row],[Code]], allFYsTable[year2], AJ$3))</f>
        <v>9739</v>
      </c>
      <c r="AN31" s="61">
        <f>IF(COUNTIFS(allFYsTable[Code], SummaryTable[[#This Row],[Code]], allFYsTable[year2], AJ$3)=0, NotFound, SUMIFS(allFYsTable[Actual], allFYsTable[Code], SummaryTable[[#This Row],[Code]], allFYsTable[year2], AJ$3))</f>
        <v>9457</v>
      </c>
      <c r="AO31" s="61">
        <f>IF(COUNTIFS(allFYsTable[Code], SummaryTable[[#This Row],[Code]], allFYsTable[year2], AJ$3)=0, NotFound, SUMIFS(allFYsTable[DiffAmount], allFYsTable[Code], SummaryTable[[#This Row],[Code]], allFYsTable[year2], AJ$3))</f>
        <v>-3854</v>
      </c>
      <c r="AP31" s="63">
        <f>IF(SummaryTable[[#This Row],[OriginalBudget24]]=0, IF(SummaryTable[[#This Row],[DiffAmount24]]=0, ZeroBudgetNoSpending, ZeroBudgetWithSpending), SummaryTable[[#This Row],[DiffAmount24]]/SummaryTable[[#This Row],[OriginalBudget24]])</f>
        <v>-0.28953497107655324</v>
      </c>
      <c r="AQ31" s="62">
        <f>IF(COUNTIFS(allFYsTable[Code], SummaryTable[[#This Row],[Code]], allFYsTable[year2], AQ$3)=0, NotFound, SUMIFS(allFYsTable[OriginalBudget], allFYsTable[Code], SummaryTable[[#This Row],[Code]], allFYsTable[year2], AQ$3))</f>
        <v>12041</v>
      </c>
      <c r="AR31" s="61">
        <f>SummaryTable[[#This Row],[OriginalBudget23]]-SummaryTable[[#This Row],[OriginalBudget22]]</f>
        <v>-1661</v>
      </c>
      <c r="AS31" s="54">
        <f>SummaryTable[[#This Row],[BudgetIncreaseAmount23]]/SummaryTable[[#This Row],[OriginalBudget22]]</f>
        <v>-0.1212231790979419</v>
      </c>
      <c r="AT31" s="61">
        <f>IF(COUNTIFS(allFYsTable[Code], SummaryTable[[#This Row],[Code]], allFYsTable[year2], AQ$3)=0, NotFound, SUMIFS(allFYsTable[RevisedBudget], allFYsTable[Code], SummaryTable[[#This Row],[Code]], allFYsTable[year2], AQ$3))</f>
        <v>12301</v>
      </c>
      <c r="AU31" s="61">
        <f>IF(COUNTIFS(allFYsTable[Code], SummaryTable[[#This Row],[Code]], allFYsTable[year2], AQ$3)=0, NotFound, SUMIFS(allFYsTable[Actual], allFYsTable[Code], SummaryTable[[#This Row],[Code]], allFYsTable[year2], AQ$3))</f>
        <v>11917</v>
      </c>
      <c r="AV31" s="61">
        <f>IF(COUNTIFS(allFYsTable[Code], SummaryTable[[#This Row],[Code]], allFYsTable[year2], AQ$3)=0, NotFound, SUMIFS(allFYsTable[DiffAmount], allFYsTable[Code], SummaryTable[[#This Row],[Code]], allFYsTable[year2], AQ$3))</f>
        <v>-124</v>
      </c>
      <c r="AW31" s="63">
        <f>IF(SummaryTable[[#This Row],[OriginalBudget23]]=0, IF(SummaryTable[[#This Row],[DiffAmount23]]=0, ZeroBudgetNoSpending, ZeroBudgetWithSpending), SummaryTable[[#This Row],[DiffAmount23]]/SummaryTable[[#This Row],[OriginalBudget23]])</f>
        <v>-1.0298147994352629E-2</v>
      </c>
      <c r="AX31" s="62">
        <f>IF(COUNTIFS(allFYsTable[Code], SummaryTable[[#This Row],[Code]], allFYsTable[year2], AX$3)=0, NotFound, SUMIFS(allFYsTable[OriginalBudget], allFYsTable[Code], SummaryTable[[#This Row],[Code]], allFYsTable[year2], AX$3))</f>
        <v>13702</v>
      </c>
      <c r="AY31" s="61">
        <f>SummaryTable[[#This Row],[OriginalBudget22]]-SummaryTable[[#This Row],[OriginalBudget21]]</f>
        <v>7813</v>
      </c>
      <c r="AZ31" s="54">
        <f>SummaryTable[[#This Row],[BudgetIncreaseAmount22]]/SummaryTable[[#This Row],[OriginalBudget21]]</f>
        <v>1.3267108167770418</v>
      </c>
      <c r="BA31" s="61">
        <f>IF(COUNTIFS(allFYsTable[Code], SummaryTable[[#This Row],[Code]], allFYsTable[year2], AX$3)=0, NotFound, SUMIFS(allFYsTable[RevisedBudget], allFYsTable[Code], SummaryTable[[#This Row],[Code]], allFYsTable[year2], AX$3))</f>
        <v>14154</v>
      </c>
      <c r="BB31" s="61">
        <f>IF(COUNTIFS(allFYsTable[Code], SummaryTable[[#This Row],[Code]], allFYsTable[year2], AX$3)=0, NotFound, SUMIFS(allFYsTable[Actual], allFYsTable[Code], SummaryTable[[#This Row],[Code]], allFYsTable[year2], AX$3))</f>
        <v>13507</v>
      </c>
      <c r="BC31" s="61">
        <f>IF(COUNTIFS(allFYsTable[Code], SummaryTable[[#This Row],[Code]], allFYsTable[year2], AX$3)=0, NotFound, SUMIFS(allFYsTable[DiffAmount], allFYsTable[Code], SummaryTable[[#This Row],[Code]], allFYsTable[year2], AX$3))</f>
        <v>-195</v>
      </c>
      <c r="BD31" s="63">
        <f>IF(SummaryTable[[#This Row],[OriginalBudget22]]=0, IF(SummaryTable[[#This Row],[DiffAmount22]]=0, ZeroBudgetNoSpending, ZeroBudgetWithSpending), SummaryTable[[#This Row],[DiffAmount22]]/SummaryTable[[#This Row],[OriginalBudget22]])</f>
        <v>-1.4231499051233396E-2</v>
      </c>
      <c r="BE31" s="62">
        <f>IF(COUNTIFS(allFYsTable[Code], SummaryTable[[#This Row],[Code]], allFYsTable[year2], BE$3)=0, NotFound, SUMIFS(allFYsTable[OriginalBudget], allFYsTable[Code], SummaryTable[[#This Row],[Code]], allFYsTable[year2], BE$3))</f>
        <v>5889</v>
      </c>
      <c r="BF31" s="61">
        <f>SummaryTable[[#This Row],[OriginalBudget21]]-SummaryTable[[#This Row],[OriginalBudget20]]</f>
        <v>-6</v>
      </c>
      <c r="BG31" s="54">
        <f>SummaryTable[[#This Row],[BudgetIncreaseAmount21]]/SummaryTable[[#This Row],[OriginalBudget20]]</f>
        <v>-1.0178117048346056E-3</v>
      </c>
      <c r="BH31" s="61">
        <f>IF(COUNTIFS(allFYsTable[Code], SummaryTable[[#This Row],[Code]], allFYsTable[year2], BE$3)=0, NotFound, SUMIFS(allFYsTable[RevisedBudget], allFYsTable[Code], SummaryTable[[#This Row],[Code]], allFYsTable[year2], BE$3))</f>
        <v>11791</v>
      </c>
      <c r="BI31" s="61">
        <f>IF(COUNTIFS(allFYsTable[Code], SummaryTable[[#This Row],[Code]], allFYsTable[year2], BE$3)=0, NotFound, SUMIFS(allFYsTable[Actual], allFYsTable[Code], SummaryTable[[#This Row],[Code]], allFYsTable[year2], BE$3))</f>
        <v>11731</v>
      </c>
      <c r="BJ31" s="61">
        <f>IF(COUNTIFS(allFYsTable[Code], SummaryTable[[#This Row],[Code]], allFYsTable[year2], BE$3)=0, NotFound, SUMIFS(allFYsTable[DiffAmount], allFYsTable[Code], SummaryTable[[#This Row],[Code]], allFYsTable[year2], BE$3))</f>
        <v>5842</v>
      </c>
      <c r="BK31" s="63">
        <f>IF(SummaryTable[[#This Row],[OriginalBudget21]]=0, IF(SummaryTable[[#This Row],[DiffAmount21]]=0, ZeroBudgetNoSpending, ZeroBudgetWithSpending), SummaryTable[[#This Row],[DiffAmount21]]/SummaryTable[[#This Row],[OriginalBudget21]])</f>
        <v>0.99201901850908469</v>
      </c>
      <c r="BL31" s="62">
        <f>IF(COUNTIFS(allFYsTable[Code], SummaryTable[[#This Row],[Code]], allFYsTable[year2], BL$3)=0, NotFound, SUMIFS(allFYsTable[OriginalBudget], allFYsTable[Code], SummaryTable[[#This Row],[Code]], allFYsTable[year2], BL$3))</f>
        <v>5895</v>
      </c>
      <c r="BM31" s="61">
        <f>SummaryTable[[#This Row],[OriginalBudget20]]-SummaryTable[[#This Row],[OriginalBudget19]]</f>
        <v>-29</v>
      </c>
      <c r="BN31" s="54">
        <f>SummaryTable[[#This Row],[BudgetIncreaseAmount20]]/SummaryTable[[#This Row],[OriginalBudget19]]</f>
        <v>-4.8953409858203912E-3</v>
      </c>
      <c r="BO31" s="61">
        <f>IF(COUNTIFS(allFYsTable[Code], SummaryTable[[#This Row],[Code]], allFYsTable[year2], BL$3)=0, NotFound, SUMIFS(allFYsTable[RevisedBudget], allFYsTable[Code], SummaryTable[[#This Row],[Code]], allFYsTable[year2], BL$3))</f>
        <v>5525</v>
      </c>
      <c r="BP31" s="61">
        <f>IF(COUNTIFS(allFYsTable[Code], SummaryTable[[#This Row],[Code]], allFYsTable[year2], BL$3)=0, NotFound, SUMIFS(allFYsTable[Actual], allFYsTable[Code], SummaryTable[[#This Row],[Code]], allFYsTable[year2], BL$3))</f>
        <v>5406</v>
      </c>
      <c r="BQ31" s="61">
        <f>IF(COUNTIFS(allFYsTable[Code], SummaryTable[[#This Row],[Code]], allFYsTable[year2], BL$3)=0, NotFound, SUMIFS(allFYsTable[DiffAmount], allFYsTable[Code], SummaryTable[[#This Row],[Code]], allFYsTable[year2], BL$3))</f>
        <v>-489</v>
      </c>
      <c r="BR31" s="63">
        <f>IF(SummaryTable[[#This Row],[OriginalBudget20]]=0, IF(SummaryTable[[#This Row],[DiffAmount20]]=0, ZeroBudgetNoSpending, ZeroBudgetWithSpending), SummaryTable[[#This Row],[DiffAmount20]]/SummaryTable[[#This Row],[OriginalBudget20]])</f>
        <v>-8.2951653944020362E-2</v>
      </c>
      <c r="BS31" s="62">
        <f>IF(COUNTIFS(allFYsTable[Code], SummaryTable[[#This Row],[Code]], allFYsTable[year2], BS$3)=0, NotFound, SUMIFS(allFYsTable[OriginalBudget], allFYsTable[Code], SummaryTable[[#This Row],[Code]], allFYsTable[year2], BS$3))</f>
        <v>5924</v>
      </c>
      <c r="BT31" s="61">
        <f>SummaryTable[[#This Row],[OriginalBudget19]]-SummaryTable[[#This Row],[OriginalBudget18]]</f>
        <v>1829</v>
      </c>
      <c r="BU31" s="54">
        <f>SummaryTable[[#This Row],[BudgetIncreaseAmount19]]/SummaryTable[[#This Row],[OriginalBudget18]]</f>
        <v>0.44664224664224667</v>
      </c>
      <c r="BV31" s="61">
        <f>IF(COUNTIFS(allFYsTable[Code], SummaryTable[[#This Row],[Code]], allFYsTable[year2], BS$3)=0, NotFound, SUMIFS(allFYsTable[RevisedBudget], allFYsTable[Code], SummaryTable[[#This Row],[Code]], allFYsTable[year2], BS$3))</f>
        <v>5924</v>
      </c>
      <c r="BW31" s="61">
        <f>IF(COUNTIFS(allFYsTable[Code], SummaryTable[[#This Row],[Code]], allFYsTable[year2], BS$3)=0, NotFound, SUMIFS(allFYsTable[Actual], allFYsTable[Code], SummaryTable[[#This Row],[Code]], allFYsTable[year2], BS$3))</f>
        <v>5792</v>
      </c>
      <c r="BX31" s="61">
        <f>IF(COUNTIFS(allFYsTable[Code], SummaryTable[[#This Row],[Code]], allFYsTable[year2], BS$3)=0, NotFound, SUMIFS(allFYsTable[DiffAmount], allFYsTable[Code], SummaryTable[[#This Row],[Code]], allFYsTable[year2], BS$3))</f>
        <v>-132</v>
      </c>
      <c r="BY31" s="63">
        <f>IF(SummaryTable[[#This Row],[OriginalBudget19]]=0, IF(SummaryTable[[#This Row],[DiffAmount19]]=0, ZeroBudgetNoSpending, ZeroBudgetWithSpending), SummaryTable[[#This Row],[DiffAmount19]]/SummaryTable[[#This Row],[OriginalBudget19]])</f>
        <v>-2.2282241728561782E-2</v>
      </c>
      <c r="BZ31" s="62">
        <f>IF(COUNTIFS(allFYsTable[Code], SummaryTable[[#This Row],[Code]], allFYsTable[year2], BZ$3)=0, NotFound, SUMIFS(allFYsTable[OriginalBudget], allFYsTable[Code], SummaryTable[[#This Row],[Code]], allFYsTable[year2], BZ$3))</f>
        <v>4095</v>
      </c>
      <c r="CA31" s="61">
        <f>SummaryTable[[#This Row],[OriginalBudget18]]-SummaryTable[[#This Row],[OriginalBudget17]]</f>
        <v>27</v>
      </c>
      <c r="CB31" s="54">
        <f>SummaryTable[[#This Row],[BudgetIncreaseAmount18]]/SummaryTable[[#This Row],[OriginalBudget17]]</f>
        <v>6.6371681415929203E-3</v>
      </c>
      <c r="CC31" s="61">
        <f>IF(COUNTIFS(allFYsTable[Code], SummaryTable[[#This Row],[Code]], allFYsTable[year2], BZ$3)=0, NotFound, SUMIFS(allFYsTable[RevisedBudget], allFYsTable[Code], SummaryTable[[#This Row],[Code]], allFYsTable[year2], BZ$3))</f>
        <v>4818</v>
      </c>
      <c r="CD31" s="61">
        <f>IF(COUNTIFS(allFYsTable[Code], SummaryTable[[#This Row],[Code]], allFYsTable[year2], BZ$3)=0, NotFound, SUMIFS(allFYsTable[Actual], allFYsTable[Code], SummaryTable[[#This Row],[Code]], allFYsTable[year2], BZ$3))</f>
        <v>4464</v>
      </c>
      <c r="CE31" s="61">
        <f>IF(COUNTIFS(allFYsTable[Code], SummaryTable[[#This Row],[Code]], allFYsTable[year2], BZ$3)=0, NotFound, SUMIFS(allFYsTable[DiffAmount], allFYsTable[Code], SummaryTable[[#This Row],[Code]], allFYsTable[year2], BZ$3))</f>
        <v>369</v>
      </c>
      <c r="CF31" s="63">
        <f>IF(SummaryTable[[#This Row],[OriginalBudget18]]=0, IF(SummaryTable[[#This Row],[DiffAmount18]]=0, ZeroBudgetNoSpending, ZeroBudgetWithSpending), SummaryTable[[#This Row],[DiffAmount18]]/SummaryTable[[#This Row],[OriginalBudget18]])</f>
        <v>9.0109890109890109E-2</v>
      </c>
      <c r="CG31" s="62">
        <f>IF(COUNTIFS(allFYsTable[Code], SummaryTable[[#This Row],[Code]], allFYsTable[year2], CG$3)=0, NotFound, SUMIFS(allFYsTable[OriginalBudget], allFYsTable[Code], SummaryTable[[#This Row],[Code]], allFYsTable[year2], CG$3))</f>
        <v>4068</v>
      </c>
      <c r="CH31" s="61">
        <f>SummaryTable[[#This Row],[OriginalBudget17]]-SummaryTable[[#This Row],[OriginalBudget16]]</f>
        <v>2968</v>
      </c>
      <c r="CI31" s="54">
        <f>SummaryTable[[#This Row],[BudgetIncreaseAmount17]]/SummaryTable[[#This Row],[OriginalBudget16]]</f>
        <v>2.6981818181818182</v>
      </c>
      <c r="CJ31" s="61">
        <f>IF(COUNTIFS(allFYsTable[Code], SummaryTable[[#This Row],[Code]], allFYsTable[year2], CG$3)=0, NotFound, SUMIFS(allFYsTable[RevisedBudget], allFYsTable[Code], SummaryTable[[#This Row],[Code]], allFYsTable[year2], CG$3))</f>
        <v>4038</v>
      </c>
      <c r="CK31" s="61">
        <f>IF(COUNTIFS(allFYsTable[Code], SummaryTable[[#This Row],[Code]], allFYsTable[year2], CG$3)=0, NotFound, SUMIFS(allFYsTable[Actual], allFYsTable[Code], SummaryTable[[#This Row],[Code]], allFYsTable[year2], CG$3))</f>
        <v>4000</v>
      </c>
      <c r="CL31" s="61">
        <f>IF(COUNTIFS(allFYsTable[Code], SummaryTable[[#This Row],[Code]], allFYsTable[year2], CG$3)=0, NotFound, SUMIFS(allFYsTable[DiffAmount], allFYsTable[Code], SummaryTable[[#This Row],[Code]], allFYsTable[year2], CG$3))</f>
        <v>-68</v>
      </c>
      <c r="CM31" s="63">
        <f>IF(SummaryTable[[#This Row],[OriginalBudget17]]=0, IF(SummaryTable[[#This Row],[DiffAmount17]]=0, ZeroBudgetNoSpending, ZeroBudgetWithSpending), SummaryTable[[#This Row],[DiffAmount17]]/SummaryTable[[#This Row],[OriginalBudget17]])</f>
        <v>-1.6715830875122909E-2</v>
      </c>
      <c r="CN31" s="62">
        <f>IF(COUNTIFS(allFYsTable[Code], SummaryTable[[#This Row],[Code]], allFYsTable[year2], CN$3)=0, NotFound, SUMIFS(allFYsTable[OriginalBudget], allFYsTable[Code], SummaryTable[[#This Row],[Code]], allFYsTable[year2], CN$3))</f>
        <v>1100</v>
      </c>
      <c r="CO31" s="61">
        <f>SummaryTable[[#This Row],[OriginalBudget16]]-SummaryTable[[#This Row],[OriginalBudget15]]</f>
        <v>100</v>
      </c>
      <c r="CP31" s="54">
        <f>SummaryTable[[#This Row],[BudgetIncreaseAmount16]]/SummaryTable[[#This Row],[OriginalBudget15]]</f>
        <v>0.1</v>
      </c>
      <c r="CQ31" s="61">
        <f>IF(COUNTIFS(allFYsTable[Code], SummaryTable[[#This Row],[Code]], allFYsTable[year2], CN$3)=0, NotFound, SUMIFS(allFYsTable[RevisedBudget], allFYsTable[Code], SummaryTable[[#This Row],[Code]], allFYsTable[year2], CN$3))</f>
        <v>1921</v>
      </c>
      <c r="CR31" s="61">
        <f>IF(COUNTIFS(allFYsTable[Code], SummaryTable[[#This Row],[Code]], allFYsTable[year2], CN$3)=0, NotFound, SUMIFS(allFYsTable[Actual], allFYsTable[Code], SummaryTable[[#This Row],[Code]], allFYsTable[year2], CN$3))</f>
        <v>1888</v>
      </c>
      <c r="CS31" s="61">
        <f>IF(COUNTIFS(allFYsTable[Code], SummaryTable[[#This Row],[Code]], allFYsTable[year2], CN$3)=0, NotFound, SUMIFS(allFYsTable[DiffAmount], allFYsTable[Code], SummaryTable[[#This Row],[Code]], allFYsTable[year2], CN$3))</f>
        <v>788</v>
      </c>
      <c r="CT31" s="63">
        <f>IF(SummaryTable[[#This Row],[OriginalBudget16]]=0, IF(SummaryTable[[#This Row],[DiffAmount16]]=0, ZeroBudgetNoSpending, ZeroBudgetWithSpending), SummaryTable[[#This Row],[DiffAmount16]]/SummaryTable[[#This Row],[OriginalBudget16]])</f>
        <v>0.71636363636363631</v>
      </c>
      <c r="CU31" s="62">
        <f>IF(COUNTIFS(allFYsTable[Code], SummaryTable[[#This Row],[Code]], allFYsTable[year2], CU$3)=0, NotFound, SUMIFS(allFYsTable[OriginalBudget], allFYsTable[Code], SummaryTable[[#This Row],[Code]], allFYsTable[year2], CU$3))</f>
        <v>1000</v>
      </c>
      <c r="CV31" s="61">
        <f>SummaryTable[[#This Row],[OriginalBudget15]]-SummaryTable[[#This Row],[OriginalBudget14]]</f>
        <v>1000</v>
      </c>
      <c r="CW31" s="54" t="e">
        <f>SummaryTable[[#This Row],[BudgetIncreaseAmount15]]/SummaryTable[[#This Row],[OriginalBudget14]]</f>
        <v>#DIV/0!</v>
      </c>
      <c r="CX31" s="61">
        <f>IF(COUNTIFS(allFYsTable[Code], SummaryTable[[#This Row],[Code]], allFYsTable[year2], CU$3)=0, NotFound, SUMIFS(allFYsTable[RevisedBudget], allFYsTable[Code], SummaryTable[[#This Row],[Code]], allFYsTable[year2], CU$3))</f>
        <v>1000</v>
      </c>
      <c r="CY31" s="61">
        <f>IF(COUNTIFS(allFYsTable[Code], SummaryTable[[#This Row],[Code]], allFYsTable[year2], CU$3)=0, NotFound, SUMIFS(allFYsTable[Actual], allFYsTable[Code], SummaryTable[[#This Row],[Code]], allFYsTable[year2], CU$3))</f>
        <v>963</v>
      </c>
      <c r="CZ31" s="61">
        <f>IF(COUNTIFS(allFYsTable[Code], SummaryTable[[#This Row],[Code]], allFYsTable[year2], CU$3)=0, NotFound, SUMIFS(allFYsTable[DiffAmount], allFYsTable[Code], SummaryTable[[#This Row],[Code]], allFYsTable[year2], CU$3))</f>
        <v>-37</v>
      </c>
      <c r="DA31" s="63">
        <f>IF(SummaryTable[[#This Row],[OriginalBudget15]]=0, IF(SummaryTable[[#This Row],[DiffAmount15]]=0, ZeroBudgetNoSpending, ZeroBudgetWithSpending), SummaryTable[[#This Row],[DiffAmount15]]/SummaryTable[[#This Row],[OriginalBudget15]])</f>
        <v>-3.6999999999999998E-2</v>
      </c>
      <c r="DB31" s="62">
        <f>IF(COUNTIFS(allFYsTable[Code], SummaryTable[[#This Row],[Code]], allFYsTable[year2], DB$3)=0, NotFound, SUMIFS(allFYsTable[OriginalBudget], allFYsTable[Code], SummaryTable[[#This Row],[Code]], allFYsTable[year2], DB$3))</f>
        <v>0</v>
      </c>
      <c r="DC31" s="61">
        <f>SummaryTable[[#This Row],[OriginalBudget14]]-SummaryTable[[#This Row],[OriginalBudget13]]</f>
        <v>0</v>
      </c>
      <c r="DD31" s="54" t="e">
        <f>SummaryTable[[#This Row],[BudgetIncreaseAmount14]]/SummaryTable[[#This Row],[OriginalBudget13]]</f>
        <v>#DIV/0!</v>
      </c>
      <c r="DE31" s="61">
        <f>IF(COUNTIFS(allFYsTable[Code], SummaryTable[[#This Row],[Code]], allFYsTable[year2], DB$3)=0, NotFound, SUMIFS(allFYsTable[RevisedBudget], allFYsTable[Code], SummaryTable[[#This Row],[Code]], allFYsTable[year2], DB$3))</f>
        <v>150</v>
      </c>
      <c r="DF31" s="61">
        <f>IF(COUNTIFS(allFYsTable[Code], SummaryTable[[#This Row],[Code]], allFYsTable[year2], DB$3)=0, NotFound, SUMIFS(allFYsTable[Actual], allFYsTable[Code], SummaryTable[[#This Row],[Code]], allFYsTable[year2], DB$3))</f>
        <v>150</v>
      </c>
      <c r="DG31" s="61">
        <f>IF(COUNTIFS(allFYsTable[Code], SummaryTable[[#This Row],[Code]], allFYsTable[year2], DB$3)=0, NotFound, SUMIFS(allFYsTable[DiffAmount], allFYsTable[Code], SummaryTable[[#This Row],[Code]], allFYsTable[year2], DB$3))</f>
        <v>150</v>
      </c>
      <c r="DH31" s="63">
        <f>IF(SummaryTable[[#This Row],[OriginalBudget14]]=0, IF(SummaryTable[[#This Row],[DiffAmount14]]=0, ZeroBudgetNoSpending, ZeroBudgetWithSpending), SummaryTable[[#This Row],[DiffAmount14]]/SummaryTable[[#This Row],[OriginalBudget14]])</f>
        <v>99.99</v>
      </c>
      <c r="DI31" s="62">
        <f>IF(COUNTIFS(allFYsTable[Code], SummaryTable[[#This Row],[Code]], allFYsTable[year2], DI$3)=0, NotFound, SUMIFS(allFYsTable[OriginalBudget], allFYsTable[Code], SummaryTable[[#This Row],[Code]], allFYsTable[year2], DI$3))</f>
        <v>0</v>
      </c>
      <c r="DJ31" s="61">
        <f>SummaryTable[[#This Row],[OriginalBudget13]]-SummaryTable[[#This Row],[OriginalBudget12]]</f>
        <v>-1069</v>
      </c>
      <c r="DK31" s="54">
        <f>SummaryTable[[#This Row],[BudgetIncreaseAmount13]]/SummaryTable[[#This Row],[OriginalBudget12]]</f>
        <v>-1</v>
      </c>
      <c r="DL31" s="61">
        <f>IF(COUNTIFS(allFYsTable[Code], SummaryTable[[#This Row],[Code]], allFYsTable[year2], DI$3)=0, NotFound, SUMIFS(allFYsTable[RevisedBudget], allFYsTable[Code], SummaryTable[[#This Row],[Code]], allFYsTable[year2], DI$3))</f>
        <v>1463</v>
      </c>
      <c r="DM31" s="61">
        <f>IF(COUNTIFS(allFYsTable[Code], SummaryTable[[#This Row],[Code]], allFYsTable[year2], DI$3)=0, NotFound, SUMIFS(allFYsTable[Actual], allFYsTable[Code], SummaryTable[[#This Row],[Code]], allFYsTable[year2], DI$3))</f>
        <v>1390</v>
      </c>
      <c r="DN31" s="61">
        <f>IF(COUNTIFS(allFYsTable[Code], SummaryTable[[#This Row],[Code]], allFYsTable[year2], DI$3)=0, NotFound, SUMIFS(allFYsTable[DiffAmount], allFYsTable[Code], SummaryTable[[#This Row],[Code]], allFYsTable[year2], DI$3))</f>
        <v>1390</v>
      </c>
      <c r="DO31" s="63">
        <f>IF(SummaryTable[[#This Row],[OriginalBudget13]]=0, IF(SummaryTable[[#This Row],[DiffAmount13]]=0, ZeroBudgetNoSpending, ZeroBudgetWithSpending), SummaryTable[[#This Row],[DiffAmount13]]/SummaryTable[[#This Row],[OriginalBudget13]])</f>
        <v>99.99</v>
      </c>
      <c r="DP31" s="62">
        <f>IF(COUNTIFS(allFYsTable[Code], SummaryTable[[#This Row],[Code]], allFYsTable[year2], DP$3)=0, NotFound, SUMIFS(allFYsTable[OriginalBudget], allFYsTable[Code], SummaryTable[[#This Row],[Code]], allFYsTable[year2], DP$3))</f>
        <v>1069</v>
      </c>
      <c r="DQ31" s="61">
        <f>SummaryTable[[#This Row],[OriginalBudget12]]-SummaryTable[[#This Row],[OriginalBudget11]]</f>
        <v>-9</v>
      </c>
      <c r="DR31" s="54">
        <f>SummaryTable[[#This Row],[BudgetIncreaseAmount12]]/SummaryTable[[#This Row],[OriginalBudget11]]</f>
        <v>-8.3487940630797772E-3</v>
      </c>
      <c r="DS31" s="61">
        <f>IF(COUNTIFS(allFYsTable[Code], SummaryTable[[#This Row],[Code]], allFYsTable[year2], DP$3)=0, NotFound, SUMIFS(allFYsTable[RevisedBudget], allFYsTable[Code], SummaryTable[[#This Row],[Code]], allFYsTable[year2], DP$3))</f>
        <v>2065</v>
      </c>
      <c r="DT31" s="61">
        <f>IF(COUNTIFS(allFYsTable[Code], SummaryTable[[#This Row],[Code]], allFYsTable[year2], DP$3)=0, NotFound, SUMIFS(allFYsTable[Actual], allFYsTable[Code], SummaryTable[[#This Row],[Code]], allFYsTable[year2], DP$3))</f>
        <v>2038</v>
      </c>
      <c r="DU31" s="61">
        <f>IF(COUNTIFS(allFYsTable[Code], SummaryTable[[#This Row],[Code]], allFYsTable[year2], DP$3)=0, NotFound, SUMIFS(allFYsTable[DiffAmount], allFYsTable[Code], SummaryTable[[#This Row],[Code]], allFYsTable[year2], DP$3))</f>
        <v>969</v>
      </c>
      <c r="DV31" s="63">
        <f>IF(SummaryTable[[#This Row],[OriginalBudget12]]=0, IF(SummaryTable[[#This Row],[DiffAmount12]]=0, ZeroBudgetNoSpending, ZeroBudgetWithSpending), SummaryTable[[#This Row],[DiffAmount12]]/SummaryTable[[#This Row],[OriginalBudget12]])</f>
        <v>0.90645463049579045</v>
      </c>
      <c r="DW31" s="62">
        <f>IF(COUNTIFS(allFYsTable[Code], SummaryTable[[#This Row],[Code]], allFYsTable[year2], DW$3)=0, NotFound, SUMIFS(allFYsTable[OriginalBudget], allFYsTable[Code], SummaryTable[[#This Row],[Code]], allFYsTable[year2], DW$3))</f>
        <v>1078</v>
      </c>
      <c r="DX31" s="61">
        <f>SummaryTable[[#This Row],[OriginalBudget11]]-SummaryTable[[#This Row],[OriginalBudget10]]</f>
        <v>-135</v>
      </c>
      <c r="DY31" s="54">
        <f>SummaryTable[[#This Row],[BudgetIncreaseAmount11]]/SummaryTable[[#This Row],[OriginalBudget10]]</f>
        <v>-0.11129431162407255</v>
      </c>
      <c r="DZ31" s="61">
        <f>IF(COUNTIFS(allFYsTable[Code], SummaryTable[[#This Row],[Code]], allFYsTable[year2], DW$3)=0, NotFound, SUMIFS(allFYsTable[RevisedBudget], allFYsTable[Code], SummaryTable[[#This Row],[Code]], allFYsTable[year2], DW$3))</f>
        <v>1078</v>
      </c>
      <c r="EA31" s="61">
        <f>IF(COUNTIFS(allFYsTable[Code], SummaryTable[[#This Row],[Code]], allFYsTable[year2], DW$3)=0, NotFound, SUMIFS(allFYsTable[Actual], allFYsTable[Code], SummaryTable[[#This Row],[Code]], allFYsTable[year2], DW$3))</f>
        <v>1049</v>
      </c>
      <c r="EB31" s="61">
        <f>IF(COUNTIFS(allFYsTable[Code], SummaryTable[[#This Row],[Code]], allFYsTable[year2], DW$3)=0, NotFound, SUMIFS(allFYsTable[DiffAmount], allFYsTable[Code], SummaryTable[[#This Row],[Code]], allFYsTable[year2], DW$3))</f>
        <v>-29</v>
      </c>
      <c r="EC31" s="63">
        <f>IF(SummaryTable[[#This Row],[OriginalBudget11]]=0, IF(SummaryTable[[#This Row],[DiffAmount11]]=0, ZeroBudgetNoSpending, ZeroBudgetWithSpending), SummaryTable[[#This Row],[DiffAmount11]]/SummaryTable[[#This Row],[OriginalBudget11]])</f>
        <v>-2.6901669758812616E-2</v>
      </c>
      <c r="ED31" s="62">
        <f>IF(COUNTIFS(allFYsTable[Code], SummaryTable[[#This Row],[Code]], allFYsTable[year2], ED$3)=0, NotFound, SUMIFS(allFYsTable[OriginalBudget], allFYsTable[Code], SummaryTable[[#This Row],[Code]], allFYsTable[year2], ED$3))</f>
        <v>1213</v>
      </c>
      <c r="EE31" s="61">
        <f>SummaryTable[[#This Row],[OriginalBudget10]]-SummaryTable[[#This Row],[OriginalBudget09]]</f>
        <v>-91</v>
      </c>
      <c r="EF31" s="54">
        <f>SummaryTable[[#This Row],[BudgetIncreaseAmount10]]/SummaryTable[[#This Row],[OriginalBudget09]]</f>
        <v>-6.9785276073619631E-2</v>
      </c>
      <c r="EG31" s="61">
        <f>IF(COUNTIFS(allFYsTable[Code], SummaryTable[[#This Row],[Code]], allFYsTable[year2], ED$3)=0, NotFound, SUMIFS(allFYsTable[RevisedBudget], allFYsTable[Code], SummaryTable[[#This Row],[Code]], allFYsTable[year2], ED$3))</f>
        <v>1114</v>
      </c>
      <c r="EH31" s="61">
        <f>IF(COUNTIFS(allFYsTable[Code], SummaryTable[[#This Row],[Code]], allFYsTable[year2], ED$3)=0, NotFound, SUMIFS(allFYsTable[Actual], allFYsTable[Code], SummaryTable[[#This Row],[Code]], allFYsTable[year2], ED$3))</f>
        <v>1077</v>
      </c>
      <c r="EI31" s="61">
        <f>IF(COUNTIFS(allFYsTable[Code], SummaryTable[[#This Row],[Code]], allFYsTable[year2], ED$3)=0, NotFound, SUMIFS(allFYsTable[DiffAmount], allFYsTable[Code], SummaryTable[[#This Row],[Code]], allFYsTable[year2], ED$3))</f>
        <v>-136</v>
      </c>
      <c r="EJ31" s="63">
        <f>IF(SummaryTable[[#This Row],[OriginalBudget10]]=0, IF(SummaryTable[[#This Row],[DiffAmount10]]=0, ZeroBudgetNoSpending, ZeroBudgetWithSpending), SummaryTable[[#This Row],[DiffAmount10]]/SummaryTable[[#This Row],[OriginalBudget10]])</f>
        <v>-0.11211871393239901</v>
      </c>
      <c r="EK31" s="62">
        <f>IF(COUNTIFS(allFYsTable[Code], SummaryTable[[#This Row],[Code]], allFYsTable[year2], EK$3)=0, NotFound, SUMIFS(allFYsTable[OriginalBudget], allFYsTable[Code], SummaryTable[[#This Row],[Code]], allFYsTable[year2], EK$3))</f>
        <v>1304</v>
      </c>
      <c r="EL31" s="61">
        <f>SummaryTable[[#This Row],[OriginalBudget09]]-SummaryTable[[#This Row],[OriginalBudget08]]</f>
        <v>-270</v>
      </c>
      <c r="EM31" s="54">
        <f>SummaryTable[[#This Row],[BudgetIncreaseAmount09]]/SummaryTable[[#This Row],[OriginalBudget08]]</f>
        <v>-0.17153748411689962</v>
      </c>
      <c r="EN31" s="61">
        <f>IF(COUNTIFS(allFYsTable[Code], SummaryTable[[#This Row],[Code]], allFYsTable[year2], EK$3)=0, NotFound, SUMIFS(allFYsTable[RevisedBudget], allFYsTable[Code], SummaryTable[[#This Row],[Code]], allFYsTable[year2], EK$3))</f>
        <v>1304</v>
      </c>
      <c r="EO31" s="61">
        <f>IF(COUNTIFS(allFYsTable[Code], SummaryTable[[#This Row],[Code]], allFYsTable[year2], EK$3)=0, NotFound, SUMIFS(allFYsTable[Actual], allFYsTable[Code], SummaryTable[[#This Row],[Code]], allFYsTable[year2], EK$3))</f>
        <v>1220</v>
      </c>
      <c r="EP31" s="61">
        <f>IF(COUNTIFS(allFYsTable[Code], SummaryTable[[#This Row],[Code]], allFYsTable[year2], EK$3)=0, NotFound, SUMIFS(allFYsTable[DiffAmount], allFYsTable[Code], SummaryTable[[#This Row],[Code]], allFYsTable[year2], EK$3))</f>
        <v>-84</v>
      </c>
      <c r="EQ31" s="63">
        <f>IF(SummaryTable[[#This Row],[OriginalBudget09]]=0, IF(SummaryTable[[#This Row],[DiffAmount09]]=0, ZeroBudgetNoSpending, ZeroBudgetWithSpending), SummaryTable[[#This Row],[DiffAmount09]]/SummaryTable[[#This Row],[OriginalBudget09]])</f>
        <v>-6.4417177914110432E-2</v>
      </c>
      <c r="ER31" s="62">
        <f>IF(COUNTIFS(allFYsTable[Code], SummaryTable[[#This Row],[Code]], allFYsTable[year2], ER$3)=0, NotFound, SUMIFS(allFYsTable[OriginalBudget], allFYsTable[Code], SummaryTable[[#This Row],[Code]], allFYsTable[year2], ER$3))</f>
        <v>1574</v>
      </c>
      <c r="ES31" s="61">
        <f>SummaryTable[[#This Row],[OriginalBudget08]]-SummaryTable[[#This Row],[OriginalBudget07]]</f>
        <v>717</v>
      </c>
      <c r="ET31" s="54">
        <f>SummaryTable[[#This Row],[BudgetIncreaseAmount08]]/SummaryTable[[#This Row],[OriginalBudget07]]</f>
        <v>0.83663943990665113</v>
      </c>
      <c r="EU31" s="61">
        <f>IF(COUNTIFS(allFYsTable[Code], SummaryTable[[#This Row],[Code]], allFYsTable[year2], ER$3)=0, NotFound, SUMIFS(allFYsTable[RevisedBudget], allFYsTable[Code], SummaryTable[[#This Row],[Code]], allFYsTable[year2], ER$3))</f>
        <v>1574</v>
      </c>
      <c r="EV31" s="61">
        <f>IF(COUNTIFS(allFYsTable[Code], SummaryTable[[#This Row],[Code]], allFYsTable[year2], ER$3)=0, NotFound, SUMIFS(allFYsTable[Actual], allFYsTable[Code], SummaryTable[[#This Row],[Code]], allFYsTable[year2], ER$3))</f>
        <v>1335</v>
      </c>
      <c r="EW31" s="61">
        <f>IF(COUNTIFS(allFYsTable[Code], SummaryTable[[#This Row],[Code]], allFYsTable[year2], ER$3)=0, NotFound, SUMIFS(allFYsTable[DiffAmount], allFYsTable[Code], SummaryTable[[#This Row],[Code]], allFYsTable[year2], ER$3))</f>
        <v>-239</v>
      </c>
      <c r="EX31" s="63">
        <f>IF(SummaryTable[[#This Row],[OriginalBudget08]]=0, IF(SummaryTable[[#This Row],[DiffAmount08]]=0, ZeroBudgetNoSpending, ZeroBudgetWithSpending), SummaryTable[[#This Row],[DiffAmount08]]/SummaryTable[[#This Row],[OriginalBudget08]])</f>
        <v>-0.15184243964421856</v>
      </c>
      <c r="EY31" s="62">
        <f>IF(COUNTIFS(allFYsTable[Code], SummaryTable[[#This Row],[Code]], allFYsTable[year2], EY$3)=0, NotFound, SUMIFS(allFYsTable[OriginalBudget], allFYsTable[Code], SummaryTable[[#This Row],[Code]], allFYsTable[year2], EY$3))</f>
        <v>857</v>
      </c>
      <c r="EZ31" s="61">
        <f>SummaryTable[[#This Row],[OriginalBudget07]]-SummaryTable[[#This Row],[OriginalBudget06]]</f>
        <v>35</v>
      </c>
      <c r="FA31" s="54">
        <f>SummaryTable[[#This Row],[BudgetIncreaseAmount07]]/SummaryTable[[#This Row],[OriginalBudget06]]</f>
        <v>4.2579075425790751E-2</v>
      </c>
      <c r="FB31" s="61">
        <f>IF(COUNTIFS(allFYsTable[Code], SummaryTable[[#This Row],[Code]], allFYsTable[year2], EY$3)=0, NotFound, SUMIFS(allFYsTable[RevisedBudget], allFYsTable[Code], SummaryTable[[#This Row],[Code]], allFYsTable[year2], EY$3))</f>
        <v>857</v>
      </c>
      <c r="FC31" s="61">
        <f>IF(COUNTIFS(allFYsTable[Code], SummaryTable[[#This Row],[Code]], allFYsTable[year2], EY$3)=0, NotFound, SUMIFS(allFYsTable[Actual], allFYsTable[Code], SummaryTable[[#This Row],[Code]], allFYsTable[year2], EY$3))</f>
        <v>805</v>
      </c>
      <c r="FD31" s="61">
        <f>IF(COUNTIFS(allFYsTable[Code], SummaryTable[[#This Row],[Code]], allFYsTable[year2], EY$3)=0, NotFound, SUMIFS(allFYsTable[DiffAmount], allFYsTable[Code], SummaryTable[[#This Row],[Code]], allFYsTable[year2], EY$3))</f>
        <v>-52</v>
      </c>
      <c r="FE31" s="63">
        <f>IF(SummaryTable[[#This Row],[OriginalBudget07]]=0, IF(SummaryTable[[#This Row],[DiffAmount07]]=0, ZeroBudgetNoSpending, ZeroBudgetWithSpending), SummaryTable[[#This Row],[DiffAmount07]]/SummaryTable[[#This Row],[OriginalBudget07]])</f>
        <v>-6.0676779463243874E-2</v>
      </c>
      <c r="FF31" s="62">
        <f>IF(COUNTIFS(allFYsTable[Code], SummaryTable[[#This Row],[Code]], allFYsTable[year2], FF$3)=0, NotFound, SUMIFS(allFYsTable[OriginalBudget], allFYsTable[Code], SummaryTable[[#This Row],[Code]], allFYsTable[year2], FF$3))</f>
        <v>822</v>
      </c>
      <c r="FI31" s="61">
        <f>IF(COUNTIFS(allFYsTable[Code], SummaryTable[[#This Row],[Code]], allFYsTable[year2], FF$3)=0, NotFound, SUMIFS(allFYsTable[RevisedBudget], allFYsTable[Code], SummaryTable[[#This Row],[Code]], allFYsTable[year2], FF$3))</f>
        <v>849</v>
      </c>
      <c r="FJ31" s="61">
        <f>IF(COUNTIFS(allFYsTable[Code], SummaryTable[[#This Row],[Code]], allFYsTable[year2], FF$3)=0, NotFound, SUMIFS(allFYsTable[Actual], allFYsTable[Code], SummaryTable[[#This Row],[Code]], allFYsTable[year2], FF$3))</f>
        <v>658</v>
      </c>
      <c r="FK31" s="61">
        <f>IF(COUNTIFS(allFYsTable[Code], SummaryTable[[#This Row],[Code]], allFYsTable[year2], FF$3)=0, NotFound, SUMIFS(allFYsTable[DiffAmount], allFYsTable[Code], SummaryTable[[#This Row],[Code]], allFYsTable[year2], FF$3))</f>
        <v>-164</v>
      </c>
      <c r="FL31" s="63">
        <f>IF(SummaryTable[[#This Row],[OriginalBudget06]]=0, IF(SummaryTable[[#This Row],[DiffAmount06]]=0, ZeroBudgetNoSpending, ZeroBudgetWithSpending), SummaryTable[[#This Row],[DiffAmount06]]/SummaryTable[[#This Row],[OriginalBudget06]])</f>
        <v>-0.19951338199513383</v>
      </c>
    </row>
    <row r="32" spans="1:168" x14ac:dyDescent="0.45">
      <c r="A32" t="s">
        <v>705</v>
      </c>
      <c r="B32">
        <f>_xlfn.MAXIFS(allFYsTable[year2], allFYsTable[Code], SummaryTable[[#This Row],[Code]])</f>
        <v>2025</v>
      </c>
      <c r="C32" t="str">
        <f>_xlfn.XLOOKUP(SummaryTable[[#This Row],[Code]], NameCodingTable[Code], NameCodingTable[Most Recent Category per allFYs])</f>
        <v>Governmental direction and support</v>
      </c>
      <c r="D32" t="str">
        <f>_xlfn.XLOOKUP(SummaryTable[[#This Row],[Code]], NameCodingTable[Code], NameCodingTable[Unit Display Name])</f>
        <v>Department of General Services (DGS)</v>
      </c>
      <c r="E32" t="str">
        <f>_xlfn.XLOOKUP(SummaryTable[[#This Row],[Code]], NameCodingTable[Code], NameCodingTable[Type])</f>
        <v>agency</v>
      </c>
      <c r="F3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3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13</v>
      </c>
      <c r="H32" s="54">
        <f>SummaryTable[[#This Row],['# Over]]/SummaryTable[[#This Row],[Count]]</f>
        <v>0.65</v>
      </c>
      <c r="I3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7</v>
      </c>
      <c r="J32" s="54">
        <f>SummaryTable[[#This Row],['# Under]]/SummaryTable[[#This Row],[Count]]</f>
        <v>0.35</v>
      </c>
      <c r="K3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32" s="54">
        <f>SummaryTable[[#This Row],['# Equal]]/SummaryTable[[#This Row],[Count]]</f>
        <v>0</v>
      </c>
      <c r="M32" s="61">
        <f>SUMIFS(allFYsTable[OriginalBudget],allFYsTable[Code],SummaryTable[[#This Row],[Code]])/SummaryTable[[#This Row],[Count]]</f>
        <v>225944.55</v>
      </c>
      <c r="N32" s="61">
        <f>SUMIFS(allFYsTable[Actual],allFYsTable[Code],SummaryTable[[#This Row],[Code]])/SummaryTable[[#This Row],[Count]]</f>
        <v>245228.25</v>
      </c>
      <c r="O32" s="61">
        <f>SummaryTable[[#This Row],[AvgActAmt]]-SummaryTable[[#This Row],[AvgBudAmt]]</f>
        <v>19283.700000000012</v>
      </c>
      <c r="P32" s="54">
        <f>IF(SummaryTable[[#This Row],[AvgBudAmt]]=0, IF(SummaryTable[[#This Row],[AvgDiff'#]]=0, 0, NamedFields!$C$3), SummaryTable[[#This Row],[AvgDiff'#]]/SummaryTable[[#This Row],[AvgBudAmt]])</f>
        <v>8.5347046432410131E-2</v>
      </c>
      <c r="Q32" s="61">
        <f>IFERROR(SUMIFS(allFYsTable[OriginalBudget],allFYsTable[Code],SummaryTable[[#This Row],[Code]],allFYsTable[DiffAmount], "&gt;0")/SummaryTable[[#This Row],['# Over]], 0)</f>
        <v>280802.92307692306</v>
      </c>
      <c r="R32" s="61">
        <f>IFERROR(SUMIFS(allFYsTable[Actual],allFYsTable[Code],SummaryTable[[#This Row],[Code]],allFYsTable[DiffAmount], "&gt;0")/SummaryTable[[#This Row],['# Over]], 0)</f>
        <v>313286.84615384613</v>
      </c>
      <c r="S32" s="61">
        <f>SummaryTable[[#This Row],[OverAvgAct]]-SummaryTable[[#This Row],[OverAvgBud]]</f>
        <v>32483.923076923063</v>
      </c>
      <c r="T32" s="54">
        <f>IF(SummaryTable[[#This Row],[OverAvgBud]]=0, IF(SummaryTable[[#This Row],[OverAvgDiff'#]]=0, ZeroBudgetNoSpending, ZeroBudgetWithSpending), SummaryTable[[#This Row],[OverAvgDiff'#]]/SummaryTable[[#This Row],[OverAvgBud]])</f>
        <v>0.11568228250966044</v>
      </c>
      <c r="U32" s="61">
        <f>IFERROR(SUMIFS(allFYsTable[OriginalBudget],allFYsTable[Code],SummaryTable[[#This Row],[Code]],allFYsTable[DiffAmount], "&lt;0")/SummaryTable[[#This Row],['# Under]], 0)</f>
        <v>124064.71428571429</v>
      </c>
      <c r="V32" s="61">
        <f>IFERROR( SUMIFS(allFYsTable[Actual],allFYsTable[Code],SummaryTable[[#This Row],[Code]],allFYsTable[DiffAmount], "&lt;0")/SummaryTable[[#This Row],['# Under]], 0)</f>
        <v>118833.71428571429</v>
      </c>
      <c r="W32" s="61">
        <f>SummaryTable[[#This Row],[UnderAvgAct]]-SummaryTable[[#This Row],[UnderAvgBud]]</f>
        <v>-5231</v>
      </c>
      <c r="X32" s="54">
        <f>IF(SummaryTable[[#This Row],[UnderAvgBud]]=0, IF(SummaryTable[[#This Row],[UnderAvgDiff'#]]=0, ZeroBudgetNoSpending, NamedFields!$C$3), SummaryTable[[#This Row],[UnderAvgDiff'#]]/SummaryTable[[#This Row],[UnderAvgBud]])</f>
        <v>-4.2163479198068288E-2</v>
      </c>
      <c r="Y3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9</v>
      </c>
      <c r="Z3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3</v>
      </c>
      <c r="AA32" s="54">
        <f>IF(SummaryTable[[#This Row],[IncreaseYears]]=0, ZeroBudgetNoSpending, SummaryTable[[#This Row],[OSinIncreaseYear'#]]/SummaryTable[[#This Row],[IncreaseYears]])</f>
        <v>0.33333333333333331</v>
      </c>
      <c r="AB32" s="58" t="str">
        <f>SummaryTable[[#This Row],[Code]]</f>
        <v>AM0</v>
      </c>
      <c r="AC32" s="62">
        <f>IF(COUNTIFS(allFYsTable[Code], SummaryTable[[#This Row],[Code]], allFYsTable[year2], AC$3)=0, NotFound, SUMIFS(allFYsTable[OriginalBudget], allFYsTable[Code], SummaryTable[[#This Row],[Code]], allFYsTable[year2], AC$3))</f>
        <v>405002</v>
      </c>
      <c r="AD32" s="61">
        <f>SummaryTable[[#This Row],[OriginalBudget25]]-SummaryTable[[#This Row],[OriginalBudget24]]</f>
        <v>-24739</v>
      </c>
      <c r="AE32" s="54">
        <f>SummaryTable[[#This Row],[BudgetIncreaseAmount25]]/SummaryTable[[#This Row],[OriginalBudget24]]</f>
        <v>-5.7567232356233171E-2</v>
      </c>
      <c r="AF32" s="61">
        <f>IF(COUNTIFS(allFYsTable[Code], SummaryTable[[#This Row],[Code]], allFYsTable[year2], AC$3)=0, NotFound, SUMIFS(allFYsTable[RevisedBudget], allFYsTable[Code], SummaryTable[[#This Row],[Code]], allFYsTable[year2], AC$3))</f>
        <v>452918</v>
      </c>
      <c r="AG32" s="61">
        <f>IF(COUNTIFS(allFYsTable[Code], SummaryTable[[#This Row],[Code]], allFYsTable[year2], AC$3)=0, NotFound, SUMIFS(allFYsTable[Actual], allFYsTable[Code], SummaryTable[[#This Row],[Code]], allFYsTable[year2], AC$3))</f>
        <v>449608</v>
      </c>
      <c r="AH32" s="61">
        <f>IF(COUNTIFS(allFYsTable[Code], SummaryTable[[#This Row],[Code]], allFYsTable[year2], AC$3)=0, NotFound, SUMIFS(allFYsTable[DiffAmount], allFYsTable[Code], SummaryTable[[#This Row],[Code]], allFYsTable[year2], AC$3))</f>
        <v>44606</v>
      </c>
      <c r="AI32" s="63">
        <f>IF(SummaryTable[[#This Row],[OriginalBudget25]]=0, IF(SummaryTable[[#This Row],[DiffAmount25]]=0, ZeroBudgetNoSpending, ZeroBudgetWithSpending), SummaryTable[[#This Row],[DiffAmount25]]/SummaryTable[[#This Row],[OriginalBudget25]])</f>
        <v>0.11013772771492486</v>
      </c>
      <c r="AJ32" s="62">
        <f>IF(COUNTIFS(allFYsTable[Code], SummaryTable[[#This Row],[Code]], allFYsTable[year2], AJ$3)=0, NotFound, SUMIFS(allFYsTable[OriginalBudget], allFYsTable[Code], SummaryTable[[#This Row],[Code]], allFYsTable[year2], AJ$3))</f>
        <v>429741</v>
      </c>
      <c r="AK32" s="61">
        <f>SummaryTable[[#This Row],[OriginalBudget24]]-SummaryTable[[#This Row],[OriginalBudget23]]</f>
        <v>48968</v>
      </c>
      <c r="AL32" s="54">
        <f>SummaryTable[[#This Row],[BudgetIncreaseAmount24]]/SummaryTable[[#This Row],[OriginalBudget23]]</f>
        <v>0.1286015552573318</v>
      </c>
      <c r="AM32" s="61">
        <f>IF(COUNTIFS(allFYsTable[Code], SummaryTable[[#This Row],[Code]], allFYsTable[year2], AK$3)=0, NotFound, SUMIFS(allFYsTable[RevisedBudget], allFYsTable[Code], SummaryTable[[#This Row],[Code]], allFYsTable[year2], AJ$3))</f>
        <v>460622</v>
      </c>
      <c r="AN32" s="61">
        <f>IF(COUNTIFS(allFYsTable[Code], SummaryTable[[#This Row],[Code]], allFYsTable[year2], AJ$3)=0, NotFound, SUMIFS(allFYsTable[Actual], allFYsTable[Code], SummaryTable[[#This Row],[Code]], allFYsTable[year2], AJ$3))</f>
        <v>460043</v>
      </c>
      <c r="AO32" s="61">
        <f>IF(COUNTIFS(allFYsTable[Code], SummaryTable[[#This Row],[Code]], allFYsTable[year2], AJ$3)=0, NotFound, SUMIFS(allFYsTable[DiffAmount], allFYsTable[Code], SummaryTable[[#This Row],[Code]], allFYsTable[year2], AJ$3))</f>
        <v>30302</v>
      </c>
      <c r="AP32" s="63">
        <f>IF(SummaryTable[[#This Row],[OriginalBudget24]]=0, IF(SummaryTable[[#This Row],[DiffAmount24]]=0, ZeroBudgetNoSpending, ZeroBudgetWithSpending), SummaryTable[[#This Row],[DiffAmount24]]/SummaryTable[[#This Row],[OriginalBudget24]])</f>
        <v>7.0512238767071328E-2</v>
      </c>
      <c r="AQ32" s="62">
        <f>IF(COUNTIFS(allFYsTable[Code], SummaryTable[[#This Row],[Code]], allFYsTable[year2], AQ$3)=0, NotFound, SUMIFS(allFYsTable[OriginalBudget], allFYsTable[Code], SummaryTable[[#This Row],[Code]], allFYsTable[year2], AQ$3))</f>
        <v>380773</v>
      </c>
      <c r="AR32" s="61">
        <f>SummaryTable[[#This Row],[OriginalBudget23]]-SummaryTable[[#This Row],[OriginalBudget22]]</f>
        <v>79811</v>
      </c>
      <c r="AS32" s="54">
        <f>SummaryTable[[#This Row],[BudgetIncreaseAmount23]]/SummaryTable[[#This Row],[OriginalBudget22]]</f>
        <v>0.26518630258969572</v>
      </c>
      <c r="AT32" s="61">
        <f>IF(COUNTIFS(allFYsTable[Code], SummaryTable[[#This Row],[Code]], allFYsTable[year2], AQ$3)=0, NotFound, SUMIFS(allFYsTable[RevisedBudget], allFYsTable[Code], SummaryTable[[#This Row],[Code]], allFYsTable[year2], AQ$3))</f>
        <v>430827</v>
      </c>
      <c r="AU32" s="61">
        <f>IF(COUNTIFS(allFYsTable[Code], SummaryTable[[#This Row],[Code]], allFYsTable[year2], AQ$3)=0, NotFound, SUMIFS(allFYsTable[Actual], allFYsTable[Code], SummaryTable[[#This Row],[Code]], allFYsTable[year2], AQ$3))</f>
        <v>425210</v>
      </c>
      <c r="AV32" s="61">
        <f>IF(COUNTIFS(allFYsTable[Code], SummaryTable[[#This Row],[Code]], allFYsTable[year2], AQ$3)=0, NotFound, SUMIFS(allFYsTable[DiffAmount], allFYsTable[Code], SummaryTable[[#This Row],[Code]], allFYsTable[year2], AQ$3))</f>
        <v>44437</v>
      </c>
      <c r="AW32" s="63">
        <f>IF(SummaryTable[[#This Row],[OriginalBudget23]]=0, IF(SummaryTable[[#This Row],[DiffAmount23]]=0, ZeroBudgetNoSpending, ZeroBudgetWithSpending), SummaryTable[[#This Row],[DiffAmount23]]/SummaryTable[[#This Row],[OriginalBudget23]])</f>
        <v>0.11670207709055001</v>
      </c>
      <c r="AX32" s="62">
        <f>IF(COUNTIFS(allFYsTable[Code], SummaryTable[[#This Row],[Code]], allFYsTable[year2], AX$3)=0, NotFound, SUMIFS(allFYsTable[OriginalBudget], allFYsTable[Code], SummaryTable[[#This Row],[Code]], allFYsTable[year2], AX$3))</f>
        <v>300962</v>
      </c>
      <c r="AY32" s="61">
        <f>SummaryTable[[#This Row],[OriginalBudget22]]-SummaryTable[[#This Row],[OriginalBudget21]]</f>
        <v>-24444</v>
      </c>
      <c r="AZ32" s="54">
        <f>SummaryTable[[#This Row],[BudgetIncreaseAmount22]]/SummaryTable[[#This Row],[OriginalBudget21]]</f>
        <v>-7.5118467391504767E-2</v>
      </c>
      <c r="BA32" s="61">
        <f>IF(COUNTIFS(allFYsTable[Code], SummaryTable[[#This Row],[Code]], allFYsTable[year2], AX$3)=0, NotFound, SUMIFS(allFYsTable[RevisedBudget], allFYsTable[Code], SummaryTable[[#This Row],[Code]], allFYsTable[year2], AX$3))</f>
        <v>408526</v>
      </c>
      <c r="BB32" s="61">
        <f>IF(COUNTIFS(allFYsTable[Code], SummaryTable[[#This Row],[Code]], allFYsTable[year2], AX$3)=0, NotFound, SUMIFS(allFYsTable[Actual], allFYsTable[Code], SummaryTable[[#This Row],[Code]], allFYsTable[year2], AX$3))</f>
        <v>403103</v>
      </c>
      <c r="BC32" s="61">
        <f>IF(COUNTIFS(allFYsTable[Code], SummaryTable[[#This Row],[Code]], allFYsTable[year2], AX$3)=0, NotFound, SUMIFS(allFYsTable[DiffAmount], allFYsTable[Code], SummaryTable[[#This Row],[Code]], allFYsTable[year2], AX$3))</f>
        <v>102141</v>
      </c>
      <c r="BD32" s="63">
        <f>IF(SummaryTable[[#This Row],[OriginalBudget22]]=0, IF(SummaryTable[[#This Row],[DiffAmount22]]=0, ZeroBudgetNoSpending, ZeroBudgetWithSpending), SummaryTable[[#This Row],[DiffAmount22]]/SummaryTable[[#This Row],[OriginalBudget22]])</f>
        <v>0.33938171596414163</v>
      </c>
      <c r="BE32" s="62">
        <f>IF(COUNTIFS(allFYsTable[Code], SummaryTable[[#This Row],[Code]], allFYsTable[year2], BE$3)=0, NotFound, SUMIFS(allFYsTable[OriginalBudget], allFYsTable[Code], SummaryTable[[#This Row],[Code]], allFYsTable[year2], BE$3))</f>
        <v>325406</v>
      </c>
      <c r="BF32" s="61">
        <f>SummaryTable[[#This Row],[OriginalBudget21]]-SummaryTable[[#This Row],[OriginalBudget20]]</f>
        <v>-1107</v>
      </c>
      <c r="BG32" s="54">
        <f>SummaryTable[[#This Row],[BudgetIncreaseAmount21]]/SummaryTable[[#This Row],[OriginalBudget20]]</f>
        <v>-3.3903703681017294E-3</v>
      </c>
      <c r="BH32" s="61">
        <f>IF(COUNTIFS(allFYsTable[Code], SummaryTable[[#This Row],[Code]], allFYsTable[year2], BE$3)=0, NotFound, SUMIFS(allFYsTable[RevisedBudget], allFYsTable[Code], SummaryTable[[#This Row],[Code]], allFYsTable[year2], BE$3))</f>
        <v>378987</v>
      </c>
      <c r="BI32" s="61">
        <f>IF(COUNTIFS(allFYsTable[Code], SummaryTable[[#This Row],[Code]], allFYsTable[year2], BE$3)=0, NotFound, SUMIFS(allFYsTable[Actual], allFYsTable[Code], SummaryTable[[#This Row],[Code]], allFYsTable[year2], BE$3))</f>
        <v>375429</v>
      </c>
      <c r="BJ32" s="61">
        <f>IF(COUNTIFS(allFYsTable[Code], SummaryTable[[#This Row],[Code]], allFYsTable[year2], BE$3)=0, NotFound, SUMIFS(allFYsTable[DiffAmount], allFYsTable[Code], SummaryTable[[#This Row],[Code]], allFYsTable[year2], BE$3))</f>
        <v>50023</v>
      </c>
      <c r="BK32" s="63">
        <f>IF(SummaryTable[[#This Row],[OriginalBudget21]]=0, IF(SummaryTable[[#This Row],[DiffAmount21]]=0, ZeroBudgetNoSpending, ZeroBudgetWithSpending), SummaryTable[[#This Row],[DiffAmount21]]/SummaryTable[[#This Row],[OriginalBudget21]])</f>
        <v>0.15372488522030939</v>
      </c>
      <c r="BL32" s="62">
        <f>IF(COUNTIFS(allFYsTable[Code], SummaryTable[[#This Row],[Code]], allFYsTable[year2], BL$3)=0, NotFound, SUMIFS(allFYsTable[OriginalBudget], allFYsTable[Code], SummaryTable[[#This Row],[Code]], allFYsTable[year2], BL$3))</f>
        <v>326513</v>
      </c>
      <c r="BM32" s="61">
        <f>SummaryTable[[#This Row],[OriginalBudget20]]-SummaryTable[[#This Row],[OriginalBudget19]]</f>
        <v>16361</v>
      </c>
      <c r="BN32" s="54">
        <f>SummaryTable[[#This Row],[BudgetIncreaseAmount20]]/SummaryTable[[#This Row],[OriginalBudget19]]</f>
        <v>5.2751554076710776E-2</v>
      </c>
      <c r="BO32" s="61">
        <f>IF(COUNTIFS(allFYsTable[Code], SummaryTable[[#This Row],[Code]], allFYsTable[year2], BL$3)=0, NotFound, SUMIFS(allFYsTable[RevisedBudget], allFYsTable[Code], SummaryTable[[#This Row],[Code]], allFYsTable[year2], BL$3))</f>
        <v>351970</v>
      </c>
      <c r="BP32" s="61">
        <f>IF(COUNTIFS(allFYsTable[Code], SummaryTable[[#This Row],[Code]], allFYsTable[year2], BL$3)=0, NotFound, SUMIFS(allFYsTable[Actual], allFYsTable[Code], SummaryTable[[#This Row],[Code]], allFYsTable[year2], BL$3))</f>
        <v>349825</v>
      </c>
      <c r="BQ32" s="61">
        <f>IF(COUNTIFS(allFYsTable[Code], SummaryTable[[#This Row],[Code]], allFYsTable[year2], BL$3)=0, NotFound, SUMIFS(allFYsTable[DiffAmount], allFYsTable[Code], SummaryTable[[#This Row],[Code]], allFYsTable[year2], BL$3))</f>
        <v>23312</v>
      </c>
      <c r="BR32" s="63">
        <f>IF(SummaryTable[[#This Row],[OriginalBudget20]]=0, IF(SummaryTable[[#This Row],[DiffAmount20]]=0, ZeroBudgetNoSpending, ZeroBudgetWithSpending), SummaryTable[[#This Row],[DiffAmount20]]/SummaryTable[[#This Row],[OriginalBudget20]])</f>
        <v>7.139685096764907E-2</v>
      </c>
      <c r="BS32" s="62">
        <f>IF(COUNTIFS(allFYsTable[Code], SummaryTable[[#This Row],[Code]], allFYsTable[year2], BS$3)=0, NotFound, SUMIFS(allFYsTable[OriginalBudget], allFYsTable[Code], SummaryTable[[#This Row],[Code]], allFYsTable[year2], BS$3))</f>
        <v>310152</v>
      </c>
      <c r="BT32" s="61">
        <f>SummaryTable[[#This Row],[OriginalBudget19]]-SummaryTable[[#This Row],[OriginalBudget18]]</f>
        <v>28669</v>
      </c>
      <c r="BU32" s="54">
        <f>SummaryTable[[#This Row],[BudgetIncreaseAmount19]]/SummaryTable[[#This Row],[OriginalBudget18]]</f>
        <v>0.1018498452837294</v>
      </c>
      <c r="BV32" s="61">
        <f>IF(COUNTIFS(allFYsTable[Code], SummaryTable[[#This Row],[Code]], allFYsTable[year2], BS$3)=0, NotFound, SUMIFS(allFYsTable[RevisedBudget], allFYsTable[Code], SummaryTable[[#This Row],[Code]], allFYsTable[year2], BS$3))</f>
        <v>365343</v>
      </c>
      <c r="BW32" s="61">
        <f>IF(COUNTIFS(allFYsTable[Code], SummaryTable[[#This Row],[Code]], allFYsTable[year2], BS$3)=0, NotFound, SUMIFS(allFYsTable[Actual], allFYsTable[Code], SummaryTable[[#This Row],[Code]], allFYsTable[year2], BS$3))</f>
        <v>349932</v>
      </c>
      <c r="BX32" s="61">
        <f>IF(COUNTIFS(allFYsTable[Code], SummaryTable[[#This Row],[Code]], allFYsTable[year2], BS$3)=0, NotFound, SUMIFS(allFYsTable[DiffAmount], allFYsTable[Code], SummaryTable[[#This Row],[Code]], allFYsTable[year2], BS$3))</f>
        <v>39780</v>
      </c>
      <c r="BY32" s="63">
        <f>IF(SummaryTable[[#This Row],[OriginalBudget19]]=0, IF(SummaryTable[[#This Row],[DiffAmount19]]=0, ZeroBudgetNoSpending, ZeroBudgetWithSpending), SummaryTable[[#This Row],[DiffAmount19]]/SummaryTable[[#This Row],[OriginalBudget19]])</f>
        <v>0.12825969202197632</v>
      </c>
      <c r="BZ32" s="62">
        <f>IF(COUNTIFS(allFYsTable[Code], SummaryTable[[#This Row],[Code]], allFYsTable[year2], BZ$3)=0, NotFound, SUMIFS(allFYsTable[OriginalBudget], allFYsTable[Code], SummaryTable[[#This Row],[Code]], allFYsTable[year2], BZ$3))</f>
        <v>281483</v>
      </c>
      <c r="CA32" s="61">
        <f>SummaryTable[[#This Row],[OriginalBudget18]]-SummaryTable[[#This Row],[OriginalBudget17]]</f>
        <v>-32673</v>
      </c>
      <c r="CB32" s="54">
        <f>SummaryTable[[#This Row],[BudgetIncreaseAmount18]]/SummaryTable[[#This Row],[OriginalBudget17]]</f>
        <v>-0.10400247011039102</v>
      </c>
      <c r="CC32" s="61">
        <f>IF(COUNTIFS(allFYsTable[Code], SummaryTable[[#This Row],[Code]], allFYsTable[year2], BZ$3)=0, NotFound, SUMIFS(allFYsTable[RevisedBudget], allFYsTable[Code], SummaryTable[[#This Row],[Code]], allFYsTable[year2], BZ$3))</f>
        <v>343511</v>
      </c>
      <c r="CD32" s="61">
        <f>IF(COUNTIFS(allFYsTable[Code], SummaryTable[[#This Row],[Code]], allFYsTable[year2], BZ$3)=0, NotFound, SUMIFS(allFYsTable[Actual], allFYsTable[Code], SummaryTable[[#This Row],[Code]], allFYsTable[year2], BZ$3))</f>
        <v>341428</v>
      </c>
      <c r="CE32" s="61">
        <f>IF(COUNTIFS(allFYsTable[Code], SummaryTable[[#This Row],[Code]], allFYsTable[year2], BZ$3)=0, NotFound, SUMIFS(allFYsTable[DiffAmount], allFYsTable[Code], SummaryTable[[#This Row],[Code]], allFYsTable[year2], BZ$3))</f>
        <v>59945</v>
      </c>
      <c r="CF32" s="63">
        <f>IF(SummaryTable[[#This Row],[OriginalBudget18]]=0, IF(SummaryTable[[#This Row],[DiffAmount18]]=0, ZeroBudgetNoSpending, ZeroBudgetWithSpending), SummaryTable[[#This Row],[DiffAmount18]]/SummaryTable[[#This Row],[OriginalBudget18]])</f>
        <v>0.21296135112955311</v>
      </c>
      <c r="CG32" s="62">
        <f>IF(COUNTIFS(allFYsTable[Code], SummaryTable[[#This Row],[Code]], allFYsTable[year2], CG$3)=0, NotFound, SUMIFS(allFYsTable[OriginalBudget], allFYsTable[Code], SummaryTable[[#This Row],[Code]], allFYsTable[year2], CG$3))</f>
        <v>314156</v>
      </c>
      <c r="CH32" s="61">
        <f>SummaryTable[[#This Row],[OriginalBudget17]]-SummaryTable[[#This Row],[OriginalBudget16]]</f>
        <v>-3721</v>
      </c>
      <c r="CI32" s="54">
        <f>SummaryTable[[#This Row],[BudgetIncreaseAmount17]]/SummaryTable[[#This Row],[OriginalBudget16]]</f>
        <v>-1.1705785571148588E-2</v>
      </c>
      <c r="CJ32" s="61">
        <f>IF(COUNTIFS(allFYsTable[Code], SummaryTable[[#This Row],[Code]], allFYsTable[year2], CG$3)=0, NotFound, SUMIFS(allFYsTable[RevisedBudget], allFYsTable[Code], SummaryTable[[#This Row],[Code]], allFYsTable[year2], CG$3))</f>
        <v>330738</v>
      </c>
      <c r="CK32" s="61">
        <f>IF(COUNTIFS(allFYsTable[Code], SummaryTable[[#This Row],[Code]], allFYsTable[year2], CG$3)=0, NotFound, SUMIFS(allFYsTable[Actual], allFYsTable[Code], SummaryTable[[#This Row],[Code]], allFYsTable[year2], CG$3))</f>
        <v>327877</v>
      </c>
      <c r="CL32" s="61">
        <f>IF(COUNTIFS(allFYsTable[Code], SummaryTable[[#This Row],[Code]], allFYsTable[year2], CG$3)=0, NotFound, SUMIFS(allFYsTable[DiffAmount], allFYsTable[Code], SummaryTable[[#This Row],[Code]], allFYsTable[year2], CG$3))</f>
        <v>13721</v>
      </c>
      <c r="CM32" s="63">
        <f>IF(SummaryTable[[#This Row],[OriginalBudget17]]=0, IF(SummaryTable[[#This Row],[DiffAmount17]]=0, ZeroBudgetNoSpending, ZeroBudgetWithSpending), SummaryTable[[#This Row],[DiffAmount17]]/SummaryTable[[#This Row],[OriginalBudget17]])</f>
        <v>4.3675753447331898E-2</v>
      </c>
      <c r="CN32" s="62">
        <f>IF(COUNTIFS(allFYsTable[Code], SummaryTable[[#This Row],[Code]], allFYsTable[year2], CN$3)=0, NotFound, SUMIFS(allFYsTable[OriginalBudget], allFYsTable[Code], SummaryTable[[#This Row],[Code]], allFYsTable[year2], CN$3))</f>
        <v>317877</v>
      </c>
      <c r="CO32" s="61">
        <f>SummaryTable[[#This Row],[OriginalBudget16]]-SummaryTable[[#This Row],[OriginalBudget15]]</f>
        <v>17017</v>
      </c>
      <c r="CP32" s="54">
        <f>SummaryTable[[#This Row],[BudgetIncreaseAmount16]]/SummaryTable[[#This Row],[OriginalBudget15]]</f>
        <v>5.6561191251744997E-2</v>
      </c>
      <c r="CQ32" s="61">
        <f>IF(COUNTIFS(allFYsTable[Code], SummaryTable[[#This Row],[Code]], allFYsTable[year2], CN$3)=0, NotFound, SUMIFS(allFYsTable[RevisedBudget], allFYsTable[Code], SummaryTable[[#This Row],[Code]], allFYsTable[year2], CN$3))</f>
        <v>320039</v>
      </c>
      <c r="CR32" s="61">
        <f>IF(COUNTIFS(allFYsTable[Code], SummaryTable[[#This Row],[Code]], allFYsTable[year2], CN$3)=0, NotFound, SUMIFS(allFYsTable[Actual], allFYsTable[Code], SummaryTable[[#This Row],[Code]], allFYsTable[year2], CN$3))</f>
        <v>318410</v>
      </c>
      <c r="CS32" s="61">
        <f>IF(COUNTIFS(allFYsTable[Code], SummaryTable[[#This Row],[Code]], allFYsTable[year2], CN$3)=0, NotFound, SUMIFS(allFYsTable[DiffAmount], allFYsTable[Code], SummaryTable[[#This Row],[Code]], allFYsTable[year2], CN$3))</f>
        <v>533</v>
      </c>
      <c r="CT32" s="63">
        <f>IF(SummaryTable[[#This Row],[OriginalBudget16]]=0, IF(SummaryTable[[#This Row],[DiffAmount16]]=0, ZeroBudgetNoSpending, ZeroBudgetWithSpending), SummaryTable[[#This Row],[DiffAmount16]]/SummaryTable[[#This Row],[OriginalBudget16]])</f>
        <v>1.676749182860037E-3</v>
      </c>
      <c r="CU32" s="62">
        <f>IF(COUNTIFS(allFYsTable[Code], SummaryTable[[#This Row],[Code]], allFYsTable[year2], CU$3)=0, NotFound, SUMIFS(allFYsTable[OriginalBudget], allFYsTable[Code], SummaryTable[[#This Row],[Code]], allFYsTable[year2], CU$3))</f>
        <v>300860</v>
      </c>
      <c r="CV32" s="61">
        <f>SummaryTable[[#This Row],[OriginalBudget15]]-SummaryTable[[#This Row],[OriginalBudget14]]</f>
        <v>40828</v>
      </c>
      <c r="CW32" s="54">
        <f>SummaryTable[[#This Row],[BudgetIncreaseAmount15]]/SummaryTable[[#This Row],[OriginalBudget14]]</f>
        <v>0.15701144474526213</v>
      </c>
      <c r="CX32" s="61">
        <f>IF(COUNTIFS(allFYsTable[Code], SummaryTable[[#This Row],[Code]], allFYsTable[year2], CU$3)=0, NotFound, SUMIFS(allFYsTable[RevisedBudget], allFYsTable[Code], SummaryTable[[#This Row],[Code]], allFYsTable[year2], CU$3))</f>
        <v>295645</v>
      </c>
      <c r="CY32" s="61">
        <f>IF(COUNTIFS(allFYsTable[Code], SummaryTable[[#This Row],[Code]], allFYsTable[year2], CU$3)=0, NotFound, SUMIFS(allFYsTable[Actual], allFYsTable[Code], SummaryTable[[#This Row],[Code]], allFYsTable[year2], CU$3))</f>
        <v>286950</v>
      </c>
      <c r="CZ32" s="61">
        <f>IF(COUNTIFS(allFYsTable[Code], SummaryTable[[#This Row],[Code]], allFYsTable[year2], CU$3)=0, NotFound, SUMIFS(allFYsTable[DiffAmount], allFYsTable[Code], SummaryTable[[#This Row],[Code]], allFYsTable[year2], CU$3))</f>
        <v>-13910</v>
      </c>
      <c r="DA32" s="63">
        <f>IF(SummaryTable[[#This Row],[OriginalBudget15]]=0, IF(SummaryTable[[#This Row],[DiffAmount15]]=0, ZeroBudgetNoSpending, ZeroBudgetWithSpending), SummaryTable[[#This Row],[DiffAmount15]]/SummaryTable[[#This Row],[OriginalBudget15]])</f>
        <v>-4.6234128830685367E-2</v>
      </c>
      <c r="DB32" s="62">
        <f>IF(COUNTIFS(allFYsTable[Code], SummaryTable[[#This Row],[Code]], allFYsTable[year2], DB$3)=0, NotFound, SUMIFS(allFYsTable[OriginalBudget], allFYsTable[Code], SummaryTable[[#This Row],[Code]], allFYsTable[year2], DB$3))</f>
        <v>260032</v>
      </c>
      <c r="DC32" s="61">
        <f>SummaryTable[[#This Row],[OriginalBudget14]]-SummaryTable[[#This Row],[OriginalBudget13]]</f>
        <v>15694</v>
      </c>
      <c r="DD32" s="54">
        <f>SummaryTable[[#This Row],[BudgetIncreaseAmount14]]/SummaryTable[[#This Row],[OriginalBudget13]]</f>
        <v>6.423069682161596E-2</v>
      </c>
      <c r="DE32" s="61">
        <f>IF(COUNTIFS(allFYsTable[Code], SummaryTable[[#This Row],[Code]], allFYsTable[year2], DB$3)=0, NotFound, SUMIFS(allFYsTable[RevisedBudget], allFYsTable[Code], SummaryTable[[#This Row],[Code]], allFYsTable[year2], DB$3))</f>
        <v>264326</v>
      </c>
      <c r="DF32" s="61">
        <f>IF(COUNTIFS(allFYsTable[Code], SummaryTable[[#This Row],[Code]], allFYsTable[year2], DB$3)=0, NotFound, SUMIFS(allFYsTable[Actual], allFYsTable[Code], SummaryTable[[#This Row],[Code]], allFYsTable[year2], DB$3))</f>
        <v>248468</v>
      </c>
      <c r="DG32" s="61">
        <f>IF(COUNTIFS(allFYsTable[Code], SummaryTable[[#This Row],[Code]], allFYsTable[year2], DB$3)=0, NotFound, SUMIFS(allFYsTable[DiffAmount], allFYsTable[Code], SummaryTable[[#This Row],[Code]], allFYsTable[year2], DB$3))</f>
        <v>-11564</v>
      </c>
      <c r="DH32" s="63">
        <f>IF(SummaryTable[[#This Row],[OriginalBudget14]]=0, IF(SummaryTable[[#This Row],[DiffAmount14]]=0, ZeroBudgetNoSpending, ZeroBudgetWithSpending), SummaryTable[[#This Row],[DiffAmount14]]/SummaryTable[[#This Row],[OriginalBudget14]])</f>
        <v>-4.4471449667733205E-2</v>
      </c>
      <c r="DI32" s="62">
        <f>IF(COUNTIFS(allFYsTable[Code], SummaryTable[[#This Row],[Code]], allFYsTable[year2], DI$3)=0, NotFound, SUMIFS(allFYsTable[OriginalBudget], allFYsTable[Code], SummaryTable[[#This Row],[Code]], allFYsTable[year2], DI$3))</f>
        <v>244338</v>
      </c>
      <c r="DJ32" s="61">
        <f>SummaryTable[[#This Row],[OriginalBudget13]]-SummaryTable[[#This Row],[OriginalBudget12]]</f>
        <v>38912</v>
      </c>
      <c r="DK32" s="54">
        <f>SummaryTable[[#This Row],[BudgetIncreaseAmount13]]/SummaryTable[[#This Row],[OriginalBudget12]]</f>
        <v>0.18942100805156115</v>
      </c>
      <c r="DL32" s="61">
        <f>IF(COUNTIFS(allFYsTable[Code], SummaryTable[[#This Row],[Code]], allFYsTable[year2], DI$3)=0, NotFound, SUMIFS(allFYsTable[RevisedBudget], allFYsTable[Code], SummaryTable[[#This Row],[Code]], allFYsTable[year2], DI$3))</f>
        <v>241738</v>
      </c>
      <c r="DM32" s="61">
        <f>IF(COUNTIFS(allFYsTable[Code], SummaryTable[[#This Row],[Code]], allFYsTable[year2], DI$3)=0, NotFound, SUMIFS(allFYsTable[Actual], allFYsTable[Code], SummaryTable[[#This Row],[Code]], allFYsTable[year2], DI$3))</f>
        <v>239275</v>
      </c>
      <c r="DN32" s="61">
        <f>IF(COUNTIFS(allFYsTable[Code], SummaryTable[[#This Row],[Code]], allFYsTable[year2], DI$3)=0, NotFound, SUMIFS(allFYsTable[DiffAmount], allFYsTable[Code], SummaryTable[[#This Row],[Code]], allFYsTable[year2], DI$3))</f>
        <v>-5063</v>
      </c>
      <c r="DO32" s="63">
        <f>IF(SummaryTable[[#This Row],[OriginalBudget13]]=0, IF(SummaryTable[[#This Row],[DiffAmount13]]=0, ZeroBudgetNoSpending, ZeroBudgetWithSpending), SummaryTable[[#This Row],[DiffAmount13]]/SummaryTable[[#This Row],[OriginalBudget13]])</f>
        <v>-2.0721295909764344E-2</v>
      </c>
      <c r="DP32" s="62">
        <f>IF(COUNTIFS(allFYsTable[Code], SummaryTable[[#This Row],[Code]], allFYsTable[year2], DP$3)=0, NotFound, SUMIFS(allFYsTable[OriginalBudget], allFYsTable[Code], SummaryTable[[#This Row],[Code]], allFYsTable[year2], DP$3))</f>
        <v>205426</v>
      </c>
      <c r="DQ32" s="61">
        <f>SummaryTable[[#This Row],[OriginalBudget12]]-SummaryTable[[#This Row],[OriginalBudget11]]</f>
        <v>196607</v>
      </c>
      <c r="DR32" s="54">
        <f>SummaryTable[[#This Row],[BudgetIncreaseAmount12]]/SummaryTable[[#This Row],[OriginalBudget11]]</f>
        <v>22.293570699625807</v>
      </c>
      <c r="DS32" s="61">
        <f>IF(COUNTIFS(allFYsTable[Code], SummaryTable[[#This Row],[Code]], allFYsTable[year2], DP$3)=0, NotFound, SUMIFS(allFYsTable[RevisedBudget], allFYsTable[Code], SummaryTable[[#This Row],[Code]], allFYsTable[year2], DP$3))</f>
        <v>210566</v>
      </c>
      <c r="DT32" s="61">
        <f>IF(COUNTIFS(allFYsTable[Code], SummaryTable[[#This Row],[Code]], allFYsTable[year2], DP$3)=0, NotFound, SUMIFS(allFYsTable[Actual], allFYsTable[Code], SummaryTable[[#This Row],[Code]], allFYsTable[year2], DP$3))</f>
        <v>208936</v>
      </c>
      <c r="DU32" s="61">
        <f>IF(COUNTIFS(allFYsTable[Code], SummaryTable[[#This Row],[Code]], allFYsTable[year2], DP$3)=0, NotFound, SUMIFS(allFYsTable[DiffAmount], allFYsTable[Code], SummaryTable[[#This Row],[Code]], allFYsTable[year2], DP$3))</f>
        <v>3510</v>
      </c>
      <c r="DV32" s="63">
        <f>IF(SummaryTable[[#This Row],[OriginalBudget12]]=0, IF(SummaryTable[[#This Row],[DiffAmount12]]=0, ZeroBudgetNoSpending, ZeroBudgetWithSpending), SummaryTable[[#This Row],[DiffAmount12]]/SummaryTable[[#This Row],[OriginalBudget12]])</f>
        <v>1.7086444753828631E-2</v>
      </c>
      <c r="DW32" s="62">
        <f>IF(COUNTIFS(allFYsTable[Code], SummaryTable[[#This Row],[Code]], allFYsTable[year2], DW$3)=0, NotFound, SUMIFS(allFYsTable[OriginalBudget], allFYsTable[Code], SummaryTable[[#This Row],[Code]], allFYsTable[year2], DW$3))</f>
        <v>8819</v>
      </c>
      <c r="DX32" s="61">
        <f>SummaryTable[[#This Row],[OriginalBudget11]]-SummaryTable[[#This Row],[OriginalBudget10]]</f>
        <v>-12982</v>
      </c>
      <c r="DY32" s="54">
        <f>SummaryTable[[#This Row],[BudgetIncreaseAmount11]]/SummaryTable[[#This Row],[OriginalBudget10]]</f>
        <v>-0.59547727168478515</v>
      </c>
      <c r="DZ32" s="61">
        <f>IF(COUNTIFS(allFYsTable[Code], SummaryTable[[#This Row],[Code]], allFYsTable[year2], DW$3)=0, NotFound, SUMIFS(allFYsTable[RevisedBudget], allFYsTable[Code], SummaryTable[[#This Row],[Code]], allFYsTable[year2], DW$3))</f>
        <v>7735</v>
      </c>
      <c r="EA32" s="61">
        <f>IF(COUNTIFS(allFYsTable[Code], SummaryTable[[#This Row],[Code]], allFYsTable[year2], DW$3)=0, NotFound, SUMIFS(allFYsTable[Actual], allFYsTable[Code], SummaryTable[[#This Row],[Code]], allFYsTable[year2], DW$3))</f>
        <v>7136</v>
      </c>
      <c r="EB32" s="61">
        <f>IF(COUNTIFS(allFYsTable[Code], SummaryTable[[#This Row],[Code]], allFYsTable[year2], DW$3)=0, NotFound, SUMIFS(allFYsTable[DiffAmount], allFYsTable[Code], SummaryTable[[#This Row],[Code]], allFYsTable[year2], DW$3))</f>
        <v>-1683</v>
      </c>
      <c r="EC32" s="63">
        <f>IF(SummaryTable[[#This Row],[OriginalBudget11]]=0, IF(SummaryTable[[#This Row],[DiffAmount11]]=0, ZeroBudgetNoSpending, ZeroBudgetWithSpending), SummaryTable[[#This Row],[DiffAmount11]]/SummaryTable[[#This Row],[OriginalBudget11]])</f>
        <v>-0.19083796348792381</v>
      </c>
      <c r="ED32" s="62">
        <f>IF(COUNTIFS(allFYsTable[Code], SummaryTable[[#This Row],[Code]], allFYsTable[year2], ED$3)=0, NotFound, SUMIFS(allFYsTable[OriginalBudget], allFYsTable[Code], SummaryTable[[#This Row],[Code]], allFYsTable[year2], ED$3))</f>
        <v>21801</v>
      </c>
      <c r="EE32" s="61">
        <f>SummaryTable[[#This Row],[OriginalBudget10]]-SummaryTable[[#This Row],[OriginalBudget09]]</f>
        <v>3171</v>
      </c>
      <c r="EF32" s="54">
        <f>SummaryTable[[#This Row],[BudgetIncreaseAmount10]]/SummaryTable[[#This Row],[OriginalBudget09]]</f>
        <v>0.17020933977455716</v>
      </c>
      <c r="EG32" s="61">
        <f>IF(COUNTIFS(allFYsTable[Code], SummaryTable[[#This Row],[Code]], allFYsTable[year2], ED$3)=0, NotFound, SUMIFS(allFYsTable[RevisedBudget], allFYsTable[Code], SummaryTable[[#This Row],[Code]], allFYsTable[year2], ED$3))</f>
        <v>19604</v>
      </c>
      <c r="EH32" s="61">
        <f>IF(COUNTIFS(allFYsTable[Code], SummaryTable[[#This Row],[Code]], allFYsTable[year2], ED$3)=0, NotFound, SUMIFS(allFYsTable[Actual], allFYsTable[Code], SummaryTable[[#This Row],[Code]], allFYsTable[year2], ED$3))</f>
        <v>19546</v>
      </c>
      <c r="EI32" s="61">
        <f>IF(COUNTIFS(allFYsTable[Code], SummaryTable[[#This Row],[Code]], allFYsTable[year2], ED$3)=0, NotFound, SUMIFS(allFYsTable[DiffAmount], allFYsTable[Code], SummaryTable[[#This Row],[Code]], allFYsTable[year2], ED$3))</f>
        <v>-2255</v>
      </c>
      <c r="EJ32" s="63">
        <f>IF(SummaryTable[[#This Row],[OriginalBudget10]]=0, IF(SummaryTable[[#This Row],[DiffAmount10]]=0, ZeroBudgetNoSpending, ZeroBudgetWithSpending), SummaryTable[[#This Row],[DiffAmount10]]/SummaryTable[[#This Row],[OriginalBudget10]])</f>
        <v>-0.10343562221916426</v>
      </c>
      <c r="EK32" s="62">
        <f>IF(COUNTIFS(allFYsTable[Code], SummaryTable[[#This Row],[Code]], allFYsTable[year2], EK$3)=0, NotFound, SUMIFS(allFYsTable[OriginalBudget], allFYsTable[Code], SummaryTable[[#This Row],[Code]], allFYsTable[year2], EK$3))</f>
        <v>18630</v>
      </c>
      <c r="EL32" s="61">
        <f>SummaryTable[[#This Row],[OriginalBudget09]]-SummaryTable[[#This Row],[OriginalBudget08]]</f>
        <v>1953</v>
      </c>
      <c r="EM32" s="54">
        <f>SummaryTable[[#This Row],[BudgetIncreaseAmount09]]/SummaryTable[[#This Row],[OriginalBudget08]]</f>
        <v>0.11710739341608203</v>
      </c>
      <c r="EN32" s="61">
        <f>IF(COUNTIFS(allFYsTable[Code], SummaryTable[[#This Row],[Code]], allFYsTable[year2], EK$3)=0, NotFound, SUMIFS(allFYsTable[RevisedBudget], allFYsTable[Code], SummaryTable[[#This Row],[Code]], allFYsTable[year2], EK$3))</f>
        <v>25531</v>
      </c>
      <c r="EO32" s="61">
        <f>IF(COUNTIFS(allFYsTable[Code], SummaryTable[[#This Row],[Code]], allFYsTable[year2], EK$3)=0, NotFound, SUMIFS(allFYsTable[Actual], allFYsTable[Code], SummaryTable[[#This Row],[Code]], allFYsTable[year2], EK$3))</f>
        <v>25504</v>
      </c>
      <c r="EP32" s="61">
        <f>IF(COUNTIFS(allFYsTable[Code], SummaryTable[[#This Row],[Code]], allFYsTable[year2], EK$3)=0, NotFound, SUMIFS(allFYsTable[DiffAmount], allFYsTable[Code], SummaryTable[[#This Row],[Code]], allFYsTable[year2], EK$3))</f>
        <v>6874</v>
      </c>
      <c r="EQ32" s="63">
        <f>IF(SummaryTable[[#This Row],[OriginalBudget09]]=0, IF(SummaryTable[[#This Row],[DiffAmount09]]=0, ZeroBudgetNoSpending, ZeroBudgetWithSpending), SummaryTable[[#This Row],[DiffAmount09]]/SummaryTable[[#This Row],[OriginalBudget09]])</f>
        <v>0.36897477187332262</v>
      </c>
      <c r="ER32" s="62">
        <f>IF(COUNTIFS(allFYsTable[Code], SummaryTable[[#This Row],[Code]], allFYsTable[year2], ER$3)=0, NotFound, SUMIFS(allFYsTable[OriginalBudget], allFYsTable[Code], SummaryTable[[#This Row],[Code]], allFYsTable[year2], ER$3))</f>
        <v>16677</v>
      </c>
      <c r="ES32" s="61">
        <f>SummaryTable[[#This Row],[OriginalBudget08]]-SummaryTable[[#This Row],[OriginalBudget07]]</f>
        <v>-3211</v>
      </c>
      <c r="ET32" s="54">
        <f>SummaryTable[[#This Row],[BudgetIncreaseAmount08]]/SummaryTable[[#This Row],[OriginalBudget07]]</f>
        <v>-0.1614541432019308</v>
      </c>
      <c r="EU32" s="61">
        <f>IF(COUNTIFS(allFYsTable[Code], SummaryTable[[#This Row],[Code]], allFYsTable[year2], ER$3)=0, NotFound, SUMIFS(allFYsTable[RevisedBudget], allFYsTable[Code], SummaryTable[[#This Row],[Code]], allFYsTable[year2], ER$3))</f>
        <v>17430</v>
      </c>
      <c r="EV32" s="61">
        <f>IF(COUNTIFS(allFYsTable[Code], SummaryTable[[#This Row],[Code]], allFYsTable[year2], ER$3)=0, NotFound, SUMIFS(allFYsTable[Actual], allFYsTable[Code], SummaryTable[[#This Row],[Code]], allFYsTable[year2], ER$3))</f>
        <v>16491</v>
      </c>
      <c r="EW32" s="61">
        <f>IF(COUNTIFS(allFYsTable[Code], SummaryTable[[#This Row],[Code]], allFYsTable[year2], ER$3)=0, NotFound, SUMIFS(allFYsTable[DiffAmount], allFYsTable[Code], SummaryTable[[#This Row],[Code]], allFYsTable[year2], ER$3))</f>
        <v>-186</v>
      </c>
      <c r="EX32" s="63">
        <f>IF(SummaryTable[[#This Row],[OriginalBudget08]]=0, IF(SummaryTable[[#This Row],[DiffAmount08]]=0, ZeroBudgetNoSpending, ZeroBudgetWithSpending), SummaryTable[[#This Row],[DiffAmount08]]/SummaryTable[[#This Row],[OriginalBudget08]])</f>
        <v>-1.1153085087245907E-2</v>
      </c>
      <c r="EY32" s="62">
        <f>IF(COUNTIFS(allFYsTable[Code], SummaryTable[[#This Row],[Code]], allFYsTable[year2], EY$3)=0, NotFound, SUMIFS(allFYsTable[OriginalBudget], allFYsTable[Code], SummaryTable[[#This Row],[Code]], allFYsTable[year2], EY$3))</f>
        <v>19888</v>
      </c>
      <c r="EZ32" s="61">
        <f>SummaryTable[[#This Row],[OriginalBudget07]]-SummaryTable[[#This Row],[OriginalBudget06]]</f>
        <v>3962</v>
      </c>
      <c r="FA32" s="54">
        <f>SummaryTable[[#This Row],[BudgetIncreaseAmount07]]/SummaryTable[[#This Row],[OriginalBudget06]]</f>
        <v>0.2487755870902926</v>
      </c>
      <c r="FB32" s="61">
        <f>IF(COUNTIFS(allFYsTable[Code], SummaryTable[[#This Row],[Code]], allFYsTable[year2], EY$3)=0, NotFound, SUMIFS(allFYsTable[RevisedBudget], allFYsTable[Code], SummaryTable[[#This Row],[Code]], allFYsTable[year2], EY$3))</f>
        <v>21758</v>
      </c>
      <c r="FC32" s="61">
        <f>IF(COUNTIFS(allFYsTable[Code], SummaryTable[[#This Row],[Code]], allFYsTable[year2], EY$3)=0, NotFound, SUMIFS(allFYsTable[Actual], allFYsTable[Code], SummaryTable[[#This Row],[Code]], allFYsTable[year2], EY$3))</f>
        <v>21577</v>
      </c>
      <c r="FD32" s="61">
        <f>IF(COUNTIFS(allFYsTable[Code], SummaryTable[[#This Row],[Code]], allFYsTable[year2], EY$3)=0, NotFound, SUMIFS(allFYsTable[DiffAmount], allFYsTable[Code], SummaryTable[[#This Row],[Code]], allFYsTable[year2], EY$3))</f>
        <v>1689</v>
      </c>
      <c r="FE32" s="63">
        <f>IF(SummaryTable[[#This Row],[OriginalBudget07]]=0, IF(SummaryTable[[#This Row],[DiffAmount07]]=0, ZeroBudgetNoSpending, ZeroBudgetWithSpending), SummaryTable[[#This Row],[DiffAmount07]]/SummaryTable[[#This Row],[OriginalBudget07]])</f>
        <v>8.4925583266291224E-2</v>
      </c>
      <c r="FF32" s="62">
        <f>IF(COUNTIFS(allFYsTable[Code], SummaryTable[[#This Row],[Code]], allFYsTable[year2], FF$3)=0, NotFound, SUMIFS(allFYsTable[OriginalBudget], allFYsTable[Code], SummaryTable[[#This Row],[Code]], allFYsTable[year2], FF$3))</f>
        <v>15926</v>
      </c>
      <c r="FI32" s="61">
        <f>IF(COUNTIFS(allFYsTable[Code], SummaryTable[[#This Row],[Code]], allFYsTable[year2], FF$3)=0, NotFound, SUMIFS(allFYsTable[RevisedBudget], allFYsTable[Code], SummaryTable[[#This Row],[Code]], allFYsTable[year2], FF$3))</f>
        <v>15784</v>
      </c>
      <c r="FJ32" s="61">
        <f>IF(COUNTIFS(allFYsTable[Code], SummaryTable[[#This Row],[Code]], allFYsTable[year2], FF$3)=0, NotFound, SUMIFS(allFYsTable[Actual], allFYsTable[Code], SummaryTable[[#This Row],[Code]], allFYsTable[year2], FF$3))</f>
        <v>13970</v>
      </c>
      <c r="FK32" s="61">
        <f>IF(COUNTIFS(allFYsTable[Code], SummaryTable[[#This Row],[Code]], allFYsTable[year2], FF$3)=0, NotFound, SUMIFS(allFYsTable[DiffAmount], allFYsTable[Code], SummaryTable[[#This Row],[Code]], allFYsTable[year2], FF$3))</f>
        <v>-1956</v>
      </c>
      <c r="FL32" s="63">
        <f>IF(SummaryTable[[#This Row],[OriginalBudget06]]=0, IF(SummaryTable[[#This Row],[DiffAmount06]]=0, ZeroBudgetNoSpending, ZeroBudgetWithSpending), SummaryTable[[#This Row],[DiffAmount06]]/SummaryTable[[#This Row],[OriginalBudget06]])</f>
        <v>-0.12281803340449579</v>
      </c>
    </row>
    <row r="33" spans="1:168" x14ac:dyDescent="0.45">
      <c r="A33" t="s">
        <v>789</v>
      </c>
      <c r="B33">
        <f>_xlfn.MAXIFS(allFYsTable[year2], allFYsTable[Code], SummaryTable[[#This Row],[Code]])</f>
        <v>2025</v>
      </c>
      <c r="C33" t="str">
        <f>_xlfn.XLOOKUP(SummaryTable[[#This Row],[Code]], NameCodingTable[Code], NameCodingTable[Most Recent Category per allFYs])</f>
        <v>Human support services</v>
      </c>
      <c r="D33" t="str">
        <f>_xlfn.XLOOKUP(SummaryTable[[#This Row],[Code]], NameCodingTable[Code], NameCodingTable[Unit Display Name])</f>
        <v>Department of Health Care Finance</v>
      </c>
      <c r="E33" t="str">
        <f>_xlfn.XLOOKUP(SummaryTable[[#This Row],[Code]], NameCodingTable[Code], NameCodingTable[Type])</f>
        <v>agency</v>
      </c>
      <c r="F3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17</v>
      </c>
      <c r="G3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7</v>
      </c>
      <c r="H33" s="54">
        <f>SummaryTable[[#This Row],['# Over]]/SummaryTable[[#This Row],[Count]]</f>
        <v>0.41176470588235292</v>
      </c>
      <c r="I3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33" s="54">
        <f>SummaryTable[[#This Row],['# Under]]/SummaryTable[[#This Row],[Count]]</f>
        <v>0.58823529411764708</v>
      </c>
      <c r="K3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33" s="54">
        <f>SummaryTable[[#This Row],['# Equal]]/SummaryTable[[#This Row],[Count]]</f>
        <v>0</v>
      </c>
      <c r="M33" s="61">
        <f>SUMIFS(allFYsTable[OriginalBudget],allFYsTable[Code],SummaryTable[[#This Row],[Code]])/SummaryTable[[#This Row],[Count]]</f>
        <v>837513.4117647059</v>
      </c>
      <c r="N33" s="61">
        <f>SUMIFS(allFYsTable[Actual],allFYsTable[Code],SummaryTable[[#This Row],[Code]])/SummaryTable[[#This Row],[Count]]</f>
        <v>821551.6470588235</v>
      </c>
      <c r="O33" s="61">
        <f>SummaryTable[[#This Row],[AvgActAmt]]-SummaryTable[[#This Row],[AvgBudAmt]]</f>
        <v>-15961.764705882408</v>
      </c>
      <c r="P33" s="54">
        <f>IF(SummaryTable[[#This Row],[AvgBudAmt]]=0, IF(SummaryTable[[#This Row],[AvgDiff'#]]=0, 0, NamedFields!$C$3), SummaryTable[[#This Row],[AvgDiff'#]]/SummaryTable[[#This Row],[AvgBudAmt]])</f>
        <v>-1.9058518325395801E-2</v>
      </c>
      <c r="Q33" s="61">
        <f>IFERROR(SUMIFS(allFYsTable[OriginalBudget],allFYsTable[Code],SummaryTable[[#This Row],[Code]],allFYsTable[DiffAmount], "&gt;0")/SummaryTable[[#This Row],['# Over]], 0)</f>
        <v>818234.85714285716</v>
      </c>
      <c r="R33" s="61">
        <f>IFERROR(SUMIFS(allFYsTable[Actual],allFYsTable[Code],SummaryTable[[#This Row],[Code]],allFYsTable[DiffAmount], "&gt;0")/SummaryTable[[#This Row],['# Over]], 0)</f>
        <v>843095.71428571432</v>
      </c>
      <c r="S33" s="61">
        <f>SummaryTable[[#This Row],[OverAvgAct]]-SummaryTable[[#This Row],[OverAvgBud]]</f>
        <v>24860.857142857159</v>
      </c>
      <c r="T33" s="54">
        <f>IF(SummaryTable[[#This Row],[OverAvgBud]]=0, IF(SummaryTable[[#This Row],[OverAvgDiff'#]]=0, ZeroBudgetNoSpending, ZeroBudgetWithSpending), SummaryTable[[#This Row],[OverAvgDiff'#]]/SummaryTable[[#This Row],[OverAvgBud]])</f>
        <v>3.0383522439592983E-2</v>
      </c>
      <c r="U33" s="61">
        <f>IFERROR(SUMIFS(allFYsTable[OriginalBudget],allFYsTable[Code],SummaryTable[[#This Row],[Code]],allFYsTable[DiffAmount], "&lt;0")/SummaryTable[[#This Row],['# Under]], 0)</f>
        <v>851008.4</v>
      </c>
      <c r="V33" s="61">
        <f>IFERROR( SUMIFS(allFYsTable[Actual],allFYsTable[Code],SummaryTable[[#This Row],[Code]],allFYsTable[DiffAmount], "&lt;0")/SummaryTable[[#This Row],['# Under]], 0)</f>
        <v>806470.8</v>
      </c>
      <c r="W33" s="61">
        <f>SummaryTable[[#This Row],[UnderAvgAct]]-SummaryTable[[#This Row],[UnderAvgBud]]</f>
        <v>-44537.599999999977</v>
      </c>
      <c r="X33" s="54">
        <f>IF(SummaryTable[[#This Row],[UnderAvgBud]]=0, IF(SummaryTable[[#This Row],[UnderAvgDiff'#]]=0, ZeroBudgetNoSpending, NamedFields!$C$3), SummaryTable[[#This Row],[UnderAvgDiff'#]]/SummaryTable[[#This Row],[UnderAvgBud]])</f>
        <v>-5.233508858431947E-2</v>
      </c>
      <c r="Y3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3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33" s="54">
        <f>IF(SummaryTable[[#This Row],[IncreaseYears]]=0, ZeroBudgetNoSpending, SummaryTable[[#This Row],[OSinIncreaseYear'#]]/SummaryTable[[#This Row],[IncreaseYears]])</f>
        <v>0</v>
      </c>
      <c r="AB33" s="58" t="str">
        <f>SummaryTable[[#This Row],[Code]]</f>
        <v>HT0</v>
      </c>
      <c r="AC33" s="62">
        <f>IF(COUNTIFS(allFYsTable[Code], SummaryTable[[#This Row],[Code]], allFYsTable[year2], AC$3)=0, NotFound, SUMIFS(allFYsTable[OriginalBudget], allFYsTable[Code], SummaryTable[[#This Row],[Code]], allFYsTable[year2], AC$3))</f>
        <v>1283520</v>
      </c>
      <c r="AD33" s="61">
        <f>SummaryTable[[#This Row],[OriginalBudget25]]-SummaryTable[[#This Row],[OriginalBudget24]]</f>
        <v>180674</v>
      </c>
      <c r="AE33" s="54">
        <f>SummaryTable[[#This Row],[BudgetIncreaseAmount25]]/SummaryTable[[#This Row],[OriginalBudget24]]</f>
        <v>0.16382523035854507</v>
      </c>
      <c r="AF33" s="61">
        <f>IF(COUNTIFS(allFYsTable[Code], SummaryTable[[#This Row],[Code]], allFYsTable[year2], AC$3)=0, NotFound, SUMIFS(allFYsTable[RevisedBudget], allFYsTable[Code], SummaryTable[[#This Row],[Code]], allFYsTable[year2], AC$3))</f>
        <v>1293459</v>
      </c>
      <c r="AG33" s="61">
        <f>IF(COUNTIFS(allFYsTable[Code], SummaryTable[[#This Row],[Code]], allFYsTable[year2], AC$3)=0, NotFound, SUMIFS(allFYsTable[Actual], allFYsTable[Code], SummaryTable[[#This Row],[Code]], allFYsTable[year2], AC$3))</f>
        <v>1287183</v>
      </c>
      <c r="AH33" s="61">
        <f>IF(COUNTIFS(allFYsTable[Code], SummaryTable[[#This Row],[Code]], allFYsTable[year2], AC$3)=0, NotFound, SUMIFS(allFYsTable[DiffAmount], allFYsTable[Code], SummaryTable[[#This Row],[Code]], allFYsTable[year2], AC$3))</f>
        <v>3663</v>
      </c>
      <c r="AI33" s="63">
        <f>IF(SummaryTable[[#This Row],[OriginalBudget25]]=0, IF(SummaryTable[[#This Row],[DiffAmount25]]=0, ZeroBudgetNoSpending, ZeroBudgetWithSpending), SummaryTable[[#This Row],[DiffAmount25]]/SummaryTable[[#This Row],[OriginalBudget25]])</f>
        <v>2.8538706058339565E-3</v>
      </c>
      <c r="AJ33" s="62">
        <f>IF(COUNTIFS(allFYsTable[Code], SummaryTable[[#This Row],[Code]], allFYsTable[year2], AJ$3)=0, NotFound, SUMIFS(allFYsTable[OriginalBudget], allFYsTable[Code], SummaryTable[[#This Row],[Code]], allFYsTable[year2], AJ$3))</f>
        <v>1102846</v>
      </c>
      <c r="AK33" s="61">
        <f>SummaryTable[[#This Row],[OriginalBudget24]]-SummaryTable[[#This Row],[OriginalBudget23]]</f>
        <v>42786</v>
      </c>
      <c r="AL33" s="54">
        <f>SummaryTable[[#This Row],[BudgetIncreaseAmount24]]/SummaryTable[[#This Row],[OriginalBudget23]]</f>
        <v>4.0361866309454181E-2</v>
      </c>
      <c r="AM33" s="61">
        <f>IF(COUNTIFS(allFYsTable[Code], SummaryTable[[#This Row],[Code]], allFYsTable[year2], AK$3)=0, NotFound, SUMIFS(allFYsTable[RevisedBudget], allFYsTable[Code], SummaryTable[[#This Row],[Code]], allFYsTable[year2], AJ$3))</f>
        <v>1165653</v>
      </c>
      <c r="AN33" s="61">
        <f>IF(COUNTIFS(allFYsTable[Code], SummaryTable[[#This Row],[Code]], allFYsTable[year2], AJ$3)=0, NotFound, SUMIFS(allFYsTable[Actual], allFYsTable[Code], SummaryTable[[#This Row],[Code]], allFYsTable[year2], AJ$3))</f>
        <v>1164645</v>
      </c>
      <c r="AO33" s="61">
        <f>IF(COUNTIFS(allFYsTable[Code], SummaryTable[[#This Row],[Code]], allFYsTable[year2], AJ$3)=0, NotFound, SUMIFS(allFYsTable[DiffAmount], allFYsTable[Code], SummaryTable[[#This Row],[Code]], allFYsTable[year2], AJ$3))</f>
        <v>61799</v>
      </c>
      <c r="AP33" s="63">
        <f>IF(SummaryTable[[#This Row],[OriginalBudget24]]=0, IF(SummaryTable[[#This Row],[DiffAmount24]]=0, ZeroBudgetNoSpending, ZeroBudgetWithSpending), SummaryTable[[#This Row],[DiffAmount24]]/SummaryTable[[#This Row],[OriginalBudget24]])</f>
        <v>5.6035928860421129E-2</v>
      </c>
      <c r="AQ33" s="62">
        <f>IF(COUNTIFS(allFYsTable[Code], SummaryTable[[#This Row],[Code]], allFYsTable[year2], AQ$3)=0, NotFound, SUMIFS(allFYsTable[OriginalBudget], allFYsTable[Code], SummaryTable[[#This Row],[Code]], allFYsTable[year2], AQ$3))</f>
        <v>1060060</v>
      </c>
      <c r="AR33" s="61">
        <f>SummaryTable[[#This Row],[OriginalBudget23]]-SummaryTable[[#This Row],[OriginalBudget22]]</f>
        <v>109612</v>
      </c>
      <c r="AS33" s="54">
        <f>SummaryTable[[#This Row],[BudgetIncreaseAmount23]]/SummaryTable[[#This Row],[OriginalBudget22]]</f>
        <v>0.11532666700334999</v>
      </c>
      <c r="AT33" s="61">
        <f>IF(COUNTIFS(allFYsTable[Code], SummaryTable[[#This Row],[Code]], allFYsTable[year2], AQ$3)=0, NotFound, SUMIFS(allFYsTable[RevisedBudget], allFYsTable[Code], SummaryTable[[#This Row],[Code]], allFYsTable[year2], AQ$3))</f>
        <v>1056154</v>
      </c>
      <c r="AU33" s="61">
        <f>IF(COUNTIFS(allFYsTable[Code], SummaryTable[[#This Row],[Code]], allFYsTable[year2], AQ$3)=0, NotFound, SUMIFS(allFYsTable[Actual], allFYsTable[Code], SummaryTable[[#This Row],[Code]], allFYsTable[year2], AQ$3))</f>
        <v>1046473</v>
      </c>
      <c r="AV33" s="61">
        <f>IF(COUNTIFS(allFYsTable[Code], SummaryTable[[#This Row],[Code]], allFYsTable[year2], AQ$3)=0, NotFound, SUMIFS(allFYsTable[DiffAmount], allFYsTable[Code], SummaryTable[[#This Row],[Code]], allFYsTable[year2], AQ$3))</f>
        <v>-13587</v>
      </c>
      <c r="AW33" s="63">
        <f>IF(SummaryTable[[#This Row],[OriginalBudget23]]=0, IF(SummaryTable[[#This Row],[DiffAmount23]]=0, ZeroBudgetNoSpending, ZeroBudgetWithSpending), SummaryTable[[#This Row],[DiffAmount23]]/SummaryTable[[#This Row],[OriginalBudget23]])</f>
        <v>-1.2817199026470201E-2</v>
      </c>
      <c r="AX33" s="62">
        <f>IF(COUNTIFS(allFYsTable[Code], SummaryTable[[#This Row],[Code]], allFYsTable[year2], AX$3)=0, NotFound, SUMIFS(allFYsTable[OriginalBudget], allFYsTable[Code], SummaryTable[[#This Row],[Code]], allFYsTable[year2], AX$3))</f>
        <v>950448</v>
      </c>
      <c r="AY33" s="61">
        <f>SummaryTable[[#This Row],[OriginalBudget22]]-SummaryTable[[#This Row],[OriginalBudget21]]</f>
        <v>-5370</v>
      </c>
      <c r="AZ33" s="54">
        <f>SummaryTable[[#This Row],[BudgetIncreaseAmount22]]/SummaryTable[[#This Row],[OriginalBudget21]]</f>
        <v>-5.6182243899989331E-3</v>
      </c>
      <c r="BA33" s="61">
        <f>IF(COUNTIFS(allFYsTable[Code], SummaryTable[[#This Row],[Code]], allFYsTable[year2], AX$3)=0, NotFound, SUMIFS(allFYsTable[RevisedBudget], allFYsTable[Code], SummaryTable[[#This Row],[Code]], allFYsTable[year2], AX$3))</f>
        <v>1041019</v>
      </c>
      <c r="BB33" s="61">
        <f>IF(COUNTIFS(allFYsTable[Code], SummaryTable[[#This Row],[Code]], allFYsTable[year2], AX$3)=0, NotFound, SUMIFS(allFYsTable[Actual], allFYsTable[Code], SummaryTable[[#This Row],[Code]], allFYsTable[year2], AX$3))</f>
        <v>942007</v>
      </c>
      <c r="BC33" s="61">
        <f>IF(COUNTIFS(allFYsTable[Code], SummaryTable[[#This Row],[Code]], allFYsTable[year2], AX$3)=0, NotFound, SUMIFS(allFYsTable[DiffAmount], allFYsTable[Code], SummaryTable[[#This Row],[Code]], allFYsTable[year2], AX$3))</f>
        <v>-8441</v>
      </c>
      <c r="BD33" s="63">
        <f>IF(SummaryTable[[#This Row],[OriginalBudget22]]=0, IF(SummaryTable[[#This Row],[DiffAmount22]]=0, ZeroBudgetNoSpending, ZeroBudgetWithSpending), SummaryTable[[#This Row],[DiffAmount22]]/SummaryTable[[#This Row],[OriginalBudget22]])</f>
        <v>-8.8810750298806453E-3</v>
      </c>
      <c r="BE33" s="62">
        <f>IF(COUNTIFS(allFYsTable[Code], SummaryTable[[#This Row],[Code]], allFYsTable[year2], BE$3)=0, NotFound, SUMIFS(allFYsTable[OriginalBudget], allFYsTable[Code], SummaryTable[[#This Row],[Code]], allFYsTable[year2], BE$3))</f>
        <v>955818</v>
      </c>
      <c r="BF33" s="61">
        <f>SummaryTable[[#This Row],[OriginalBudget21]]-SummaryTable[[#This Row],[OriginalBudget20]]</f>
        <v>44271</v>
      </c>
      <c r="BG33" s="54">
        <f>SummaryTable[[#This Row],[BudgetIncreaseAmount21]]/SummaryTable[[#This Row],[OriginalBudget20]]</f>
        <v>4.8566886841819458E-2</v>
      </c>
      <c r="BH33" s="61">
        <f>IF(COUNTIFS(allFYsTable[Code], SummaryTable[[#This Row],[Code]], allFYsTable[year2], BE$3)=0, NotFound, SUMIFS(allFYsTable[RevisedBudget], allFYsTable[Code], SummaryTable[[#This Row],[Code]], allFYsTable[year2], BE$3))</f>
        <v>844411</v>
      </c>
      <c r="BI33" s="61">
        <f>IF(COUNTIFS(allFYsTable[Code], SummaryTable[[#This Row],[Code]], allFYsTable[year2], BE$3)=0, NotFound, SUMIFS(allFYsTable[Actual], allFYsTable[Code], SummaryTable[[#This Row],[Code]], allFYsTable[year2], BE$3))</f>
        <v>842983</v>
      </c>
      <c r="BJ33" s="61">
        <f>IF(COUNTIFS(allFYsTable[Code], SummaryTable[[#This Row],[Code]], allFYsTable[year2], BE$3)=0, NotFound, SUMIFS(allFYsTable[DiffAmount], allFYsTable[Code], SummaryTable[[#This Row],[Code]], allFYsTable[year2], BE$3))</f>
        <v>-112835</v>
      </c>
      <c r="BK33" s="63">
        <f>IF(SummaryTable[[#This Row],[OriginalBudget21]]=0, IF(SummaryTable[[#This Row],[DiffAmount21]]=0, ZeroBudgetNoSpending, ZeroBudgetWithSpending), SummaryTable[[#This Row],[DiffAmount21]]/SummaryTable[[#This Row],[OriginalBudget21]])</f>
        <v>-0.11805071676825504</v>
      </c>
      <c r="BL33" s="62">
        <f>IF(COUNTIFS(allFYsTable[Code], SummaryTable[[#This Row],[Code]], allFYsTable[year2], BL$3)=0, NotFound, SUMIFS(allFYsTable[OriginalBudget], allFYsTable[Code], SummaryTable[[#This Row],[Code]], allFYsTable[year2], BL$3))</f>
        <v>911547</v>
      </c>
      <c r="BM33" s="61">
        <f>SummaryTable[[#This Row],[OriginalBudget20]]-SummaryTable[[#This Row],[OriginalBudget19]]</f>
        <v>43584</v>
      </c>
      <c r="BN33" s="54">
        <f>SummaryTable[[#This Row],[BudgetIncreaseAmount20]]/SummaryTable[[#This Row],[OriginalBudget19]]</f>
        <v>5.0214122030547384E-2</v>
      </c>
      <c r="BO33" s="61">
        <f>IF(COUNTIFS(allFYsTable[Code], SummaryTable[[#This Row],[Code]], allFYsTable[year2], BL$3)=0, NotFound, SUMIFS(allFYsTable[RevisedBudget], allFYsTable[Code], SummaryTable[[#This Row],[Code]], allFYsTable[year2], BL$3))</f>
        <v>825825</v>
      </c>
      <c r="BP33" s="61">
        <f>IF(COUNTIFS(allFYsTable[Code], SummaryTable[[#This Row],[Code]], allFYsTable[year2], BL$3)=0, NotFound, SUMIFS(allFYsTable[Actual], allFYsTable[Code], SummaryTable[[#This Row],[Code]], allFYsTable[year2], BL$3))</f>
        <v>795219</v>
      </c>
      <c r="BQ33" s="61">
        <f>IF(COUNTIFS(allFYsTable[Code], SummaryTable[[#This Row],[Code]], allFYsTable[year2], BL$3)=0, NotFound, SUMIFS(allFYsTable[DiffAmount], allFYsTable[Code], SummaryTable[[#This Row],[Code]], allFYsTable[year2], BL$3))</f>
        <v>-116328</v>
      </c>
      <c r="BR33" s="63">
        <f>IF(SummaryTable[[#This Row],[OriginalBudget20]]=0, IF(SummaryTable[[#This Row],[DiffAmount20]]=0, ZeroBudgetNoSpending, ZeroBudgetWithSpending), SummaryTable[[#This Row],[DiffAmount20]]/SummaryTable[[#This Row],[OriginalBudget20]])</f>
        <v>-0.1276160197993082</v>
      </c>
      <c r="BS33" s="62">
        <f>IF(COUNTIFS(allFYsTable[Code], SummaryTable[[#This Row],[Code]], allFYsTable[year2], BS$3)=0, NotFound, SUMIFS(allFYsTable[OriginalBudget], allFYsTable[Code], SummaryTable[[#This Row],[Code]], allFYsTable[year2], BS$3))</f>
        <v>867963</v>
      </c>
      <c r="BT33" s="61">
        <f>SummaryTable[[#This Row],[OriginalBudget19]]-SummaryTable[[#This Row],[OriginalBudget18]]</f>
        <v>67979</v>
      </c>
      <c r="BU33" s="54">
        <f>SummaryTable[[#This Row],[BudgetIncreaseAmount19]]/SummaryTable[[#This Row],[OriginalBudget18]]</f>
        <v>8.4975449508990178E-2</v>
      </c>
      <c r="BV33" s="61">
        <f>IF(COUNTIFS(allFYsTable[Code], SummaryTable[[#This Row],[Code]], allFYsTable[year2], BS$3)=0, NotFound, SUMIFS(allFYsTable[RevisedBudget], allFYsTable[Code], SummaryTable[[#This Row],[Code]], allFYsTable[year2], BS$3))</f>
        <v>856466</v>
      </c>
      <c r="BW33" s="61">
        <f>IF(COUNTIFS(allFYsTable[Code], SummaryTable[[#This Row],[Code]], allFYsTable[year2], BS$3)=0, NotFound, SUMIFS(allFYsTable[Actual], allFYsTable[Code], SummaryTable[[#This Row],[Code]], allFYsTable[year2], BS$3))</f>
        <v>855539</v>
      </c>
      <c r="BX33" s="61">
        <f>IF(COUNTIFS(allFYsTable[Code], SummaryTable[[#This Row],[Code]], allFYsTable[year2], BS$3)=0, NotFound, SUMIFS(allFYsTable[DiffAmount], allFYsTable[Code], SummaryTable[[#This Row],[Code]], allFYsTable[year2], BS$3))</f>
        <v>-12424</v>
      </c>
      <c r="BY33" s="63">
        <f>IF(SummaryTable[[#This Row],[OriginalBudget19]]=0, IF(SummaryTable[[#This Row],[DiffAmount19]]=0, ZeroBudgetNoSpending, ZeroBudgetWithSpending), SummaryTable[[#This Row],[DiffAmount19]]/SummaryTable[[#This Row],[OriginalBudget19]])</f>
        <v>-1.4313974213186507E-2</v>
      </c>
      <c r="BZ33" s="62">
        <f>IF(COUNTIFS(allFYsTable[Code], SummaryTable[[#This Row],[Code]], allFYsTable[year2], BZ$3)=0, NotFound, SUMIFS(allFYsTable[OriginalBudget], allFYsTable[Code], SummaryTable[[#This Row],[Code]], allFYsTable[year2], BZ$3))</f>
        <v>799984</v>
      </c>
      <c r="CA33" s="61">
        <f>SummaryTable[[#This Row],[OriginalBudget18]]-SummaryTable[[#This Row],[OriginalBudget17]]</f>
        <v>12471</v>
      </c>
      <c r="CB33" s="54">
        <f>SummaryTable[[#This Row],[BudgetIncreaseAmount18]]/SummaryTable[[#This Row],[OriginalBudget17]]</f>
        <v>1.5835929057679048E-2</v>
      </c>
      <c r="CC33" s="61">
        <f>IF(COUNTIFS(allFYsTable[Code], SummaryTable[[#This Row],[Code]], allFYsTable[year2], BZ$3)=0, NotFound, SUMIFS(allFYsTable[RevisedBudget], allFYsTable[Code], SummaryTable[[#This Row],[Code]], allFYsTable[year2], BZ$3))</f>
        <v>795885</v>
      </c>
      <c r="CD33" s="61">
        <f>IF(COUNTIFS(allFYsTable[Code], SummaryTable[[#This Row],[Code]], allFYsTable[year2], BZ$3)=0, NotFound, SUMIFS(allFYsTable[Actual], allFYsTable[Code], SummaryTable[[#This Row],[Code]], allFYsTable[year2], BZ$3))</f>
        <v>790600</v>
      </c>
      <c r="CE33" s="61">
        <f>IF(COUNTIFS(allFYsTable[Code], SummaryTable[[#This Row],[Code]], allFYsTable[year2], BZ$3)=0, NotFound, SUMIFS(allFYsTable[DiffAmount], allFYsTable[Code], SummaryTable[[#This Row],[Code]], allFYsTable[year2], BZ$3))</f>
        <v>-9384</v>
      </c>
      <c r="CF33" s="63">
        <f>IF(SummaryTable[[#This Row],[OriginalBudget18]]=0, IF(SummaryTable[[#This Row],[DiffAmount18]]=0, ZeroBudgetNoSpending, ZeroBudgetWithSpending), SummaryTable[[#This Row],[DiffAmount18]]/SummaryTable[[#This Row],[OriginalBudget18]])</f>
        <v>-1.1730234604692094E-2</v>
      </c>
      <c r="CG33" s="62">
        <f>IF(COUNTIFS(allFYsTable[Code], SummaryTable[[#This Row],[Code]], allFYsTable[year2], CG$3)=0, NotFound, SUMIFS(allFYsTable[OriginalBudget], allFYsTable[Code], SummaryTable[[#This Row],[Code]], allFYsTable[year2], CG$3))</f>
        <v>787513</v>
      </c>
      <c r="CH33" s="61">
        <f>SummaryTable[[#This Row],[OriginalBudget17]]-SummaryTable[[#This Row],[OriginalBudget16]]</f>
        <v>16157</v>
      </c>
      <c r="CI33" s="54">
        <f>SummaryTable[[#This Row],[BudgetIncreaseAmount17]]/SummaryTable[[#This Row],[OriginalBudget16]]</f>
        <v>2.0946229756428937E-2</v>
      </c>
      <c r="CJ33" s="61">
        <f>IF(COUNTIFS(allFYsTable[Code], SummaryTable[[#This Row],[Code]], allFYsTable[year2], CG$3)=0, NotFound, SUMIFS(allFYsTable[RevisedBudget], allFYsTable[Code], SummaryTable[[#This Row],[Code]], allFYsTable[year2], CG$3))</f>
        <v>789554</v>
      </c>
      <c r="CK33" s="61">
        <f>IF(COUNTIFS(allFYsTable[Code], SummaryTable[[#This Row],[Code]], allFYsTable[year2], CG$3)=0, NotFound, SUMIFS(allFYsTable[Actual], allFYsTable[Code], SummaryTable[[#This Row],[Code]], allFYsTable[year2], CG$3))</f>
        <v>787489</v>
      </c>
      <c r="CL33" s="61">
        <f>IF(COUNTIFS(allFYsTable[Code], SummaryTable[[#This Row],[Code]], allFYsTable[year2], CG$3)=0, NotFound, SUMIFS(allFYsTable[DiffAmount], allFYsTable[Code], SummaryTable[[#This Row],[Code]], allFYsTable[year2], CG$3))</f>
        <v>-24</v>
      </c>
      <c r="CM33" s="63">
        <f>IF(SummaryTable[[#This Row],[OriginalBudget17]]=0, IF(SummaryTable[[#This Row],[DiffAmount17]]=0, ZeroBudgetNoSpending, ZeroBudgetWithSpending), SummaryTable[[#This Row],[DiffAmount17]]/SummaryTable[[#This Row],[OriginalBudget17]])</f>
        <v>-3.0475687385478082E-5</v>
      </c>
      <c r="CN33" s="62">
        <f>IF(COUNTIFS(allFYsTable[Code], SummaryTable[[#This Row],[Code]], allFYsTable[year2], CN$3)=0, NotFound, SUMIFS(allFYsTable[OriginalBudget], allFYsTable[Code], SummaryTable[[#This Row],[Code]], allFYsTable[year2], CN$3))</f>
        <v>771356</v>
      </c>
      <c r="CO33" s="61">
        <f>SummaryTable[[#This Row],[OriginalBudget16]]-SummaryTable[[#This Row],[OriginalBudget15]]</f>
        <v>-11075</v>
      </c>
      <c r="CP33" s="54">
        <f>SummaryTable[[#This Row],[BudgetIncreaseAmount16]]/SummaryTable[[#This Row],[OriginalBudget15]]</f>
        <v>-1.4154602770084519E-2</v>
      </c>
      <c r="CQ33" s="61">
        <f>IF(COUNTIFS(allFYsTable[Code], SummaryTable[[#This Row],[Code]], allFYsTable[year2], CN$3)=0, NotFound, SUMIFS(allFYsTable[RevisedBudget], allFYsTable[Code], SummaryTable[[#This Row],[Code]], allFYsTable[year2], CN$3))</f>
        <v>763554</v>
      </c>
      <c r="CR33" s="61">
        <f>IF(COUNTIFS(allFYsTable[Code], SummaryTable[[#This Row],[Code]], allFYsTable[year2], CN$3)=0, NotFound, SUMIFS(allFYsTable[Actual], allFYsTable[Code], SummaryTable[[#This Row],[Code]], allFYsTable[year2], CN$3))</f>
        <v>759166</v>
      </c>
      <c r="CS33" s="61">
        <f>IF(COUNTIFS(allFYsTable[Code], SummaryTable[[#This Row],[Code]], allFYsTable[year2], CN$3)=0, NotFound, SUMIFS(allFYsTable[DiffAmount], allFYsTable[Code], SummaryTable[[#This Row],[Code]], allFYsTable[year2], CN$3))</f>
        <v>-12190</v>
      </c>
      <c r="CT33" s="63">
        <f>IF(SummaryTable[[#This Row],[OriginalBudget16]]=0, IF(SummaryTable[[#This Row],[DiffAmount16]]=0, ZeroBudgetNoSpending, ZeroBudgetWithSpending), SummaryTable[[#This Row],[DiffAmount16]]/SummaryTable[[#This Row],[OriginalBudget16]])</f>
        <v>-1.5803338536291931E-2</v>
      </c>
      <c r="CU33" s="62">
        <f>IF(COUNTIFS(allFYsTable[Code], SummaryTable[[#This Row],[Code]], allFYsTable[year2], CU$3)=0, NotFound, SUMIFS(allFYsTable[OriginalBudget], allFYsTable[Code], SummaryTable[[#This Row],[Code]], allFYsTable[year2], CU$3))</f>
        <v>782431</v>
      </c>
      <c r="CV33" s="61">
        <f>SummaryTable[[#This Row],[OriginalBudget15]]-SummaryTable[[#This Row],[OriginalBudget14]]</f>
        <v>-18207</v>
      </c>
      <c r="CW33" s="54">
        <f>SummaryTable[[#This Row],[BudgetIncreaseAmount15]]/SummaryTable[[#This Row],[OriginalBudget14]]</f>
        <v>-2.2740614360047862E-2</v>
      </c>
      <c r="CX33" s="61">
        <f>IF(COUNTIFS(allFYsTable[Code], SummaryTable[[#This Row],[Code]], allFYsTable[year2], CU$3)=0, NotFound, SUMIFS(allFYsTable[RevisedBudget], allFYsTable[Code], SummaryTable[[#This Row],[Code]], allFYsTable[year2], CU$3))</f>
        <v>809064</v>
      </c>
      <c r="CY33" s="61">
        <f>IF(COUNTIFS(allFYsTable[Code], SummaryTable[[#This Row],[Code]], allFYsTable[year2], CU$3)=0, NotFound, SUMIFS(allFYsTable[Actual], allFYsTable[Code], SummaryTable[[#This Row],[Code]], allFYsTable[year2], CU$3))</f>
        <v>802035</v>
      </c>
      <c r="CZ33" s="61">
        <f>IF(COUNTIFS(allFYsTable[Code], SummaryTable[[#This Row],[Code]], allFYsTable[year2], CU$3)=0, NotFound, SUMIFS(allFYsTable[DiffAmount], allFYsTable[Code], SummaryTable[[#This Row],[Code]], allFYsTable[year2], CU$3))</f>
        <v>19604</v>
      </c>
      <c r="DA33" s="63">
        <f>IF(SummaryTable[[#This Row],[OriginalBudget15]]=0, IF(SummaryTable[[#This Row],[DiffAmount15]]=0, ZeroBudgetNoSpending, ZeroBudgetWithSpending), SummaryTable[[#This Row],[DiffAmount15]]/SummaryTable[[#This Row],[OriginalBudget15]])</f>
        <v>2.5055244488012361E-2</v>
      </c>
      <c r="DB33" s="62">
        <f>IF(COUNTIFS(allFYsTable[Code], SummaryTable[[#This Row],[Code]], allFYsTable[year2], DB$3)=0, NotFound, SUMIFS(allFYsTable[OriginalBudget], allFYsTable[Code], SummaryTable[[#This Row],[Code]], allFYsTable[year2], DB$3))</f>
        <v>800638</v>
      </c>
      <c r="DC33" s="61">
        <f>SummaryTable[[#This Row],[OriginalBudget14]]-SummaryTable[[#This Row],[OriginalBudget13]]</f>
        <v>48664</v>
      </c>
      <c r="DD33" s="54">
        <f>SummaryTable[[#This Row],[BudgetIncreaseAmount14]]/SummaryTable[[#This Row],[OriginalBudget13]]</f>
        <v>6.4715003444268018E-2</v>
      </c>
      <c r="DE33" s="61">
        <f>IF(COUNTIFS(allFYsTable[Code], SummaryTable[[#This Row],[Code]], allFYsTable[year2], DB$3)=0, NotFound, SUMIFS(allFYsTable[RevisedBudget], allFYsTable[Code], SummaryTable[[#This Row],[Code]], allFYsTable[year2], DB$3))</f>
        <v>803678</v>
      </c>
      <c r="DF33" s="61">
        <f>IF(COUNTIFS(allFYsTable[Code], SummaryTable[[#This Row],[Code]], allFYsTable[year2], DB$3)=0, NotFound, SUMIFS(allFYsTable[Actual], allFYsTable[Code], SummaryTable[[#This Row],[Code]], allFYsTable[year2], DB$3))</f>
        <v>781555</v>
      </c>
      <c r="DG33" s="61">
        <f>IF(COUNTIFS(allFYsTable[Code], SummaryTable[[#This Row],[Code]], allFYsTable[year2], DB$3)=0, NotFound, SUMIFS(allFYsTable[DiffAmount], allFYsTable[Code], SummaryTable[[#This Row],[Code]], allFYsTable[year2], DB$3))</f>
        <v>-19083</v>
      </c>
      <c r="DH33" s="63">
        <f>IF(SummaryTable[[#This Row],[OriginalBudget14]]=0, IF(SummaryTable[[#This Row],[DiffAmount14]]=0, ZeroBudgetNoSpending, ZeroBudgetWithSpending), SummaryTable[[#This Row],[DiffAmount14]]/SummaryTable[[#This Row],[OriginalBudget14]])</f>
        <v>-2.3834741793419746E-2</v>
      </c>
      <c r="DI33" s="62">
        <f>IF(COUNTIFS(allFYsTable[Code], SummaryTable[[#This Row],[Code]], allFYsTable[year2], DI$3)=0, NotFound, SUMIFS(allFYsTable[OriginalBudget], allFYsTable[Code], SummaryTable[[#This Row],[Code]], allFYsTable[year2], DI$3))</f>
        <v>751974</v>
      </c>
      <c r="DJ33" s="61">
        <f>SummaryTable[[#This Row],[OriginalBudget13]]-SummaryTable[[#This Row],[OriginalBudget12]]</f>
        <v>47338</v>
      </c>
      <c r="DK33" s="54">
        <f>SummaryTable[[#This Row],[BudgetIncreaseAmount13]]/SummaryTable[[#This Row],[OriginalBudget12]]</f>
        <v>6.7180785540335713E-2</v>
      </c>
      <c r="DL33" s="61">
        <f>IF(COUNTIFS(allFYsTable[Code], SummaryTable[[#This Row],[Code]], allFYsTable[year2], DI$3)=0, NotFound, SUMIFS(allFYsTable[RevisedBudget], allFYsTable[Code], SummaryTable[[#This Row],[Code]], allFYsTable[year2], DI$3))</f>
        <v>793443</v>
      </c>
      <c r="DM33" s="61">
        <f>IF(COUNTIFS(allFYsTable[Code], SummaryTable[[#This Row],[Code]], allFYsTable[year2], DI$3)=0, NotFound, SUMIFS(allFYsTable[Actual], allFYsTable[Code], SummaryTable[[#This Row],[Code]], allFYsTable[year2], DI$3))</f>
        <v>792414</v>
      </c>
      <c r="DN33" s="61">
        <f>IF(COUNTIFS(allFYsTable[Code], SummaryTable[[#This Row],[Code]], allFYsTable[year2], DI$3)=0, NotFound, SUMIFS(allFYsTable[DiffAmount], allFYsTable[Code], SummaryTable[[#This Row],[Code]], allFYsTable[year2], DI$3))</f>
        <v>40440</v>
      </c>
      <c r="DO33" s="63">
        <f>IF(SummaryTable[[#This Row],[OriginalBudget13]]=0, IF(SummaryTable[[#This Row],[DiffAmount13]]=0, ZeroBudgetNoSpending, ZeroBudgetWithSpending), SummaryTable[[#This Row],[DiffAmount13]]/SummaryTable[[#This Row],[OriginalBudget13]])</f>
        <v>5.3778455106160583E-2</v>
      </c>
      <c r="DP33" s="62">
        <f>IF(COUNTIFS(allFYsTable[Code], SummaryTable[[#This Row],[Code]], allFYsTable[year2], DP$3)=0, NotFound, SUMIFS(allFYsTable[OriginalBudget], allFYsTable[Code], SummaryTable[[#This Row],[Code]], allFYsTable[year2], DP$3))</f>
        <v>704636</v>
      </c>
      <c r="DQ33" s="61">
        <f>SummaryTable[[#This Row],[OriginalBudget12]]-SummaryTable[[#This Row],[OriginalBudget11]]</f>
        <v>114854</v>
      </c>
      <c r="DR33" s="54">
        <f>SummaryTable[[#This Row],[BudgetIncreaseAmount12]]/SummaryTable[[#This Row],[OriginalBudget11]]</f>
        <v>0.19473975129793719</v>
      </c>
      <c r="DS33" s="61">
        <f>IF(COUNTIFS(allFYsTable[Code], SummaryTable[[#This Row],[Code]], allFYsTable[year2], DP$3)=0, NotFound, SUMIFS(allFYsTable[RevisedBudget], allFYsTable[Code], SummaryTable[[#This Row],[Code]], allFYsTable[year2], DP$3))</f>
        <v>725518</v>
      </c>
      <c r="DT33" s="61">
        <f>IF(COUNTIFS(allFYsTable[Code], SummaryTable[[#This Row],[Code]], allFYsTable[year2], DP$3)=0, NotFound, SUMIFS(allFYsTable[Actual], allFYsTable[Code], SummaryTable[[#This Row],[Code]], allFYsTable[year2], DP$3))</f>
        <v>719699</v>
      </c>
      <c r="DU33" s="61">
        <f>IF(COUNTIFS(allFYsTable[Code], SummaryTable[[#This Row],[Code]], allFYsTable[year2], DP$3)=0, NotFound, SUMIFS(allFYsTable[DiffAmount], allFYsTable[Code], SummaryTable[[#This Row],[Code]], allFYsTable[year2], DP$3))</f>
        <v>15063</v>
      </c>
      <c r="DV33" s="63">
        <f>IF(SummaryTable[[#This Row],[OriginalBudget12]]=0, IF(SummaryTable[[#This Row],[DiffAmount12]]=0, ZeroBudgetNoSpending, ZeroBudgetWithSpending), SummaryTable[[#This Row],[DiffAmount12]]/SummaryTable[[#This Row],[OriginalBudget12]])</f>
        <v>2.137699464688151E-2</v>
      </c>
      <c r="DW33" s="62">
        <f>IF(COUNTIFS(allFYsTable[Code], SummaryTable[[#This Row],[Code]], allFYsTable[year2], DW$3)=0, NotFound, SUMIFS(allFYsTable[OriginalBudget], allFYsTable[Code], SummaryTable[[#This Row],[Code]], allFYsTable[year2], DW$3))</f>
        <v>589782</v>
      </c>
      <c r="DX33" s="61">
        <f>SummaryTable[[#This Row],[OriginalBudget11]]-SummaryTable[[#This Row],[OriginalBudget10]]</f>
        <v>77327</v>
      </c>
      <c r="DY33" s="54">
        <f>SummaryTable[[#This Row],[BudgetIncreaseAmount11]]/SummaryTable[[#This Row],[OriginalBudget10]]</f>
        <v>0.150895200554195</v>
      </c>
      <c r="DZ33" s="61">
        <f>IF(COUNTIFS(allFYsTable[Code], SummaryTable[[#This Row],[Code]], allFYsTable[year2], DW$3)=0, NotFound, SUMIFS(allFYsTable[RevisedBudget], allFYsTable[Code], SummaryTable[[#This Row],[Code]], allFYsTable[year2], DW$3))</f>
        <v>616179</v>
      </c>
      <c r="EA33" s="61">
        <f>IF(COUNTIFS(allFYsTable[Code], SummaryTable[[#This Row],[Code]], allFYsTable[year2], DW$3)=0, NotFound, SUMIFS(allFYsTable[Actual], allFYsTable[Code], SummaryTable[[#This Row],[Code]], allFYsTable[year2], DW$3))</f>
        <v>607816</v>
      </c>
      <c r="EB33" s="61">
        <f>IF(COUNTIFS(allFYsTable[Code], SummaryTable[[#This Row],[Code]], allFYsTable[year2], DW$3)=0, NotFound, SUMIFS(allFYsTable[DiffAmount], allFYsTable[Code], SummaryTable[[#This Row],[Code]], allFYsTable[year2], DW$3))</f>
        <v>18034</v>
      </c>
      <c r="EC33" s="63">
        <f>IF(SummaryTable[[#This Row],[OriginalBudget11]]=0, IF(SummaryTable[[#This Row],[DiffAmount11]]=0, ZeroBudgetNoSpending, ZeroBudgetWithSpending), SummaryTable[[#This Row],[DiffAmount11]]/SummaryTable[[#This Row],[OriginalBudget11]])</f>
        <v>3.0577399785005305E-2</v>
      </c>
      <c r="ED33" s="62">
        <f>IF(COUNTIFS(allFYsTable[Code], SummaryTable[[#This Row],[Code]], allFYsTable[year2], ED$3)=0, NotFound, SUMIFS(allFYsTable[OriginalBudget], allFYsTable[Code], SummaryTable[[#This Row],[Code]], allFYsTable[year2], ED$3))</f>
        <v>512455</v>
      </c>
      <c r="EE33" s="61">
        <f>SummaryTable[[#This Row],[OriginalBudget10]]-SummaryTable[[#This Row],[OriginalBudget09]]</f>
        <v>-92302</v>
      </c>
      <c r="EF33" s="54">
        <f>SummaryTable[[#This Row],[BudgetIncreaseAmount10]]/SummaryTable[[#This Row],[OriginalBudget09]]</f>
        <v>-0.15262659216842467</v>
      </c>
      <c r="EG33" s="61">
        <f>IF(COUNTIFS(allFYsTable[Code], SummaryTable[[#This Row],[Code]], allFYsTable[year2], ED$3)=0, NotFound, SUMIFS(allFYsTable[RevisedBudget], allFYsTable[Code], SummaryTable[[#This Row],[Code]], allFYsTable[year2], ED$3))</f>
        <v>531507</v>
      </c>
      <c r="EH33" s="61">
        <f>IF(COUNTIFS(allFYsTable[Code], SummaryTable[[#This Row],[Code]], allFYsTable[year2], ED$3)=0, NotFound, SUMIFS(allFYsTable[Actual], allFYsTable[Code], SummaryTable[[#This Row],[Code]], allFYsTable[year2], ED$3))</f>
        <v>527878</v>
      </c>
      <c r="EI33" s="61">
        <f>IF(COUNTIFS(allFYsTable[Code], SummaryTable[[#This Row],[Code]], allFYsTable[year2], ED$3)=0, NotFound, SUMIFS(allFYsTable[DiffAmount], allFYsTable[Code], SummaryTable[[#This Row],[Code]], allFYsTable[year2], ED$3))</f>
        <v>15423</v>
      </c>
      <c r="EJ33" s="63">
        <f>IF(SummaryTable[[#This Row],[OriginalBudget10]]=0, IF(SummaryTable[[#This Row],[DiffAmount10]]=0, ZeroBudgetNoSpending, ZeroBudgetWithSpending), SummaryTable[[#This Row],[DiffAmount10]]/SummaryTable[[#This Row],[OriginalBudget10]])</f>
        <v>3.0096301138636563E-2</v>
      </c>
      <c r="EK33" s="62">
        <f>IF(COUNTIFS(allFYsTable[Code], SummaryTable[[#This Row],[Code]], allFYsTable[year2], EK$3)=0, NotFound, SUMIFS(allFYsTable[OriginalBudget], allFYsTable[Code], SummaryTable[[#This Row],[Code]], allFYsTable[year2], EK$3))</f>
        <v>604757</v>
      </c>
      <c r="EL33" s="61" t="e">
        <f>SummaryTable[[#This Row],[OriginalBudget09]]-SummaryTable[[#This Row],[OriginalBudget08]]</f>
        <v>#N/A</v>
      </c>
      <c r="EM33" s="54" t="e">
        <f>SummaryTable[[#This Row],[BudgetIncreaseAmount09]]/SummaryTable[[#This Row],[OriginalBudget08]]</f>
        <v>#N/A</v>
      </c>
      <c r="EN33" s="61">
        <f>IF(COUNTIFS(allFYsTable[Code], SummaryTable[[#This Row],[Code]], allFYsTable[year2], EK$3)=0, NotFound, SUMIFS(allFYsTable[RevisedBudget], allFYsTable[Code], SummaryTable[[#This Row],[Code]], allFYsTable[year2], EK$3))</f>
        <v>486227</v>
      </c>
      <c r="EO33" s="61">
        <f>IF(COUNTIFS(allFYsTable[Code], SummaryTable[[#This Row],[Code]], allFYsTable[year2], EK$3)=0, NotFound, SUMIFS(allFYsTable[Actual], allFYsTable[Code], SummaryTable[[#This Row],[Code]], allFYsTable[year2], EK$3))</f>
        <v>463677</v>
      </c>
      <c r="EP33" s="61">
        <f>IF(COUNTIFS(allFYsTable[Code], SummaryTable[[#This Row],[Code]], allFYsTable[year2], EK$3)=0, NotFound, SUMIFS(allFYsTable[DiffAmount], allFYsTable[Code], SummaryTable[[#This Row],[Code]], allFYsTable[year2], EK$3))</f>
        <v>-141080</v>
      </c>
      <c r="EQ33" s="63">
        <f>IF(SummaryTable[[#This Row],[OriginalBudget09]]=0, IF(SummaryTable[[#This Row],[DiffAmount09]]=0, ZeroBudgetNoSpending, ZeroBudgetWithSpending), SummaryTable[[#This Row],[DiffAmount09]]/SummaryTable[[#This Row],[OriginalBudget09]])</f>
        <v>-0.23328378175035594</v>
      </c>
      <c r="ER33" s="62" t="e">
        <f>IF(COUNTIFS(allFYsTable[Code], SummaryTable[[#This Row],[Code]], allFYsTable[year2], ER$3)=0, NotFound, SUMIFS(allFYsTable[OriginalBudget], allFYsTable[Code], SummaryTable[[#This Row],[Code]], allFYsTable[year2], ER$3))</f>
        <v>#N/A</v>
      </c>
      <c r="ES33" s="61" t="e">
        <f>SummaryTable[[#This Row],[OriginalBudget08]]-SummaryTable[[#This Row],[OriginalBudget07]]</f>
        <v>#N/A</v>
      </c>
      <c r="ET33" s="54" t="e">
        <f>SummaryTable[[#This Row],[BudgetIncreaseAmount08]]/SummaryTable[[#This Row],[OriginalBudget07]]</f>
        <v>#N/A</v>
      </c>
      <c r="EU33" s="61" t="e">
        <f>IF(COUNTIFS(allFYsTable[Code], SummaryTable[[#This Row],[Code]], allFYsTable[year2], ER$3)=0, NotFound, SUMIFS(allFYsTable[RevisedBudget], allFYsTable[Code], SummaryTable[[#This Row],[Code]], allFYsTable[year2], ER$3))</f>
        <v>#N/A</v>
      </c>
      <c r="EV33" s="61" t="e">
        <f>IF(COUNTIFS(allFYsTable[Code], SummaryTable[[#This Row],[Code]], allFYsTable[year2], ER$3)=0, NotFound, SUMIFS(allFYsTable[Actual], allFYsTable[Code], SummaryTable[[#This Row],[Code]], allFYsTable[year2], ER$3))</f>
        <v>#N/A</v>
      </c>
      <c r="EW33" s="61" t="e">
        <f>IF(COUNTIFS(allFYsTable[Code], SummaryTable[[#This Row],[Code]], allFYsTable[year2], ER$3)=0, NotFound, SUMIFS(allFYsTable[DiffAmount], allFYsTable[Code], SummaryTable[[#This Row],[Code]], allFYsTable[year2], ER$3))</f>
        <v>#N/A</v>
      </c>
      <c r="EX33" s="63" t="e">
        <f>IF(SummaryTable[[#This Row],[OriginalBudget08]]=0, IF(SummaryTable[[#This Row],[DiffAmount08]]=0, ZeroBudgetNoSpending, ZeroBudgetWithSpending), SummaryTable[[#This Row],[DiffAmount08]]/SummaryTable[[#This Row],[OriginalBudget08]])</f>
        <v>#N/A</v>
      </c>
      <c r="EY33" s="62" t="e">
        <f>IF(COUNTIFS(allFYsTable[Code], SummaryTable[[#This Row],[Code]], allFYsTable[year2], EY$3)=0, NotFound, SUMIFS(allFYsTable[OriginalBudget], allFYsTable[Code], SummaryTable[[#This Row],[Code]], allFYsTable[year2], EY$3))</f>
        <v>#N/A</v>
      </c>
      <c r="EZ33" s="61" t="e">
        <f>SummaryTable[[#This Row],[OriginalBudget07]]-SummaryTable[[#This Row],[OriginalBudget06]]</f>
        <v>#N/A</v>
      </c>
      <c r="FA33" s="54" t="e">
        <f>SummaryTable[[#This Row],[BudgetIncreaseAmount07]]/SummaryTable[[#This Row],[OriginalBudget06]]</f>
        <v>#N/A</v>
      </c>
      <c r="FB33" s="61" t="e">
        <f>IF(COUNTIFS(allFYsTable[Code], SummaryTable[[#This Row],[Code]], allFYsTable[year2], EY$3)=0, NotFound, SUMIFS(allFYsTable[RevisedBudget], allFYsTable[Code], SummaryTable[[#This Row],[Code]], allFYsTable[year2], EY$3))</f>
        <v>#N/A</v>
      </c>
      <c r="FC33" s="61" t="e">
        <f>IF(COUNTIFS(allFYsTable[Code], SummaryTable[[#This Row],[Code]], allFYsTable[year2], EY$3)=0, NotFound, SUMIFS(allFYsTable[Actual], allFYsTable[Code], SummaryTable[[#This Row],[Code]], allFYsTable[year2], EY$3))</f>
        <v>#N/A</v>
      </c>
      <c r="FD33" s="61" t="e">
        <f>IF(COUNTIFS(allFYsTable[Code], SummaryTable[[#This Row],[Code]], allFYsTable[year2], EY$3)=0, NotFound, SUMIFS(allFYsTable[DiffAmount], allFYsTable[Code], SummaryTable[[#This Row],[Code]], allFYsTable[year2], EY$3))</f>
        <v>#N/A</v>
      </c>
      <c r="FE33" s="63" t="e">
        <f>IF(SummaryTable[[#This Row],[OriginalBudget07]]=0, IF(SummaryTable[[#This Row],[DiffAmount07]]=0, ZeroBudgetNoSpending, ZeroBudgetWithSpending), SummaryTable[[#This Row],[DiffAmount07]]/SummaryTable[[#This Row],[OriginalBudget07]])</f>
        <v>#N/A</v>
      </c>
      <c r="FF33" s="62" t="e">
        <f>IF(COUNTIFS(allFYsTable[Code], SummaryTable[[#This Row],[Code]], allFYsTable[year2], FF$3)=0, NotFound, SUMIFS(allFYsTable[OriginalBudget], allFYsTable[Code], SummaryTable[[#This Row],[Code]], allFYsTable[year2], FF$3))</f>
        <v>#N/A</v>
      </c>
      <c r="FI33" s="61" t="e">
        <f>IF(COUNTIFS(allFYsTable[Code], SummaryTable[[#This Row],[Code]], allFYsTable[year2], FF$3)=0, NotFound, SUMIFS(allFYsTable[RevisedBudget], allFYsTable[Code], SummaryTable[[#This Row],[Code]], allFYsTable[year2], FF$3))</f>
        <v>#N/A</v>
      </c>
      <c r="FJ33" s="61" t="e">
        <f>IF(COUNTIFS(allFYsTable[Code], SummaryTable[[#This Row],[Code]], allFYsTable[year2], FF$3)=0, NotFound, SUMIFS(allFYsTable[Actual], allFYsTable[Code], SummaryTable[[#This Row],[Code]], allFYsTable[year2], FF$3))</f>
        <v>#N/A</v>
      </c>
      <c r="FK33" s="61" t="e">
        <f>IF(COUNTIFS(allFYsTable[Code], SummaryTable[[#This Row],[Code]], allFYsTable[year2], FF$3)=0, NotFound, SUMIFS(allFYsTable[DiffAmount], allFYsTable[Code], SummaryTable[[#This Row],[Code]], allFYsTable[year2], FF$3))</f>
        <v>#N/A</v>
      </c>
      <c r="FL33" s="63" t="e">
        <f>IF(SummaryTable[[#This Row],[OriginalBudget06]]=0, IF(SummaryTable[[#This Row],[DiffAmount06]]=0, ZeroBudgetNoSpending, ZeroBudgetWithSpending), SummaryTable[[#This Row],[DiffAmount06]]/SummaryTable[[#This Row],[OriginalBudget06]])</f>
        <v>#N/A</v>
      </c>
    </row>
    <row r="34" spans="1:168" x14ac:dyDescent="0.45">
      <c r="A34" t="s">
        <v>737</v>
      </c>
      <c r="B34">
        <f>_xlfn.MAXIFS(allFYsTable[year2], allFYsTable[Code], SummaryTable[[#This Row],[Code]])</f>
        <v>2025</v>
      </c>
      <c r="C34" t="str">
        <f>_xlfn.XLOOKUP(SummaryTable[[#This Row],[Code]], NameCodingTable[Code], NameCodingTable[Most Recent Category per allFYs])</f>
        <v>Economic development and regulation</v>
      </c>
      <c r="D34" t="str">
        <f>_xlfn.XLOOKUP(SummaryTable[[#This Row],[Code]], NameCodingTable[Code], NameCodingTable[Unit Display Name])</f>
        <v>Department of Housing and Community Development (DHCD)</v>
      </c>
      <c r="E34" t="str">
        <f>_xlfn.XLOOKUP(SummaryTable[[#This Row],[Code]], NameCodingTable[Code], NameCodingTable[Type])</f>
        <v>agency</v>
      </c>
      <c r="F3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3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10</v>
      </c>
      <c r="H34" s="54">
        <f>SummaryTable[[#This Row],['# Over]]/SummaryTable[[#This Row],[Count]]</f>
        <v>0.5</v>
      </c>
      <c r="I3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34" s="54">
        <f>SummaryTable[[#This Row],['# Under]]/SummaryTable[[#This Row],[Count]]</f>
        <v>0.5</v>
      </c>
      <c r="K3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34" s="54">
        <f>SummaryTable[[#This Row],['# Equal]]/SummaryTable[[#This Row],[Count]]</f>
        <v>0</v>
      </c>
      <c r="M34" s="61">
        <f>SUMIFS(allFYsTable[OriginalBudget],allFYsTable[Code],SummaryTable[[#This Row],[Code]])/SummaryTable[[#This Row],[Count]]</f>
        <v>18487.2</v>
      </c>
      <c r="N34" s="61">
        <f>SUMIFS(allFYsTable[Actual],allFYsTable[Code],SummaryTable[[#This Row],[Code]])/SummaryTable[[#This Row],[Count]]</f>
        <v>20650.400000000001</v>
      </c>
      <c r="O34" s="61">
        <f>SummaryTable[[#This Row],[AvgActAmt]]-SummaryTable[[#This Row],[AvgBudAmt]]</f>
        <v>2163.2000000000007</v>
      </c>
      <c r="P34" s="54">
        <f>IF(SummaryTable[[#This Row],[AvgBudAmt]]=0, IF(SummaryTable[[#This Row],[AvgDiff'#]]=0, 0, NamedFields!$C$3), SummaryTable[[#This Row],[AvgDiff'#]]/SummaryTable[[#This Row],[AvgBudAmt]])</f>
        <v>0.11701068847635124</v>
      </c>
      <c r="Q34" s="61">
        <f>IFERROR(SUMIFS(allFYsTable[OriginalBudget],allFYsTable[Code],SummaryTable[[#This Row],[Code]],allFYsTable[DiffAmount], "&gt;0")/SummaryTable[[#This Row],['# Over]], 0)</f>
        <v>15553.9</v>
      </c>
      <c r="R34" s="61">
        <f>IFERROR(SUMIFS(allFYsTable[Actual],allFYsTable[Code],SummaryTable[[#This Row],[Code]],allFYsTable[DiffAmount], "&gt;0")/SummaryTable[[#This Row],['# Over]], 0)</f>
        <v>23826.7</v>
      </c>
      <c r="S34" s="61">
        <f>SummaryTable[[#This Row],[OverAvgAct]]-SummaryTable[[#This Row],[OverAvgBud]]</f>
        <v>8272.8000000000011</v>
      </c>
      <c r="T34" s="54">
        <f>IF(SummaryTable[[#This Row],[OverAvgBud]]=0, IF(SummaryTable[[#This Row],[OverAvgDiff'#]]=0, ZeroBudgetNoSpending, ZeroBudgetWithSpending), SummaryTable[[#This Row],[OverAvgDiff'#]]/SummaryTable[[#This Row],[OverAvgBud]])</f>
        <v>0.53187946431441635</v>
      </c>
      <c r="U34" s="61">
        <f>IFERROR(SUMIFS(allFYsTable[OriginalBudget],allFYsTable[Code],SummaryTable[[#This Row],[Code]],allFYsTable[DiffAmount], "&lt;0")/SummaryTable[[#This Row],['# Under]], 0)</f>
        <v>21420.5</v>
      </c>
      <c r="V34" s="61">
        <f>IFERROR( SUMIFS(allFYsTable[Actual],allFYsTable[Code],SummaryTable[[#This Row],[Code]],allFYsTable[DiffAmount], "&lt;0")/SummaryTable[[#This Row],['# Under]], 0)</f>
        <v>17474.099999999999</v>
      </c>
      <c r="W34" s="61">
        <f>SummaryTable[[#This Row],[UnderAvgAct]]-SummaryTable[[#This Row],[UnderAvgBud]]</f>
        <v>-3946.4000000000015</v>
      </c>
      <c r="X34" s="54">
        <f>IF(SummaryTable[[#This Row],[UnderAvgBud]]=0, IF(SummaryTable[[#This Row],[UnderAvgDiff'#]]=0, ZeroBudgetNoSpending, NamedFields!$C$3), SummaryTable[[#This Row],[UnderAvgDiff'#]]/SummaryTable[[#This Row],[UnderAvgBud]])</f>
        <v>-0.18423472841436947</v>
      </c>
      <c r="Y3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7</v>
      </c>
      <c r="Z3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2</v>
      </c>
      <c r="AA34" s="54">
        <f>IF(SummaryTable[[#This Row],[IncreaseYears]]=0, ZeroBudgetNoSpending, SummaryTable[[#This Row],[OSinIncreaseYear'#]]/SummaryTable[[#This Row],[IncreaseYears]])</f>
        <v>0.2857142857142857</v>
      </c>
      <c r="AB34" s="58" t="str">
        <f>SummaryTable[[#This Row],[Code]]</f>
        <v>DB0</v>
      </c>
      <c r="AC34" s="62">
        <f>IF(COUNTIFS(allFYsTable[Code], SummaryTable[[#This Row],[Code]], allFYsTable[year2], AC$3)=0, NotFound, SUMIFS(allFYsTable[OriginalBudget], allFYsTable[Code], SummaryTable[[#This Row],[Code]], allFYsTable[year2], AC$3))</f>
        <v>53989</v>
      </c>
      <c r="AD34" s="61">
        <f>SummaryTable[[#This Row],[OriginalBudget25]]-SummaryTable[[#This Row],[OriginalBudget24]]</f>
        <v>26829</v>
      </c>
      <c r="AE34" s="54">
        <f>SummaryTable[[#This Row],[BudgetIncreaseAmount25]]/SummaryTable[[#This Row],[OriginalBudget24]]</f>
        <v>0.98781296023564069</v>
      </c>
      <c r="AF34" s="61">
        <f>IF(COUNTIFS(allFYsTable[Code], SummaryTable[[#This Row],[Code]], allFYsTable[year2], AC$3)=0, NotFound, SUMIFS(allFYsTable[RevisedBudget], allFYsTable[Code], SummaryTable[[#This Row],[Code]], allFYsTable[year2], AC$3))</f>
        <v>51124</v>
      </c>
      <c r="AG34" s="61">
        <f>IF(COUNTIFS(allFYsTable[Code], SummaryTable[[#This Row],[Code]], allFYsTable[year2], AC$3)=0, NotFound, SUMIFS(allFYsTable[Actual], allFYsTable[Code], SummaryTable[[#This Row],[Code]], allFYsTable[year2], AC$3))</f>
        <v>48842</v>
      </c>
      <c r="AH34" s="61">
        <f>IF(COUNTIFS(allFYsTable[Code], SummaryTable[[#This Row],[Code]], allFYsTable[year2], AC$3)=0, NotFound, SUMIFS(allFYsTable[DiffAmount], allFYsTable[Code], SummaryTable[[#This Row],[Code]], allFYsTable[year2], AC$3))</f>
        <v>-5147</v>
      </c>
      <c r="AI34" s="63">
        <f>IF(SummaryTable[[#This Row],[OriginalBudget25]]=0, IF(SummaryTable[[#This Row],[DiffAmount25]]=0, ZeroBudgetNoSpending, ZeroBudgetWithSpending), SummaryTable[[#This Row],[DiffAmount25]]/SummaryTable[[#This Row],[OriginalBudget25]])</f>
        <v>-9.5334234751523458E-2</v>
      </c>
      <c r="AJ34" s="62">
        <f>IF(COUNTIFS(allFYsTable[Code], SummaryTable[[#This Row],[Code]], allFYsTable[year2], AJ$3)=0, NotFound, SUMIFS(allFYsTable[OriginalBudget], allFYsTable[Code], SummaryTable[[#This Row],[Code]], allFYsTable[year2], AJ$3))</f>
        <v>27160</v>
      </c>
      <c r="AK34" s="61">
        <f>SummaryTable[[#This Row],[OriginalBudget24]]-SummaryTable[[#This Row],[OriginalBudget23]]</f>
        <v>-8308</v>
      </c>
      <c r="AL34" s="54">
        <f>SummaryTable[[#This Row],[BudgetIncreaseAmount24]]/SummaryTable[[#This Row],[OriginalBudget23]]</f>
        <v>-0.23423931431149206</v>
      </c>
      <c r="AM34" s="61">
        <f>IF(COUNTIFS(allFYsTable[Code], SummaryTable[[#This Row],[Code]], allFYsTable[year2], AK$3)=0, NotFound, SUMIFS(allFYsTable[RevisedBudget], allFYsTable[Code], SummaryTable[[#This Row],[Code]], allFYsTable[year2], AJ$3))</f>
        <v>27937</v>
      </c>
      <c r="AN34" s="61">
        <f>IF(COUNTIFS(allFYsTable[Code], SummaryTable[[#This Row],[Code]], allFYsTable[year2], AJ$3)=0, NotFound, SUMIFS(allFYsTable[Actual], allFYsTable[Code], SummaryTable[[#This Row],[Code]], allFYsTable[year2], AJ$3))</f>
        <v>27714</v>
      </c>
      <c r="AO34" s="61">
        <f>IF(COUNTIFS(allFYsTable[Code], SummaryTable[[#This Row],[Code]], allFYsTable[year2], AJ$3)=0, NotFound, SUMIFS(allFYsTable[DiffAmount], allFYsTable[Code], SummaryTable[[#This Row],[Code]], allFYsTable[year2], AJ$3))</f>
        <v>554</v>
      </c>
      <c r="AP34" s="63">
        <f>IF(SummaryTable[[#This Row],[OriginalBudget24]]=0, IF(SummaryTable[[#This Row],[DiffAmount24]]=0, ZeroBudgetNoSpending, ZeroBudgetWithSpending), SummaryTable[[#This Row],[DiffAmount24]]/SummaryTable[[#This Row],[OriginalBudget24]])</f>
        <v>2.0397643593519883E-2</v>
      </c>
      <c r="AQ34" s="62">
        <f>IF(COUNTIFS(allFYsTable[Code], SummaryTable[[#This Row],[Code]], allFYsTable[year2], AQ$3)=0, NotFound, SUMIFS(allFYsTable[OriginalBudget], allFYsTable[Code], SummaryTable[[#This Row],[Code]], allFYsTable[year2], AQ$3))</f>
        <v>35468</v>
      </c>
      <c r="AR34" s="61">
        <f>SummaryTable[[#This Row],[OriginalBudget23]]-SummaryTable[[#This Row],[OriginalBudget22]]</f>
        <v>2021</v>
      </c>
      <c r="AS34" s="54">
        <f>SummaryTable[[#This Row],[BudgetIncreaseAmount23]]/SummaryTable[[#This Row],[OriginalBudget22]]</f>
        <v>6.0423954315783179E-2</v>
      </c>
      <c r="AT34" s="61">
        <f>IF(COUNTIFS(allFYsTable[Code], SummaryTable[[#This Row],[Code]], allFYsTable[year2], AQ$3)=0, NotFound, SUMIFS(allFYsTable[RevisedBudget], allFYsTable[Code], SummaryTable[[#This Row],[Code]], allFYsTable[year2], AQ$3))</f>
        <v>66849</v>
      </c>
      <c r="AU34" s="61">
        <f>IF(COUNTIFS(allFYsTable[Code], SummaryTable[[#This Row],[Code]], allFYsTable[year2], AQ$3)=0, NotFound, SUMIFS(allFYsTable[Actual], allFYsTable[Code], SummaryTable[[#This Row],[Code]], allFYsTable[year2], AQ$3))</f>
        <v>66490</v>
      </c>
      <c r="AV34" s="61">
        <f>IF(COUNTIFS(allFYsTable[Code], SummaryTable[[#This Row],[Code]], allFYsTable[year2], AQ$3)=0, NotFound, SUMIFS(allFYsTable[DiffAmount], allFYsTable[Code], SummaryTable[[#This Row],[Code]], allFYsTable[year2], AQ$3))</f>
        <v>31022</v>
      </c>
      <c r="AW34" s="63">
        <f>IF(SummaryTable[[#This Row],[OriginalBudget23]]=0, IF(SummaryTable[[#This Row],[DiffAmount23]]=0, ZeroBudgetNoSpending, ZeroBudgetWithSpending), SummaryTable[[#This Row],[DiffAmount23]]/SummaryTable[[#This Row],[OriginalBudget23]])</f>
        <v>0.87464756964023904</v>
      </c>
      <c r="AX34" s="62">
        <f>IF(COUNTIFS(allFYsTable[Code], SummaryTable[[#This Row],[Code]], allFYsTable[year2], AX$3)=0, NotFound, SUMIFS(allFYsTable[OriginalBudget], allFYsTable[Code], SummaryTable[[#This Row],[Code]], allFYsTable[year2], AX$3))</f>
        <v>33447</v>
      </c>
      <c r="AY34" s="61">
        <f>SummaryTable[[#This Row],[OriginalBudget22]]-SummaryTable[[#This Row],[OriginalBudget21]]</f>
        <v>14160</v>
      </c>
      <c r="AZ34" s="54">
        <f>SummaryTable[[#This Row],[BudgetIncreaseAmount22]]/SummaryTable[[#This Row],[OriginalBudget21]]</f>
        <v>0.73417327733706639</v>
      </c>
      <c r="BA34" s="61">
        <f>IF(COUNTIFS(allFYsTable[Code], SummaryTable[[#This Row],[Code]], allFYsTable[year2], AX$3)=0, NotFound, SUMIFS(allFYsTable[RevisedBudget], allFYsTable[Code], SummaryTable[[#This Row],[Code]], allFYsTable[year2], AX$3))</f>
        <v>18123</v>
      </c>
      <c r="BB34" s="61">
        <f>IF(COUNTIFS(allFYsTable[Code], SummaryTable[[#This Row],[Code]], allFYsTable[year2], AX$3)=0, NotFound, SUMIFS(allFYsTable[Actual], allFYsTable[Code], SummaryTable[[#This Row],[Code]], allFYsTable[year2], AX$3))</f>
        <v>17163</v>
      </c>
      <c r="BC34" s="61">
        <f>IF(COUNTIFS(allFYsTable[Code], SummaryTable[[#This Row],[Code]], allFYsTable[year2], AX$3)=0, NotFound, SUMIFS(allFYsTable[DiffAmount], allFYsTable[Code], SummaryTable[[#This Row],[Code]], allFYsTable[year2], AX$3))</f>
        <v>-16284</v>
      </c>
      <c r="BD34" s="63">
        <f>IF(SummaryTable[[#This Row],[OriginalBudget22]]=0, IF(SummaryTable[[#This Row],[DiffAmount22]]=0, ZeroBudgetNoSpending, ZeroBudgetWithSpending), SummaryTable[[#This Row],[DiffAmount22]]/SummaryTable[[#This Row],[OriginalBudget22]])</f>
        <v>-0.48685980805453405</v>
      </c>
      <c r="BE34" s="62">
        <f>IF(COUNTIFS(allFYsTable[Code], SummaryTable[[#This Row],[Code]], allFYsTable[year2], BE$3)=0, NotFound, SUMIFS(allFYsTable[OriginalBudget], allFYsTable[Code], SummaryTable[[#This Row],[Code]], allFYsTable[year2], BE$3))</f>
        <v>19287</v>
      </c>
      <c r="BF34" s="61">
        <f>SummaryTable[[#This Row],[OriginalBudget21]]-SummaryTable[[#This Row],[OriginalBudget20]]</f>
        <v>-12269</v>
      </c>
      <c r="BG34" s="54">
        <f>SummaryTable[[#This Row],[BudgetIncreaseAmount21]]/SummaryTable[[#This Row],[OriginalBudget20]]</f>
        <v>-0.38880086195969071</v>
      </c>
      <c r="BH34" s="61">
        <f>IF(COUNTIFS(allFYsTable[Code], SummaryTable[[#This Row],[Code]], allFYsTable[year2], BE$3)=0, NotFound, SUMIFS(allFYsTable[RevisedBudget], allFYsTable[Code], SummaryTable[[#This Row],[Code]], allFYsTable[year2], BE$3))</f>
        <v>17763</v>
      </c>
      <c r="BI34" s="61">
        <f>IF(COUNTIFS(allFYsTable[Code], SummaryTable[[#This Row],[Code]], allFYsTable[year2], BE$3)=0, NotFound, SUMIFS(allFYsTable[Actual], allFYsTable[Code], SummaryTable[[#This Row],[Code]], allFYsTable[year2], BE$3))</f>
        <v>15317</v>
      </c>
      <c r="BJ34" s="61">
        <f>IF(COUNTIFS(allFYsTable[Code], SummaryTable[[#This Row],[Code]], allFYsTable[year2], BE$3)=0, NotFound, SUMIFS(allFYsTable[DiffAmount], allFYsTable[Code], SummaryTable[[#This Row],[Code]], allFYsTable[year2], BE$3))</f>
        <v>-3970</v>
      </c>
      <c r="BK34" s="63">
        <f>IF(SummaryTable[[#This Row],[OriginalBudget21]]=0, IF(SummaryTable[[#This Row],[DiffAmount21]]=0, ZeroBudgetNoSpending, ZeroBudgetWithSpending), SummaryTable[[#This Row],[DiffAmount21]]/SummaryTable[[#This Row],[OriginalBudget21]])</f>
        <v>-0.20583812930989787</v>
      </c>
      <c r="BL34" s="62">
        <f>IF(COUNTIFS(allFYsTable[Code], SummaryTable[[#This Row],[Code]], allFYsTable[year2], BL$3)=0, NotFound, SUMIFS(allFYsTable[OriginalBudget], allFYsTable[Code], SummaryTable[[#This Row],[Code]], allFYsTable[year2], BL$3))</f>
        <v>31556</v>
      </c>
      <c r="BM34" s="61">
        <f>SummaryTable[[#This Row],[OriginalBudget20]]-SummaryTable[[#This Row],[OriginalBudget19]]</f>
        <v>-216</v>
      </c>
      <c r="BN34" s="54">
        <f>SummaryTable[[#This Row],[BudgetIncreaseAmount20]]/SummaryTable[[#This Row],[OriginalBudget19]]</f>
        <v>-6.7984388769986148E-3</v>
      </c>
      <c r="BO34" s="61">
        <f>IF(COUNTIFS(allFYsTable[Code], SummaryTable[[#This Row],[Code]], allFYsTable[year2], BL$3)=0, NotFound, SUMIFS(allFYsTable[RevisedBudget], allFYsTable[Code], SummaryTable[[#This Row],[Code]], allFYsTable[year2], BL$3))</f>
        <v>31415</v>
      </c>
      <c r="BP34" s="61">
        <f>IF(COUNTIFS(allFYsTable[Code], SummaryTable[[#This Row],[Code]], allFYsTable[year2], BL$3)=0, NotFound, SUMIFS(allFYsTable[Actual], allFYsTable[Code], SummaryTable[[#This Row],[Code]], allFYsTable[year2], BL$3))</f>
        <v>29053</v>
      </c>
      <c r="BQ34" s="61">
        <f>IF(COUNTIFS(allFYsTable[Code], SummaryTable[[#This Row],[Code]], allFYsTable[year2], BL$3)=0, NotFound, SUMIFS(allFYsTable[DiffAmount], allFYsTable[Code], SummaryTable[[#This Row],[Code]], allFYsTable[year2], BL$3))</f>
        <v>-2503</v>
      </c>
      <c r="BR34" s="63">
        <f>IF(SummaryTable[[#This Row],[OriginalBudget20]]=0, IF(SummaryTable[[#This Row],[DiffAmount20]]=0, ZeroBudgetNoSpending, ZeroBudgetWithSpending), SummaryTable[[#This Row],[DiffAmount20]]/SummaryTable[[#This Row],[OriginalBudget20]])</f>
        <v>-7.9319305361896311E-2</v>
      </c>
      <c r="BS34" s="62">
        <f>IF(COUNTIFS(allFYsTable[Code], SummaryTable[[#This Row],[Code]], allFYsTable[year2], BS$3)=0, NotFound, SUMIFS(allFYsTable[OriginalBudget], allFYsTable[Code], SummaryTable[[#This Row],[Code]], allFYsTable[year2], BS$3))</f>
        <v>31772</v>
      </c>
      <c r="BT34" s="61">
        <f>SummaryTable[[#This Row],[OriginalBudget19]]-SummaryTable[[#This Row],[OriginalBudget18]]</f>
        <v>8668</v>
      </c>
      <c r="BU34" s="54">
        <f>SummaryTable[[#This Row],[BudgetIncreaseAmount19]]/SummaryTable[[#This Row],[OriginalBudget18]]</f>
        <v>0.3751731301939058</v>
      </c>
      <c r="BV34" s="61">
        <f>IF(COUNTIFS(allFYsTable[Code], SummaryTable[[#This Row],[Code]], allFYsTable[year2], BS$3)=0, NotFound, SUMIFS(allFYsTable[RevisedBudget], allFYsTable[Code], SummaryTable[[#This Row],[Code]], allFYsTable[year2], BS$3))</f>
        <v>31640</v>
      </c>
      <c r="BW34" s="61">
        <f>IF(COUNTIFS(allFYsTable[Code], SummaryTable[[#This Row],[Code]], allFYsTable[year2], BS$3)=0, NotFound, SUMIFS(allFYsTable[Actual], allFYsTable[Code], SummaryTable[[#This Row],[Code]], allFYsTable[year2], BS$3))</f>
        <v>30696</v>
      </c>
      <c r="BX34" s="61">
        <f>IF(COUNTIFS(allFYsTable[Code], SummaryTable[[#This Row],[Code]], allFYsTable[year2], BS$3)=0, NotFound, SUMIFS(allFYsTable[DiffAmount], allFYsTable[Code], SummaryTable[[#This Row],[Code]], allFYsTable[year2], BS$3))</f>
        <v>-1076</v>
      </c>
      <c r="BY34" s="63">
        <f>IF(SummaryTable[[#This Row],[OriginalBudget19]]=0, IF(SummaryTable[[#This Row],[DiffAmount19]]=0, ZeroBudgetNoSpending, ZeroBudgetWithSpending), SummaryTable[[#This Row],[DiffAmount19]]/SummaryTable[[#This Row],[OriginalBudget19]])</f>
        <v>-3.3866297368752359E-2</v>
      </c>
      <c r="BZ34" s="62">
        <f>IF(COUNTIFS(allFYsTable[Code], SummaryTable[[#This Row],[Code]], allFYsTable[year2], BZ$3)=0, NotFound, SUMIFS(allFYsTable[OriginalBudget], allFYsTable[Code], SummaryTable[[#This Row],[Code]], allFYsTable[year2], BZ$3))</f>
        <v>23104</v>
      </c>
      <c r="CA34" s="61">
        <f>SummaryTable[[#This Row],[OriginalBudget18]]-SummaryTable[[#This Row],[OriginalBudget17]]</f>
        <v>13020</v>
      </c>
      <c r="CB34" s="54">
        <f>SummaryTable[[#This Row],[BudgetIncreaseAmount18]]/SummaryTable[[#This Row],[OriginalBudget17]]</f>
        <v>1.2911543038476796</v>
      </c>
      <c r="CC34" s="61">
        <f>IF(COUNTIFS(allFYsTable[Code], SummaryTable[[#This Row],[Code]], allFYsTable[year2], BZ$3)=0, NotFound, SUMIFS(allFYsTable[RevisedBudget], allFYsTable[Code], SummaryTable[[#This Row],[Code]], allFYsTable[year2], BZ$3))</f>
        <v>28257</v>
      </c>
      <c r="CD34" s="61">
        <f>IF(COUNTIFS(allFYsTable[Code], SummaryTable[[#This Row],[Code]], allFYsTable[year2], BZ$3)=0, NotFound, SUMIFS(allFYsTable[Actual], allFYsTable[Code], SummaryTable[[#This Row],[Code]], allFYsTable[year2], BZ$3))</f>
        <v>27739</v>
      </c>
      <c r="CE34" s="61">
        <f>IF(COUNTIFS(allFYsTable[Code], SummaryTable[[#This Row],[Code]], allFYsTable[year2], BZ$3)=0, NotFound, SUMIFS(allFYsTable[DiffAmount], allFYsTable[Code], SummaryTable[[#This Row],[Code]], allFYsTable[year2], BZ$3))</f>
        <v>4635</v>
      </c>
      <c r="CF34" s="63">
        <f>IF(SummaryTable[[#This Row],[OriginalBudget18]]=0, IF(SummaryTable[[#This Row],[DiffAmount18]]=0, ZeroBudgetNoSpending, ZeroBudgetWithSpending), SummaryTable[[#This Row],[DiffAmount18]]/SummaryTable[[#This Row],[OriginalBudget18]])</f>
        <v>0.20061461218836565</v>
      </c>
      <c r="CG34" s="62">
        <f>IF(COUNTIFS(allFYsTable[Code], SummaryTable[[#This Row],[Code]], allFYsTable[year2], CG$3)=0, NotFound, SUMIFS(allFYsTable[OriginalBudget], allFYsTable[Code], SummaryTable[[#This Row],[Code]], allFYsTable[year2], CG$3))</f>
        <v>10084</v>
      </c>
      <c r="CH34" s="61">
        <f>SummaryTable[[#This Row],[OriginalBudget17]]-SummaryTable[[#This Row],[OriginalBudget16]]</f>
        <v>-2535</v>
      </c>
      <c r="CI34" s="54">
        <f>SummaryTable[[#This Row],[BudgetIncreaseAmount17]]/SummaryTable[[#This Row],[OriginalBudget16]]</f>
        <v>-0.20088755051905857</v>
      </c>
      <c r="CJ34" s="61">
        <f>IF(COUNTIFS(allFYsTable[Code], SummaryTable[[#This Row],[Code]], allFYsTable[year2], CG$3)=0, NotFound, SUMIFS(allFYsTable[RevisedBudget], allFYsTable[Code], SummaryTable[[#This Row],[Code]], allFYsTable[year2], CG$3))</f>
        <v>19178</v>
      </c>
      <c r="CK34" s="61">
        <f>IF(COUNTIFS(allFYsTable[Code], SummaryTable[[#This Row],[Code]], allFYsTable[year2], CG$3)=0, NotFound, SUMIFS(allFYsTable[Actual], allFYsTable[Code], SummaryTable[[#This Row],[Code]], allFYsTable[year2], CG$3))</f>
        <v>19173</v>
      </c>
      <c r="CL34" s="61">
        <f>IF(COUNTIFS(allFYsTable[Code], SummaryTable[[#This Row],[Code]], allFYsTable[year2], CG$3)=0, NotFound, SUMIFS(allFYsTable[DiffAmount], allFYsTable[Code], SummaryTable[[#This Row],[Code]], allFYsTable[year2], CG$3))</f>
        <v>9089</v>
      </c>
      <c r="CM34" s="63">
        <f>IF(SummaryTable[[#This Row],[OriginalBudget17]]=0, IF(SummaryTable[[#This Row],[DiffAmount17]]=0, ZeroBudgetNoSpending, ZeroBudgetWithSpending), SummaryTable[[#This Row],[DiffAmount17]]/SummaryTable[[#This Row],[OriginalBudget17]])</f>
        <v>0.90132883776279249</v>
      </c>
      <c r="CN34" s="62">
        <f>IF(COUNTIFS(allFYsTable[Code], SummaryTable[[#This Row],[Code]], allFYsTable[year2], CN$3)=0, NotFound, SUMIFS(allFYsTable[OriginalBudget], allFYsTable[Code], SummaryTable[[#This Row],[Code]], allFYsTable[year2], CN$3))</f>
        <v>12619</v>
      </c>
      <c r="CO34" s="61">
        <f>SummaryTable[[#This Row],[OriginalBudget16]]-SummaryTable[[#This Row],[OriginalBudget15]]</f>
        <v>-2506</v>
      </c>
      <c r="CP34" s="54">
        <f>SummaryTable[[#This Row],[BudgetIncreaseAmount16]]/SummaryTable[[#This Row],[OriginalBudget15]]</f>
        <v>-0.16568595041322315</v>
      </c>
      <c r="CQ34" s="61">
        <f>IF(COUNTIFS(allFYsTable[Code], SummaryTable[[#This Row],[Code]], allFYsTable[year2], CN$3)=0, NotFound, SUMIFS(allFYsTable[RevisedBudget], allFYsTable[Code], SummaryTable[[#This Row],[Code]], allFYsTable[year2], CN$3))</f>
        <v>21184</v>
      </c>
      <c r="CR34" s="61">
        <f>IF(COUNTIFS(allFYsTable[Code], SummaryTable[[#This Row],[Code]], allFYsTable[year2], CN$3)=0, NotFound, SUMIFS(allFYsTable[Actual], allFYsTable[Code], SummaryTable[[#This Row],[Code]], allFYsTable[year2], CN$3))</f>
        <v>20853</v>
      </c>
      <c r="CS34" s="61">
        <f>IF(COUNTIFS(allFYsTable[Code], SummaryTable[[#This Row],[Code]], allFYsTable[year2], CN$3)=0, NotFound, SUMIFS(allFYsTable[DiffAmount], allFYsTable[Code], SummaryTable[[#This Row],[Code]], allFYsTable[year2], CN$3))</f>
        <v>8234</v>
      </c>
      <c r="CT34" s="63">
        <f>IF(SummaryTable[[#This Row],[OriginalBudget16]]=0, IF(SummaryTable[[#This Row],[DiffAmount16]]=0, ZeroBudgetNoSpending, ZeroBudgetWithSpending), SummaryTable[[#This Row],[DiffAmount16]]/SummaryTable[[#This Row],[OriginalBudget16]])</f>
        <v>0.65250812267216107</v>
      </c>
      <c r="CU34" s="62">
        <f>IF(COUNTIFS(allFYsTable[Code], SummaryTable[[#This Row],[Code]], allFYsTable[year2], CU$3)=0, NotFound, SUMIFS(allFYsTable[OriginalBudget], allFYsTable[Code], SummaryTable[[#This Row],[Code]], allFYsTable[year2], CU$3))</f>
        <v>15125</v>
      </c>
      <c r="CV34" s="61">
        <f>SummaryTable[[#This Row],[OriginalBudget15]]-SummaryTable[[#This Row],[OriginalBudget14]]</f>
        <v>4071</v>
      </c>
      <c r="CW34" s="54">
        <f>SummaryTable[[#This Row],[BudgetIncreaseAmount15]]/SummaryTable[[#This Row],[OriginalBudget14]]</f>
        <v>0.36828297448887282</v>
      </c>
      <c r="CX34" s="61">
        <f>IF(COUNTIFS(allFYsTable[Code], SummaryTable[[#This Row],[Code]], allFYsTable[year2], CU$3)=0, NotFound, SUMIFS(allFYsTable[RevisedBudget], allFYsTable[Code], SummaryTable[[#This Row],[Code]], allFYsTable[year2], CU$3))</f>
        <v>15306</v>
      </c>
      <c r="CY34" s="61">
        <f>IF(COUNTIFS(allFYsTable[Code], SummaryTable[[#This Row],[Code]], allFYsTable[year2], CU$3)=0, NotFound, SUMIFS(allFYsTable[Actual], allFYsTable[Code], SummaryTable[[#This Row],[Code]], allFYsTable[year2], CU$3))</f>
        <v>10472</v>
      </c>
      <c r="CZ34" s="61">
        <f>IF(COUNTIFS(allFYsTable[Code], SummaryTable[[#This Row],[Code]], allFYsTable[year2], CU$3)=0, NotFound, SUMIFS(allFYsTable[DiffAmount], allFYsTable[Code], SummaryTable[[#This Row],[Code]], allFYsTable[year2], CU$3))</f>
        <v>-4653</v>
      </c>
      <c r="DA34" s="63">
        <f>IF(SummaryTable[[#This Row],[OriginalBudget15]]=0, IF(SummaryTable[[#This Row],[DiffAmount15]]=0, ZeroBudgetNoSpending, ZeroBudgetWithSpending), SummaryTable[[#This Row],[DiffAmount15]]/SummaryTable[[#This Row],[OriginalBudget15]])</f>
        <v>-0.30763636363636365</v>
      </c>
      <c r="DB34" s="62">
        <f>IF(COUNTIFS(allFYsTable[Code], SummaryTable[[#This Row],[Code]], allFYsTable[year2], DB$3)=0, NotFound, SUMIFS(allFYsTable[OriginalBudget], allFYsTable[Code], SummaryTable[[#This Row],[Code]], allFYsTable[year2], DB$3))</f>
        <v>11054</v>
      </c>
      <c r="DC34" s="61">
        <f>SummaryTable[[#This Row],[OriginalBudget14]]-SummaryTable[[#This Row],[OriginalBudget13]]</f>
        <v>-1537</v>
      </c>
      <c r="DD34" s="54">
        <f>SummaryTable[[#This Row],[BudgetIncreaseAmount14]]/SummaryTable[[#This Row],[OriginalBudget13]]</f>
        <v>-0.12207132078468748</v>
      </c>
      <c r="DE34" s="61">
        <f>IF(COUNTIFS(allFYsTable[Code], SummaryTable[[#This Row],[Code]], allFYsTable[year2], DB$3)=0, NotFound, SUMIFS(allFYsTable[RevisedBudget], allFYsTable[Code], SummaryTable[[#This Row],[Code]], allFYsTable[year2], DB$3))</f>
        <v>11915</v>
      </c>
      <c r="DF34" s="61">
        <f>IF(COUNTIFS(allFYsTable[Code], SummaryTable[[#This Row],[Code]], allFYsTable[year2], DB$3)=0, NotFound, SUMIFS(allFYsTable[Actual], allFYsTable[Code], SummaryTable[[#This Row],[Code]], allFYsTable[year2], DB$3))</f>
        <v>11569</v>
      </c>
      <c r="DG34" s="61">
        <f>IF(COUNTIFS(allFYsTable[Code], SummaryTable[[#This Row],[Code]], allFYsTable[year2], DB$3)=0, NotFound, SUMIFS(allFYsTable[DiffAmount], allFYsTable[Code], SummaryTable[[#This Row],[Code]], allFYsTable[year2], DB$3))</f>
        <v>515</v>
      </c>
      <c r="DH34" s="63">
        <f>IF(SummaryTable[[#This Row],[OriginalBudget14]]=0, IF(SummaryTable[[#This Row],[DiffAmount14]]=0, ZeroBudgetNoSpending, ZeroBudgetWithSpending), SummaryTable[[#This Row],[DiffAmount14]]/SummaryTable[[#This Row],[OriginalBudget14]])</f>
        <v>4.6589469875158315E-2</v>
      </c>
      <c r="DI34" s="62">
        <f>IF(COUNTIFS(allFYsTable[Code], SummaryTable[[#This Row],[Code]], allFYsTable[year2], DI$3)=0, NotFound, SUMIFS(allFYsTable[OriginalBudget], allFYsTable[Code], SummaryTable[[#This Row],[Code]], allFYsTable[year2], DI$3))</f>
        <v>12591</v>
      </c>
      <c r="DJ34" s="61">
        <f>SummaryTable[[#This Row],[OriginalBudget13]]-SummaryTable[[#This Row],[OriginalBudget12]]</f>
        <v>370</v>
      </c>
      <c r="DK34" s="54">
        <f>SummaryTable[[#This Row],[BudgetIncreaseAmount13]]/SummaryTable[[#This Row],[OriginalBudget12]]</f>
        <v>3.0275754848212093E-2</v>
      </c>
      <c r="DL34" s="61">
        <f>IF(COUNTIFS(allFYsTable[Code], SummaryTable[[#This Row],[Code]], allFYsTable[year2], DI$3)=0, NotFound, SUMIFS(allFYsTable[RevisedBudget], allFYsTable[Code], SummaryTable[[#This Row],[Code]], allFYsTable[year2], DI$3))</f>
        <v>12866</v>
      </c>
      <c r="DM34" s="61">
        <f>IF(COUNTIFS(allFYsTable[Code], SummaryTable[[#This Row],[Code]], allFYsTable[year2], DI$3)=0, NotFound, SUMIFS(allFYsTable[Actual], allFYsTable[Code], SummaryTable[[#This Row],[Code]], allFYsTable[year2], DI$3))</f>
        <v>11514</v>
      </c>
      <c r="DN34" s="61">
        <f>IF(COUNTIFS(allFYsTable[Code], SummaryTable[[#This Row],[Code]], allFYsTable[year2], DI$3)=0, NotFound, SUMIFS(allFYsTable[DiffAmount], allFYsTable[Code], SummaryTable[[#This Row],[Code]], allFYsTable[year2], DI$3))</f>
        <v>-1077</v>
      </c>
      <c r="DO34" s="63">
        <f>IF(SummaryTable[[#This Row],[OriginalBudget13]]=0, IF(SummaryTable[[#This Row],[DiffAmount13]]=0, ZeroBudgetNoSpending, ZeroBudgetWithSpending), SummaryTable[[#This Row],[DiffAmount13]]/SummaryTable[[#This Row],[OriginalBudget13]])</f>
        <v>-8.5537288539432932E-2</v>
      </c>
      <c r="DP34" s="62">
        <f>IF(COUNTIFS(allFYsTable[Code], SummaryTable[[#This Row],[Code]], allFYsTable[year2], DP$3)=0, NotFound, SUMIFS(allFYsTable[OriginalBudget], allFYsTable[Code], SummaryTable[[#This Row],[Code]], allFYsTable[year2], DP$3))</f>
        <v>12221</v>
      </c>
      <c r="DQ34" s="61">
        <f>SummaryTable[[#This Row],[OriginalBudget12]]-SummaryTable[[#This Row],[OriginalBudget11]]</f>
        <v>1683</v>
      </c>
      <c r="DR34" s="54">
        <f>SummaryTable[[#This Row],[BudgetIncreaseAmount12]]/SummaryTable[[#This Row],[OriginalBudget11]]</f>
        <v>0.15970772442588727</v>
      </c>
      <c r="DS34" s="61">
        <f>IF(COUNTIFS(allFYsTable[Code], SummaryTable[[#This Row],[Code]], allFYsTable[year2], DP$3)=0, NotFound, SUMIFS(allFYsTable[RevisedBudget], allFYsTable[Code], SummaryTable[[#This Row],[Code]], allFYsTable[year2], DP$3))</f>
        <v>12363</v>
      </c>
      <c r="DT34" s="61">
        <f>IF(COUNTIFS(allFYsTable[Code], SummaryTable[[#This Row],[Code]], allFYsTable[year2], DP$3)=0, NotFound, SUMIFS(allFYsTable[Actual], allFYsTable[Code], SummaryTable[[#This Row],[Code]], allFYsTable[year2], DP$3))</f>
        <v>8153</v>
      </c>
      <c r="DU34" s="61">
        <f>IF(COUNTIFS(allFYsTable[Code], SummaryTable[[#This Row],[Code]], allFYsTable[year2], DP$3)=0, NotFound, SUMIFS(allFYsTable[DiffAmount], allFYsTable[Code], SummaryTable[[#This Row],[Code]], allFYsTable[year2], DP$3))</f>
        <v>-4068</v>
      </c>
      <c r="DV34" s="63">
        <f>IF(SummaryTable[[#This Row],[OriginalBudget12]]=0, IF(SummaryTable[[#This Row],[DiffAmount12]]=0, ZeroBudgetNoSpending, ZeroBudgetWithSpending), SummaryTable[[#This Row],[DiffAmount12]]/SummaryTable[[#This Row],[OriginalBudget12]])</f>
        <v>-0.33286965060142376</v>
      </c>
      <c r="DW34" s="62">
        <f>IF(COUNTIFS(allFYsTable[Code], SummaryTable[[#This Row],[Code]], allFYsTable[year2], DW$3)=0, NotFound, SUMIFS(allFYsTable[OriginalBudget], allFYsTable[Code], SummaryTable[[#This Row],[Code]], allFYsTable[year2], DW$3))</f>
        <v>10538</v>
      </c>
      <c r="DX34" s="61">
        <f>SummaryTable[[#This Row],[OriginalBudget11]]-SummaryTable[[#This Row],[OriginalBudget10]]</f>
        <v>518</v>
      </c>
      <c r="DY34" s="54">
        <f>SummaryTable[[#This Row],[BudgetIncreaseAmount11]]/SummaryTable[[#This Row],[OriginalBudget10]]</f>
        <v>5.1696606786427145E-2</v>
      </c>
      <c r="DZ34" s="61">
        <f>IF(COUNTIFS(allFYsTable[Code], SummaryTable[[#This Row],[Code]], allFYsTable[year2], DW$3)=0, NotFound, SUMIFS(allFYsTable[RevisedBudget], allFYsTable[Code], SummaryTable[[#This Row],[Code]], allFYsTable[year2], DW$3))</f>
        <v>10772</v>
      </c>
      <c r="EA34" s="61">
        <f>IF(COUNTIFS(allFYsTable[Code], SummaryTable[[#This Row],[Code]], allFYsTable[year2], DW$3)=0, NotFound, SUMIFS(allFYsTable[Actual], allFYsTable[Code], SummaryTable[[#This Row],[Code]], allFYsTable[year2], DW$3))</f>
        <v>10772</v>
      </c>
      <c r="EB34" s="61">
        <f>IF(COUNTIFS(allFYsTable[Code], SummaryTable[[#This Row],[Code]], allFYsTable[year2], DW$3)=0, NotFound, SUMIFS(allFYsTable[DiffAmount], allFYsTable[Code], SummaryTable[[#This Row],[Code]], allFYsTable[year2], DW$3))</f>
        <v>234</v>
      </c>
      <c r="EC34" s="63">
        <f>IF(SummaryTable[[#This Row],[OriginalBudget11]]=0, IF(SummaryTable[[#This Row],[DiffAmount11]]=0, ZeroBudgetNoSpending, ZeroBudgetWithSpending), SummaryTable[[#This Row],[DiffAmount11]]/SummaryTable[[#This Row],[OriginalBudget11]])</f>
        <v>2.2205352059214273E-2</v>
      </c>
      <c r="ED34" s="62">
        <f>IF(COUNTIFS(allFYsTable[Code], SummaryTable[[#This Row],[Code]], allFYsTable[year2], ED$3)=0, NotFound, SUMIFS(allFYsTable[OriginalBudget], allFYsTable[Code], SummaryTable[[#This Row],[Code]], allFYsTable[year2], ED$3))</f>
        <v>10020</v>
      </c>
      <c r="EE34" s="61">
        <f>SummaryTable[[#This Row],[OriginalBudget10]]-SummaryTable[[#This Row],[OriginalBudget09]]</f>
        <v>-1165</v>
      </c>
      <c r="EF34" s="54">
        <f>SummaryTable[[#This Row],[BudgetIncreaseAmount10]]/SummaryTable[[#This Row],[OriginalBudget09]]</f>
        <v>-0.10415735359856951</v>
      </c>
      <c r="EG34" s="61">
        <f>IF(COUNTIFS(allFYsTable[Code], SummaryTable[[#This Row],[Code]], allFYsTable[year2], ED$3)=0, NotFound, SUMIFS(allFYsTable[RevisedBudget], allFYsTable[Code], SummaryTable[[#This Row],[Code]], allFYsTable[year2], ED$3))</f>
        <v>22226</v>
      </c>
      <c r="EH34" s="61">
        <f>IF(COUNTIFS(allFYsTable[Code], SummaryTable[[#This Row],[Code]], allFYsTable[year2], ED$3)=0, NotFound, SUMIFS(allFYsTable[Actual], allFYsTable[Code], SummaryTable[[#This Row],[Code]], allFYsTable[year2], ED$3))</f>
        <v>22220</v>
      </c>
      <c r="EI34" s="61">
        <f>IF(COUNTIFS(allFYsTable[Code], SummaryTable[[#This Row],[Code]], allFYsTable[year2], ED$3)=0, NotFound, SUMIFS(allFYsTable[DiffAmount], allFYsTable[Code], SummaryTable[[#This Row],[Code]], allFYsTable[year2], ED$3))</f>
        <v>12200</v>
      </c>
      <c r="EJ34" s="63">
        <f>IF(SummaryTable[[#This Row],[OriginalBudget10]]=0, IF(SummaryTable[[#This Row],[DiffAmount10]]=0, ZeroBudgetNoSpending, ZeroBudgetWithSpending), SummaryTable[[#This Row],[DiffAmount10]]/SummaryTable[[#This Row],[OriginalBudget10]])</f>
        <v>1.217564870259481</v>
      </c>
      <c r="EK34" s="62">
        <f>IF(COUNTIFS(allFYsTable[Code], SummaryTable[[#This Row],[Code]], allFYsTable[year2], EK$3)=0, NotFound, SUMIFS(allFYsTable[OriginalBudget], allFYsTable[Code], SummaryTable[[#This Row],[Code]], allFYsTable[year2], EK$3))</f>
        <v>11185</v>
      </c>
      <c r="EL34" s="61">
        <f>SummaryTable[[#This Row],[OriginalBudget09]]-SummaryTable[[#This Row],[OriginalBudget08]]</f>
        <v>9218</v>
      </c>
      <c r="EM34" s="54">
        <f>SummaryTable[[#This Row],[BudgetIncreaseAmount09]]/SummaryTable[[#This Row],[OriginalBudget08]]</f>
        <v>4.686324351804779</v>
      </c>
      <c r="EN34" s="61">
        <f>IF(COUNTIFS(allFYsTable[Code], SummaryTable[[#This Row],[Code]], allFYsTable[year2], EK$3)=0, NotFound, SUMIFS(allFYsTable[RevisedBudget], allFYsTable[Code], SummaryTable[[#This Row],[Code]], allFYsTable[year2], EK$3))</f>
        <v>21164</v>
      </c>
      <c r="EO34" s="61">
        <f>IF(COUNTIFS(allFYsTable[Code], SummaryTable[[#This Row],[Code]], allFYsTable[year2], EK$3)=0, NotFound, SUMIFS(allFYsTable[Actual], allFYsTable[Code], SummaryTable[[#This Row],[Code]], allFYsTable[year2], EK$3))</f>
        <v>15705</v>
      </c>
      <c r="EP34" s="61">
        <f>IF(COUNTIFS(allFYsTable[Code], SummaryTable[[#This Row],[Code]], allFYsTable[year2], EK$3)=0, NotFound, SUMIFS(allFYsTable[DiffAmount], allFYsTable[Code], SummaryTable[[#This Row],[Code]], allFYsTable[year2], EK$3))</f>
        <v>4520</v>
      </c>
      <c r="EQ34" s="63">
        <f>IF(SummaryTable[[#This Row],[OriginalBudget09]]=0, IF(SummaryTable[[#This Row],[DiffAmount09]]=0, ZeroBudgetNoSpending, ZeroBudgetWithSpending), SummaryTable[[#This Row],[DiffAmount09]]/SummaryTable[[#This Row],[OriginalBudget09]])</f>
        <v>0.40411265087170317</v>
      </c>
      <c r="ER34" s="62">
        <f>IF(COUNTIFS(allFYsTable[Code], SummaryTable[[#This Row],[Code]], allFYsTable[year2], ER$3)=0, NotFound, SUMIFS(allFYsTable[OriginalBudget], allFYsTable[Code], SummaryTable[[#This Row],[Code]], allFYsTable[year2], ER$3))</f>
        <v>1967</v>
      </c>
      <c r="ES34" s="61">
        <f>SummaryTable[[#This Row],[OriginalBudget08]]-SummaryTable[[#This Row],[OriginalBudget07]]</f>
        <v>-219</v>
      </c>
      <c r="ET34" s="54">
        <f>SummaryTable[[#This Row],[BudgetIncreaseAmount08]]/SummaryTable[[#This Row],[OriginalBudget07]]</f>
        <v>-0.10018298261665141</v>
      </c>
      <c r="EU34" s="61">
        <f>IF(COUNTIFS(allFYsTable[Code], SummaryTable[[#This Row],[Code]], allFYsTable[year2], ER$3)=0, NotFound, SUMIFS(allFYsTable[RevisedBudget], allFYsTable[Code], SummaryTable[[#This Row],[Code]], allFYsTable[year2], ER$3))</f>
        <v>3426</v>
      </c>
      <c r="EV34" s="61">
        <f>IF(COUNTIFS(allFYsTable[Code], SummaryTable[[#This Row],[Code]], allFYsTable[year2], ER$3)=0, NotFound, SUMIFS(allFYsTable[Actual], allFYsTable[Code], SummaryTable[[#This Row],[Code]], allFYsTable[year2], ER$3))</f>
        <v>3346</v>
      </c>
      <c r="EW34" s="61">
        <f>IF(COUNTIFS(allFYsTable[Code], SummaryTable[[#This Row],[Code]], allFYsTable[year2], ER$3)=0, NotFound, SUMIFS(allFYsTable[DiffAmount], allFYsTable[Code], SummaryTable[[#This Row],[Code]], allFYsTable[year2], ER$3))</f>
        <v>1379</v>
      </c>
      <c r="EX34" s="63">
        <f>IF(SummaryTable[[#This Row],[OriginalBudget08]]=0, IF(SummaryTable[[#This Row],[DiffAmount08]]=0, ZeroBudgetNoSpending, ZeroBudgetWithSpending), SummaryTable[[#This Row],[DiffAmount08]]/SummaryTable[[#This Row],[OriginalBudget08]])</f>
        <v>0.70106761565836295</v>
      </c>
      <c r="EY34" s="62">
        <f>IF(COUNTIFS(allFYsTable[Code], SummaryTable[[#This Row],[Code]], allFYsTable[year2], EY$3)=0, NotFound, SUMIFS(allFYsTable[OriginalBudget], allFYsTable[Code], SummaryTable[[#This Row],[Code]], allFYsTable[year2], EY$3))</f>
        <v>2186</v>
      </c>
      <c r="EZ34" s="61">
        <f>SummaryTable[[#This Row],[OriginalBudget07]]-SummaryTable[[#This Row],[OriginalBudget06]]</f>
        <v>155</v>
      </c>
      <c r="FA34" s="54">
        <f>SummaryTable[[#This Row],[BudgetIncreaseAmount07]]/SummaryTable[[#This Row],[OriginalBudget06]]</f>
        <v>7.6317085179714431E-2</v>
      </c>
      <c r="FB34" s="61">
        <f>IF(COUNTIFS(allFYsTable[Code], SummaryTable[[#This Row],[Code]], allFYsTable[year2], EY$3)=0, NotFound, SUMIFS(allFYsTable[RevisedBudget], allFYsTable[Code], SummaryTable[[#This Row],[Code]], allFYsTable[year2], EY$3))</f>
        <v>2240</v>
      </c>
      <c r="FC34" s="61">
        <f>IF(COUNTIFS(allFYsTable[Code], SummaryTable[[#This Row],[Code]], allFYsTable[year2], EY$3)=0, NotFound, SUMIFS(allFYsTable[Actual], allFYsTable[Code], SummaryTable[[#This Row],[Code]], allFYsTable[year2], EY$3))</f>
        <v>1734</v>
      </c>
      <c r="FD34" s="61">
        <f>IF(COUNTIFS(allFYsTable[Code], SummaryTable[[#This Row],[Code]], allFYsTable[year2], EY$3)=0, NotFound, SUMIFS(allFYsTable[DiffAmount], allFYsTable[Code], SummaryTable[[#This Row],[Code]], allFYsTable[year2], EY$3))</f>
        <v>-452</v>
      </c>
      <c r="FE34" s="63">
        <f>IF(SummaryTable[[#This Row],[OriginalBudget07]]=0, IF(SummaryTable[[#This Row],[DiffAmount07]]=0, ZeroBudgetNoSpending, ZeroBudgetWithSpending), SummaryTable[[#This Row],[DiffAmount07]]/SummaryTable[[#This Row],[OriginalBudget07]])</f>
        <v>-0.20677035681610248</v>
      </c>
      <c r="FF34" s="62">
        <f>IF(COUNTIFS(allFYsTable[Code], SummaryTable[[#This Row],[Code]], allFYsTable[year2], FF$3)=0, NotFound, SUMIFS(allFYsTable[OriginalBudget], allFYsTable[Code], SummaryTable[[#This Row],[Code]], allFYsTable[year2], FF$3))</f>
        <v>2031</v>
      </c>
      <c r="FI34" s="61">
        <f>IF(COUNTIFS(allFYsTable[Code], SummaryTable[[#This Row],[Code]], allFYsTable[year2], FF$3)=0, NotFound, SUMIFS(allFYsTable[RevisedBudget], allFYsTable[Code], SummaryTable[[#This Row],[Code]], allFYsTable[year2], FF$3))</f>
        <v>2031</v>
      </c>
      <c r="FJ34" s="61">
        <f>IF(COUNTIFS(allFYsTable[Code], SummaryTable[[#This Row],[Code]], allFYsTable[year2], FF$3)=0, NotFound, SUMIFS(allFYsTable[Actual], allFYsTable[Code], SummaryTable[[#This Row],[Code]], allFYsTable[year2], FF$3))</f>
        <v>1797</v>
      </c>
      <c r="FK34" s="61">
        <f>IF(COUNTIFS(allFYsTable[Code], SummaryTable[[#This Row],[Code]], allFYsTable[year2], FF$3)=0, NotFound, SUMIFS(allFYsTable[DiffAmount], allFYsTable[Code], SummaryTable[[#This Row],[Code]], allFYsTable[year2], FF$3))</f>
        <v>-234</v>
      </c>
      <c r="FL34" s="63">
        <f>IF(SummaryTable[[#This Row],[OriginalBudget06]]=0, IF(SummaryTable[[#This Row],[DiffAmount06]]=0, ZeroBudgetNoSpending, ZeroBudgetWithSpending), SummaryTable[[#This Row],[DiffAmount06]]/SummaryTable[[#This Row],[OriginalBudget06]])</f>
        <v>-0.11521418020679468</v>
      </c>
    </row>
    <row r="35" spans="1:168" x14ac:dyDescent="0.45">
      <c r="A35" t="s">
        <v>704</v>
      </c>
      <c r="B35">
        <f>_xlfn.MAXIFS(allFYsTable[year2], allFYsTable[Code], SummaryTable[[#This Row],[Code]])</f>
        <v>2025</v>
      </c>
      <c r="C35" t="str">
        <f>_xlfn.XLOOKUP(SummaryTable[[#This Row],[Code]], NameCodingTable[Code], NameCodingTable[Most Recent Category per allFYs])</f>
        <v>Governmental direction and support</v>
      </c>
      <c r="D35" t="str">
        <f>_xlfn.XLOOKUP(SummaryTable[[#This Row],[Code]], NameCodingTable[Code], NameCodingTable[Unit Display Name])</f>
        <v>Department of Human Resources (DCHR)</v>
      </c>
      <c r="E35" t="str">
        <f>_xlfn.XLOOKUP(SummaryTable[[#This Row],[Code]], NameCodingTable[Code], NameCodingTable[Type])</f>
        <v>agency</v>
      </c>
      <c r="F3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3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10</v>
      </c>
      <c r="H35" s="54">
        <f>SummaryTable[[#This Row],['# Over]]/SummaryTable[[#This Row],[Count]]</f>
        <v>0.5</v>
      </c>
      <c r="I3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35" s="54">
        <f>SummaryTable[[#This Row],['# Under]]/SummaryTable[[#This Row],[Count]]</f>
        <v>0.5</v>
      </c>
      <c r="K3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35" s="54">
        <f>SummaryTable[[#This Row],['# Equal]]/SummaryTable[[#This Row],[Count]]</f>
        <v>0</v>
      </c>
      <c r="M35" s="61">
        <f>SUMIFS(allFYsTable[OriginalBudget],allFYsTable[Code],SummaryTable[[#This Row],[Code]])/SummaryTable[[#This Row],[Count]]</f>
        <v>10460.799999999999</v>
      </c>
      <c r="N35" s="61">
        <f>SUMIFS(allFYsTable[Actual],allFYsTable[Code],SummaryTable[[#This Row],[Code]])/SummaryTable[[#This Row],[Count]]</f>
        <v>10519</v>
      </c>
      <c r="O35" s="61">
        <f>SummaryTable[[#This Row],[AvgActAmt]]-SummaryTable[[#This Row],[AvgBudAmt]]</f>
        <v>58.200000000000728</v>
      </c>
      <c r="P35" s="54">
        <f>IF(SummaryTable[[#This Row],[AvgBudAmt]]=0, IF(SummaryTable[[#This Row],[AvgDiff'#]]=0, 0, NamedFields!$C$3), SummaryTable[[#This Row],[AvgDiff'#]]/SummaryTable[[#This Row],[AvgBudAmt]])</f>
        <v>5.5636280208015386E-3</v>
      </c>
      <c r="Q35" s="61">
        <f>IFERROR(SUMIFS(allFYsTable[OriginalBudget],allFYsTable[Code],SummaryTable[[#This Row],[Code]],allFYsTable[DiffAmount], "&gt;0")/SummaryTable[[#This Row],['# Over]], 0)</f>
        <v>8416.9</v>
      </c>
      <c r="R35" s="61">
        <f>IFERROR(SUMIFS(allFYsTable[Actual],allFYsTable[Code],SummaryTable[[#This Row],[Code]],allFYsTable[DiffAmount], "&gt;0")/SummaryTable[[#This Row],['# Over]], 0)</f>
        <v>9579.4</v>
      </c>
      <c r="S35" s="61">
        <f>SummaryTable[[#This Row],[OverAvgAct]]-SummaryTable[[#This Row],[OverAvgBud]]</f>
        <v>1162.5</v>
      </c>
      <c r="T35" s="54">
        <f>IF(SummaryTable[[#This Row],[OverAvgBud]]=0, IF(SummaryTable[[#This Row],[OverAvgDiff'#]]=0, ZeroBudgetNoSpending, ZeroBudgetWithSpending), SummaryTable[[#This Row],[OverAvgDiff'#]]/SummaryTable[[#This Row],[OverAvgBud]])</f>
        <v>0.13811498295096769</v>
      </c>
      <c r="U35" s="61">
        <f>IFERROR(SUMIFS(allFYsTable[OriginalBudget],allFYsTable[Code],SummaryTable[[#This Row],[Code]],allFYsTable[DiffAmount], "&lt;0")/SummaryTable[[#This Row],['# Under]], 0)</f>
        <v>12504.7</v>
      </c>
      <c r="V35" s="61">
        <f>IFERROR( SUMIFS(allFYsTable[Actual],allFYsTable[Code],SummaryTable[[#This Row],[Code]],allFYsTable[DiffAmount], "&lt;0")/SummaryTable[[#This Row],['# Under]], 0)</f>
        <v>11458.6</v>
      </c>
      <c r="W35" s="61">
        <f>SummaryTable[[#This Row],[UnderAvgAct]]-SummaryTable[[#This Row],[UnderAvgBud]]</f>
        <v>-1046.1000000000004</v>
      </c>
      <c r="X35" s="54">
        <f>IF(SummaryTable[[#This Row],[UnderAvgBud]]=0, IF(SummaryTable[[#This Row],[UnderAvgDiff'#]]=0, ZeroBudgetNoSpending, NamedFields!$C$3), SummaryTable[[#This Row],[UnderAvgDiff'#]]/SummaryTable[[#This Row],[UnderAvgBud]])</f>
        <v>-8.3656545139027746E-2</v>
      </c>
      <c r="Y3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3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35" s="54">
        <f>IF(SummaryTable[[#This Row],[IncreaseYears]]=0, ZeroBudgetNoSpending, SummaryTable[[#This Row],[OSinIncreaseYear'#]]/SummaryTable[[#This Row],[IncreaseYears]])</f>
        <v>0</v>
      </c>
      <c r="AB35" s="58" t="str">
        <f>SummaryTable[[#This Row],[Code]]</f>
        <v>BE0</v>
      </c>
      <c r="AC35" s="62">
        <f>IF(COUNTIFS(allFYsTable[Code], SummaryTable[[#This Row],[Code]], allFYsTable[year2], AC$3)=0, NotFound, SUMIFS(allFYsTable[OriginalBudget], allFYsTable[Code], SummaryTable[[#This Row],[Code]], allFYsTable[year2], AC$3))</f>
        <v>13142</v>
      </c>
      <c r="AD35" s="61">
        <f>SummaryTable[[#This Row],[OriginalBudget25]]-SummaryTable[[#This Row],[OriginalBudget24]]</f>
        <v>-443</v>
      </c>
      <c r="AE35" s="54">
        <f>SummaryTable[[#This Row],[BudgetIncreaseAmount25]]/SummaryTable[[#This Row],[OriginalBudget24]]</f>
        <v>-3.2609495767390508E-2</v>
      </c>
      <c r="AF35" s="61">
        <f>IF(COUNTIFS(allFYsTable[Code], SummaryTable[[#This Row],[Code]], allFYsTable[year2], AC$3)=0, NotFound, SUMIFS(allFYsTable[RevisedBudget], allFYsTable[Code], SummaryTable[[#This Row],[Code]], allFYsTable[year2], AC$3))</f>
        <v>12770</v>
      </c>
      <c r="AG35" s="61">
        <f>IF(COUNTIFS(allFYsTable[Code], SummaryTable[[#This Row],[Code]], allFYsTable[year2], AC$3)=0, NotFound, SUMIFS(allFYsTable[Actual], allFYsTable[Code], SummaryTable[[#This Row],[Code]], allFYsTable[year2], AC$3))</f>
        <v>12473</v>
      </c>
      <c r="AH35" s="61">
        <f>IF(COUNTIFS(allFYsTable[Code], SummaryTable[[#This Row],[Code]], allFYsTable[year2], AC$3)=0, NotFound, SUMIFS(allFYsTable[DiffAmount], allFYsTable[Code], SummaryTable[[#This Row],[Code]], allFYsTable[year2], AC$3))</f>
        <v>-669</v>
      </c>
      <c r="AI35" s="63">
        <f>IF(SummaryTable[[#This Row],[OriginalBudget25]]=0, IF(SummaryTable[[#This Row],[DiffAmount25]]=0, ZeroBudgetNoSpending, ZeroBudgetWithSpending), SummaryTable[[#This Row],[DiffAmount25]]/SummaryTable[[#This Row],[OriginalBudget25]])</f>
        <v>-5.0905493836554558E-2</v>
      </c>
      <c r="AJ35" s="62">
        <f>IF(COUNTIFS(allFYsTable[Code], SummaryTable[[#This Row],[Code]], allFYsTable[year2], AJ$3)=0, NotFound, SUMIFS(allFYsTable[OriginalBudget], allFYsTable[Code], SummaryTable[[#This Row],[Code]], allFYsTable[year2], AJ$3))</f>
        <v>13585</v>
      </c>
      <c r="AK35" s="61">
        <f>SummaryTable[[#This Row],[OriginalBudget24]]-SummaryTable[[#This Row],[OriginalBudget23]]</f>
        <v>89</v>
      </c>
      <c r="AL35" s="54">
        <f>SummaryTable[[#This Row],[BudgetIncreaseAmount24]]/SummaryTable[[#This Row],[OriginalBudget23]]</f>
        <v>6.5945465323058684E-3</v>
      </c>
      <c r="AM35" s="61">
        <f>IF(COUNTIFS(allFYsTable[Code], SummaryTable[[#This Row],[Code]], allFYsTable[year2], AK$3)=0, NotFound, SUMIFS(allFYsTable[RevisedBudget], allFYsTable[Code], SummaryTable[[#This Row],[Code]], allFYsTable[year2], AJ$3))</f>
        <v>12525</v>
      </c>
      <c r="AN35" s="61">
        <f>IF(COUNTIFS(allFYsTable[Code], SummaryTable[[#This Row],[Code]], allFYsTable[year2], AJ$3)=0, NotFound, SUMIFS(allFYsTable[Actual], allFYsTable[Code], SummaryTable[[#This Row],[Code]], allFYsTable[year2], AJ$3))</f>
        <v>12254</v>
      </c>
      <c r="AO35" s="61">
        <f>IF(COUNTIFS(allFYsTable[Code], SummaryTable[[#This Row],[Code]], allFYsTable[year2], AJ$3)=0, NotFound, SUMIFS(allFYsTable[DiffAmount], allFYsTable[Code], SummaryTable[[#This Row],[Code]], allFYsTable[year2], AJ$3))</f>
        <v>-1331</v>
      </c>
      <c r="AP35" s="63">
        <f>IF(SummaryTable[[#This Row],[OriginalBudget24]]=0, IF(SummaryTable[[#This Row],[DiffAmount24]]=0, ZeroBudgetNoSpending, ZeroBudgetWithSpending), SummaryTable[[#This Row],[DiffAmount24]]/SummaryTable[[#This Row],[OriginalBudget24]])</f>
        <v>-9.7975708502024292E-2</v>
      </c>
      <c r="AQ35" s="62">
        <f>IF(COUNTIFS(allFYsTable[Code], SummaryTable[[#This Row],[Code]], allFYsTable[year2], AQ$3)=0, NotFound, SUMIFS(allFYsTable[OriginalBudget], allFYsTable[Code], SummaryTable[[#This Row],[Code]], allFYsTable[year2], AQ$3))</f>
        <v>13496</v>
      </c>
      <c r="AR35" s="61">
        <f>SummaryTable[[#This Row],[OriginalBudget23]]-SummaryTable[[#This Row],[OriginalBudget22]]</f>
        <v>2001</v>
      </c>
      <c r="AS35" s="54">
        <f>SummaryTable[[#This Row],[BudgetIncreaseAmount23]]/SummaryTable[[#This Row],[OriginalBudget22]]</f>
        <v>0.17407568508046978</v>
      </c>
      <c r="AT35" s="61">
        <f>IF(COUNTIFS(allFYsTable[Code], SummaryTable[[#This Row],[Code]], allFYsTable[year2], AQ$3)=0, NotFound, SUMIFS(allFYsTable[RevisedBudget], allFYsTable[Code], SummaryTable[[#This Row],[Code]], allFYsTable[year2], AQ$3))</f>
        <v>13699</v>
      </c>
      <c r="AU35" s="61">
        <f>IF(COUNTIFS(allFYsTable[Code], SummaryTable[[#This Row],[Code]], allFYsTable[year2], AQ$3)=0, NotFound, SUMIFS(allFYsTable[Actual], allFYsTable[Code], SummaryTable[[#This Row],[Code]], allFYsTable[year2], AQ$3))</f>
        <v>13489</v>
      </c>
      <c r="AV35" s="61">
        <f>IF(COUNTIFS(allFYsTable[Code], SummaryTable[[#This Row],[Code]], allFYsTable[year2], AQ$3)=0, NotFound, SUMIFS(allFYsTable[DiffAmount], allFYsTable[Code], SummaryTable[[#This Row],[Code]], allFYsTable[year2], AQ$3))</f>
        <v>-7</v>
      </c>
      <c r="AW35" s="63">
        <f>IF(SummaryTable[[#This Row],[OriginalBudget23]]=0, IF(SummaryTable[[#This Row],[DiffAmount23]]=0, ZeroBudgetNoSpending, ZeroBudgetWithSpending), SummaryTable[[#This Row],[DiffAmount23]]/SummaryTable[[#This Row],[OriginalBudget23]])</f>
        <v>-5.1867219917012448E-4</v>
      </c>
      <c r="AX35" s="62">
        <f>IF(COUNTIFS(allFYsTable[Code], SummaryTable[[#This Row],[Code]], allFYsTable[year2], AX$3)=0, NotFound, SUMIFS(allFYsTable[OriginalBudget], allFYsTable[Code], SummaryTable[[#This Row],[Code]], allFYsTable[year2], AX$3))</f>
        <v>11495</v>
      </c>
      <c r="AY35" s="61">
        <f>SummaryTable[[#This Row],[OriginalBudget22]]-SummaryTable[[#This Row],[OriginalBudget21]]</f>
        <v>976</v>
      </c>
      <c r="AZ35" s="54">
        <f>SummaryTable[[#This Row],[BudgetIncreaseAmount22]]/SummaryTable[[#This Row],[OriginalBudget21]]</f>
        <v>9.2784485217225973E-2</v>
      </c>
      <c r="BA35" s="61">
        <f>IF(COUNTIFS(allFYsTable[Code], SummaryTable[[#This Row],[Code]], allFYsTable[year2], AX$3)=0, NotFound, SUMIFS(allFYsTable[RevisedBudget], allFYsTable[Code], SummaryTable[[#This Row],[Code]], allFYsTable[year2], AX$3))</f>
        <v>11305</v>
      </c>
      <c r="BB35" s="61">
        <f>IF(COUNTIFS(allFYsTable[Code], SummaryTable[[#This Row],[Code]], allFYsTable[year2], AX$3)=0, NotFound, SUMIFS(allFYsTable[Actual], allFYsTable[Code], SummaryTable[[#This Row],[Code]], allFYsTable[year2], AX$3))</f>
        <v>11153</v>
      </c>
      <c r="BC35" s="61">
        <f>IF(COUNTIFS(allFYsTable[Code], SummaryTable[[#This Row],[Code]], allFYsTable[year2], AX$3)=0, NotFound, SUMIFS(allFYsTable[DiffAmount], allFYsTable[Code], SummaryTable[[#This Row],[Code]], allFYsTable[year2], AX$3))</f>
        <v>-342</v>
      </c>
      <c r="BD35" s="63">
        <f>IF(SummaryTable[[#This Row],[OriginalBudget22]]=0, IF(SummaryTable[[#This Row],[DiffAmount22]]=0, ZeroBudgetNoSpending, ZeroBudgetWithSpending), SummaryTable[[#This Row],[DiffAmount22]]/SummaryTable[[#This Row],[OriginalBudget22]])</f>
        <v>-2.9752066115702479E-2</v>
      </c>
      <c r="BE35" s="62">
        <f>IF(COUNTIFS(allFYsTable[Code], SummaryTable[[#This Row],[Code]], allFYsTable[year2], BE$3)=0, NotFound, SUMIFS(allFYsTable[OriginalBudget], allFYsTable[Code], SummaryTable[[#This Row],[Code]], allFYsTable[year2], BE$3))</f>
        <v>10519</v>
      </c>
      <c r="BF35" s="61">
        <f>SummaryTable[[#This Row],[OriginalBudget21]]-SummaryTable[[#This Row],[OriginalBudget20]]</f>
        <v>-844</v>
      </c>
      <c r="BG35" s="54">
        <f>SummaryTable[[#This Row],[BudgetIncreaseAmount21]]/SummaryTable[[#This Row],[OriginalBudget20]]</f>
        <v>-7.4276159464930033E-2</v>
      </c>
      <c r="BH35" s="61">
        <f>IF(COUNTIFS(allFYsTable[Code], SummaryTable[[#This Row],[Code]], allFYsTable[year2], BE$3)=0, NotFound, SUMIFS(allFYsTable[RevisedBudget], allFYsTable[Code], SummaryTable[[#This Row],[Code]], allFYsTable[year2], BE$3))</f>
        <v>10125</v>
      </c>
      <c r="BI35" s="61">
        <f>IF(COUNTIFS(allFYsTable[Code], SummaryTable[[#This Row],[Code]], allFYsTable[year2], BE$3)=0, NotFound, SUMIFS(allFYsTable[Actual], allFYsTable[Code], SummaryTable[[#This Row],[Code]], allFYsTable[year2], BE$3))</f>
        <v>10034</v>
      </c>
      <c r="BJ35" s="61">
        <f>IF(COUNTIFS(allFYsTable[Code], SummaryTable[[#This Row],[Code]], allFYsTable[year2], BE$3)=0, NotFound, SUMIFS(allFYsTable[DiffAmount], allFYsTable[Code], SummaryTable[[#This Row],[Code]], allFYsTable[year2], BE$3))</f>
        <v>-485</v>
      </c>
      <c r="BK35" s="63">
        <f>IF(SummaryTable[[#This Row],[OriginalBudget21]]=0, IF(SummaryTable[[#This Row],[DiffAmount21]]=0, ZeroBudgetNoSpending, ZeroBudgetWithSpending), SummaryTable[[#This Row],[DiffAmount21]]/SummaryTable[[#This Row],[OriginalBudget21]])</f>
        <v>-4.6107044395855119E-2</v>
      </c>
      <c r="BL35" s="62">
        <f>IF(COUNTIFS(allFYsTable[Code], SummaryTable[[#This Row],[Code]], allFYsTable[year2], BL$3)=0, NotFound, SUMIFS(allFYsTable[OriginalBudget], allFYsTable[Code], SummaryTable[[#This Row],[Code]], allFYsTable[year2], BL$3))</f>
        <v>11363</v>
      </c>
      <c r="BM35" s="61">
        <f>SummaryTable[[#This Row],[OriginalBudget20]]-SummaryTable[[#This Row],[OriginalBudget19]]</f>
        <v>2497</v>
      </c>
      <c r="BN35" s="54">
        <f>SummaryTable[[#This Row],[BudgetIncreaseAmount20]]/SummaryTable[[#This Row],[OriginalBudget19]]</f>
        <v>0.28163771712158808</v>
      </c>
      <c r="BO35" s="61">
        <f>IF(COUNTIFS(allFYsTable[Code], SummaryTable[[#This Row],[Code]], allFYsTable[year2], BL$3)=0, NotFound, SUMIFS(allFYsTable[RevisedBudget], allFYsTable[Code], SummaryTable[[#This Row],[Code]], allFYsTable[year2], BL$3))</f>
        <v>12081</v>
      </c>
      <c r="BP35" s="61">
        <f>IF(COUNTIFS(allFYsTable[Code], SummaryTable[[#This Row],[Code]], allFYsTable[year2], BL$3)=0, NotFound, SUMIFS(allFYsTable[Actual], allFYsTable[Code], SummaryTable[[#This Row],[Code]], allFYsTable[year2], BL$3))</f>
        <v>11827</v>
      </c>
      <c r="BQ35" s="61">
        <f>IF(COUNTIFS(allFYsTable[Code], SummaryTable[[#This Row],[Code]], allFYsTable[year2], BL$3)=0, NotFound, SUMIFS(allFYsTable[DiffAmount], allFYsTable[Code], SummaryTable[[#This Row],[Code]], allFYsTable[year2], BL$3))</f>
        <v>464</v>
      </c>
      <c r="BR35" s="63">
        <f>IF(SummaryTable[[#This Row],[OriginalBudget20]]=0, IF(SummaryTable[[#This Row],[DiffAmount20]]=0, ZeroBudgetNoSpending, ZeroBudgetWithSpending), SummaryTable[[#This Row],[DiffAmount20]]/SummaryTable[[#This Row],[OriginalBudget20]])</f>
        <v>4.0834286720056324E-2</v>
      </c>
      <c r="BS35" s="62">
        <f>IF(COUNTIFS(allFYsTable[Code], SummaryTable[[#This Row],[Code]], allFYsTable[year2], BS$3)=0, NotFound, SUMIFS(allFYsTable[OriginalBudget], allFYsTable[Code], SummaryTable[[#This Row],[Code]], allFYsTable[year2], BS$3))</f>
        <v>8866</v>
      </c>
      <c r="BT35" s="61">
        <f>SummaryTable[[#This Row],[OriginalBudget19]]-SummaryTable[[#This Row],[OriginalBudget18]]</f>
        <v>0</v>
      </c>
      <c r="BU35" s="54">
        <f>SummaryTable[[#This Row],[BudgetIncreaseAmount19]]/SummaryTable[[#This Row],[OriginalBudget18]]</f>
        <v>0</v>
      </c>
      <c r="BV35" s="61">
        <f>IF(COUNTIFS(allFYsTable[Code], SummaryTable[[#This Row],[Code]], allFYsTable[year2], BS$3)=0, NotFound, SUMIFS(allFYsTable[RevisedBudget], allFYsTable[Code], SummaryTable[[#This Row],[Code]], allFYsTable[year2], BS$3))</f>
        <v>11257</v>
      </c>
      <c r="BW35" s="61">
        <f>IF(COUNTIFS(allFYsTable[Code], SummaryTable[[#This Row],[Code]], allFYsTable[year2], BS$3)=0, NotFound, SUMIFS(allFYsTable[Actual], allFYsTable[Code], SummaryTable[[#This Row],[Code]], allFYsTable[year2], BS$3))</f>
        <v>11201</v>
      </c>
      <c r="BX35" s="61">
        <f>IF(COUNTIFS(allFYsTable[Code], SummaryTable[[#This Row],[Code]], allFYsTable[year2], BS$3)=0, NotFound, SUMIFS(allFYsTable[DiffAmount], allFYsTable[Code], SummaryTable[[#This Row],[Code]], allFYsTable[year2], BS$3))</f>
        <v>2335</v>
      </c>
      <c r="BY35" s="63">
        <f>IF(SummaryTable[[#This Row],[OriginalBudget19]]=0, IF(SummaryTable[[#This Row],[DiffAmount19]]=0, ZeroBudgetNoSpending, ZeroBudgetWithSpending), SummaryTable[[#This Row],[DiffAmount19]]/SummaryTable[[#This Row],[OriginalBudget19]])</f>
        <v>0.26336566659147304</v>
      </c>
      <c r="BZ35" s="62">
        <f>IF(COUNTIFS(allFYsTable[Code], SummaryTable[[#This Row],[Code]], allFYsTable[year2], BZ$3)=0, NotFound, SUMIFS(allFYsTable[OriginalBudget], allFYsTable[Code], SummaryTable[[#This Row],[Code]], allFYsTable[year2], BZ$3))</f>
        <v>8866</v>
      </c>
      <c r="CA35" s="61">
        <f>SummaryTable[[#This Row],[OriginalBudget18]]-SummaryTable[[#This Row],[OriginalBudget17]]</f>
        <v>438</v>
      </c>
      <c r="CB35" s="54">
        <f>SummaryTable[[#This Row],[BudgetIncreaseAmount18]]/SummaryTable[[#This Row],[OriginalBudget17]]</f>
        <v>5.1969625059326056E-2</v>
      </c>
      <c r="CC35" s="61">
        <f>IF(COUNTIFS(allFYsTable[Code], SummaryTable[[#This Row],[Code]], allFYsTable[year2], BZ$3)=0, NotFound, SUMIFS(allFYsTable[RevisedBudget], allFYsTable[Code], SummaryTable[[#This Row],[Code]], allFYsTable[year2], BZ$3))</f>
        <v>10689</v>
      </c>
      <c r="CD35" s="61">
        <f>IF(COUNTIFS(allFYsTable[Code], SummaryTable[[#This Row],[Code]], allFYsTable[year2], BZ$3)=0, NotFound, SUMIFS(allFYsTable[Actual], allFYsTable[Code], SummaryTable[[#This Row],[Code]], allFYsTable[year2], BZ$3))</f>
        <v>10648</v>
      </c>
      <c r="CE35" s="61">
        <f>IF(COUNTIFS(allFYsTable[Code], SummaryTable[[#This Row],[Code]], allFYsTable[year2], BZ$3)=0, NotFound, SUMIFS(allFYsTable[DiffAmount], allFYsTable[Code], SummaryTable[[#This Row],[Code]], allFYsTable[year2], BZ$3))</f>
        <v>1782</v>
      </c>
      <c r="CF35" s="63">
        <f>IF(SummaryTable[[#This Row],[OriginalBudget18]]=0, IF(SummaryTable[[#This Row],[DiffAmount18]]=0, ZeroBudgetNoSpending, ZeroBudgetWithSpending), SummaryTable[[#This Row],[DiffAmount18]]/SummaryTable[[#This Row],[OriginalBudget18]])</f>
        <v>0.20099255583126552</v>
      </c>
      <c r="CG35" s="62">
        <f>IF(COUNTIFS(allFYsTable[Code], SummaryTable[[#This Row],[Code]], allFYsTable[year2], CG$3)=0, NotFound, SUMIFS(allFYsTable[OriginalBudget], allFYsTable[Code], SummaryTable[[#This Row],[Code]], allFYsTable[year2], CG$3))</f>
        <v>8428</v>
      </c>
      <c r="CH35" s="61">
        <f>SummaryTable[[#This Row],[OriginalBudget17]]-SummaryTable[[#This Row],[OriginalBudget16]]</f>
        <v>253</v>
      </c>
      <c r="CI35" s="54">
        <f>SummaryTable[[#This Row],[BudgetIncreaseAmount17]]/SummaryTable[[#This Row],[OriginalBudget16]]</f>
        <v>3.0948012232415903E-2</v>
      </c>
      <c r="CJ35" s="61">
        <f>IF(COUNTIFS(allFYsTable[Code], SummaryTable[[#This Row],[Code]], allFYsTable[year2], CG$3)=0, NotFound, SUMIFS(allFYsTable[RevisedBudget], allFYsTable[Code], SummaryTable[[#This Row],[Code]], allFYsTable[year2], CG$3))</f>
        <v>9683</v>
      </c>
      <c r="CK35" s="61">
        <f>IF(COUNTIFS(allFYsTable[Code], SummaryTable[[#This Row],[Code]], allFYsTable[year2], CG$3)=0, NotFound, SUMIFS(allFYsTable[Actual], allFYsTable[Code], SummaryTable[[#This Row],[Code]], allFYsTable[year2], CG$3))</f>
        <v>9654</v>
      </c>
      <c r="CL35" s="61">
        <f>IF(COUNTIFS(allFYsTable[Code], SummaryTable[[#This Row],[Code]], allFYsTable[year2], CG$3)=0, NotFound, SUMIFS(allFYsTable[DiffAmount], allFYsTable[Code], SummaryTable[[#This Row],[Code]], allFYsTable[year2], CG$3))</f>
        <v>1226</v>
      </c>
      <c r="CM35" s="63">
        <f>IF(SummaryTable[[#This Row],[OriginalBudget17]]=0, IF(SummaryTable[[#This Row],[DiffAmount17]]=0, ZeroBudgetNoSpending, ZeroBudgetWithSpending), SummaryTable[[#This Row],[DiffAmount17]]/SummaryTable[[#This Row],[OriginalBudget17]])</f>
        <v>0.14546748932130993</v>
      </c>
      <c r="CN35" s="62">
        <f>IF(COUNTIFS(allFYsTable[Code], SummaryTable[[#This Row],[Code]], allFYsTable[year2], CN$3)=0, NotFound, SUMIFS(allFYsTable[OriginalBudget], allFYsTable[Code], SummaryTable[[#This Row],[Code]], allFYsTable[year2], CN$3))</f>
        <v>8175</v>
      </c>
      <c r="CO35" s="61">
        <f>SummaryTable[[#This Row],[OriginalBudget16]]-SummaryTable[[#This Row],[OriginalBudget15]]</f>
        <v>-210</v>
      </c>
      <c r="CP35" s="54">
        <f>SummaryTable[[#This Row],[BudgetIncreaseAmount16]]/SummaryTable[[#This Row],[OriginalBudget15]]</f>
        <v>-2.5044722719141325E-2</v>
      </c>
      <c r="CQ35" s="61">
        <f>IF(COUNTIFS(allFYsTable[Code], SummaryTable[[#This Row],[Code]], allFYsTable[year2], CN$3)=0, NotFound, SUMIFS(allFYsTable[RevisedBudget], allFYsTable[Code], SummaryTable[[#This Row],[Code]], allFYsTable[year2], CN$3))</f>
        <v>9440</v>
      </c>
      <c r="CR35" s="61">
        <f>IF(COUNTIFS(allFYsTable[Code], SummaryTable[[#This Row],[Code]], allFYsTable[year2], CN$3)=0, NotFound, SUMIFS(allFYsTable[Actual], allFYsTable[Code], SummaryTable[[#This Row],[Code]], allFYsTable[year2], CN$3))</f>
        <v>9381</v>
      </c>
      <c r="CS35" s="61">
        <f>IF(COUNTIFS(allFYsTable[Code], SummaryTable[[#This Row],[Code]], allFYsTable[year2], CN$3)=0, NotFound, SUMIFS(allFYsTable[DiffAmount], allFYsTable[Code], SummaryTable[[#This Row],[Code]], allFYsTable[year2], CN$3))</f>
        <v>1206</v>
      </c>
      <c r="CT35" s="63">
        <f>IF(SummaryTable[[#This Row],[OriginalBudget16]]=0, IF(SummaryTable[[#This Row],[DiffAmount16]]=0, ZeroBudgetNoSpending, ZeroBudgetWithSpending), SummaryTable[[#This Row],[DiffAmount16]]/SummaryTable[[#This Row],[OriginalBudget16]])</f>
        <v>0.14752293577981651</v>
      </c>
      <c r="CU35" s="62">
        <f>IF(COUNTIFS(allFYsTable[Code], SummaryTable[[#This Row],[Code]], allFYsTable[year2], CU$3)=0, NotFound, SUMIFS(allFYsTable[OriginalBudget], allFYsTable[Code], SummaryTable[[#This Row],[Code]], allFYsTable[year2], CU$3))</f>
        <v>8385</v>
      </c>
      <c r="CV35" s="61">
        <f>SummaryTable[[#This Row],[OriginalBudget15]]-SummaryTable[[#This Row],[OriginalBudget14]]</f>
        <v>970</v>
      </c>
      <c r="CW35" s="54">
        <f>SummaryTable[[#This Row],[BudgetIncreaseAmount15]]/SummaryTable[[#This Row],[OriginalBudget14]]</f>
        <v>0.13081591368846932</v>
      </c>
      <c r="CX35" s="61">
        <f>IF(COUNTIFS(allFYsTable[Code], SummaryTable[[#This Row],[Code]], allFYsTable[year2], CU$3)=0, NotFound, SUMIFS(allFYsTable[RevisedBudget], allFYsTable[Code], SummaryTable[[#This Row],[Code]], allFYsTable[year2], CU$3))</f>
        <v>8683</v>
      </c>
      <c r="CY35" s="61">
        <f>IF(COUNTIFS(allFYsTable[Code], SummaryTable[[#This Row],[Code]], allFYsTable[year2], CU$3)=0, NotFound, SUMIFS(allFYsTable[Actual], allFYsTable[Code], SummaryTable[[#This Row],[Code]], allFYsTable[year2], CU$3))</f>
        <v>8497</v>
      </c>
      <c r="CZ35" s="61">
        <f>IF(COUNTIFS(allFYsTable[Code], SummaryTable[[#This Row],[Code]], allFYsTable[year2], CU$3)=0, NotFound, SUMIFS(allFYsTable[DiffAmount], allFYsTable[Code], SummaryTable[[#This Row],[Code]], allFYsTable[year2], CU$3))</f>
        <v>112</v>
      </c>
      <c r="DA35" s="63">
        <f>IF(SummaryTable[[#This Row],[OriginalBudget15]]=0, IF(SummaryTable[[#This Row],[DiffAmount15]]=0, ZeroBudgetNoSpending, ZeroBudgetWithSpending), SummaryTable[[#This Row],[DiffAmount15]]/SummaryTable[[#This Row],[OriginalBudget15]])</f>
        <v>1.3357185450208706E-2</v>
      </c>
      <c r="DB35" s="62">
        <f>IF(COUNTIFS(allFYsTable[Code], SummaryTable[[#This Row],[Code]], allFYsTable[year2], DB$3)=0, NotFound, SUMIFS(allFYsTable[OriginalBudget], allFYsTable[Code], SummaryTable[[#This Row],[Code]], allFYsTable[year2], DB$3))</f>
        <v>7415</v>
      </c>
      <c r="DC35" s="61">
        <f>SummaryTable[[#This Row],[OriginalBudget14]]-SummaryTable[[#This Row],[OriginalBudget13]]</f>
        <v>-121</v>
      </c>
      <c r="DD35" s="54">
        <f>SummaryTable[[#This Row],[BudgetIncreaseAmount14]]/SummaryTable[[#This Row],[OriginalBudget13]]</f>
        <v>-1.6056263269639066E-2</v>
      </c>
      <c r="DE35" s="61">
        <f>IF(COUNTIFS(allFYsTable[Code], SummaryTable[[#This Row],[Code]], allFYsTable[year2], DB$3)=0, NotFound, SUMIFS(allFYsTable[RevisedBudget], allFYsTable[Code], SummaryTable[[#This Row],[Code]], allFYsTable[year2], DB$3))</f>
        <v>8888</v>
      </c>
      <c r="DF35" s="61">
        <f>IF(COUNTIFS(allFYsTable[Code], SummaryTable[[#This Row],[Code]], allFYsTable[year2], DB$3)=0, NotFound, SUMIFS(allFYsTable[Actual], allFYsTable[Code], SummaryTable[[#This Row],[Code]], allFYsTable[year2], DB$3))</f>
        <v>8495</v>
      </c>
      <c r="DG35" s="61">
        <f>IF(COUNTIFS(allFYsTable[Code], SummaryTable[[#This Row],[Code]], allFYsTable[year2], DB$3)=0, NotFound, SUMIFS(allFYsTable[DiffAmount], allFYsTable[Code], SummaryTable[[#This Row],[Code]], allFYsTable[year2], DB$3))</f>
        <v>1080</v>
      </c>
      <c r="DH35" s="63">
        <f>IF(SummaryTable[[#This Row],[OriginalBudget14]]=0, IF(SummaryTable[[#This Row],[DiffAmount14]]=0, ZeroBudgetNoSpending, ZeroBudgetWithSpending), SummaryTable[[#This Row],[DiffAmount14]]/SummaryTable[[#This Row],[OriginalBudget14]])</f>
        <v>0.14565070802427513</v>
      </c>
      <c r="DI35" s="62">
        <f>IF(COUNTIFS(allFYsTable[Code], SummaryTable[[#This Row],[Code]], allFYsTable[year2], DI$3)=0, NotFound, SUMIFS(allFYsTable[OriginalBudget], allFYsTable[Code], SummaryTable[[#This Row],[Code]], allFYsTable[year2], DI$3))</f>
        <v>7536</v>
      </c>
      <c r="DJ35" s="61">
        <f>SummaryTable[[#This Row],[OriginalBudget13]]-SummaryTable[[#This Row],[OriginalBudget12]]</f>
        <v>266</v>
      </c>
      <c r="DK35" s="54">
        <f>SummaryTable[[#This Row],[BudgetIncreaseAmount13]]/SummaryTable[[#This Row],[OriginalBudget12]]</f>
        <v>3.6588720770288859E-2</v>
      </c>
      <c r="DL35" s="61">
        <f>IF(COUNTIFS(allFYsTable[Code], SummaryTable[[#This Row],[Code]], allFYsTable[year2], DI$3)=0, NotFound, SUMIFS(allFYsTable[RevisedBudget], allFYsTable[Code], SummaryTable[[#This Row],[Code]], allFYsTable[year2], DI$3))</f>
        <v>9739</v>
      </c>
      <c r="DM35" s="61">
        <f>IF(COUNTIFS(allFYsTable[Code], SummaryTable[[#This Row],[Code]], allFYsTable[year2], DI$3)=0, NotFound, SUMIFS(allFYsTable[Actual], allFYsTable[Code], SummaryTable[[#This Row],[Code]], allFYsTable[year2], DI$3))</f>
        <v>9564</v>
      </c>
      <c r="DN35" s="61">
        <f>IF(COUNTIFS(allFYsTable[Code], SummaryTable[[#This Row],[Code]], allFYsTable[year2], DI$3)=0, NotFound, SUMIFS(allFYsTable[DiffAmount], allFYsTable[Code], SummaryTable[[#This Row],[Code]], allFYsTable[year2], DI$3))</f>
        <v>2028</v>
      </c>
      <c r="DO35" s="63">
        <f>IF(SummaryTable[[#This Row],[OriginalBudget13]]=0, IF(SummaryTable[[#This Row],[DiffAmount13]]=0, ZeroBudgetNoSpending, ZeroBudgetWithSpending), SummaryTable[[#This Row],[DiffAmount13]]/SummaryTable[[#This Row],[OriginalBudget13]])</f>
        <v>0.26910828025477707</v>
      </c>
      <c r="DP35" s="62">
        <f>IF(COUNTIFS(allFYsTable[Code], SummaryTable[[#This Row],[Code]], allFYsTable[year2], DP$3)=0, NotFound, SUMIFS(allFYsTable[OriginalBudget], allFYsTable[Code], SummaryTable[[#This Row],[Code]], allFYsTable[year2], DP$3))</f>
        <v>7270</v>
      </c>
      <c r="DQ35" s="61">
        <f>SummaryTable[[#This Row],[OriginalBudget12]]-SummaryTable[[#This Row],[OriginalBudget11]]</f>
        <v>-595</v>
      </c>
      <c r="DR35" s="54">
        <f>SummaryTable[[#This Row],[BudgetIncreaseAmount12]]/SummaryTable[[#This Row],[OriginalBudget11]]</f>
        <v>-7.5651621106166564E-2</v>
      </c>
      <c r="DS35" s="61">
        <f>IF(COUNTIFS(allFYsTable[Code], SummaryTable[[#This Row],[Code]], allFYsTable[year2], DP$3)=0, NotFound, SUMIFS(allFYsTable[RevisedBudget], allFYsTable[Code], SummaryTable[[#This Row],[Code]], allFYsTable[year2], DP$3))</f>
        <v>8554</v>
      </c>
      <c r="DT35" s="61">
        <f>IF(COUNTIFS(allFYsTable[Code], SummaryTable[[#This Row],[Code]], allFYsTable[year2], DP$3)=0, NotFound, SUMIFS(allFYsTable[Actual], allFYsTable[Code], SummaryTable[[#This Row],[Code]], allFYsTable[year2], DP$3))</f>
        <v>8392</v>
      </c>
      <c r="DU35" s="61">
        <f>IF(COUNTIFS(allFYsTable[Code], SummaryTable[[#This Row],[Code]], allFYsTable[year2], DP$3)=0, NotFound, SUMIFS(allFYsTable[DiffAmount], allFYsTable[Code], SummaryTable[[#This Row],[Code]], allFYsTable[year2], DP$3))</f>
        <v>1122</v>
      </c>
      <c r="DV35" s="63">
        <f>IF(SummaryTable[[#This Row],[OriginalBudget12]]=0, IF(SummaryTable[[#This Row],[DiffAmount12]]=0, ZeroBudgetNoSpending, ZeroBudgetWithSpending), SummaryTable[[#This Row],[DiffAmount12]]/SummaryTable[[#This Row],[OriginalBudget12]])</f>
        <v>0.15433287482806052</v>
      </c>
      <c r="DW35" s="62">
        <f>IF(COUNTIFS(allFYsTable[Code], SummaryTable[[#This Row],[Code]], allFYsTable[year2], DW$3)=0, NotFound, SUMIFS(allFYsTable[OriginalBudget], allFYsTable[Code], SummaryTable[[#This Row],[Code]], allFYsTable[year2], DW$3))</f>
        <v>7865</v>
      </c>
      <c r="DX35" s="61">
        <f>SummaryTable[[#This Row],[OriginalBudget11]]-SummaryTable[[#This Row],[OriginalBudget10]]</f>
        <v>2457</v>
      </c>
      <c r="DY35" s="54">
        <f>SummaryTable[[#This Row],[BudgetIncreaseAmount11]]/SummaryTable[[#This Row],[OriginalBudget10]]</f>
        <v>0.45432692307692307</v>
      </c>
      <c r="DZ35" s="61">
        <f>IF(COUNTIFS(allFYsTable[Code], SummaryTable[[#This Row],[Code]], allFYsTable[year2], DW$3)=0, NotFound, SUMIFS(allFYsTable[RevisedBudget], allFYsTable[Code], SummaryTable[[#This Row],[Code]], allFYsTable[year2], DW$3))</f>
        <v>8301</v>
      </c>
      <c r="EA35" s="61">
        <f>IF(COUNTIFS(allFYsTable[Code], SummaryTable[[#This Row],[Code]], allFYsTable[year2], DW$3)=0, NotFound, SUMIFS(allFYsTable[Actual], allFYsTable[Code], SummaryTable[[#This Row],[Code]], allFYsTable[year2], DW$3))</f>
        <v>8135</v>
      </c>
      <c r="EB35" s="61">
        <f>IF(COUNTIFS(allFYsTable[Code], SummaryTable[[#This Row],[Code]], allFYsTable[year2], DW$3)=0, NotFound, SUMIFS(allFYsTable[DiffAmount], allFYsTable[Code], SummaryTable[[#This Row],[Code]], allFYsTable[year2], DW$3))</f>
        <v>270</v>
      </c>
      <c r="EC35" s="63">
        <f>IF(SummaryTable[[#This Row],[OriginalBudget11]]=0, IF(SummaryTable[[#This Row],[DiffAmount11]]=0, ZeroBudgetNoSpending, ZeroBudgetWithSpending), SummaryTable[[#This Row],[DiffAmount11]]/SummaryTable[[#This Row],[OriginalBudget11]])</f>
        <v>3.4329307056579786E-2</v>
      </c>
      <c r="ED35" s="62">
        <f>IF(COUNTIFS(allFYsTable[Code], SummaryTable[[#This Row],[Code]], allFYsTable[year2], ED$3)=0, NotFound, SUMIFS(allFYsTable[OriginalBudget], allFYsTable[Code], SummaryTable[[#This Row],[Code]], allFYsTable[year2], ED$3))</f>
        <v>5408</v>
      </c>
      <c r="EE35" s="61">
        <f>SummaryTable[[#This Row],[OriginalBudget10]]-SummaryTable[[#This Row],[OriginalBudget09]]</f>
        <v>-3861</v>
      </c>
      <c r="EF35" s="54">
        <f>SummaryTable[[#This Row],[BudgetIncreaseAmount10]]/SummaryTable[[#This Row],[OriginalBudget09]]</f>
        <v>-0.41654978962131839</v>
      </c>
      <c r="EG35" s="61">
        <f>IF(COUNTIFS(allFYsTable[Code], SummaryTable[[#This Row],[Code]], allFYsTable[year2], ED$3)=0, NotFound, SUMIFS(allFYsTable[RevisedBudget], allFYsTable[Code], SummaryTable[[#This Row],[Code]], allFYsTable[year2], ED$3))</f>
        <v>5249</v>
      </c>
      <c r="EH35" s="61">
        <f>IF(COUNTIFS(allFYsTable[Code], SummaryTable[[#This Row],[Code]], allFYsTable[year2], ED$3)=0, NotFound, SUMIFS(allFYsTable[Actual], allFYsTable[Code], SummaryTable[[#This Row],[Code]], allFYsTable[year2], ED$3))</f>
        <v>5136</v>
      </c>
      <c r="EI35" s="61">
        <f>IF(COUNTIFS(allFYsTable[Code], SummaryTable[[#This Row],[Code]], allFYsTable[year2], ED$3)=0, NotFound, SUMIFS(allFYsTable[DiffAmount], allFYsTable[Code], SummaryTable[[#This Row],[Code]], allFYsTable[year2], ED$3))</f>
        <v>-272</v>
      </c>
      <c r="EJ35" s="63">
        <f>IF(SummaryTable[[#This Row],[OriginalBudget10]]=0, IF(SummaryTable[[#This Row],[DiffAmount10]]=0, ZeroBudgetNoSpending, ZeroBudgetWithSpending), SummaryTable[[#This Row],[DiffAmount10]]/SummaryTable[[#This Row],[OriginalBudget10]])</f>
        <v>-5.0295857988165681E-2</v>
      </c>
      <c r="EK35" s="62">
        <f>IF(COUNTIFS(allFYsTable[Code], SummaryTable[[#This Row],[Code]], allFYsTable[year2], EK$3)=0, NotFound, SUMIFS(allFYsTable[OriginalBudget], allFYsTable[Code], SummaryTable[[#This Row],[Code]], allFYsTable[year2], EK$3))</f>
        <v>9269</v>
      </c>
      <c r="EL35" s="61">
        <f>SummaryTable[[#This Row],[OriginalBudget09]]-SummaryTable[[#This Row],[OriginalBudget08]]</f>
        <v>18</v>
      </c>
      <c r="EM35" s="54">
        <f>SummaryTable[[#This Row],[BudgetIncreaseAmount09]]/SummaryTable[[#This Row],[OriginalBudget08]]</f>
        <v>1.9457355961517674E-3</v>
      </c>
      <c r="EN35" s="61">
        <f>IF(COUNTIFS(allFYsTable[Code], SummaryTable[[#This Row],[Code]], allFYsTable[year2], EK$3)=0, NotFound, SUMIFS(allFYsTable[RevisedBudget], allFYsTable[Code], SummaryTable[[#This Row],[Code]], allFYsTable[year2], EK$3))</f>
        <v>8916</v>
      </c>
      <c r="EO35" s="61">
        <f>IF(COUNTIFS(allFYsTable[Code], SummaryTable[[#This Row],[Code]], allFYsTable[year2], EK$3)=0, NotFound, SUMIFS(allFYsTable[Actual], allFYsTable[Code], SummaryTable[[#This Row],[Code]], allFYsTable[year2], EK$3))</f>
        <v>8733</v>
      </c>
      <c r="EP35" s="61">
        <f>IF(COUNTIFS(allFYsTable[Code], SummaryTable[[#This Row],[Code]], allFYsTable[year2], EK$3)=0, NotFound, SUMIFS(allFYsTable[DiffAmount], allFYsTable[Code], SummaryTable[[#This Row],[Code]], allFYsTable[year2], EK$3))</f>
        <v>-536</v>
      </c>
      <c r="EQ35" s="63">
        <f>IF(SummaryTable[[#This Row],[OriginalBudget09]]=0, IF(SummaryTable[[#This Row],[DiffAmount09]]=0, ZeroBudgetNoSpending, ZeroBudgetWithSpending), SummaryTable[[#This Row],[DiffAmount09]]/SummaryTable[[#This Row],[OriginalBudget09]])</f>
        <v>-5.7827165821555726E-2</v>
      </c>
      <c r="ER35" s="62">
        <f>IF(COUNTIFS(allFYsTable[Code], SummaryTable[[#This Row],[Code]], allFYsTable[year2], ER$3)=0, NotFound, SUMIFS(allFYsTable[OriginalBudget], allFYsTable[Code], SummaryTable[[#This Row],[Code]], allFYsTable[year2], ER$3))</f>
        <v>9251</v>
      </c>
      <c r="ES35" s="61">
        <f>SummaryTable[[#This Row],[OriginalBudget08]]-SummaryTable[[#This Row],[OriginalBudget07]]</f>
        <v>-3853</v>
      </c>
      <c r="ET35" s="54">
        <f>SummaryTable[[#This Row],[BudgetIncreaseAmount08]]/SummaryTable[[#This Row],[OriginalBudget07]]</f>
        <v>-0.29403235653235654</v>
      </c>
      <c r="EU35" s="61">
        <f>IF(COUNTIFS(allFYsTable[Code], SummaryTable[[#This Row],[Code]], allFYsTable[year2], ER$3)=0, NotFound, SUMIFS(allFYsTable[RevisedBudget], allFYsTable[Code], SummaryTable[[#This Row],[Code]], allFYsTable[year2], ER$3))</f>
        <v>9151</v>
      </c>
      <c r="EV35" s="61">
        <f>IF(COUNTIFS(allFYsTable[Code], SummaryTable[[#This Row],[Code]], allFYsTable[year2], ER$3)=0, NotFound, SUMIFS(allFYsTable[Actual], allFYsTable[Code], SummaryTable[[#This Row],[Code]], allFYsTable[year2], ER$3))</f>
        <v>8694</v>
      </c>
      <c r="EW35" s="61">
        <f>IF(COUNTIFS(allFYsTable[Code], SummaryTable[[#This Row],[Code]], allFYsTable[year2], ER$3)=0, NotFound, SUMIFS(allFYsTable[DiffAmount], allFYsTable[Code], SummaryTable[[#This Row],[Code]], allFYsTable[year2], ER$3))</f>
        <v>-557</v>
      </c>
      <c r="EX35" s="63">
        <f>IF(SummaryTable[[#This Row],[OriginalBudget08]]=0, IF(SummaryTable[[#This Row],[DiffAmount08]]=0, ZeroBudgetNoSpending, ZeroBudgetWithSpending), SummaryTable[[#This Row],[DiffAmount08]]/SummaryTable[[#This Row],[OriginalBudget08]])</f>
        <v>-6.0209707058696355E-2</v>
      </c>
      <c r="EY35" s="62">
        <f>IF(COUNTIFS(allFYsTable[Code], SummaryTable[[#This Row],[Code]], allFYsTable[year2], EY$3)=0, NotFound, SUMIFS(allFYsTable[OriginalBudget], allFYsTable[Code], SummaryTable[[#This Row],[Code]], allFYsTable[year2], EY$3))</f>
        <v>13104</v>
      </c>
      <c r="EZ35" s="61">
        <f>SummaryTable[[#This Row],[OriginalBudget07]]-SummaryTable[[#This Row],[OriginalBudget06]]</f>
        <v>697</v>
      </c>
      <c r="FA35" s="54">
        <f>SummaryTable[[#This Row],[BudgetIncreaseAmount07]]/SummaryTable[[#This Row],[OriginalBudget06]]</f>
        <v>5.6177964052550981E-2</v>
      </c>
      <c r="FB35" s="61">
        <f>IF(COUNTIFS(allFYsTable[Code], SummaryTable[[#This Row],[Code]], allFYsTable[year2], EY$3)=0, NotFound, SUMIFS(allFYsTable[RevisedBudget], allFYsTable[Code], SummaryTable[[#This Row],[Code]], allFYsTable[year2], EY$3))</f>
        <v>13413</v>
      </c>
      <c r="FC35" s="61">
        <f>IF(COUNTIFS(allFYsTable[Code], SummaryTable[[#This Row],[Code]], allFYsTable[year2], EY$3)=0, NotFound, SUMIFS(allFYsTable[Actual], allFYsTable[Code], SummaryTable[[#This Row],[Code]], allFYsTable[year2], EY$3))</f>
        <v>11190</v>
      </c>
      <c r="FD35" s="61">
        <f>IF(COUNTIFS(allFYsTable[Code], SummaryTable[[#This Row],[Code]], allFYsTable[year2], EY$3)=0, NotFound, SUMIFS(allFYsTable[DiffAmount], allFYsTable[Code], SummaryTable[[#This Row],[Code]], allFYsTable[year2], EY$3))</f>
        <v>-1914</v>
      </c>
      <c r="FE35" s="63">
        <f>IF(SummaryTable[[#This Row],[OriginalBudget07]]=0, IF(SummaryTable[[#This Row],[DiffAmount07]]=0, ZeroBudgetNoSpending, ZeroBudgetWithSpending), SummaryTable[[#This Row],[DiffAmount07]]/SummaryTable[[#This Row],[OriginalBudget07]])</f>
        <v>-0.14606227106227107</v>
      </c>
      <c r="FF35" s="62">
        <f>IF(COUNTIFS(allFYsTable[Code], SummaryTable[[#This Row],[Code]], allFYsTable[year2], FF$3)=0, NotFound, SUMIFS(allFYsTable[OriginalBudget], allFYsTable[Code], SummaryTable[[#This Row],[Code]], allFYsTable[year2], FF$3))</f>
        <v>12407</v>
      </c>
      <c r="FI35" s="61">
        <f>IF(COUNTIFS(allFYsTable[Code], SummaryTable[[#This Row],[Code]], allFYsTable[year2], FF$3)=0, NotFound, SUMIFS(allFYsTable[RevisedBudget], allFYsTable[Code], SummaryTable[[#This Row],[Code]], allFYsTable[year2], FF$3))</f>
        <v>12790</v>
      </c>
      <c r="FJ35" s="61">
        <f>IF(COUNTIFS(allFYsTable[Code], SummaryTable[[#This Row],[Code]], allFYsTable[year2], FF$3)=0, NotFound, SUMIFS(allFYsTable[Actual], allFYsTable[Code], SummaryTable[[#This Row],[Code]], allFYsTable[year2], FF$3))</f>
        <v>10510</v>
      </c>
      <c r="FK35" s="61">
        <f>IF(COUNTIFS(allFYsTable[Code], SummaryTable[[#This Row],[Code]], allFYsTable[year2], FF$3)=0, NotFound, SUMIFS(allFYsTable[DiffAmount], allFYsTable[Code], SummaryTable[[#This Row],[Code]], allFYsTable[year2], FF$3))</f>
        <v>-1897</v>
      </c>
      <c r="FL35" s="63">
        <f>IF(SummaryTable[[#This Row],[OriginalBudget06]]=0, IF(SummaryTable[[#This Row],[DiffAmount06]]=0, ZeroBudgetNoSpending, ZeroBudgetWithSpending), SummaryTable[[#This Row],[DiffAmount06]]/SummaryTable[[#This Row],[OriginalBudget06]])</f>
        <v>-0.1528975578302571</v>
      </c>
    </row>
    <row r="36" spans="1:168" x14ac:dyDescent="0.45">
      <c r="A36" t="s">
        <v>790</v>
      </c>
      <c r="B36">
        <f>_xlfn.MAXIFS(allFYsTable[year2], allFYsTable[Code], SummaryTable[[#This Row],[Code]])</f>
        <v>2025</v>
      </c>
      <c r="C36" t="str">
        <f>_xlfn.XLOOKUP(SummaryTable[[#This Row],[Code]], NameCodingTable[Code], NameCodingTable[Most Recent Category per allFYs])</f>
        <v>Human support services</v>
      </c>
      <c r="D36" t="str">
        <f>_xlfn.XLOOKUP(SummaryTable[[#This Row],[Code]], NameCodingTable[Code], NameCodingTable[Unit Display Name])</f>
        <v>Department of Human Services (DHS)</v>
      </c>
      <c r="E36" t="str">
        <f>_xlfn.XLOOKUP(SummaryTable[[#This Row],[Code]], NameCodingTable[Code], NameCodingTable[Type])</f>
        <v>agency</v>
      </c>
      <c r="F3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3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8</v>
      </c>
      <c r="H36" s="54">
        <f>SummaryTable[[#This Row],['# Over]]/SummaryTable[[#This Row],[Count]]</f>
        <v>0.4</v>
      </c>
      <c r="I3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36" s="54">
        <f>SummaryTable[[#This Row],['# Under]]/SummaryTable[[#This Row],[Count]]</f>
        <v>0.6</v>
      </c>
      <c r="K3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36" s="54">
        <f>SummaryTable[[#This Row],['# Equal]]/SummaryTable[[#This Row],[Count]]</f>
        <v>0</v>
      </c>
      <c r="M36" s="61">
        <f>SUMIFS(allFYsTable[OriginalBudget],allFYsTable[Code],SummaryTable[[#This Row],[Code]])/SummaryTable[[#This Row],[Count]]</f>
        <v>334641.75</v>
      </c>
      <c r="N36" s="61">
        <f>SUMIFS(allFYsTable[Actual],allFYsTable[Code],SummaryTable[[#This Row],[Code]])/SummaryTable[[#This Row],[Count]]</f>
        <v>342686.3</v>
      </c>
      <c r="O36" s="61">
        <f>SummaryTable[[#This Row],[AvgActAmt]]-SummaryTable[[#This Row],[AvgBudAmt]]</f>
        <v>8044.5499999999884</v>
      </c>
      <c r="P36" s="54">
        <f>IF(SummaryTable[[#This Row],[AvgBudAmt]]=0, IF(SummaryTable[[#This Row],[AvgDiff'#]]=0, 0, NamedFields!$C$3), SummaryTable[[#This Row],[AvgDiff'#]]/SummaryTable[[#This Row],[AvgBudAmt]])</f>
        <v>2.4039289777799656E-2</v>
      </c>
      <c r="Q36" s="61">
        <f>IFERROR(SUMIFS(allFYsTable[OriginalBudget],allFYsTable[Code],SummaryTable[[#This Row],[Code]],allFYsTable[DiffAmount], "&gt;0")/SummaryTable[[#This Row],['# Over]], 0)</f>
        <v>365245.625</v>
      </c>
      <c r="R36" s="61">
        <f>IFERROR(SUMIFS(allFYsTable[Actual],allFYsTable[Code],SummaryTable[[#This Row],[Code]],allFYsTable[DiffAmount], "&gt;0")/SummaryTable[[#This Row],['# Over]], 0)</f>
        <v>402564.875</v>
      </c>
      <c r="S36" s="61">
        <f>SummaryTable[[#This Row],[OverAvgAct]]-SummaryTable[[#This Row],[OverAvgBud]]</f>
        <v>37319.25</v>
      </c>
      <c r="T36" s="54">
        <f>IF(SummaryTable[[#This Row],[OverAvgBud]]=0, IF(SummaryTable[[#This Row],[OverAvgDiff'#]]=0, ZeroBudgetNoSpending, ZeroBudgetWithSpending), SummaryTable[[#This Row],[OverAvgDiff'#]]/SummaryTable[[#This Row],[OverAvgBud]])</f>
        <v>0.10217576185888606</v>
      </c>
      <c r="U36" s="61">
        <f>IFERROR(SUMIFS(allFYsTable[OriginalBudget],allFYsTable[Code],SummaryTable[[#This Row],[Code]],allFYsTable[DiffAmount], "&lt;0")/SummaryTable[[#This Row],['# Under]], 0)</f>
        <v>314239.16666666669</v>
      </c>
      <c r="V36" s="61">
        <f>IFERROR( SUMIFS(allFYsTable[Actual],allFYsTable[Code],SummaryTable[[#This Row],[Code]],allFYsTable[DiffAmount], "&lt;0")/SummaryTable[[#This Row],['# Under]], 0)</f>
        <v>302767.25</v>
      </c>
      <c r="W36" s="61">
        <f>SummaryTable[[#This Row],[UnderAvgAct]]-SummaryTable[[#This Row],[UnderAvgBud]]</f>
        <v>-11471.916666666686</v>
      </c>
      <c r="X36" s="54">
        <f>IF(SummaryTable[[#This Row],[UnderAvgBud]]=0, IF(SummaryTable[[#This Row],[UnderAvgDiff'#]]=0, ZeroBudgetNoSpending, NamedFields!$C$3), SummaryTable[[#This Row],[UnderAvgDiff'#]]/SummaryTable[[#This Row],[UnderAvgBud]])</f>
        <v>-3.650695993232337E-2</v>
      </c>
      <c r="Y3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9</v>
      </c>
      <c r="Z3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36" s="54">
        <f>IF(SummaryTable[[#This Row],[IncreaseYears]]=0, ZeroBudgetNoSpending, SummaryTable[[#This Row],[OSinIncreaseYear'#]]/SummaryTable[[#This Row],[IncreaseYears]])</f>
        <v>0</v>
      </c>
      <c r="AB36" s="58" t="str">
        <f>SummaryTable[[#This Row],[Code]]</f>
        <v>JA0</v>
      </c>
      <c r="AC36" s="62">
        <f>IF(COUNTIFS(allFYsTable[Code], SummaryTable[[#This Row],[Code]], allFYsTable[year2], AC$3)=0, NotFound, SUMIFS(allFYsTable[OriginalBudget], allFYsTable[Code], SummaryTable[[#This Row],[Code]], allFYsTable[year2], AC$3))</f>
        <v>680127</v>
      </c>
      <c r="AD36" s="61">
        <f>SummaryTable[[#This Row],[OriginalBudget25]]-SummaryTable[[#This Row],[OriginalBudget24]]</f>
        <v>108924</v>
      </c>
      <c r="AE36" s="54">
        <f>SummaryTable[[#This Row],[BudgetIncreaseAmount25]]/SummaryTable[[#This Row],[OriginalBudget24]]</f>
        <v>0.19069227577586254</v>
      </c>
      <c r="AF36" s="61">
        <f>IF(COUNTIFS(allFYsTable[Code], SummaryTable[[#This Row],[Code]], allFYsTable[year2], AC$3)=0, NotFound, SUMIFS(allFYsTable[RevisedBudget], allFYsTable[Code], SummaryTable[[#This Row],[Code]], allFYsTable[year2], AC$3))</f>
        <v>733570</v>
      </c>
      <c r="AG36" s="61">
        <f>IF(COUNTIFS(allFYsTable[Code], SummaryTable[[#This Row],[Code]], allFYsTable[year2], AC$3)=0, NotFound, SUMIFS(allFYsTable[Actual], allFYsTable[Code], SummaryTable[[#This Row],[Code]], allFYsTable[year2], AC$3))</f>
        <v>733077</v>
      </c>
      <c r="AH36" s="61">
        <f>IF(COUNTIFS(allFYsTable[Code], SummaryTable[[#This Row],[Code]], allFYsTable[year2], AC$3)=0, NotFound, SUMIFS(allFYsTable[DiffAmount], allFYsTable[Code], SummaryTable[[#This Row],[Code]], allFYsTable[year2], AC$3))</f>
        <v>52950</v>
      </c>
      <c r="AI36" s="63">
        <f>IF(SummaryTable[[#This Row],[OriginalBudget25]]=0, IF(SummaryTable[[#This Row],[DiffAmount25]]=0, ZeroBudgetNoSpending, ZeroBudgetWithSpending), SummaryTable[[#This Row],[DiffAmount25]]/SummaryTable[[#This Row],[OriginalBudget25]])</f>
        <v>7.7853106846221362E-2</v>
      </c>
      <c r="AJ36" s="62">
        <f>IF(COUNTIFS(allFYsTable[Code], SummaryTable[[#This Row],[Code]], allFYsTable[year2], AJ$3)=0, NotFound, SUMIFS(allFYsTable[OriginalBudget], allFYsTable[Code], SummaryTable[[#This Row],[Code]], allFYsTable[year2], AJ$3))</f>
        <v>571203</v>
      </c>
      <c r="AK36" s="61">
        <f>SummaryTable[[#This Row],[OriginalBudget24]]-SummaryTable[[#This Row],[OriginalBudget23]]</f>
        <v>-81998</v>
      </c>
      <c r="AL36" s="54">
        <f>SummaryTable[[#This Row],[BudgetIncreaseAmount24]]/SummaryTable[[#This Row],[OriginalBudget23]]</f>
        <v>-0.12553256960721126</v>
      </c>
      <c r="AM36" s="61">
        <f>IF(COUNTIFS(allFYsTable[Code], SummaryTable[[#This Row],[Code]], allFYsTable[year2], AK$3)=0, NotFound, SUMIFS(allFYsTable[RevisedBudget], allFYsTable[Code], SummaryTable[[#This Row],[Code]], allFYsTable[year2], AJ$3))</f>
        <v>713017</v>
      </c>
      <c r="AN36" s="61">
        <f>IF(COUNTIFS(allFYsTable[Code], SummaryTable[[#This Row],[Code]], allFYsTable[year2], AJ$3)=0, NotFound, SUMIFS(allFYsTable[Actual], allFYsTable[Code], SummaryTable[[#This Row],[Code]], allFYsTable[year2], AJ$3))</f>
        <v>711017</v>
      </c>
      <c r="AO36" s="61">
        <f>IF(COUNTIFS(allFYsTable[Code], SummaryTable[[#This Row],[Code]], allFYsTable[year2], AJ$3)=0, NotFound, SUMIFS(allFYsTable[DiffAmount], allFYsTable[Code], SummaryTable[[#This Row],[Code]], allFYsTable[year2], AJ$3))</f>
        <v>139814</v>
      </c>
      <c r="AP36" s="63">
        <f>IF(SummaryTable[[#This Row],[OriginalBudget24]]=0, IF(SummaryTable[[#This Row],[DiffAmount24]]=0, ZeroBudgetNoSpending, ZeroBudgetWithSpending), SummaryTable[[#This Row],[DiffAmount24]]/SummaryTable[[#This Row],[OriginalBudget24]])</f>
        <v>0.24477112340096252</v>
      </c>
      <c r="AQ36" s="62">
        <f>IF(COUNTIFS(allFYsTable[Code], SummaryTable[[#This Row],[Code]], allFYsTable[year2], AQ$3)=0, NotFound, SUMIFS(allFYsTable[OriginalBudget], allFYsTable[Code], SummaryTable[[#This Row],[Code]], allFYsTable[year2], AQ$3))</f>
        <v>653201</v>
      </c>
      <c r="AR36" s="61">
        <f>SummaryTable[[#This Row],[OriginalBudget23]]-SummaryTable[[#This Row],[OriginalBudget22]]</f>
        <v>143072</v>
      </c>
      <c r="AS36" s="54">
        <f>SummaryTable[[#This Row],[BudgetIncreaseAmount23]]/SummaryTable[[#This Row],[OriginalBudget22]]</f>
        <v>0.28046239284573116</v>
      </c>
      <c r="AT36" s="61">
        <f>IF(COUNTIFS(allFYsTable[Code], SummaryTable[[#This Row],[Code]], allFYsTable[year2], AQ$3)=0, NotFound, SUMIFS(allFYsTable[RevisedBudget], allFYsTable[Code], SummaryTable[[#This Row],[Code]], allFYsTable[year2], AQ$3))</f>
        <v>619327</v>
      </c>
      <c r="AU36" s="61">
        <f>IF(COUNTIFS(allFYsTable[Code], SummaryTable[[#This Row],[Code]], allFYsTable[year2], AQ$3)=0, NotFound, SUMIFS(allFYsTable[Actual], allFYsTable[Code], SummaryTable[[#This Row],[Code]], allFYsTable[year2], AQ$3))</f>
        <v>619216</v>
      </c>
      <c r="AV36" s="61">
        <f>IF(COUNTIFS(allFYsTable[Code], SummaryTable[[#This Row],[Code]], allFYsTable[year2], AQ$3)=0, NotFound, SUMIFS(allFYsTable[DiffAmount], allFYsTable[Code], SummaryTable[[#This Row],[Code]], allFYsTable[year2], AQ$3))</f>
        <v>-33985</v>
      </c>
      <c r="AW36" s="63">
        <f>IF(SummaryTable[[#This Row],[OriginalBudget23]]=0, IF(SummaryTable[[#This Row],[DiffAmount23]]=0, ZeroBudgetNoSpending, ZeroBudgetWithSpending), SummaryTable[[#This Row],[DiffAmount23]]/SummaryTable[[#This Row],[OriginalBudget23]])</f>
        <v>-5.2028395547465481E-2</v>
      </c>
      <c r="AX36" s="62">
        <f>IF(COUNTIFS(allFYsTable[Code], SummaryTable[[#This Row],[Code]], allFYsTable[year2], AX$3)=0, NotFound, SUMIFS(allFYsTable[OriginalBudget], allFYsTable[Code], SummaryTable[[#This Row],[Code]], allFYsTable[year2], AX$3))</f>
        <v>510129</v>
      </c>
      <c r="AY36" s="61">
        <f>SummaryTable[[#This Row],[OriginalBudget22]]-SummaryTable[[#This Row],[OriginalBudget21]]</f>
        <v>90415</v>
      </c>
      <c r="AZ36" s="54">
        <f>SummaryTable[[#This Row],[BudgetIncreaseAmount22]]/SummaryTable[[#This Row],[OriginalBudget21]]</f>
        <v>0.21542050062661716</v>
      </c>
      <c r="BA36" s="61">
        <f>IF(COUNTIFS(allFYsTable[Code], SummaryTable[[#This Row],[Code]], allFYsTable[year2], AX$3)=0, NotFound, SUMIFS(allFYsTable[RevisedBudget], allFYsTable[Code], SummaryTable[[#This Row],[Code]], allFYsTable[year2], AX$3))</f>
        <v>513359</v>
      </c>
      <c r="BB36" s="61">
        <f>IF(COUNTIFS(allFYsTable[Code], SummaryTable[[#This Row],[Code]], allFYsTable[year2], AX$3)=0, NotFound, SUMIFS(allFYsTable[Actual], allFYsTable[Code], SummaryTable[[#This Row],[Code]], allFYsTable[year2], AX$3))</f>
        <v>490097</v>
      </c>
      <c r="BC36" s="61">
        <f>IF(COUNTIFS(allFYsTable[Code], SummaryTable[[#This Row],[Code]], allFYsTable[year2], AX$3)=0, NotFound, SUMIFS(allFYsTable[DiffAmount], allFYsTable[Code], SummaryTable[[#This Row],[Code]], allFYsTable[year2], AX$3))</f>
        <v>-20032</v>
      </c>
      <c r="BD36" s="63">
        <f>IF(SummaryTable[[#This Row],[OriginalBudget22]]=0, IF(SummaryTable[[#This Row],[DiffAmount22]]=0, ZeroBudgetNoSpending, ZeroBudgetWithSpending), SummaryTable[[#This Row],[DiffAmount22]]/SummaryTable[[#This Row],[OriginalBudget22]])</f>
        <v>-3.9268498752276386E-2</v>
      </c>
      <c r="BE36" s="62">
        <f>IF(COUNTIFS(allFYsTable[Code], SummaryTable[[#This Row],[Code]], allFYsTable[year2], BE$3)=0, NotFound, SUMIFS(allFYsTable[OriginalBudget], allFYsTable[Code], SummaryTable[[#This Row],[Code]], allFYsTable[year2], BE$3))</f>
        <v>419714</v>
      </c>
      <c r="BF36" s="61">
        <f>SummaryTable[[#This Row],[OriginalBudget21]]-SummaryTable[[#This Row],[OriginalBudget20]]</f>
        <v>19590</v>
      </c>
      <c r="BG36" s="54">
        <f>SummaryTable[[#This Row],[BudgetIncreaseAmount21]]/SummaryTable[[#This Row],[OriginalBudget20]]</f>
        <v>4.8959822455038937E-2</v>
      </c>
      <c r="BH36" s="61">
        <f>IF(COUNTIFS(allFYsTable[Code], SummaryTable[[#This Row],[Code]], allFYsTable[year2], BE$3)=0, NotFound, SUMIFS(allFYsTable[RevisedBudget], allFYsTable[Code], SummaryTable[[#This Row],[Code]], allFYsTable[year2], BE$3))</f>
        <v>412635</v>
      </c>
      <c r="BI36" s="61">
        <f>IF(COUNTIFS(allFYsTable[Code], SummaryTable[[#This Row],[Code]], allFYsTable[year2], BE$3)=0, NotFound, SUMIFS(allFYsTable[Actual], allFYsTable[Code], SummaryTable[[#This Row],[Code]], allFYsTable[year2], BE$3))</f>
        <v>409952</v>
      </c>
      <c r="BJ36" s="61">
        <f>IF(COUNTIFS(allFYsTable[Code], SummaryTable[[#This Row],[Code]], allFYsTable[year2], BE$3)=0, NotFound, SUMIFS(allFYsTable[DiffAmount], allFYsTable[Code], SummaryTable[[#This Row],[Code]], allFYsTable[year2], BE$3))</f>
        <v>-9762</v>
      </c>
      <c r="BK36" s="63">
        <f>IF(SummaryTable[[#This Row],[OriginalBudget21]]=0, IF(SummaryTable[[#This Row],[DiffAmount21]]=0, ZeroBudgetNoSpending, ZeroBudgetWithSpending), SummaryTable[[#This Row],[DiffAmount21]]/SummaryTable[[#This Row],[OriginalBudget21]])</f>
        <v>-2.3258695206736017E-2</v>
      </c>
      <c r="BL36" s="62">
        <f>IF(COUNTIFS(allFYsTable[Code], SummaryTable[[#This Row],[Code]], allFYsTable[year2], BL$3)=0, NotFound, SUMIFS(allFYsTable[OriginalBudget], allFYsTable[Code], SummaryTable[[#This Row],[Code]], allFYsTable[year2], BL$3))</f>
        <v>400124</v>
      </c>
      <c r="BM36" s="61">
        <f>SummaryTable[[#This Row],[OriginalBudget20]]-SummaryTable[[#This Row],[OriginalBudget19]]</f>
        <v>16628</v>
      </c>
      <c r="BN36" s="54">
        <f>SummaryTable[[#This Row],[BudgetIncreaseAmount20]]/SummaryTable[[#This Row],[OriginalBudget19]]</f>
        <v>4.3358992010346917E-2</v>
      </c>
      <c r="BO36" s="61">
        <f>IF(COUNTIFS(allFYsTable[Code], SummaryTable[[#This Row],[Code]], allFYsTable[year2], BL$3)=0, NotFound, SUMIFS(allFYsTable[RevisedBudget], allFYsTable[Code], SummaryTable[[#This Row],[Code]], allFYsTable[year2], BL$3))</f>
        <v>412878</v>
      </c>
      <c r="BP36" s="61">
        <f>IF(COUNTIFS(allFYsTable[Code], SummaryTable[[#This Row],[Code]], allFYsTable[year2], BL$3)=0, NotFound, SUMIFS(allFYsTable[Actual], allFYsTable[Code], SummaryTable[[#This Row],[Code]], allFYsTable[year2], BL$3))</f>
        <v>412094</v>
      </c>
      <c r="BQ36" s="61">
        <f>IF(COUNTIFS(allFYsTable[Code], SummaryTable[[#This Row],[Code]], allFYsTable[year2], BL$3)=0, NotFound, SUMIFS(allFYsTable[DiffAmount], allFYsTable[Code], SummaryTable[[#This Row],[Code]], allFYsTable[year2], BL$3))</f>
        <v>11970</v>
      </c>
      <c r="BR36" s="63">
        <f>IF(SummaryTable[[#This Row],[OriginalBudget20]]=0, IF(SummaryTable[[#This Row],[DiffAmount20]]=0, ZeroBudgetNoSpending, ZeroBudgetWithSpending), SummaryTable[[#This Row],[DiffAmount20]]/SummaryTable[[#This Row],[OriginalBudget20]])</f>
        <v>2.991572612490128E-2</v>
      </c>
      <c r="BS36" s="62">
        <f>IF(COUNTIFS(allFYsTable[Code], SummaryTable[[#This Row],[Code]], allFYsTable[year2], BS$3)=0, NotFound, SUMIFS(allFYsTable[OriginalBudget], allFYsTable[Code], SummaryTable[[#This Row],[Code]], allFYsTable[year2], BS$3))</f>
        <v>383496</v>
      </c>
      <c r="BT36" s="61">
        <f>SummaryTable[[#This Row],[OriginalBudget19]]-SummaryTable[[#This Row],[OriginalBudget18]]</f>
        <v>18227</v>
      </c>
      <c r="BU36" s="54">
        <f>SummaryTable[[#This Row],[BudgetIncreaseAmount19]]/SummaryTable[[#This Row],[OriginalBudget18]]</f>
        <v>4.9900210529773947E-2</v>
      </c>
      <c r="BV36" s="61">
        <f>IF(COUNTIFS(allFYsTable[Code], SummaryTable[[#This Row],[Code]], allFYsTable[year2], BS$3)=0, NotFound, SUMIFS(allFYsTable[RevisedBudget], allFYsTable[Code], SummaryTable[[#This Row],[Code]], allFYsTable[year2], BS$3))</f>
        <v>375581</v>
      </c>
      <c r="BW36" s="61">
        <f>IF(COUNTIFS(allFYsTable[Code], SummaryTable[[#This Row],[Code]], allFYsTable[year2], BS$3)=0, NotFound, SUMIFS(allFYsTable[Actual], allFYsTable[Code], SummaryTable[[#This Row],[Code]], allFYsTable[year2], BS$3))</f>
        <v>375404</v>
      </c>
      <c r="BX36" s="61">
        <f>IF(COUNTIFS(allFYsTable[Code], SummaryTable[[#This Row],[Code]], allFYsTable[year2], BS$3)=0, NotFound, SUMIFS(allFYsTable[DiffAmount], allFYsTable[Code], SummaryTable[[#This Row],[Code]], allFYsTable[year2], BS$3))</f>
        <v>-8092</v>
      </c>
      <c r="BY36" s="63">
        <f>IF(SummaryTable[[#This Row],[OriginalBudget19]]=0, IF(SummaryTable[[#This Row],[DiffAmount19]]=0, ZeroBudgetNoSpending, ZeroBudgetWithSpending), SummaryTable[[#This Row],[DiffAmount19]]/SummaryTable[[#This Row],[OriginalBudget19]])</f>
        <v>-2.1100611218891462E-2</v>
      </c>
      <c r="BZ36" s="62">
        <f>IF(COUNTIFS(allFYsTable[Code], SummaryTable[[#This Row],[Code]], allFYsTable[year2], BZ$3)=0, NotFound, SUMIFS(allFYsTable[OriginalBudget], allFYsTable[Code], SummaryTable[[#This Row],[Code]], allFYsTable[year2], BZ$3))</f>
        <v>365269</v>
      </c>
      <c r="CA36" s="61">
        <f>SummaryTable[[#This Row],[OriginalBudget18]]-SummaryTable[[#This Row],[OriginalBudget17]]</f>
        <v>66368</v>
      </c>
      <c r="CB36" s="54">
        <f>SummaryTable[[#This Row],[BudgetIncreaseAmount18]]/SummaryTable[[#This Row],[OriginalBudget17]]</f>
        <v>0.22204007346914195</v>
      </c>
      <c r="CC36" s="61">
        <f>IF(COUNTIFS(allFYsTable[Code], SummaryTable[[#This Row],[Code]], allFYsTable[year2], BZ$3)=0, NotFound, SUMIFS(allFYsTable[RevisedBudget], allFYsTable[Code], SummaryTable[[#This Row],[Code]], allFYsTable[year2], BZ$3))</f>
        <v>363006</v>
      </c>
      <c r="CD36" s="61">
        <f>IF(COUNTIFS(allFYsTable[Code], SummaryTable[[#This Row],[Code]], allFYsTable[year2], BZ$3)=0, NotFound, SUMIFS(allFYsTable[Actual], allFYsTable[Code], SummaryTable[[#This Row],[Code]], allFYsTable[year2], BZ$3))</f>
        <v>362995</v>
      </c>
      <c r="CE36" s="61">
        <f>IF(COUNTIFS(allFYsTable[Code], SummaryTable[[#This Row],[Code]], allFYsTable[year2], BZ$3)=0, NotFound, SUMIFS(allFYsTable[DiffAmount], allFYsTable[Code], SummaryTable[[#This Row],[Code]], allFYsTable[year2], BZ$3))</f>
        <v>-2274</v>
      </c>
      <c r="CF36" s="63">
        <f>IF(SummaryTable[[#This Row],[OriginalBudget18]]=0, IF(SummaryTable[[#This Row],[DiffAmount18]]=0, ZeroBudgetNoSpending, ZeroBudgetWithSpending), SummaryTable[[#This Row],[DiffAmount18]]/SummaryTable[[#This Row],[OriginalBudget18]])</f>
        <v>-6.2255488420862436E-3</v>
      </c>
      <c r="CG36" s="62">
        <f>IF(COUNTIFS(allFYsTable[Code], SummaryTable[[#This Row],[Code]], allFYsTable[year2], CG$3)=0, NotFound, SUMIFS(allFYsTable[OriginalBudget], allFYsTable[Code], SummaryTable[[#This Row],[Code]], allFYsTable[year2], CG$3))</f>
        <v>298901</v>
      </c>
      <c r="CH36" s="61">
        <f>SummaryTable[[#This Row],[OriginalBudget17]]-SummaryTable[[#This Row],[OriginalBudget16]]</f>
        <v>28300</v>
      </c>
      <c r="CI36" s="54">
        <f>SummaryTable[[#This Row],[BudgetIncreaseAmount17]]/SummaryTable[[#This Row],[OriginalBudget16]]</f>
        <v>0.10458202297848124</v>
      </c>
      <c r="CJ36" s="61">
        <f>IF(COUNTIFS(allFYsTable[Code], SummaryTable[[#This Row],[Code]], allFYsTable[year2], CG$3)=0, NotFound, SUMIFS(allFYsTable[RevisedBudget], allFYsTable[Code], SummaryTable[[#This Row],[Code]], allFYsTable[year2], CG$3))</f>
        <v>303669</v>
      </c>
      <c r="CK36" s="61">
        <f>IF(COUNTIFS(allFYsTable[Code], SummaryTable[[#This Row],[Code]], allFYsTable[year2], CG$3)=0, NotFound, SUMIFS(allFYsTable[Actual], allFYsTable[Code], SummaryTable[[#This Row],[Code]], allFYsTable[year2], CG$3))</f>
        <v>293589</v>
      </c>
      <c r="CL36" s="61">
        <f>IF(COUNTIFS(allFYsTable[Code], SummaryTable[[#This Row],[Code]], allFYsTable[year2], CG$3)=0, NotFound, SUMIFS(allFYsTable[DiffAmount], allFYsTable[Code], SummaryTable[[#This Row],[Code]], allFYsTable[year2], CG$3))</f>
        <v>-5312</v>
      </c>
      <c r="CM36" s="63">
        <f>IF(SummaryTable[[#This Row],[OriginalBudget17]]=0, IF(SummaryTable[[#This Row],[DiffAmount17]]=0, ZeroBudgetNoSpending, ZeroBudgetWithSpending), SummaryTable[[#This Row],[DiffAmount17]]/SummaryTable[[#This Row],[OriginalBudget17]])</f>
        <v>-1.7771770586247619E-2</v>
      </c>
      <c r="CN36" s="62">
        <f>IF(COUNTIFS(allFYsTable[Code], SummaryTable[[#This Row],[Code]], allFYsTable[year2], CN$3)=0, NotFound, SUMIFS(allFYsTable[OriginalBudget], allFYsTable[Code], SummaryTable[[#This Row],[Code]], allFYsTable[year2], CN$3))</f>
        <v>270601</v>
      </c>
      <c r="CO36" s="61">
        <f>SummaryTable[[#This Row],[OriginalBudget16]]-SummaryTable[[#This Row],[OriginalBudget15]]</f>
        <v>34054</v>
      </c>
      <c r="CP36" s="54">
        <f>SummaryTable[[#This Row],[BudgetIncreaseAmount16]]/SummaryTable[[#This Row],[OriginalBudget15]]</f>
        <v>0.14396293337053523</v>
      </c>
      <c r="CQ36" s="61">
        <f>IF(COUNTIFS(allFYsTable[Code], SummaryTable[[#This Row],[Code]], allFYsTable[year2], CN$3)=0, NotFound, SUMIFS(allFYsTable[RevisedBudget], allFYsTable[Code], SummaryTable[[#This Row],[Code]], allFYsTable[year2], CN$3))</f>
        <v>269317</v>
      </c>
      <c r="CR36" s="61">
        <f>IF(COUNTIFS(allFYsTable[Code], SummaryTable[[#This Row],[Code]], allFYsTable[year2], CN$3)=0, NotFound, SUMIFS(allFYsTable[Actual], allFYsTable[Code], SummaryTable[[#This Row],[Code]], allFYsTable[year2], CN$3))</f>
        <v>268511</v>
      </c>
      <c r="CS36" s="61">
        <f>IF(COUNTIFS(allFYsTable[Code], SummaryTable[[#This Row],[Code]], allFYsTable[year2], CN$3)=0, NotFound, SUMIFS(allFYsTable[DiffAmount], allFYsTable[Code], SummaryTable[[#This Row],[Code]], allFYsTable[year2], CN$3))</f>
        <v>-2090</v>
      </c>
      <c r="CT36" s="63">
        <f>IF(SummaryTable[[#This Row],[OriginalBudget16]]=0, IF(SummaryTable[[#This Row],[DiffAmount16]]=0, ZeroBudgetNoSpending, ZeroBudgetWithSpending), SummaryTable[[#This Row],[DiffAmount16]]/SummaryTable[[#This Row],[OriginalBudget16]])</f>
        <v>-7.7235486934638083E-3</v>
      </c>
      <c r="CU36" s="62">
        <f>IF(COUNTIFS(allFYsTable[Code], SummaryTable[[#This Row],[Code]], allFYsTable[year2], CU$3)=0, NotFound, SUMIFS(allFYsTable[OriginalBudget], allFYsTable[Code], SummaryTable[[#This Row],[Code]], allFYsTable[year2], CU$3))</f>
        <v>236547</v>
      </c>
      <c r="CV36" s="61">
        <f>SummaryTable[[#This Row],[OriginalBudget15]]-SummaryTable[[#This Row],[OriginalBudget14]]</f>
        <v>22863</v>
      </c>
      <c r="CW36" s="54">
        <f>SummaryTable[[#This Row],[BudgetIncreaseAmount15]]/SummaryTable[[#This Row],[OriginalBudget14]]</f>
        <v>0.10699444038861122</v>
      </c>
      <c r="CX36" s="61">
        <f>IF(COUNTIFS(allFYsTable[Code], SummaryTable[[#This Row],[Code]], allFYsTable[year2], CU$3)=0, NotFound, SUMIFS(allFYsTable[RevisedBudget], allFYsTable[Code], SummaryTable[[#This Row],[Code]], allFYsTable[year2], CU$3))</f>
        <v>235628</v>
      </c>
      <c r="CY36" s="61">
        <f>IF(COUNTIFS(allFYsTable[Code], SummaryTable[[#This Row],[Code]], allFYsTable[year2], CU$3)=0, NotFound, SUMIFS(allFYsTable[Actual], allFYsTable[Code], SummaryTable[[#This Row],[Code]], allFYsTable[year2], CU$3))</f>
        <v>233116</v>
      </c>
      <c r="CZ36" s="61">
        <f>IF(COUNTIFS(allFYsTable[Code], SummaryTable[[#This Row],[Code]], allFYsTable[year2], CU$3)=0, NotFound, SUMIFS(allFYsTable[DiffAmount], allFYsTable[Code], SummaryTable[[#This Row],[Code]], allFYsTable[year2], CU$3))</f>
        <v>-3431</v>
      </c>
      <c r="DA36" s="63">
        <f>IF(SummaryTable[[#This Row],[OriginalBudget15]]=0, IF(SummaryTable[[#This Row],[DiffAmount15]]=0, ZeroBudgetNoSpending, ZeroBudgetWithSpending), SummaryTable[[#This Row],[DiffAmount15]]/SummaryTable[[#This Row],[OriginalBudget15]])</f>
        <v>-1.4504517072717049E-2</v>
      </c>
      <c r="DB36" s="62">
        <f>IF(COUNTIFS(allFYsTable[Code], SummaryTable[[#This Row],[Code]], allFYsTable[year2], DB$3)=0, NotFound, SUMIFS(allFYsTable[OriginalBudget], allFYsTable[Code], SummaryTable[[#This Row],[Code]], allFYsTable[year2], DB$3))</f>
        <v>213684</v>
      </c>
      <c r="DC36" s="61">
        <f>SummaryTable[[#This Row],[OriginalBudget14]]-SummaryTable[[#This Row],[OriginalBudget13]]</f>
        <v>47624</v>
      </c>
      <c r="DD36" s="54">
        <f>SummaryTable[[#This Row],[BudgetIncreaseAmount14]]/SummaryTable[[#This Row],[OriginalBudget13]]</f>
        <v>0.28678790798506565</v>
      </c>
      <c r="DE36" s="61">
        <f>IF(COUNTIFS(allFYsTable[Code], SummaryTable[[#This Row],[Code]], allFYsTable[year2], DB$3)=0, NotFound, SUMIFS(allFYsTable[RevisedBudget], allFYsTable[Code], SummaryTable[[#This Row],[Code]], allFYsTable[year2], DB$3))</f>
        <v>216385</v>
      </c>
      <c r="DF36" s="61">
        <f>IF(COUNTIFS(allFYsTable[Code], SummaryTable[[#This Row],[Code]], allFYsTable[year2], DB$3)=0, NotFound, SUMIFS(allFYsTable[Actual], allFYsTable[Code], SummaryTable[[#This Row],[Code]], allFYsTable[year2], DB$3))</f>
        <v>216068</v>
      </c>
      <c r="DG36" s="61">
        <f>IF(COUNTIFS(allFYsTable[Code], SummaryTable[[#This Row],[Code]], allFYsTable[year2], DB$3)=0, NotFound, SUMIFS(allFYsTable[DiffAmount], allFYsTable[Code], SummaryTable[[#This Row],[Code]], allFYsTable[year2], DB$3))</f>
        <v>2384</v>
      </c>
      <c r="DH36" s="63">
        <f>IF(SummaryTable[[#This Row],[OriginalBudget14]]=0, IF(SummaryTable[[#This Row],[DiffAmount14]]=0, ZeroBudgetNoSpending, ZeroBudgetWithSpending), SummaryTable[[#This Row],[DiffAmount14]]/SummaryTable[[#This Row],[OriginalBudget14]])</f>
        <v>1.115666123808989E-2</v>
      </c>
      <c r="DI36" s="62">
        <f>IF(COUNTIFS(allFYsTable[Code], SummaryTable[[#This Row],[Code]], allFYsTable[year2], DI$3)=0, NotFound, SUMIFS(allFYsTable[OriginalBudget], allFYsTable[Code], SummaryTable[[#This Row],[Code]], allFYsTable[year2], DI$3))</f>
        <v>166060</v>
      </c>
      <c r="DJ36" s="61">
        <f>SummaryTable[[#This Row],[OriginalBudget13]]-SummaryTable[[#This Row],[OriginalBudget12]]</f>
        <v>1634</v>
      </c>
      <c r="DK36" s="54">
        <f>SummaryTable[[#This Row],[BudgetIncreaseAmount13]]/SummaryTable[[#This Row],[OriginalBudget12]]</f>
        <v>9.9376011093136127E-3</v>
      </c>
      <c r="DL36" s="61">
        <f>IF(COUNTIFS(allFYsTable[Code], SummaryTable[[#This Row],[Code]], allFYsTable[year2], DI$3)=0, NotFound, SUMIFS(allFYsTable[RevisedBudget], allFYsTable[Code], SummaryTable[[#This Row],[Code]], allFYsTable[year2], DI$3))</f>
        <v>178425</v>
      </c>
      <c r="DM36" s="61">
        <f>IF(COUNTIFS(allFYsTable[Code], SummaryTable[[#This Row],[Code]], allFYsTable[year2], DI$3)=0, NotFound, SUMIFS(allFYsTable[Actual], allFYsTable[Code], SummaryTable[[#This Row],[Code]], allFYsTable[year2], DI$3))</f>
        <v>174865</v>
      </c>
      <c r="DN36" s="61">
        <f>IF(COUNTIFS(allFYsTable[Code], SummaryTable[[#This Row],[Code]], allFYsTable[year2], DI$3)=0, NotFound, SUMIFS(allFYsTable[DiffAmount], allFYsTable[Code], SummaryTable[[#This Row],[Code]], allFYsTable[year2], DI$3))</f>
        <v>8805</v>
      </c>
      <c r="DO36" s="63">
        <f>IF(SummaryTable[[#This Row],[OriginalBudget13]]=0, IF(SummaryTable[[#This Row],[DiffAmount13]]=0, ZeroBudgetNoSpending, ZeroBudgetWithSpending), SummaryTable[[#This Row],[DiffAmount13]]/SummaryTable[[#This Row],[OriginalBudget13]])</f>
        <v>5.3023003733590271E-2</v>
      </c>
      <c r="DP36" s="62">
        <f>IF(COUNTIFS(allFYsTable[Code], SummaryTable[[#This Row],[Code]], allFYsTable[year2], DP$3)=0, NotFound, SUMIFS(allFYsTable[OriginalBudget], allFYsTable[Code], SummaryTable[[#This Row],[Code]], allFYsTable[year2], DP$3))</f>
        <v>164426</v>
      </c>
      <c r="DQ36" s="61">
        <f>SummaryTable[[#This Row],[OriginalBudget12]]-SummaryTable[[#This Row],[OriginalBudget11]]</f>
        <v>24251</v>
      </c>
      <c r="DR36" s="54">
        <f>SummaryTable[[#This Row],[BudgetIncreaseAmount12]]/SummaryTable[[#This Row],[OriginalBudget11]]</f>
        <v>0.17300517210629571</v>
      </c>
      <c r="DS36" s="61">
        <f>IF(COUNTIFS(allFYsTable[Code], SummaryTable[[#This Row],[Code]], allFYsTable[year2], DP$3)=0, NotFound, SUMIFS(allFYsTable[RevisedBudget], allFYsTable[Code], SummaryTable[[#This Row],[Code]], allFYsTable[year2], DP$3))</f>
        <v>182255</v>
      </c>
      <c r="DT36" s="61">
        <f>IF(COUNTIFS(allFYsTable[Code], SummaryTable[[#This Row],[Code]], allFYsTable[year2], DP$3)=0, NotFound, SUMIFS(allFYsTable[Actual], allFYsTable[Code], SummaryTable[[#This Row],[Code]], allFYsTable[year2], DP$3))</f>
        <v>178404</v>
      </c>
      <c r="DU36" s="61">
        <f>IF(COUNTIFS(allFYsTable[Code], SummaryTable[[#This Row],[Code]], allFYsTable[year2], DP$3)=0, NotFound, SUMIFS(allFYsTable[DiffAmount], allFYsTable[Code], SummaryTable[[#This Row],[Code]], allFYsTable[year2], DP$3))</f>
        <v>13978</v>
      </c>
      <c r="DV36" s="63">
        <f>IF(SummaryTable[[#This Row],[OriginalBudget12]]=0, IF(SummaryTable[[#This Row],[DiffAmount12]]=0, ZeroBudgetNoSpending, ZeroBudgetWithSpending), SummaryTable[[#This Row],[DiffAmount12]]/SummaryTable[[#This Row],[OriginalBudget12]])</f>
        <v>8.5010886356172377E-2</v>
      </c>
      <c r="DW36" s="62">
        <f>IF(COUNTIFS(allFYsTable[Code], SummaryTable[[#This Row],[Code]], allFYsTable[year2], DW$3)=0, NotFound, SUMIFS(allFYsTable[OriginalBudget], allFYsTable[Code], SummaryTable[[#This Row],[Code]], allFYsTable[year2], DW$3))</f>
        <v>140175</v>
      </c>
      <c r="DX36" s="61">
        <f>SummaryTable[[#This Row],[OriginalBudget11]]-SummaryTable[[#This Row],[OriginalBudget10]]</f>
        <v>-4213</v>
      </c>
      <c r="DY36" s="54">
        <f>SummaryTable[[#This Row],[BudgetIncreaseAmount11]]/SummaryTable[[#This Row],[OriginalBudget10]]</f>
        <v>-2.9178325068565256E-2</v>
      </c>
      <c r="DZ36" s="61">
        <f>IF(COUNTIFS(allFYsTable[Code], SummaryTable[[#This Row],[Code]], allFYsTable[year2], DW$3)=0, NotFound, SUMIFS(allFYsTable[RevisedBudget], allFYsTable[Code], SummaryTable[[#This Row],[Code]], allFYsTable[year2], DW$3))</f>
        <v>140175</v>
      </c>
      <c r="EA36" s="61">
        <f>IF(COUNTIFS(allFYsTable[Code], SummaryTable[[#This Row],[Code]], allFYsTable[year2], DW$3)=0, NotFound, SUMIFS(allFYsTable[Actual], allFYsTable[Code], SummaryTable[[#This Row],[Code]], allFYsTable[year2], DW$3))</f>
        <v>136000</v>
      </c>
      <c r="EB36" s="61">
        <f>IF(COUNTIFS(allFYsTable[Code], SummaryTable[[#This Row],[Code]], allFYsTable[year2], DW$3)=0, NotFound, SUMIFS(allFYsTable[DiffAmount], allFYsTable[Code], SummaryTable[[#This Row],[Code]], allFYsTable[year2], DW$3))</f>
        <v>-4175</v>
      </c>
      <c r="EC36" s="63">
        <f>IF(SummaryTable[[#This Row],[OriginalBudget11]]=0, IF(SummaryTable[[#This Row],[DiffAmount11]]=0, ZeroBudgetNoSpending, ZeroBudgetWithSpending), SummaryTable[[#This Row],[DiffAmount11]]/SummaryTable[[#This Row],[OriginalBudget11]])</f>
        <v>-2.9784198323524167E-2</v>
      </c>
      <c r="ED36" s="62">
        <f>IF(COUNTIFS(allFYsTable[Code], SummaryTable[[#This Row],[Code]], allFYsTable[year2], ED$3)=0, NotFound, SUMIFS(allFYsTable[OriginalBudget], allFYsTable[Code], SummaryTable[[#This Row],[Code]], allFYsTable[year2], ED$3))</f>
        <v>144388</v>
      </c>
      <c r="EE36" s="61">
        <f>SummaryTable[[#This Row],[OriginalBudget10]]-SummaryTable[[#This Row],[OriginalBudget09]]</f>
        <v>-24494</v>
      </c>
      <c r="EF36" s="54">
        <f>SummaryTable[[#This Row],[BudgetIncreaseAmount10]]/SummaryTable[[#This Row],[OriginalBudget09]]</f>
        <v>-0.14503617910730568</v>
      </c>
      <c r="EG36" s="61">
        <f>IF(COUNTIFS(allFYsTable[Code], SummaryTable[[#This Row],[Code]], allFYsTable[year2], ED$3)=0, NotFound, SUMIFS(allFYsTable[RevisedBudget], allFYsTable[Code], SummaryTable[[#This Row],[Code]], allFYsTable[year2], ED$3))</f>
        <v>142170</v>
      </c>
      <c r="EH36" s="61">
        <f>IF(COUNTIFS(allFYsTable[Code], SummaryTable[[#This Row],[Code]], allFYsTable[year2], ED$3)=0, NotFound, SUMIFS(allFYsTable[Actual], allFYsTable[Code], SummaryTable[[#This Row],[Code]], allFYsTable[year2], ED$3))</f>
        <v>141095</v>
      </c>
      <c r="EI36" s="61">
        <f>IF(COUNTIFS(allFYsTable[Code], SummaryTable[[#This Row],[Code]], allFYsTable[year2], ED$3)=0, NotFound, SUMIFS(allFYsTable[DiffAmount], allFYsTable[Code], SummaryTable[[#This Row],[Code]], allFYsTable[year2], ED$3))</f>
        <v>-3293</v>
      </c>
      <c r="EJ36" s="63">
        <f>IF(SummaryTable[[#This Row],[OriginalBudget10]]=0, IF(SummaryTable[[#This Row],[DiffAmount10]]=0, ZeroBudgetNoSpending, ZeroBudgetWithSpending), SummaryTable[[#This Row],[DiffAmount10]]/SummaryTable[[#This Row],[OriginalBudget10]])</f>
        <v>-2.280660442696069E-2</v>
      </c>
      <c r="EK36" s="62">
        <f>IF(COUNTIFS(allFYsTable[Code], SummaryTable[[#This Row],[Code]], allFYsTable[year2], EK$3)=0, NotFound, SUMIFS(allFYsTable[OriginalBudget], allFYsTable[Code], SummaryTable[[#This Row],[Code]], allFYsTable[year2], EK$3))</f>
        <v>168882</v>
      </c>
      <c r="EL36" s="61">
        <f>SummaryTable[[#This Row],[OriginalBudget09]]-SummaryTable[[#This Row],[OriginalBudget08]]</f>
        <v>-10685</v>
      </c>
      <c r="EM36" s="54">
        <f>SummaryTable[[#This Row],[BudgetIncreaseAmount09]]/SummaryTable[[#This Row],[OriginalBudget08]]</f>
        <v>-5.9504251894835908E-2</v>
      </c>
      <c r="EN36" s="61">
        <f>IF(COUNTIFS(allFYsTable[Code], SummaryTable[[#This Row],[Code]], allFYsTable[year2], EK$3)=0, NotFound, SUMIFS(allFYsTable[RevisedBudget], allFYsTable[Code], SummaryTable[[#This Row],[Code]], allFYsTable[year2], EK$3))</f>
        <v>166330</v>
      </c>
      <c r="EO36" s="61">
        <f>IF(COUNTIFS(allFYsTable[Code], SummaryTable[[#This Row],[Code]], allFYsTable[year2], EK$3)=0, NotFound, SUMIFS(allFYsTable[Actual], allFYsTable[Code], SummaryTable[[#This Row],[Code]], allFYsTable[year2], EK$3))</f>
        <v>165358</v>
      </c>
      <c r="EP36" s="61">
        <f>IF(COUNTIFS(allFYsTable[Code], SummaryTable[[#This Row],[Code]], allFYsTable[year2], EK$3)=0, NotFound, SUMIFS(allFYsTable[DiffAmount], allFYsTable[Code], SummaryTable[[#This Row],[Code]], allFYsTable[year2], EK$3))</f>
        <v>-3524</v>
      </c>
      <c r="EQ36" s="63">
        <f>IF(SummaryTable[[#This Row],[OriginalBudget09]]=0, IF(SummaryTable[[#This Row],[DiffAmount09]]=0, ZeroBudgetNoSpending, ZeroBudgetWithSpending), SummaryTable[[#This Row],[DiffAmount09]]/SummaryTable[[#This Row],[OriginalBudget09]])</f>
        <v>-2.086664061297237E-2</v>
      </c>
      <c r="ER36" s="62">
        <f>IF(COUNTIFS(allFYsTable[Code], SummaryTable[[#This Row],[Code]], allFYsTable[year2], ER$3)=0, NotFound, SUMIFS(allFYsTable[OriginalBudget], allFYsTable[Code], SummaryTable[[#This Row],[Code]], allFYsTable[year2], ER$3))</f>
        <v>179567</v>
      </c>
      <c r="ES36" s="61">
        <f>SummaryTable[[#This Row],[OriginalBudget08]]-SummaryTable[[#This Row],[OriginalBudget07]]</f>
        <v>-65209</v>
      </c>
      <c r="ET36" s="54">
        <f>SummaryTable[[#This Row],[BudgetIncreaseAmount08]]/SummaryTable[[#This Row],[OriginalBudget07]]</f>
        <v>-0.26640275190378143</v>
      </c>
      <c r="EU36" s="61">
        <f>IF(COUNTIFS(allFYsTable[Code], SummaryTable[[#This Row],[Code]], allFYsTable[year2], ER$3)=0, NotFound, SUMIFS(allFYsTable[RevisedBudget], allFYsTable[Code], SummaryTable[[#This Row],[Code]], allFYsTable[year2], ER$3))</f>
        <v>140001</v>
      </c>
      <c r="EV36" s="61">
        <f>IF(COUNTIFS(allFYsTable[Code], SummaryTable[[#This Row],[Code]], allFYsTable[year2], ER$3)=0, NotFound, SUMIFS(allFYsTable[Actual], allFYsTable[Code], SummaryTable[[#This Row],[Code]], allFYsTable[year2], ER$3))</f>
        <v>137874</v>
      </c>
      <c r="EW36" s="61">
        <f>IF(COUNTIFS(allFYsTable[Code], SummaryTable[[#This Row],[Code]], allFYsTable[year2], ER$3)=0, NotFound, SUMIFS(allFYsTable[DiffAmount], allFYsTable[Code], SummaryTable[[#This Row],[Code]], allFYsTable[year2], ER$3))</f>
        <v>-41693</v>
      </c>
      <c r="EX36" s="63">
        <f>IF(SummaryTable[[#This Row],[OriginalBudget08]]=0, IF(SummaryTable[[#This Row],[DiffAmount08]]=0, ZeroBudgetNoSpending, ZeroBudgetWithSpending), SummaryTable[[#This Row],[DiffAmount08]]/SummaryTable[[#This Row],[OriginalBudget08]])</f>
        <v>-0.23218631485740698</v>
      </c>
      <c r="EY36" s="62">
        <f>IF(COUNTIFS(allFYsTable[Code], SummaryTable[[#This Row],[Code]], allFYsTable[year2], EY$3)=0, NotFound, SUMIFS(allFYsTable[OriginalBudget], allFYsTable[Code], SummaryTable[[#This Row],[Code]], allFYsTable[year2], EY$3))</f>
        <v>244776</v>
      </c>
      <c r="EZ36" s="61">
        <f>SummaryTable[[#This Row],[OriginalBudget07]]-SummaryTable[[#This Row],[OriginalBudget06]]</f>
        <v>20343</v>
      </c>
      <c r="FA36" s="54">
        <f>SummaryTable[[#This Row],[BudgetIncreaseAmount07]]/SummaryTable[[#This Row],[OriginalBudget06]]</f>
        <v>9.0641750544705996E-2</v>
      </c>
      <c r="FB36" s="61">
        <f>IF(COUNTIFS(allFYsTable[Code], SummaryTable[[#This Row],[Code]], allFYsTable[year2], EY$3)=0, NotFound, SUMIFS(allFYsTable[RevisedBudget], allFYsTable[Code], SummaryTable[[#This Row],[Code]], allFYsTable[year2], EY$3))</f>
        <v>278198</v>
      </c>
      <c r="FC36" s="61">
        <f>IF(COUNTIFS(allFYsTable[Code], SummaryTable[[#This Row],[Code]], allFYsTable[year2], EY$3)=0, NotFound, SUMIFS(allFYsTable[Actual], allFYsTable[Code], SummaryTable[[#This Row],[Code]], allFYsTable[year2], EY$3))</f>
        <v>272198</v>
      </c>
      <c r="FD36" s="61">
        <f>IF(COUNTIFS(allFYsTable[Code], SummaryTable[[#This Row],[Code]], allFYsTable[year2], EY$3)=0, NotFound, SUMIFS(allFYsTable[DiffAmount], allFYsTable[Code], SummaryTable[[#This Row],[Code]], allFYsTable[year2], EY$3))</f>
        <v>27422</v>
      </c>
      <c r="FE36" s="63">
        <f>IF(SummaryTable[[#This Row],[OriginalBudget07]]=0, IF(SummaryTable[[#This Row],[DiffAmount07]]=0, ZeroBudgetNoSpending, ZeroBudgetWithSpending), SummaryTable[[#This Row],[DiffAmount07]]/SummaryTable[[#This Row],[OriginalBudget07]])</f>
        <v>0.11202895708729614</v>
      </c>
      <c r="FF36" s="62">
        <f>IF(COUNTIFS(allFYsTable[Code], SummaryTable[[#This Row],[Code]], allFYsTable[year2], FF$3)=0, NotFound, SUMIFS(allFYsTable[OriginalBudget], allFYsTable[Code], SummaryTable[[#This Row],[Code]], allFYsTable[year2], FF$3))</f>
        <v>224433</v>
      </c>
      <c r="FI36" s="61">
        <f>IF(COUNTIFS(allFYsTable[Code], SummaryTable[[#This Row],[Code]], allFYsTable[year2], FF$3)=0, NotFound, SUMIFS(allFYsTable[RevisedBudget], allFYsTable[Code], SummaryTable[[#This Row],[Code]], allFYsTable[year2], FF$3))</f>
        <v>253922</v>
      </c>
      <c r="FJ36" s="61">
        <f>IF(COUNTIFS(allFYsTable[Code], SummaryTable[[#This Row],[Code]], allFYsTable[year2], FF$3)=0, NotFound, SUMIFS(allFYsTable[Actual], allFYsTable[Code], SummaryTable[[#This Row],[Code]], allFYsTable[year2], FF$3))</f>
        <v>253856</v>
      </c>
      <c r="FK36" s="61">
        <f>IF(COUNTIFS(allFYsTable[Code], SummaryTable[[#This Row],[Code]], allFYsTable[year2], FF$3)=0, NotFound, SUMIFS(allFYsTable[DiffAmount], allFYsTable[Code], SummaryTable[[#This Row],[Code]], allFYsTable[year2], FF$3))</f>
        <v>29423</v>
      </c>
      <c r="FL36" s="63">
        <f>IF(SummaryTable[[#This Row],[OriginalBudget06]]=0, IF(SummaryTable[[#This Row],[DiffAmount06]]=0, ZeroBudgetNoSpending, ZeroBudgetWithSpending), SummaryTable[[#This Row],[DiffAmount06]]/SummaryTable[[#This Row],[OriginalBudget06]])</f>
        <v>0.13109925902162339</v>
      </c>
    </row>
    <row r="37" spans="1:168" x14ac:dyDescent="0.45">
      <c r="A37" t="s">
        <v>800</v>
      </c>
      <c r="B37">
        <f>_xlfn.MAXIFS(allFYsTable[year2], allFYsTable[Code], SummaryTable[[#This Row],[Code]])</f>
        <v>2025</v>
      </c>
      <c r="C37" t="str">
        <f>_xlfn.XLOOKUP(SummaryTable[[#This Row],[Code]], NameCodingTable[Code], NameCodingTable[Most Recent Category per allFYs])</f>
        <v>Operations and infrastructure</v>
      </c>
      <c r="D37" t="str">
        <f>_xlfn.XLOOKUP(SummaryTable[[#This Row],[Code]], NameCodingTable[Code], NameCodingTable[Unit Display Name])</f>
        <v>Department of Insurance, Securities and Banking (DISB)</v>
      </c>
      <c r="E37" t="str">
        <f>_xlfn.XLOOKUP(SummaryTable[[#This Row],[Code]], NameCodingTable[Code], NameCodingTable[Type])</f>
        <v>agency</v>
      </c>
      <c r="F3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14</v>
      </c>
      <c r="G3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37" s="54">
        <f>SummaryTable[[#This Row],['# Over]]/SummaryTable[[#This Row],[Count]]</f>
        <v>0</v>
      </c>
      <c r="I3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5</v>
      </c>
      <c r="J37" s="54">
        <f>SummaryTable[[#This Row],['# Under]]/SummaryTable[[#This Row],[Count]]</f>
        <v>0.35714285714285715</v>
      </c>
      <c r="K3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9</v>
      </c>
      <c r="L37" s="54">
        <f>SummaryTable[[#This Row],['# Equal]]/SummaryTable[[#This Row],[Count]]</f>
        <v>0.6428571428571429</v>
      </c>
      <c r="M37" s="61">
        <f>SUMIFS(allFYsTable[OriginalBudget],allFYsTable[Code],SummaryTable[[#This Row],[Code]])/SummaryTable[[#This Row],[Count]]</f>
        <v>440.07142857142856</v>
      </c>
      <c r="N37" s="61">
        <f>SUMIFS(allFYsTable[Actual],allFYsTable[Code],SummaryTable[[#This Row],[Code]])/SummaryTable[[#This Row],[Count]]</f>
        <v>290.35714285714283</v>
      </c>
      <c r="O37" s="61">
        <f>SummaryTable[[#This Row],[AvgActAmt]]-SummaryTable[[#This Row],[AvgBudAmt]]</f>
        <v>-149.71428571428572</v>
      </c>
      <c r="P37" s="54">
        <f>IF(SummaryTable[[#This Row],[AvgBudAmt]]=0, IF(SummaryTable[[#This Row],[AvgDiff'#]]=0, 0, NamedFields!$C$3), SummaryTable[[#This Row],[AvgDiff'#]]/SummaryTable[[#This Row],[AvgBudAmt]])</f>
        <v>-0.34020451225450415</v>
      </c>
      <c r="Q37" s="61">
        <f>IFERROR(SUMIFS(allFYsTable[OriginalBudget],allFYsTable[Code],SummaryTable[[#This Row],[Code]],allFYsTable[DiffAmount], "&gt;0")/SummaryTable[[#This Row],['# Over]], 0)</f>
        <v>0</v>
      </c>
      <c r="R37" s="61">
        <f>IFERROR(SUMIFS(allFYsTable[Actual],allFYsTable[Code],SummaryTable[[#This Row],[Code]],allFYsTable[DiffAmount], "&gt;0")/SummaryTable[[#This Row],['# Over]], 0)</f>
        <v>0</v>
      </c>
      <c r="S37" s="61">
        <f>SummaryTable[[#This Row],[OverAvgAct]]-SummaryTable[[#This Row],[OverAvgBud]]</f>
        <v>0</v>
      </c>
      <c r="T37" s="54">
        <f>IF(SummaryTable[[#This Row],[OverAvgBud]]=0, IF(SummaryTable[[#This Row],[OverAvgDiff'#]]=0, ZeroBudgetNoSpending, ZeroBudgetWithSpending), SummaryTable[[#This Row],[OverAvgDiff'#]]/SummaryTable[[#This Row],[OverAvgBud]])</f>
        <v>0</v>
      </c>
      <c r="U37" s="61">
        <f>IFERROR(SUMIFS(allFYsTable[OriginalBudget],allFYsTable[Code],SummaryTable[[#This Row],[Code]],allFYsTable[DiffAmount], "&lt;0")/SummaryTable[[#This Row],['# Under]], 0)</f>
        <v>1192.2</v>
      </c>
      <c r="V37" s="61">
        <f>IFERROR( SUMIFS(allFYsTable[Actual],allFYsTable[Code],SummaryTable[[#This Row],[Code]],allFYsTable[DiffAmount], "&lt;0")/SummaryTable[[#This Row],['# Under]], 0)</f>
        <v>773</v>
      </c>
      <c r="W37" s="61">
        <f>SummaryTable[[#This Row],[UnderAvgAct]]-SummaryTable[[#This Row],[UnderAvgBud]]</f>
        <v>-419.20000000000005</v>
      </c>
      <c r="X37" s="54">
        <f>IF(SummaryTable[[#This Row],[UnderAvgBud]]=0, IF(SummaryTable[[#This Row],[UnderAvgDiff'#]]=0, ZeroBudgetNoSpending, NamedFields!$C$3), SummaryTable[[#This Row],[UnderAvgDiff'#]]/SummaryTable[[#This Row],[UnderAvgBud]])</f>
        <v>-0.35161885589666164</v>
      </c>
      <c r="Y3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3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37" s="54">
        <f>IF(SummaryTable[[#This Row],[IncreaseYears]]=0, ZeroBudgetNoSpending, SummaryTable[[#This Row],[OSinIncreaseYear'#]]/SummaryTable[[#This Row],[IncreaseYears]])</f>
        <v>0</v>
      </c>
      <c r="AB37" s="58" t="str">
        <f>SummaryTable[[#This Row],[Code]]</f>
        <v>SR0</v>
      </c>
      <c r="AC37" s="62">
        <f>IF(COUNTIFS(allFYsTable[Code], SummaryTable[[#This Row],[Code]], allFYsTable[year2], AC$3)=0, NotFound, SUMIFS(allFYsTable[OriginalBudget], allFYsTable[Code], SummaryTable[[#This Row],[Code]], allFYsTable[year2], AC$3))</f>
        <v>296</v>
      </c>
      <c r="AD37" s="61">
        <f>SummaryTable[[#This Row],[OriginalBudget25]]-SummaryTable[[#This Row],[OriginalBudget24]]</f>
        <v>-1469</v>
      </c>
      <c r="AE37" s="54">
        <f>SummaryTable[[#This Row],[BudgetIncreaseAmount25]]/SummaryTable[[#This Row],[OriginalBudget24]]</f>
        <v>-0.83229461756373935</v>
      </c>
      <c r="AF37" s="61">
        <f>IF(COUNTIFS(allFYsTable[Code], SummaryTable[[#This Row],[Code]], allFYsTable[year2], AC$3)=0, NotFound, SUMIFS(allFYsTable[RevisedBudget], allFYsTable[Code], SummaryTable[[#This Row],[Code]], allFYsTable[year2], AC$3))</f>
        <v>0</v>
      </c>
      <c r="AG37" s="61">
        <f>IF(COUNTIFS(allFYsTable[Code], SummaryTable[[#This Row],[Code]], allFYsTable[year2], AC$3)=0, NotFound, SUMIFS(allFYsTable[Actual], allFYsTable[Code], SummaryTable[[#This Row],[Code]], allFYsTable[year2], AC$3))</f>
        <v>0</v>
      </c>
      <c r="AH37" s="61">
        <f>IF(COUNTIFS(allFYsTable[Code], SummaryTable[[#This Row],[Code]], allFYsTable[year2], AC$3)=0, NotFound, SUMIFS(allFYsTable[DiffAmount], allFYsTable[Code], SummaryTable[[#This Row],[Code]], allFYsTable[year2], AC$3))</f>
        <v>-296</v>
      </c>
      <c r="AI37" s="63">
        <f>IF(SummaryTable[[#This Row],[OriginalBudget25]]=0, IF(SummaryTable[[#This Row],[DiffAmount25]]=0, ZeroBudgetNoSpending, ZeroBudgetWithSpending), SummaryTable[[#This Row],[DiffAmount25]]/SummaryTable[[#This Row],[OriginalBudget25]])</f>
        <v>-1</v>
      </c>
      <c r="AJ37" s="62">
        <f>IF(COUNTIFS(allFYsTable[Code], SummaryTable[[#This Row],[Code]], allFYsTable[year2], AJ$3)=0, NotFound, SUMIFS(allFYsTable[OriginalBudget], allFYsTable[Code], SummaryTable[[#This Row],[Code]], allFYsTable[year2], AJ$3))</f>
        <v>1765</v>
      </c>
      <c r="AK37" s="61">
        <f>SummaryTable[[#This Row],[OriginalBudget24]]-SummaryTable[[#This Row],[OriginalBudget23]]</f>
        <v>-240</v>
      </c>
      <c r="AL37" s="54">
        <f>SummaryTable[[#This Row],[BudgetIncreaseAmount24]]/SummaryTable[[#This Row],[OriginalBudget23]]</f>
        <v>-0.11970074812967581</v>
      </c>
      <c r="AM37" s="61">
        <f>IF(COUNTIFS(allFYsTable[Code], SummaryTable[[#This Row],[Code]], allFYsTable[year2], AK$3)=0, NotFound, SUMIFS(allFYsTable[RevisedBudget], allFYsTable[Code], SummaryTable[[#This Row],[Code]], allFYsTable[year2], AJ$3))</f>
        <v>745</v>
      </c>
      <c r="AN37" s="61">
        <f>IF(COUNTIFS(allFYsTable[Code], SummaryTable[[#This Row],[Code]], allFYsTable[year2], AJ$3)=0, NotFound, SUMIFS(allFYsTable[Actual], allFYsTable[Code], SummaryTable[[#This Row],[Code]], allFYsTable[year2], AJ$3))</f>
        <v>717</v>
      </c>
      <c r="AO37" s="61">
        <f>IF(COUNTIFS(allFYsTable[Code], SummaryTable[[#This Row],[Code]], allFYsTable[year2], AJ$3)=0, NotFound, SUMIFS(allFYsTable[DiffAmount], allFYsTable[Code], SummaryTable[[#This Row],[Code]], allFYsTable[year2], AJ$3))</f>
        <v>-1048</v>
      </c>
      <c r="AP37" s="63">
        <f>IF(SummaryTable[[#This Row],[OriginalBudget24]]=0, IF(SummaryTable[[#This Row],[DiffAmount24]]=0, ZeroBudgetNoSpending, ZeroBudgetWithSpending), SummaryTable[[#This Row],[DiffAmount24]]/SummaryTable[[#This Row],[OriginalBudget24]])</f>
        <v>-0.59376770538243628</v>
      </c>
      <c r="AQ37" s="62">
        <f>IF(COUNTIFS(allFYsTable[Code], SummaryTable[[#This Row],[Code]], allFYsTable[year2], AQ$3)=0, NotFound, SUMIFS(allFYsTable[OriginalBudget], allFYsTable[Code], SummaryTable[[#This Row],[Code]], allFYsTable[year2], AQ$3))</f>
        <v>2005</v>
      </c>
      <c r="AR37" s="61">
        <f>SummaryTable[[#This Row],[OriginalBudget23]]-SummaryTable[[#This Row],[OriginalBudget22]]</f>
        <v>310</v>
      </c>
      <c r="AS37" s="54">
        <f>SummaryTable[[#This Row],[BudgetIncreaseAmount23]]/SummaryTable[[#This Row],[OriginalBudget22]]</f>
        <v>0.18289085545722714</v>
      </c>
      <c r="AT37" s="61">
        <f>IF(COUNTIFS(allFYsTable[Code], SummaryTable[[#This Row],[Code]], allFYsTable[year2], AQ$3)=0, NotFound, SUMIFS(allFYsTable[RevisedBudget], allFYsTable[Code], SummaryTable[[#This Row],[Code]], allFYsTable[year2], AQ$3))</f>
        <v>1792</v>
      </c>
      <c r="AU37" s="61">
        <f>IF(COUNTIFS(allFYsTable[Code], SummaryTable[[#This Row],[Code]], allFYsTable[year2], AQ$3)=0, NotFound, SUMIFS(allFYsTable[Actual], allFYsTable[Code], SummaryTable[[#This Row],[Code]], allFYsTable[year2], AQ$3))</f>
        <v>1791</v>
      </c>
      <c r="AV37" s="61">
        <f>IF(COUNTIFS(allFYsTable[Code], SummaryTable[[#This Row],[Code]], allFYsTable[year2], AQ$3)=0, NotFound, SUMIFS(allFYsTable[DiffAmount], allFYsTable[Code], SummaryTable[[#This Row],[Code]], allFYsTable[year2], AQ$3))</f>
        <v>-214</v>
      </c>
      <c r="AW37" s="63">
        <f>IF(SummaryTable[[#This Row],[OriginalBudget23]]=0, IF(SummaryTable[[#This Row],[DiffAmount23]]=0, ZeroBudgetNoSpending, ZeroBudgetWithSpending), SummaryTable[[#This Row],[DiffAmount23]]/SummaryTable[[#This Row],[OriginalBudget23]])</f>
        <v>-0.10673316708229426</v>
      </c>
      <c r="AX37" s="62">
        <f>IF(COUNTIFS(allFYsTable[Code], SummaryTable[[#This Row],[Code]], allFYsTable[year2], AX$3)=0, NotFound, SUMIFS(allFYsTable[OriginalBudget], allFYsTable[Code], SummaryTable[[#This Row],[Code]], allFYsTable[year2], AX$3))</f>
        <v>1695</v>
      </c>
      <c r="AY37" s="61">
        <f>SummaryTable[[#This Row],[OriginalBudget22]]-SummaryTable[[#This Row],[OriginalBudget21]]</f>
        <v>1695</v>
      </c>
      <c r="AZ37" s="54" t="e">
        <f>SummaryTable[[#This Row],[BudgetIncreaseAmount22]]/SummaryTable[[#This Row],[OriginalBudget21]]</f>
        <v>#DIV/0!</v>
      </c>
      <c r="BA37" s="61">
        <f>IF(COUNTIFS(allFYsTable[Code], SummaryTable[[#This Row],[Code]], allFYsTable[year2], AX$3)=0, NotFound, SUMIFS(allFYsTable[RevisedBudget], allFYsTable[Code], SummaryTable[[#This Row],[Code]], allFYsTable[year2], AX$3))</f>
        <v>1207</v>
      </c>
      <c r="BB37" s="61">
        <f>IF(COUNTIFS(allFYsTable[Code], SummaryTable[[#This Row],[Code]], allFYsTable[year2], AX$3)=0, NotFound, SUMIFS(allFYsTable[Actual], allFYsTable[Code], SummaryTable[[#This Row],[Code]], allFYsTable[year2], AX$3))</f>
        <v>1207</v>
      </c>
      <c r="BC37" s="61">
        <f>IF(COUNTIFS(allFYsTable[Code], SummaryTable[[#This Row],[Code]], allFYsTable[year2], AX$3)=0, NotFound, SUMIFS(allFYsTable[DiffAmount], allFYsTable[Code], SummaryTable[[#This Row],[Code]], allFYsTable[year2], AX$3))</f>
        <v>-488</v>
      </c>
      <c r="BD37" s="63">
        <f>IF(SummaryTable[[#This Row],[OriginalBudget22]]=0, IF(SummaryTable[[#This Row],[DiffAmount22]]=0, ZeroBudgetNoSpending, ZeroBudgetWithSpending), SummaryTable[[#This Row],[DiffAmount22]]/SummaryTable[[#This Row],[OriginalBudget22]])</f>
        <v>-0.28790560471976401</v>
      </c>
      <c r="BE37" s="62">
        <f>IF(COUNTIFS(allFYsTable[Code], SummaryTable[[#This Row],[Code]], allFYsTable[year2], BE$3)=0, NotFound, SUMIFS(allFYsTable[OriginalBudget], allFYsTable[Code], SummaryTable[[#This Row],[Code]], allFYsTable[year2], BE$3))</f>
        <v>0</v>
      </c>
      <c r="BF37" s="61">
        <f>SummaryTable[[#This Row],[OriginalBudget21]]-SummaryTable[[#This Row],[OriginalBudget20]]</f>
        <v>0</v>
      </c>
      <c r="BG37" s="54" t="e">
        <f>SummaryTable[[#This Row],[BudgetIncreaseAmount21]]/SummaryTable[[#This Row],[OriginalBudget20]]</f>
        <v>#DIV/0!</v>
      </c>
      <c r="BH37" s="61">
        <f>IF(COUNTIFS(allFYsTable[Code], SummaryTable[[#This Row],[Code]], allFYsTable[year2], BE$3)=0, NotFound, SUMIFS(allFYsTable[RevisedBudget], allFYsTable[Code], SummaryTable[[#This Row],[Code]], allFYsTable[year2], BE$3))</f>
        <v>0</v>
      </c>
      <c r="BI37" s="61">
        <f>IF(COUNTIFS(allFYsTable[Code], SummaryTable[[#This Row],[Code]], allFYsTable[year2], BE$3)=0, NotFound, SUMIFS(allFYsTable[Actual], allFYsTable[Code], SummaryTable[[#This Row],[Code]], allFYsTable[year2], BE$3))</f>
        <v>0</v>
      </c>
      <c r="BJ37" s="61">
        <f>IF(COUNTIFS(allFYsTable[Code], SummaryTable[[#This Row],[Code]], allFYsTable[year2], BE$3)=0, NotFound, SUMIFS(allFYsTable[DiffAmount], allFYsTable[Code], SummaryTable[[#This Row],[Code]], allFYsTable[year2], BE$3))</f>
        <v>0</v>
      </c>
      <c r="BK37" s="63">
        <f>IF(SummaryTable[[#This Row],[OriginalBudget21]]=0, IF(SummaryTable[[#This Row],[DiffAmount21]]=0, ZeroBudgetNoSpending, ZeroBudgetWithSpending), SummaryTable[[#This Row],[DiffAmount21]]/SummaryTable[[#This Row],[OriginalBudget21]])</f>
        <v>0</v>
      </c>
      <c r="BL37" s="62">
        <f>IF(COUNTIFS(allFYsTable[Code], SummaryTable[[#This Row],[Code]], allFYsTable[year2], BL$3)=0, NotFound, SUMIFS(allFYsTable[OriginalBudget], allFYsTable[Code], SummaryTable[[#This Row],[Code]], allFYsTable[year2], BL$3))</f>
        <v>0</v>
      </c>
      <c r="BM37" s="61">
        <f>SummaryTable[[#This Row],[OriginalBudget20]]-SummaryTable[[#This Row],[OriginalBudget19]]</f>
        <v>0</v>
      </c>
      <c r="BN37" s="54" t="e">
        <f>SummaryTable[[#This Row],[BudgetIncreaseAmount20]]/SummaryTable[[#This Row],[OriginalBudget19]]</f>
        <v>#DIV/0!</v>
      </c>
      <c r="BO37" s="61">
        <f>IF(COUNTIFS(allFYsTable[Code], SummaryTable[[#This Row],[Code]], allFYsTable[year2], BL$3)=0, NotFound, SUMIFS(allFYsTable[RevisedBudget], allFYsTable[Code], SummaryTable[[#This Row],[Code]], allFYsTable[year2], BL$3))</f>
        <v>0</v>
      </c>
      <c r="BP37" s="61">
        <f>IF(COUNTIFS(allFYsTable[Code], SummaryTable[[#This Row],[Code]], allFYsTable[year2], BL$3)=0, NotFound, SUMIFS(allFYsTable[Actual], allFYsTable[Code], SummaryTable[[#This Row],[Code]], allFYsTable[year2], BL$3))</f>
        <v>0</v>
      </c>
      <c r="BQ37" s="61">
        <f>IF(COUNTIFS(allFYsTable[Code], SummaryTable[[#This Row],[Code]], allFYsTable[year2], BL$3)=0, NotFound, SUMIFS(allFYsTable[DiffAmount], allFYsTable[Code], SummaryTable[[#This Row],[Code]], allFYsTable[year2], BL$3))</f>
        <v>0</v>
      </c>
      <c r="BR37" s="63">
        <f>IF(SummaryTable[[#This Row],[OriginalBudget20]]=0, IF(SummaryTable[[#This Row],[DiffAmount20]]=0, ZeroBudgetNoSpending, ZeroBudgetWithSpending), SummaryTable[[#This Row],[DiffAmount20]]/SummaryTable[[#This Row],[OriginalBudget20]])</f>
        <v>0</v>
      </c>
      <c r="BS37" s="62">
        <f>IF(COUNTIFS(allFYsTable[Code], SummaryTable[[#This Row],[Code]], allFYsTable[year2], BS$3)=0, NotFound, SUMIFS(allFYsTable[OriginalBudget], allFYsTable[Code], SummaryTable[[#This Row],[Code]], allFYsTable[year2], BS$3))</f>
        <v>0</v>
      </c>
      <c r="BT37" s="61">
        <f>SummaryTable[[#This Row],[OriginalBudget19]]-SummaryTable[[#This Row],[OriginalBudget18]]</f>
        <v>-200</v>
      </c>
      <c r="BU37" s="54">
        <f>SummaryTable[[#This Row],[BudgetIncreaseAmount19]]/SummaryTable[[#This Row],[OriginalBudget18]]</f>
        <v>-1</v>
      </c>
      <c r="BV37" s="61">
        <f>IF(COUNTIFS(allFYsTable[Code], SummaryTable[[#This Row],[Code]], allFYsTable[year2], BS$3)=0, NotFound, SUMIFS(allFYsTable[RevisedBudget], allFYsTable[Code], SummaryTable[[#This Row],[Code]], allFYsTable[year2], BS$3))</f>
        <v>0</v>
      </c>
      <c r="BW37" s="61">
        <f>IF(COUNTIFS(allFYsTable[Code], SummaryTable[[#This Row],[Code]], allFYsTable[year2], BS$3)=0, NotFound, SUMIFS(allFYsTable[Actual], allFYsTable[Code], SummaryTable[[#This Row],[Code]], allFYsTable[year2], BS$3))</f>
        <v>0</v>
      </c>
      <c r="BX37" s="61">
        <f>IF(COUNTIFS(allFYsTable[Code], SummaryTable[[#This Row],[Code]], allFYsTable[year2], BS$3)=0, NotFound, SUMIFS(allFYsTable[DiffAmount], allFYsTable[Code], SummaryTable[[#This Row],[Code]], allFYsTable[year2], BS$3))</f>
        <v>0</v>
      </c>
      <c r="BY37" s="63">
        <f>IF(SummaryTable[[#This Row],[OriginalBudget19]]=0, IF(SummaryTable[[#This Row],[DiffAmount19]]=0, ZeroBudgetNoSpending, ZeroBudgetWithSpending), SummaryTable[[#This Row],[DiffAmount19]]/SummaryTable[[#This Row],[OriginalBudget19]])</f>
        <v>0</v>
      </c>
      <c r="BZ37" s="62">
        <f>IF(COUNTIFS(allFYsTable[Code], SummaryTable[[#This Row],[Code]], allFYsTable[year2], BZ$3)=0, NotFound, SUMIFS(allFYsTable[OriginalBudget], allFYsTable[Code], SummaryTable[[#This Row],[Code]], allFYsTable[year2], BZ$3))</f>
        <v>200</v>
      </c>
      <c r="CA37" s="61">
        <f>SummaryTable[[#This Row],[OriginalBudget18]]-SummaryTable[[#This Row],[OriginalBudget17]]</f>
        <v>200</v>
      </c>
      <c r="CB37" s="54" t="e">
        <f>SummaryTable[[#This Row],[BudgetIncreaseAmount18]]/SummaryTable[[#This Row],[OriginalBudget17]]</f>
        <v>#DIV/0!</v>
      </c>
      <c r="CC37" s="61">
        <f>IF(COUNTIFS(allFYsTable[Code], SummaryTable[[#This Row],[Code]], allFYsTable[year2], BZ$3)=0, NotFound, SUMIFS(allFYsTable[RevisedBudget], allFYsTable[Code], SummaryTable[[#This Row],[Code]], allFYsTable[year2], BZ$3))</f>
        <v>200</v>
      </c>
      <c r="CD37" s="61">
        <f>IF(COUNTIFS(allFYsTable[Code], SummaryTable[[#This Row],[Code]], allFYsTable[year2], BZ$3)=0, NotFound, SUMIFS(allFYsTable[Actual], allFYsTable[Code], SummaryTable[[#This Row],[Code]], allFYsTable[year2], BZ$3))</f>
        <v>150</v>
      </c>
      <c r="CE37" s="61">
        <f>IF(COUNTIFS(allFYsTable[Code], SummaryTable[[#This Row],[Code]], allFYsTable[year2], BZ$3)=0, NotFound, SUMIFS(allFYsTable[DiffAmount], allFYsTable[Code], SummaryTable[[#This Row],[Code]], allFYsTable[year2], BZ$3))</f>
        <v>-50</v>
      </c>
      <c r="CF37" s="63">
        <f>IF(SummaryTable[[#This Row],[OriginalBudget18]]=0, IF(SummaryTable[[#This Row],[DiffAmount18]]=0, ZeroBudgetNoSpending, ZeroBudgetWithSpending), SummaryTable[[#This Row],[DiffAmount18]]/SummaryTable[[#This Row],[OriginalBudget18]])</f>
        <v>-0.25</v>
      </c>
      <c r="CG37" s="62">
        <f>IF(COUNTIFS(allFYsTable[Code], SummaryTable[[#This Row],[Code]], allFYsTable[year2], CG$3)=0, NotFound, SUMIFS(allFYsTable[OriginalBudget], allFYsTable[Code], SummaryTable[[#This Row],[Code]], allFYsTable[year2], CG$3))</f>
        <v>0</v>
      </c>
      <c r="CH37" s="61">
        <f>SummaryTable[[#This Row],[OriginalBudget17]]-SummaryTable[[#This Row],[OriginalBudget16]]</f>
        <v>0</v>
      </c>
      <c r="CI37" s="54" t="e">
        <f>SummaryTable[[#This Row],[BudgetIncreaseAmount17]]/SummaryTable[[#This Row],[OriginalBudget16]]</f>
        <v>#DIV/0!</v>
      </c>
      <c r="CJ37" s="61">
        <f>IF(COUNTIFS(allFYsTable[Code], SummaryTable[[#This Row],[Code]], allFYsTable[year2], CG$3)=0, NotFound, SUMIFS(allFYsTable[RevisedBudget], allFYsTable[Code], SummaryTable[[#This Row],[Code]], allFYsTable[year2], CG$3))</f>
        <v>0</v>
      </c>
      <c r="CK37" s="61">
        <f>IF(COUNTIFS(allFYsTable[Code], SummaryTable[[#This Row],[Code]], allFYsTable[year2], CG$3)=0, NotFound, SUMIFS(allFYsTable[Actual], allFYsTable[Code], SummaryTable[[#This Row],[Code]], allFYsTable[year2], CG$3))</f>
        <v>0</v>
      </c>
      <c r="CL37" s="61">
        <f>IF(COUNTIFS(allFYsTable[Code], SummaryTable[[#This Row],[Code]], allFYsTable[year2], CG$3)=0, NotFound, SUMIFS(allFYsTable[DiffAmount], allFYsTable[Code], SummaryTable[[#This Row],[Code]], allFYsTable[year2], CG$3))</f>
        <v>0</v>
      </c>
      <c r="CM37" s="63">
        <f>IF(SummaryTable[[#This Row],[OriginalBudget17]]=0, IF(SummaryTable[[#This Row],[DiffAmount17]]=0, ZeroBudgetNoSpending, ZeroBudgetWithSpending), SummaryTable[[#This Row],[DiffAmount17]]/SummaryTable[[#This Row],[OriginalBudget17]])</f>
        <v>0</v>
      </c>
      <c r="CN37" s="62">
        <f>IF(COUNTIFS(allFYsTable[Code], SummaryTable[[#This Row],[Code]], allFYsTable[year2], CN$3)=0, NotFound, SUMIFS(allFYsTable[OriginalBudget], allFYsTable[Code], SummaryTable[[#This Row],[Code]], allFYsTable[year2], CN$3))</f>
        <v>0</v>
      </c>
      <c r="CO37" s="61">
        <f>SummaryTable[[#This Row],[OriginalBudget16]]-SummaryTable[[#This Row],[OriginalBudget15]]</f>
        <v>0</v>
      </c>
      <c r="CP37" s="54" t="e">
        <f>SummaryTable[[#This Row],[BudgetIncreaseAmount16]]/SummaryTable[[#This Row],[OriginalBudget15]]</f>
        <v>#DIV/0!</v>
      </c>
      <c r="CQ37" s="61">
        <f>IF(COUNTIFS(allFYsTable[Code], SummaryTable[[#This Row],[Code]], allFYsTable[year2], CN$3)=0, NotFound, SUMIFS(allFYsTable[RevisedBudget], allFYsTable[Code], SummaryTable[[#This Row],[Code]], allFYsTable[year2], CN$3))</f>
        <v>0</v>
      </c>
      <c r="CR37" s="61">
        <f>IF(COUNTIFS(allFYsTable[Code], SummaryTable[[#This Row],[Code]], allFYsTable[year2], CN$3)=0, NotFound, SUMIFS(allFYsTable[Actual], allFYsTable[Code], SummaryTable[[#This Row],[Code]], allFYsTable[year2], CN$3))</f>
        <v>0</v>
      </c>
      <c r="CS37" s="61">
        <f>IF(COUNTIFS(allFYsTable[Code], SummaryTable[[#This Row],[Code]], allFYsTable[year2], CN$3)=0, NotFound, SUMIFS(allFYsTable[DiffAmount], allFYsTable[Code], SummaryTable[[#This Row],[Code]], allFYsTable[year2], CN$3))</f>
        <v>0</v>
      </c>
      <c r="CT37" s="63">
        <f>IF(SummaryTable[[#This Row],[OriginalBudget16]]=0, IF(SummaryTable[[#This Row],[DiffAmount16]]=0, ZeroBudgetNoSpending, ZeroBudgetWithSpending), SummaryTable[[#This Row],[DiffAmount16]]/SummaryTable[[#This Row],[OriginalBudget16]])</f>
        <v>0</v>
      </c>
      <c r="CU37" s="62">
        <f>IF(COUNTIFS(allFYsTable[Code], SummaryTable[[#This Row],[Code]], allFYsTable[year2], CU$3)=0, NotFound, SUMIFS(allFYsTable[OriginalBudget], allFYsTable[Code], SummaryTable[[#This Row],[Code]], allFYsTable[year2], CU$3))</f>
        <v>0</v>
      </c>
      <c r="CV37" s="61" t="e">
        <f>SummaryTable[[#This Row],[OriginalBudget15]]-SummaryTable[[#This Row],[OriginalBudget14]]</f>
        <v>#N/A</v>
      </c>
      <c r="CW37" s="54" t="e">
        <f>SummaryTable[[#This Row],[BudgetIncreaseAmount15]]/SummaryTable[[#This Row],[OriginalBudget14]]</f>
        <v>#N/A</v>
      </c>
      <c r="CX37" s="61">
        <f>IF(COUNTIFS(allFYsTable[Code], SummaryTable[[#This Row],[Code]], allFYsTable[year2], CU$3)=0, NotFound, SUMIFS(allFYsTable[RevisedBudget], allFYsTable[Code], SummaryTable[[#This Row],[Code]], allFYsTable[year2], CU$3))</f>
        <v>0</v>
      </c>
      <c r="CY37" s="61">
        <f>IF(COUNTIFS(allFYsTable[Code], SummaryTable[[#This Row],[Code]], allFYsTable[year2], CU$3)=0, NotFound, SUMIFS(allFYsTable[Actual], allFYsTable[Code], SummaryTable[[#This Row],[Code]], allFYsTable[year2], CU$3))</f>
        <v>0</v>
      </c>
      <c r="CZ37" s="61">
        <f>IF(COUNTIFS(allFYsTable[Code], SummaryTable[[#This Row],[Code]], allFYsTable[year2], CU$3)=0, NotFound, SUMIFS(allFYsTable[DiffAmount], allFYsTable[Code], SummaryTable[[#This Row],[Code]], allFYsTable[year2], CU$3))</f>
        <v>0</v>
      </c>
      <c r="DA37" s="63">
        <f>IF(SummaryTable[[#This Row],[OriginalBudget15]]=0, IF(SummaryTable[[#This Row],[DiffAmount15]]=0, ZeroBudgetNoSpending, ZeroBudgetWithSpending), SummaryTable[[#This Row],[DiffAmount15]]/SummaryTable[[#This Row],[OriginalBudget15]])</f>
        <v>0</v>
      </c>
      <c r="DB37" s="62" t="e">
        <f>IF(COUNTIFS(allFYsTable[Code], SummaryTable[[#This Row],[Code]], allFYsTable[year2], DB$3)=0, NotFound, SUMIFS(allFYsTable[OriginalBudget], allFYsTable[Code], SummaryTable[[#This Row],[Code]], allFYsTable[year2], DB$3))</f>
        <v>#N/A</v>
      </c>
      <c r="DC37" s="61" t="e">
        <f>SummaryTable[[#This Row],[OriginalBudget14]]-SummaryTable[[#This Row],[OriginalBudget13]]</f>
        <v>#N/A</v>
      </c>
      <c r="DD37" s="54" t="e">
        <f>SummaryTable[[#This Row],[BudgetIncreaseAmount14]]/SummaryTable[[#This Row],[OriginalBudget13]]</f>
        <v>#N/A</v>
      </c>
      <c r="DE37" s="61" t="e">
        <f>IF(COUNTIFS(allFYsTable[Code], SummaryTable[[#This Row],[Code]], allFYsTable[year2], DB$3)=0, NotFound, SUMIFS(allFYsTable[RevisedBudget], allFYsTable[Code], SummaryTable[[#This Row],[Code]], allFYsTable[year2], DB$3))</f>
        <v>#N/A</v>
      </c>
      <c r="DF37" s="61" t="e">
        <f>IF(COUNTIFS(allFYsTable[Code], SummaryTable[[#This Row],[Code]], allFYsTable[year2], DB$3)=0, NotFound, SUMIFS(allFYsTable[Actual], allFYsTable[Code], SummaryTable[[#This Row],[Code]], allFYsTable[year2], DB$3))</f>
        <v>#N/A</v>
      </c>
      <c r="DG37" s="61" t="e">
        <f>IF(COUNTIFS(allFYsTable[Code], SummaryTable[[#This Row],[Code]], allFYsTable[year2], DB$3)=0, NotFound, SUMIFS(allFYsTable[DiffAmount], allFYsTable[Code], SummaryTable[[#This Row],[Code]], allFYsTable[year2], DB$3))</f>
        <v>#N/A</v>
      </c>
      <c r="DH37" s="63" t="e">
        <f>IF(SummaryTable[[#This Row],[OriginalBudget14]]=0, IF(SummaryTable[[#This Row],[DiffAmount14]]=0, ZeroBudgetNoSpending, ZeroBudgetWithSpending), SummaryTable[[#This Row],[DiffAmount14]]/SummaryTable[[#This Row],[OriginalBudget14]])</f>
        <v>#N/A</v>
      </c>
      <c r="DI37" s="62" t="e">
        <f>IF(COUNTIFS(allFYsTable[Code], SummaryTable[[#This Row],[Code]], allFYsTable[year2], DI$3)=0, NotFound, SUMIFS(allFYsTable[OriginalBudget], allFYsTable[Code], SummaryTable[[#This Row],[Code]], allFYsTable[year2], DI$3))</f>
        <v>#N/A</v>
      </c>
      <c r="DJ37" s="61" t="e">
        <f>SummaryTable[[#This Row],[OriginalBudget13]]-SummaryTable[[#This Row],[OriginalBudget12]]</f>
        <v>#N/A</v>
      </c>
      <c r="DK37" s="54" t="e">
        <f>SummaryTable[[#This Row],[BudgetIncreaseAmount13]]/SummaryTable[[#This Row],[OriginalBudget12]]</f>
        <v>#N/A</v>
      </c>
      <c r="DL37" s="61" t="e">
        <f>IF(COUNTIFS(allFYsTable[Code], SummaryTable[[#This Row],[Code]], allFYsTable[year2], DI$3)=0, NotFound, SUMIFS(allFYsTable[RevisedBudget], allFYsTable[Code], SummaryTable[[#This Row],[Code]], allFYsTable[year2], DI$3))</f>
        <v>#N/A</v>
      </c>
      <c r="DM37" s="61" t="e">
        <f>IF(COUNTIFS(allFYsTable[Code], SummaryTable[[#This Row],[Code]], allFYsTable[year2], DI$3)=0, NotFound, SUMIFS(allFYsTable[Actual], allFYsTable[Code], SummaryTable[[#This Row],[Code]], allFYsTable[year2], DI$3))</f>
        <v>#N/A</v>
      </c>
      <c r="DN37" s="61" t="e">
        <f>IF(COUNTIFS(allFYsTable[Code], SummaryTable[[#This Row],[Code]], allFYsTable[year2], DI$3)=0, NotFound, SUMIFS(allFYsTable[DiffAmount], allFYsTable[Code], SummaryTable[[#This Row],[Code]], allFYsTable[year2], DI$3))</f>
        <v>#N/A</v>
      </c>
      <c r="DO37" s="63" t="e">
        <f>IF(SummaryTable[[#This Row],[OriginalBudget13]]=0, IF(SummaryTable[[#This Row],[DiffAmount13]]=0, ZeroBudgetNoSpending, ZeroBudgetWithSpending), SummaryTable[[#This Row],[DiffAmount13]]/SummaryTable[[#This Row],[OriginalBudget13]])</f>
        <v>#N/A</v>
      </c>
      <c r="DP37" s="62" t="e">
        <f>IF(COUNTIFS(allFYsTable[Code], SummaryTable[[#This Row],[Code]], allFYsTable[year2], DP$3)=0, NotFound, SUMIFS(allFYsTable[OriginalBudget], allFYsTable[Code], SummaryTable[[#This Row],[Code]], allFYsTable[year2], DP$3))</f>
        <v>#N/A</v>
      </c>
      <c r="DQ37" s="61" t="e">
        <f>SummaryTable[[#This Row],[OriginalBudget12]]-SummaryTable[[#This Row],[OriginalBudget11]]</f>
        <v>#N/A</v>
      </c>
      <c r="DR37" s="54" t="e">
        <f>SummaryTable[[#This Row],[BudgetIncreaseAmount12]]/SummaryTable[[#This Row],[OriginalBudget11]]</f>
        <v>#N/A</v>
      </c>
      <c r="DS37" s="61" t="e">
        <f>IF(COUNTIFS(allFYsTable[Code], SummaryTable[[#This Row],[Code]], allFYsTable[year2], DP$3)=0, NotFound, SUMIFS(allFYsTable[RevisedBudget], allFYsTable[Code], SummaryTable[[#This Row],[Code]], allFYsTable[year2], DP$3))</f>
        <v>#N/A</v>
      </c>
      <c r="DT37" s="61" t="e">
        <f>IF(COUNTIFS(allFYsTable[Code], SummaryTable[[#This Row],[Code]], allFYsTable[year2], DP$3)=0, NotFound, SUMIFS(allFYsTable[Actual], allFYsTable[Code], SummaryTable[[#This Row],[Code]], allFYsTable[year2], DP$3))</f>
        <v>#N/A</v>
      </c>
      <c r="DU37" s="61" t="e">
        <f>IF(COUNTIFS(allFYsTable[Code], SummaryTable[[#This Row],[Code]], allFYsTable[year2], DP$3)=0, NotFound, SUMIFS(allFYsTable[DiffAmount], allFYsTable[Code], SummaryTable[[#This Row],[Code]], allFYsTable[year2], DP$3))</f>
        <v>#N/A</v>
      </c>
      <c r="DV37" s="63" t="e">
        <f>IF(SummaryTable[[#This Row],[OriginalBudget12]]=0, IF(SummaryTable[[#This Row],[DiffAmount12]]=0, ZeroBudgetNoSpending, ZeroBudgetWithSpending), SummaryTable[[#This Row],[DiffAmount12]]/SummaryTable[[#This Row],[OriginalBudget12]])</f>
        <v>#N/A</v>
      </c>
      <c r="DW37" s="62" t="e">
        <f>IF(COUNTIFS(allFYsTable[Code], SummaryTable[[#This Row],[Code]], allFYsTable[year2], DW$3)=0, NotFound, SUMIFS(allFYsTable[OriginalBudget], allFYsTable[Code], SummaryTable[[#This Row],[Code]], allFYsTable[year2], DW$3))</f>
        <v>#N/A</v>
      </c>
      <c r="DX37" s="61" t="e">
        <f>SummaryTable[[#This Row],[OriginalBudget11]]-SummaryTable[[#This Row],[OriginalBudget10]]</f>
        <v>#N/A</v>
      </c>
      <c r="DY37" s="54" t="e">
        <f>SummaryTable[[#This Row],[BudgetIncreaseAmount11]]/SummaryTable[[#This Row],[OriginalBudget10]]</f>
        <v>#N/A</v>
      </c>
      <c r="DZ37" s="61" t="e">
        <f>IF(COUNTIFS(allFYsTable[Code], SummaryTable[[#This Row],[Code]], allFYsTable[year2], DW$3)=0, NotFound, SUMIFS(allFYsTable[RevisedBudget], allFYsTable[Code], SummaryTable[[#This Row],[Code]], allFYsTable[year2], DW$3))</f>
        <v>#N/A</v>
      </c>
      <c r="EA37" s="61" t="e">
        <f>IF(COUNTIFS(allFYsTable[Code], SummaryTable[[#This Row],[Code]], allFYsTable[year2], DW$3)=0, NotFound, SUMIFS(allFYsTable[Actual], allFYsTable[Code], SummaryTable[[#This Row],[Code]], allFYsTable[year2], DW$3))</f>
        <v>#N/A</v>
      </c>
      <c r="EB37" s="61" t="e">
        <f>IF(COUNTIFS(allFYsTable[Code], SummaryTable[[#This Row],[Code]], allFYsTable[year2], DW$3)=0, NotFound, SUMIFS(allFYsTable[DiffAmount], allFYsTable[Code], SummaryTable[[#This Row],[Code]], allFYsTable[year2], DW$3))</f>
        <v>#N/A</v>
      </c>
      <c r="EC37" s="63" t="e">
        <f>IF(SummaryTable[[#This Row],[OriginalBudget11]]=0, IF(SummaryTable[[#This Row],[DiffAmount11]]=0, ZeroBudgetNoSpending, ZeroBudgetWithSpending), SummaryTable[[#This Row],[DiffAmount11]]/SummaryTable[[#This Row],[OriginalBudget11]])</f>
        <v>#N/A</v>
      </c>
      <c r="ED37" s="62" t="e">
        <f>IF(COUNTIFS(allFYsTable[Code], SummaryTable[[#This Row],[Code]], allFYsTable[year2], ED$3)=0, NotFound, SUMIFS(allFYsTable[OriginalBudget], allFYsTable[Code], SummaryTable[[#This Row],[Code]], allFYsTable[year2], ED$3))</f>
        <v>#N/A</v>
      </c>
      <c r="EE37" s="61" t="e">
        <f>SummaryTable[[#This Row],[OriginalBudget10]]-SummaryTable[[#This Row],[OriginalBudget09]]</f>
        <v>#N/A</v>
      </c>
      <c r="EF37" s="54" t="e">
        <f>SummaryTable[[#This Row],[BudgetIncreaseAmount10]]/SummaryTable[[#This Row],[OriginalBudget09]]</f>
        <v>#N/A</v>
      </c>
      <c r="EG37" s="61" t="e">
        <f>IF(COUNTIFS(allFYsTable[Code], SummaryTable[[#This Row],[Code]], allFYsTable[year2], ED$3)=0, NotFound, SUMIFS(allFYsTable[RevisedBudget], allFYsTable[Code], SummaryTable[[#This Row],[Code]], allFYsTable[year2], ED$3))</f>
        <v>#N/A</v>
      </c>
      <c r="EH37" s="61" t="e">
        <f>IF(COUNTIFS(allFYsTable[Code], SummaryTable[[#This Row],[Code]], allFYsTable[year2], ED$3)=0, NotFound, SUMIFS(allFYsTable[Actual], allFYsTable[Code], SummaryTable[[#This Row],[Code]], allFYsTable[year2], ED$3))</f>
        <v>#N/A</v>
      </c>
      <c r="EI37" s="61" t="e">
        <f>IF(COUNTIFS(allFYsTable[Code], SummaryTable[[#This Row],[Code]], allFYsTable[year2], ED$3)=0, NotFound, SUMIFS(allFYsTable[DiffAmount], allFYsTable[Code], SummaryTable[[#This Row],[Code]], allFYsTable[year2], ED$3))</f>
        <v>#N/A</v>
      </c>
      <c r="EJ37" s="63" t="e">
        <f>IF(SummaryTable[[#This Row],[OriginalBudget10]]=0, IF(SummaryTable[[#This Row],[DiffAmount10]]=0, ZeroBudgetNoSpending, ZeroBudgetWithSpending), SummaryTable[[#This Row],[DiffAmount10]]/SummaryTable[[#This Row],[OriginalBudget10]])</f>
        <v>#N/A</v>
      </c>
      <c r="EK37" s="62" t="e">
        <f>IF(COUNTIFS(allFYsTable[Code], SummaryTable[[#This Row],[Code]], allFYsTable[year2], EK$3)=0, NotFound, SUMIFS(allFYsTable[OriginalBudget], allFYsTable[Code], SummaryTable[[#This Row],[Code]], allFYsTable[year2], EK$3))</f>
        <v>#N/A</v>
      </c>
      <c r="EL37" s="61" t="e">
        <f>SummaryTable[[#This Row],[OriginalBudget09]]-SummaryTable[[#This Row],[OriginalBudget08]]</f>
        <v>#N/A</v>
      </c>
      <c r="EM37" s="54" t="e">
        <f>SummaryTable[[#This Row],[BudgetIncreaseAmount09]]/SummaryTable[[#This Row],[OriginalBudget08]]</f>
        <v>#N/A</v>
      </c>
      <c r="EN37" s="61" t="e">
        <f>IF(COUNTIFS(allFYsTable[Code], SummaryTable[[#This Row],[Code]], allFYsTable[year2], EK$3)=0, NotFound, SUMIFS(allFYsTable[RevisedBudget], allFYsTable[Code], SummaryTable[[#This Row],[Code]], allFYsTable[year2], EK$3))</f>
        <v>#N/A</v>
      </c>
      <c r="EO37" s="61" t="e">
        <f>IF(COUNTIFS(allFYsTable[Code], SummaryTable[[#This Row],[Code]], allFYsTable[year2], EK$3)=0, NotFound, SUMIFS(allFYsTable[Actual], allFYsTable[Code], SummaryTable[[#This Row],[Code]], allFYsTable[year2], EK$3))</f>
        <v>#N/A</v>
      </c>
      <c r="EP37" s="61" t="e">
        <f>IF(COUNTIFS(allFYsTable[Code], SummaryTable[[#This Row],[Code]], allFYsTable[year2], EK$3)=0, NotFound, SUMIFS(allFYsTable[DiffAmount], allFYsTable[Code], SummaryTable[[#This Row],[Code]], allFYsTable[year2], EK$3))</f>
        <v>#N/A</v>
      </c>
      <c r="EQ37" s="63" t="e">
        <f>IF(SummaryTable[[#This Row],[OriginalBudget09]]=0, IF(SummaryTable[[#This Row],[DiffAmount09]]=0, ZeroBudgetNoSpending, ZeroBudgetWithSpending), SummaryTable[[#This Row],[DiffAmount09]]/SummaryTable[[#This Row],[OriginalBudget09]])</f>
        <v>#N/A</v>
      </c>
      <c r="ER37" s="62">
        <f>IF(COUNTIFS(allFYsTable[Code], SummaryTable[[#This Row],[Code]], allFYsTable[year2], ER$3)=0, NotFound, SUMIFS(allFYsTable[OriginalBudget], allFYsTable[Code], SummaryTable[[#This Row],[Code]], allFYsTable[year2], ER$3))</f>
        <v>0</v>
      </c>
      <c r="ES37" s="61">
        <f>SummaryTable[[#This Row],[OriginalBudget08]]-SummaryTable[[#This Row],[OriginalBudget07]]</f>
        <v>0</v>
      </c>
      <c r="ET37" s="54" t="e">
        <f>SummaryTable[[#This Row],[BudgetIncreaseAmount08]]/SummaryTable[[#This Row],[OriginalBudget07]]</f>
        <v>#DIV/0!</v>
      </c>
      <c r="EU37" s="61">
        <f>IF(COUNTIFS(allFYsTable[Code], SummaryTable[[#This Row],[Code]], allFYsTable[year2], ER$3)=0, NotFound, SUMIFS(allFYsTable[RevisedBudget], allFYsTable[Code], SummaryTable[[#This Row],[Code]], allFYsTable[year2], ER$3))</f>
        <v>0</v>
      </c>
      <c r="EV37" s="61">
        <f>IF(COUNTIFS(allFYsTable[Code], SummaryTable[[#This Row],[Code]], allFYsTable[year2], ER$3)=0, NotFound, SUMIFS(allFYsTable[Actual], allFYsTable[Code], SummaryTable[[#This Row],[Code]], allFYsTable[year2], ER$3))</f>
        <v>0</v>
      </c>
      <c r="EW37" s="61">
        <f>IF(COUNTIFS(allFYsTable[Code], SummaryTable[[#This Row],[Code]], allFYsTable[year2], ER$3)=0, NotFound, SUMIFS(allFYsTable[DiffAmount], allFYsTable[Code], SummaryTable[[#This Row],[Code]], allFYsTable[year2], ER$3))</f>
        <v>0</v>
      </c>
      <c r="EX37" s="63">
        <f>IF(SummaryTable[[#This Row],[OriginalBudget08]]=0, IF(SummaryTable[[#This Row],[DiffAmount08]]=0, ZeroBudgetNoSpending, ZeroBudgetWithSpending), SummaryTable[[#This Row],[DiffAmount08]]/SummaryTable[[#This Row],[OriginalBudget08]])</f>
        <v>0</v>
      </c>
      <c r="EY37" s="62">
        <f>IF(COUNTIFS(allFYsTable[Code], SummaryTable[[#This Row],[Code]], allFYsTable[year2], EY$3)=0, NotFound, SUMIFS(allFYsTable[OriginalBudget], allFYsTable[Code], SummaryTable[[#This Row],[Code]], allFYsTable[year2], EY$3))</f>
        <v>0</v>
      </c>
      <c r="EZ37" s="61">
        <f>SummaryTable[[#This Row],[OriginalBudget07]]-SummaryTable[[#This Row],[OriginalBudget06]]</f>
        <v>0</v>
      </c>
      <c r="FA37" s="54" t="e">
        <f>SummaryTable[[#This Row],[BudgetIncreaseAmount07]]/SummaryTable[[#This Row],[OriginalBudget06]]</f>
        <v>#DIV/0!</v>
      </c>
      <c r="FB37" s="61">
        <f>IF(COUNTIFS(allFYsTable[Code], SummaryTable[[#This Row],[Code]], allFYsTable[year2], EY$3)=0, NotFound, SUMIFS(allFYsTable[RevisedBudget], allFYsTable[Code], SummaryTable[[#This Row],[Code]], allFYsTable[year2], EY$3))</f>
        <v>0</v>
      </c>
      <c r="FC37" s="61">
        <f>IF(COUNTIFS(allFYsTable[Code], SummaryTable[[#This Row],[Code]], allFYsTable[year2], EY$3)=0, NotFound, SUMIFS(allFYsTable[Actual], allFYsTable[Code], SummaryTable[[#This Row],[Code]], allFYsTable[year2], EY$3))</f>
        <v>0</v>
      </c>
      <c r="FD37" s="61">
        <f>IF(COUNTIFS(allFYsTable[Code], SummaryTable[[#This Row],[Code]], allFYsTable[year2], EY$3)=0, NotFound, SUMIFS(allFYsTable[DiffAmount], allFYsTable[Code], SummaryTable[[#This Row],[Code]], allFYsTable[year2], EY$3))</f>
        <v>0</v>
      </c>
      <c r="FE37" s="63">
        <f>IF(SummaryTable[[#This Row],[OriginalBudget07]]=0, IF(SummaryTable[[#This Row],[DiffAmount07]]=0, ZeroBudgetNoSpending, ZeroBudgetWithSpending), SummaryTable[[#This Row],[DiffAmount07]]/SummaryTable[[#This Row],[OriginalBudget07]])</f>
        <v>0</v>
      </c>
      <c r="FF37" s="62">
        <f>IF(COUNTIFS(allFYsTable[Code], SummaryTable[[#This Row],[Code]], allFYsTable[year2], FF$3)=0, NotFound, SUMIFS(allFYsTable[OriginalBudget], allFYsTable[Code], SummaryTable[[#This Row],[Code]], allFYsTable[year2], FF$3))</f>
        <v>0</v>
      </c>
      <c r="FI37" s="61">
        <f>IF(COUNTIFS(allFYsTable[Code], SummaryTable[[#This Row],[Code]], allFYsTable[year2], FF$3)=0, NotFound, SUMIFS(allFYsTable[RevisedBudget], allFYsTable[Code], SummaryTable[[#This Row],[Code]], allFYsTable[year2], FF$3))</f>
        <v>0</v>
      </c>
      <c r="FJ37" s="61">
        <f>IF(COUNTIFS(allFYsTable[Code], SummaryTable[[#This Row],[Code]], allFYsTable[year2], FF$3)=0, NotFound, SUMIFS(allFYsTable[Actual], allFYsTable[Code], SummaryTable[[#This Row],[Code]], allFYsTable[year2], FF$3))</f>
        <v>0</v>
      </c>
      <c r="FK37" s="61">
        <f>IF(COUNTIFS(allFYsTable[Code], SummaryTable[[#This Row],[Code]], allFYsTable[year2], FF$3)=0, NotFound, SUMIFS(allFYsTable[DiffAmount], allFYsTable[Code], SummaryTable[[#This Row],[Code]], allFYsTable[year2], FF$3))</f>
        <v>0</v>
      </c>
      <c r="FL37" s="63">
        <f>IF(SummaryTable[[#This Row],[OriginalBudget06]]=0, IF(SummaryTable[[#This Row],[DiffAmount06]]=0, ZeroBudgetNoSpending, ZeroBudgetWithSpending), SummaryTable[[#This Row],[DiffAmount06]]/SummaryTable[[#This Row],[OriginalBudget06]])</f>
        <v>0</v>
      </c>
    </row>
    <row r="38" spans="1:168" x14ac:dyDescent="0.45">
      <c r="A38" t="s">
        <v>797</v>
      </c>
      <c r="B38">
        <f>_xlfn.MAXIFS(allFYsTable[year2], allFYsTable[Code], SummaryTable[[#This Row],[Code]])</f>
        <v>2025</v>
      </c>
      <c r="C38" t="str">
        <f>_xlfn.XLOOKUP(SummaryTable[[#This Row],[Code]], NameCodingTable[Code], NameCodingTable[Most Recent Category per allFYs])</f>
        <v>Operations and infrastructure</v>
      </c>
      <c r="D38" t="str">
        <f>_xlfn.XLOOKUP(SummaryTable[[#This Row],[Code]], NameCodingTable[Code], NameCodingTable[Unit Display Name])</f>
        <v>Department of Licensing and Consumer Protection (DLCP)</v>
      </c>
      <c r="E38" t="str">
        <f>_xlfn.XLOOKUP(SummaryTable[[#This Row],[Code]], NameCodingTable[Code], NameCodingTable[Type])</f>
        <v>agency</v>
      </c>
      <c r="F3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3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7</v>
      </c>
      <c r="H38" s="54">
        <f>SummaryTable[[#This Row],['# Over]]/SummaryTable[[#This Row],[Count]]</f>
        <v>0.35</v>
      </c>
      <c r="I3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13</v>
      </c>
      <c r="J38" s="54">
        <f>SummaryTable[[#This Row],['# Under]]/SummaryTable[[#This Row],[Count]]</f>
        <v>0.65</v>
      </c>
      <c r="K3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38" s="54">
        <f>SummaryTable[[#This Row],['# Equal]]/SummaryTable[[#This Row],[Count]]</f>
        <v>0</v>
      </c>
      <c r="M38" s="61">
        <f>SUMIFS(allFYsTable[OriginalBudget],allFYsTable[Code],SummaryTable[[#This Row],[Code]])/SummaryTable[[#This Row],[Count]]</f>
        <v>20367.45</v>
      </c>
      <c r="N38" s="61">
        <f>SUMIFS(allFYsTable[Actual],allFYsTable[Code],SummaryTable[[#This Row],[Code]])/SummaryTable[[#This Row],[Count]]</f>
        <v>19964.599999999999</v>
      </c>
      <c r="O38" s="61">
        <f>SummaryTable[[#This Row],[AvgActAmt]]-SummaryTable[[#This Row],[AvgBudAmt]]</f>
        <v>-402.85000000000218</v>
      </c>
      <c r="P38" s="54">
        <f>IF(SummaryTable[[#This Row],[AvgBudAmt]]=0, IF(SummaryTable[[#This Row],[AvgDiff'#]]=0, 0, NamedFields!$C$3), SummaryTable[[#This Row],[AvgDiff'#]]/SummaryTable[[#This Row],[AvgBudAmt]])</f>
        <v>-1.9779108332167363E-2</v>
      </c>
      <c r="Q38" s="61">
        <f>IFERROR(SUMIFS(allFYsTable[OriginalBudget],allFYsTable[Code],SummaryTable[[#This Row],[Code]],allFYsTable[DiffAmount], "&gt;0")/SummaryTable[[#This Row],['# Over]], 0)</f>
        <v>21337.714285714286</v>
      </c>
      <c r="R38" s="61">
        <f>IFERROR(SUMIFS(allFYsTable[Actual],allFYsTable[Code],SummaryTable[[#This Row],[Code]],allFYsTable[DiffAmount], "&gt;0")/SummaryTable[[#This Row],['# Over]], 0)</f>
        <v>23082.285714285714</v>
      </c>
      <c r="S38" s="61">
        <f>SummaryTable[[#This Row],[OverAvgAct]]-SummaryTable[[#This Row],[OverAvgBud]]</f>
        <v>1744.5714285714275</v>
      </c>
      <c r="T38" s="54">
        <f>IF(SummaryTable[[#This Row],[OverAvgBud]]=0, IF(SummaryTable[[#This Row],[OverAvgDiff'#]]=0, ZeroBudgetNoSpending, ZeroBudgetWithSpending), SummaryTable[[#This Row],[OverAvgDiff'#]]/SummaryTable[[#This Row],[OverAvgBud]])</f>
        <v>8.1759995715165582E-2</v>
      </c>
      <c r="U38" s="61">
        <f>IFERROR(SUMIFS(allFYsTable[OriginalBudget],allFYsTable[Code],SummaryTable[[#This Row],[Code]],allFYsTable[DiffAmount], "&lt;0")/SummaryTable[[#This Row],['# Under]], 0)</f>
        <v>19845</v>
      </c>
      <c r="V38" s="61">
        <f>IFERROR( SUMIFS(allFYsTable[Actual],allFYsTable[Code],SummaryTable[[#This Row],[Code]],allFYsTable[DiffAmount], "&lt;0")/SummaryTable[[#This Row],['# Under]], 0)</f>
        <v>18285.846153846152</v>
      </c>
      <c r="W38" s="61">
        <f>SummaryTable[[#This Row],[UnderAvgAct]]-SummaryTable[[#This Row],[UnderAvgBud]]</f>
        <v>-1559.1538461538476</v>
      </c>
      <c r="X38" s="54">
        <f>IF(SummaryTable[[#This Row],[UnderAvgBud]]=0, IF(SummaryTable[[#This Row],[UnderAvgDiff'#]]=0, ZeroBudgetNoSpending, NamedFields!$C$3), SummaryTable[[#This Row],[UnderAvgDiff'#]]/SummaryTable[[#This Row],[UnderAvgBud]])</f>
        <v>-7.8566583328488163E-2</v>
      </c>
      <c r="Y3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7</v>
      </c>
      <c r="Z3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38" s="54">
        <f>IF(SummaryTable[[#This Row],[IncreaseYears]]=0, ZeroBudgetNoSpending, SummaryTable[[#This Row],[OSinIncreaseYear'#]]/SummaryTable[[#This Row],[IncreaseYears]])</f>
        <v>0</v>
      </c>
      <c r="AB38" s="58" t="str">
        <f>SummaryTable[[#This Row],[Code]]</f>
        <v>CR0</v>
      </c>
      <c r="AC38" s="62">
        <f>IF(COUNTIFS(allFYsTable[Code], SummaryTable[[#This Row],[Code]], allFYsTable[year2], AC$3)=0, NotFound, SUMIFS(allFYsTable[OriginalBudget], allFYsTable[Code], SummaryTable[[#This Row],[Code]], allFYsTable[year2], AC$3))</f>
        <v>13486</v>
      </c>
      <c r="AD38" s="61">
        <f>SummaryTable[[#This Row],[OriginalBudget25]]-SummaryTable[[#This Row],[OriginalBudget24]]</f>
        <v>2832</v>
      </c>
      <c r="AE38" s="54">
        <f>SummaryTable[[#This Row],[BudgetIncreaseAmount25]]/SummaryTable[[#This Row],[OriginalBudget24]]</f>
        <v>0.26581565609160879</v>
      </c>
      <c r="AF38" s="61">
        <f>IF(COUNTIFS(allFYsTable[Code], SummaryTable[[#This Row],[Code]], allFYsTable[year2], AC$3)=0, NotFound, SUMIFS(allFYsTable[RevisedBudget], allFYsTable[Code], SummaryTable[[#This Row],[Code]], allFYsTable[year2], AC$3))</f>
        <v>13211</v>
      </c>
      <c r="AG38" s="61">
        <f>IF(COUNTIFS(allFYsTable[Code], SummaryTable[[#This Row],[Code]], allFYsTable[year2], AC$3)=0, NotFound, SUMIFS(allFYsTable[Actual], allFYsTable[Code], SummaryTable[[#This Row],[Code]], allFYsTable[year2], AC$3))</f>
        <v>12605</v>
      </c>
      <c r="AH38" s="61">
        <f>IF(COUNTIFS(allFYsTable[Code], SummaryTable[[#This Row],[Code]], allFYsTable[year2], AC$3)=0, NotFound, SUMIFS(allFYsTable[DiffAmount], allFYsTable[Code], SummaryTable[[#This Row],[Code]], allFYsTable[year2], AC$3))</f>
        <v>-881</v>
      </c>
      <c r="AI38" s="63">
        <f>IF(SummaryTable[[#This Row],[OriginalBudget25]]=0, IF(SummaryTable[[#This Row],[DiffAmount25]]=0, ZeroBudgetNoSpending, ZeroBudgetWithSpending), SummaryTable[[#This Row],[DiffAmount25]]/SummaryTable[[#This Row],[OriginalBudget25]])</f>
        <v>-6.5327005783775774E-2</v>
      </c>
      <c r="AJ38" s="62">
        <f>IF(COUNTIFS(allFYsTable[Code], SummaryTable[[#This Row],[Code]], allFYsTable[year2], AJ$3)=0, NotFound, SUMIFS(allFYsTable[OriginalBudget], allFYsTable[Code], SummaryTable[[#This Row],[Code]], allFYsTable[year2], AJ$3))</f>
        <v>10654</v>
      </c>
      <c r="AK38" s="61">
        <f>SummaryTable[[#This Row],[OriginalBudget24]]-SummaryTable[[#This Row],[OriginalBudget23]]</f>
        <v>2655</v>
      </c>
      <c r="AL38" s="54">
        <f>SummaryTable[[#This Row],[BudgetIncreaseAmount24]]/SummaryTable[[#This Row],[OriginalBudget23]]</f>
        <v>0.33191648956119513</v>
      </c>
      <c r="AM38" s="61">
        <f>IF(COUNTIFS(allFYsTable[Code], SummaryTable[[#This Row],[Code]], allFYsTable[year2], AK$3)=0, NotFound, SUMIFS(allFYsTable[RevisedBudget], allFYsTable[Code], SummaryTable[[#This Row],[Code]], allFYsTable[year2], AJ$3))</f>
        <v>8672</v>
      </c>
      <c r="AN38" s="61">
        <f>IF(COUNTIFS(allFYsTable[Code], SummaryTable[[#This Row],[Code]], allFYsTable[year2], AJ$3)=0, NotFound, SUMIFS(allFYsTable[Actual], allFYsTable[Code], SummaryTable[[#This Row],[Code]], allFYsTable[year2], AJ$3))</f>
        <v>8653</v>
      </c>
      <c r="AO38" s="61">
        <f>IF(COUNTIFS(allFYsTable[Code], SummaryTable[[#This Row],[Code]], allFYsTable[year2], AJ$3)=0, NotFound, SUMIFS(allFYsTable[DiffAmount], allFYsTable[Code], SummaryTable[[#This Row],[Code]], allFYsTable[year2], AJ$3))</f>
        <v>-2001</v>
      </c>
      <c r="AP38" s="63">
        <f>IF(SummaryTable[[#This Row],[OriginalBudget24]]=0, IF(SummaryTable[[#This Row],[DiffAmount24]]=0, ZeroBudgetNoSpending, ZeroBudgetWithSpending), SummaryTable[[#This Row],[DiffAmount24]]/SummaryTable[[#This Row],[OriginalBudget24]])</f>
        <v>-0.1878167824291346</v>
      </c>
      <c r="AQ38" s="62">
        <f>IF(COUNTIFS(allFYsTable[Code], SummaryTable[[#This Row],[Code]], allFYsTable[year2], AQ$3)=0, NotFound, SUMIFS(allFYsTable[OriginalBudget], allFYsTable[Code], SummaryTable[[#This Row],[Code]], allFYsTable[year2], AQ$3))</f>
        <v>7999</v>
      </c>
      <c r="AR38" s="61">
        <f>SummaryTable[[#This Row],[OriginalBudget23]]-SummaryTable[[#This Row],[OriginalBudget22]]</f>
        <v>-39844</v>
      </c>
      <c r="AS38" s="54">
        <f>SummaryTable[[#This Row],[BudgetIncreaseAmount23]]/SummaryTable[[#This Row],[OriginalBudget22]]</f>
        <v>-0.83280730723407814</v>
      </c>
      <c r="AT38" s="61">
        <f>IF(COUNTIFS(allFYsTable[Code], SummaryTable[[#This Row],[Code]], allFYsTable[year2], AQ$3)=0, NotFound, SUMIFS(allFYsTable[RevisedBudget], allFYsTable[Code], SummaryTable[[#This Row],[Code]], allFYsTable[year2], AQ$3))</f>
        <v>6473</v>
      </c>
      <c r="AU38" s="61">
        <f>IF(COUNTIFS(allFYsTable[Code], SummaryTable[[#This Row],[Code]], allFYsTable[year2], AQ$3)=0, NotFound, SUMIFS(allFYsTable[Actual], allFYsTable[Code], SummaryTable[[#This Row],[Code]], allFYsTable[year2], AQ$3))</f>
        <v>6092</v>
      </c>
      <c r="AV38" s="61">
        <f>IF(COUNTIFS(allFYsTable[Code], SummaryTable[[#This Row],[Code]], allFYsTable[year2], AQ$3)=0, NotFound, SUMIFS(allFYsTable[DiffAmount], allFYsTable[Code], SummaryTable[[#This Row],[Code]], allFYsTable[year2], AQ$3))</f>
        <v>-1907</v>
      </c>
      <c r="AW38" s="63">
        <f>IF(SummaryTable[[#This Row],[OriginalBudget23]]=0, IF(SummaryTable[[#This Row],[DiffAmount23]]=0, ZeroBudgetNoSpending, ZeroBudgetWithSpending), SummaryTable[[#This Row],[DiffAmount23]]/SummaryTable[[#This Row],[OriginalBudget23]])</f>
        <v>-0.23840480060007502</v>
      </c>
      <c r="AX38" s="62">
        <f>IF(COUNTIFS(allFYsTable[Code], SummaryTable[[#This Row],[Code]], allFYsTable[year2], AX$3)=0, NotFound, SUMIFS(allFYsTable[OriginalBudget], allFYsTable[Code], SummaryTable[[#This Row],[Code]], allFYsTable[year2], AX$3))</f>
        <v>47843</v>
      </c>
      <c r="AY38" s="61">
        <f>SummaryTable[[#This Row],[OriginalBudget22]]-SummaryTable[[#This Row],[OriginalBudget21]]</f>
        <v>20304</v>
      </c>
      <c r="AZ38" s="54">
        <f>SummaryTable[[#This Row],[BudgetIncreaseAmount22]]/SummaryTable[[#This Row],[OriginalBudget21]]</f>
        <v>0.73728167326337191</v>
      </c>
      <c r="BA38" s="61">
        <f>IF(COUNTIFS(allFYsTable[Code], SummaryTable[[#This Row],[Code]], allFYsTable[year2], AX$3)=0, NotFound, SUMIFS(allFYsTable[RevisedBudget], allFYsTable[Code], SummaryTable[[#This Row],[Code]], allFYsTable[year2], AX$3))</f>
        <v>38815</v>
      </c>
      <c r="BB38" s="61">
        <f>IF(COUNTIFS(allFYsTable[Code], SummaryTable[[#This Row],[Code]], allFYsTable[year2], AX$3)=0, NotFound, SUMIFS(allFYsTable[Actual], allFYsTable[Code], SummaryTable[[#This Row],[Code]], allFYsTable[year2], AX$3))</f>
        <v>37572</v>
      </c>
      <c r="BC38" s="61">
        <f>IF(COUNTIFS(allFYsTable[Code], SummaryTable[[#This Row],[Code]], allFYsTable[year2], AX$3)=0, NotFound, SUMIFS(allFYsTable[DiffAmount], allFYsTable[Code], SummaryTable[[#This Row],[Code]], allFYsTable[year2], AX$3))</f>
        <v>-10271</v>
      </c>
      <c r="BD38" s="63">
        <f>IF(SummaryTable[[#This Row],[OriginalBudget22]]=0, IF(SummaryTable[[#This Row],[DiffAmount22]]=0, ZeroBudgetNoSpending, ZeroBudgetWithSpending), SummaryTable[[#This Row],[DiffAmount22]]/SummaryTable[[#This Row],[OriginalBudget22]])</f>
        <v>-0.21468135359404719</v>
      </c>
      <c r="BE38" s="62">
        <f>IF(COUNTIFS(allFYsTable[Code], SummaryTable[[#This Row],[Code]], allFYsTable[year2], BE$3)=0, NotFound, SUMIFS(allFYsTable[OriginalBudget], allFYsTable[Code], SummaryTable[[#This Row],[Code]], allFYsTable[year2], BE$3))</f>
        <v>27539</v>
      </c>
      <c r="BF38" s="61">
        <f>SummaryTable[[#This Row],[OriginalBudget21]]-SummaryTable[[#This Row],[OriginalBudget20]]</f>
        <v>37</v>
      </c>
      <c r="BG38" s="54">
        <f>SummaryTable[[#This Row],[BudgetIncreaseAmount21]]/SummaryTable[[#This Row],[OriginalBudget20]]</f>
        <v>1.3453567013308122E-3</v>
      </c>
      <c r="BH38" s="61">
        <f>IF(COUNTIFS(allFYsTable[Code], SummaryTable[[#This Row],[Code]], allFYsTable[year2], BE$3)=0, NotFound, SUMIFS(allFYsTable[RevisedBudget], allFYsTable[Code], SummaryTable[[#This Row],[Code]], allFYsTable[year2], BE$3))</f>
        <v>31867</v>
      </c>
      <c r="BI38" s="61">
        <f>IF(COUNTIFS(allFYsTable[Code], SummaryTable[[#This Row],[Code]], allFYsTable[year2], BE$3)=0, NotFound, SUMIFS(allFYsTable[Actual], allFYsTable[Code], SummaryTable[[#This Row],[Code]], allFYsTable[year2], BE$3))</f>
        <v>31787</v>
      </c>
      <c r="BJ38" s="61">
        <f>IF(COUNTIFS(allFYsTable[Code], SummaryTable[[#This Row],[Code]], allFYsTable[year2], BE$3)=0, NotFound, SUMIFS(allFYsTable[DiffAmount], allFYsTable[Code], SummaryTable[[#This Row],[Code]], allFYsTable[year2], BE$3))</f>
        <v>4248</v>
      </c>
      <c r="BK38" s="63">
        <f>IF(SummaryTable[[#This Row],[OriginalBudget21]]=0, IF(SummaryTable[[#This Row],[DiffAmount21]]=0, ZeroBudgetNoSpending, ZeroBudgetWithSpending), SummaryTable[[#This Row],[DiffAmount21]]/SummaryTable[[#This Row],[OriginalBudget21]])</f>
        <v>0.15425396710120193</v>
      </c>
      <c r="BL38" s="62">
        <f>IF(COUNTIFS(allFYsTable[Code], SummaryTable[[#This Row],[Code]], allFYsTable[year2], BL$3)=0, NotFound, SUMIFS(allFYsTable[OriginalBudget], allFYsTable[Code], SummaryTable[[#This Row],[Code]], allFYsTable[year2], BL$3))</f>
        <v>27502</v>
      </c>
      <c r="BM38" s="61">
        <f>SummaryTable[[#This Row],[OriginalBudget20]]-SummaryTable[[#This Row],[OriginalBudget19]]</f>
        <v>4300</v>
      </c>
      <c r="BN38" s="54">
        <f>SummaryTable[[#This Row],[BudgetIncreaseAmount20]]/SummaryTable[[#This Row],[OriginalBudget19]]</f>
        <v>0.18532885096112403</v>
      </c>
      <c r="BO38" s="61">
        <f>IF(COUNTIFS(allFYsTable[Code], SummaryTable[[#This Row],[Code]], allFYsTable[year2], BL$3)=0, NotFound, SUMIFS(allFYsTable[RevisedBudget], allFYsTable[Code], SummaryTable[[#This Row],[Code]], allFYsTable[year2], BL$3))</f>
        <v>27152</v>
      </c>
      <c r="BP38" s="61">
        <f>IF(COUNTIFS(allFYsTable[Code], SummaryTable[[#This Row],[Code]], allFYsTable[year2], BL$3)=0, NotFound, SUMIFS(allFYsTable[Actual], allFYsTable[Code], SummaryTable[[#This Row],[Code]], allFYsTable[year2], BL$3))</f>
        <v>26937</v>
      </c>
      <c r="BQ38" s="61">
        <f>IF(COUNTIFS(allFYsTable[Code], SummaryTable[[#This Row],[Code]], allFYsTable[year2], BL$3)=0, NotFound, SUMIFS(allFYsTable[DiffAmount], allFYsTable[Code], SummaryTable[[#This Row],[Code]], allFYsTable[year2], BL$3))</f>
        <v>-565</v>
      </c>
      <c r="BR38" s="63">
        <f>IF(SummaryTable[[#This Row],[OriginalBudget20]]=0, IF(SummaryTable[[#This Row],[DiffAmount20]]=0, ZeroBudgetNoSpending, ZeroBudgetWithSpending), SummaryTable[[#This Row],[DiffAmount20]]/SummaryTable[[#This Row],[OriginalBudget20]])</f>
        <v>-2.0543960439240783E-2</v>
      </c>
      <c r="BS38" s="62">
        <f>IF(COUNTIFS(allFYsTable[Code], SummaryTable[[#This Row],[Code]], allFYsTable[year2], BS$3)=0, NotFound, SUMIFS(allFYsTable[OriginalBudget], allFYsTable[Code], SummaryTable[[#This Row],[Code]], allFYsTable[year2], BS$3))</f>
        <v>23202</v>
      </c>
      <c r="BT38" s="61">
        <f>SummaryTable[[#This Row],[OriginalBudget19]]-SummaryTable[[#This Row],[OriginalBudget18]]</f>
        <v>1244</v>
      </c>
      <c r="BU38" s="54">
        <f>SummaryTable[[#This Row],[BudgetIncreaseAmount19]]/SummaryTable[[#This Row],[OriginalBudget18]]</f>
        <v>5.6653611440021859E-2</v>
      </c>
      <c r="BV38" s="61">
        <f>IF(COUNTIFS(allFYsTable[Code], SummaryTable[[#This Row],[Code]], allFYsTable[year2], BS$3)=0, NotFound, SUMIFS(allFYsTable[RevisedBudget], allFYsTable[Code], SummaryTable[[#This Row],[Code]], allFYsTable[year2], BS$3))</f>
        <v>24955</v>
      </c>
      <c r="BW38" s="61">
        <f>IF(COUNTIFS(allFYsTable[Code], SummaryTable[[#This Row],[Code]], allFYsTable[year2], BS$3)=0, NotFound, SUMIFS(allFYsTable[Actual], allFYsTable[Code], SummaryTable[[#This Row],[Code]], allFYsTable[year2], BS$3))</f>
        <v>24821</v>
      </c>
      <c r="BX38" s="61">
        <f>IF(COUNTIFS(allFYsTable[Code], SummaryTable[[#This Row],[Code]], allFYsTable[year2], BS$3)=0, NotFound, SUMIFS(allFYsTable[DiffAmount], allFYsTable[Code], SummaryTable[[#This Row],[Code]], allFYsTable[year2], BS$3))</f>
        <v>1619</v>
      </c>
      <c r="BY38" s="63">
        <f>IF(SummaryTable[[#This Row],[OriginalBudget19]]=0, IF(SummaryTable[[#This Row],[DiffAmount19]]=0, ZeroBudgetNoSpending, ZeroBudgetWithSpending), SummaryTable[[#This Row],[DiffAmount19]]/SummaryTable[[#This Row],[OriginalBudget19]])</f>
        <v>6.9778467373502281E-2</v>
      </c>
      <c r="BZ38" s="62">
        <f>IF(COUNTIFS(allFYsTable[Code], SummaryTable[[#This Row],[Code]], allFYsTable[year2], BZ$3)=0, NotFound, SUMIFS(allFYsTable[OriginalBudget], allFYsTable[Code], SummaryTable[[#This Row],[Code]], allFYsTable[year2], BZ$3))</f>
        <v>21958</v>
      </c>
      <c r="CA38" s="61">
        <f>SummaryTable[[#This Row],[OriginalBudget18]]-SummaryTable[[#This Row],[OriginalBudget17]]</f>
        <v>1970</v>
      </c>
      <c r="CB38" s="54">
        <f>SummaryTable[[#This Row],[BudgetIncreaseAmount18]]/SummaryTable[[#This Row],[OriginalBudget17]]</f>
        <v>9.8559135481288779E-2</v>
      </c>
      <c r="CC38" s="61">
        <f>IF(COUNTIFS(allFYsTable[Code], SummaryTable[[#This Row],[Code]], allFYsTable[year2], BZ$3)=0, NotFound, SUMIFS(allFYsTable[RevisedBudget], allFYsTable[Code], SummaryTable[[#This Row],[Code]], allFYsTable[year2], BZ$3))</f>
        <v>23733</v>
      </c>
      <c r="CD38" s="61">
        <f>IF(COUNTIFS(allFYsTable[Code], SummaryTable[[#This Row],[Code]], allFYsTable[year2], BZ$3)=0, NotFound, SUMIFS(allFYsTable[Actual], allFYsTable[Code], SummaryTable[[#This Row],[Code]], allFYsTable[year2], BZ$3))</f>
        <v>23150</v>
      </c>
      <c r="CE38" s="61">
        <f>IF(COUNTIFS(allFYsTable[Code], SummaryTable[[#This Row],[Code]], allFYsTable[year2], BZ$3)=0, NotFound, SUMIFS(allFYsTable[DiffAmount], allFYsTable[Code], SummaryTable[[#This Row],[Code]], allFYsTable[year2], BZ$3))</f>
        <v>1192</v>
      </c>
      <c r="CF38" s="63">
        <f>IF(SummaryTable[[#This Row],[OriginalBudget18]]=0, IF(SummaryTable[[#This Row],[DiffAmount18]]=0, ZeroBudgetNoSpending, ZeroBudgetWithSpending), SummaryTable[[#This Row],[DiffAmount18]]/SummaryTable[[#This Row],[OriginalBudget18]])</f>
        <v>5.4285454048638312E-2</v>
      </c>
      <c r="CG38" s="62">
        <f>IF(COUNTIFS(allFYsTable[Code], SummaryTable[[#This Row],[Code]], allFYsTable[year2], CG$3)=0, NotFound, SUMIFS(allFYsTable[OriginalBudget], allFYsTable[Code], SummaryTable[[#This Row],[Code]], allFYsTable[year2], CG$3))</f>
        <v>19988</v>
      </c>
      <c r="CH38" s="61">
        <f>SummaryTable[[#This Row],[OriginalBudget17]]-SummaryTable[[#This Row],[OriginalBudget16]]</f>
        <v>4936</v>
      </c>
      <c r="CI38" s="54">
        <f>SummaryTable[[#This Row],[BudgetIncreaseAmount17]]/SummaryTable[[#This Row],[OriginalBudget16]]</f>
        <v>0.32792984321020463</v>
      </c>
      <c r="CJ38" s="61">
        <f>IF(COUNTIFS(allFYsTable[Code], SummaryTable[[#This Row],[Code]], allFYsTable[year2], CG$3)=0, NotFound, SUMIFS(allFYsTable[RevisedBudget], allFYsTable[Code], SummaryTable[[#This Row],[Code]], allFYsTable[year2], CG$3))</f>
        <v>19499</v>
      </c>
      <c r="CK38" s="61">
        <f>IF(COUNTIFS(allFYsTable[Code], SummaryTable[[#This Row],[Code]], allFYsTable[year2], CG$3)=0, NotFound, SUMIFS(allFYsTable[Actual], allFYsTable[Code], SummaryTable[[#This Row],[Code]], allFYsTable[year2], CG$3))</f>
        <v>19317</v>
      </c>
      <c r="CL38" s="61">
        <f>IF(COUNTIFS(allFYsTable[Code], SummaryTable[[#This Row],[Code]], allFYsTable[year2], CG$3)=0, NotFound, SUMIFS(allFYsTable[DiffAmount], allFYsTable[Code], SummaryTable[[#This Row],[Code]], allFYsTable[year2], CG$3))</f>
        <v>-671</v>
      </c>
      <c r="CM38" s="63">
        <f>IF(SummaryTable[[#This Row],[OriginalBudget17]]=0, IF(SummaryTable[[#This Row],[DiffAmount17]]=0, ZeroBudgetNoSpending, ZeroBudgetWithSpending), SummaryTable[[#This Row],[DiffAmount17]]/SummaryTable[[#This Row],[OriginalBudget17]])</f>
        <v>-3.3570142085251151E-2</v>
      </c>
      <c r="CN38" s="62">
        <f>IF(COUNTIFS(allFYsTable[Code], SummaryTable[[#This Row],[Code]], allFYsTable[year2], CN$3)=0, NotFound, SUMIFS(allFYsTable[OriginalBudget], allFYsTable[Code], SummaryTable[[#This Row],[Code]], allFYsTable[year2], CN$3))</f>
        <v>15052</v>
      </c>
      <c r="CO38" s="61">
        <f>SummaryTable[[#This Row],[OriginalBudget16]]-SummaryTable[[#This Row],[OriginalBudget15]]</f>
        <v>652</v>
      </c>
      <c r="CP38" s="54">
        <f>SummaryTable[[#This Row],[BudgetIncreaseAmount16]]/SummaryTable[[#This Row],[OriginalBudget15]]</f>
        <v>4.5277777777777778E-2</v>
      </c>
      <c r="CQ38" s="61">
        <f>IF(COUNTIFS(allFYsTable[Code], SummaryTable[[#This Row],[Code]], allFYsTable[year2], CN$3)=0, NotFound, SUMIFS(allFYsTable[RevisedBudget], allFYsTable[Code], SummaryTable[[#This Row],[Code]], allFYsTable[year2], CN$3))</f>
        <v>17321</v>
      </c>
      <c r="CR38" s="61">
        <f>IF(COUNTIFS(allFYsTable[Code], SummaryTable[[#This Row],[Code]], allFYsTable[year2], CN$3)=0, NotFound, SUMIFS(allFYsTable[Actual], allFYsTable[Code], SummaryTable[[#This Row],[Code]], allFYsTable[year2], CN$3))</f>
        <v>17222</v>
      </c>
      <c r="CS38" s="61">
        <f>IF(COUNTIFS(allFYsTable[Code], SummaryTable[[#This Row],[Code]], allFYsTable[year2], CN$3)=0, NotFound, SUMIFS(allFYsTable[DiffAmount], allFYsTable[Code], SummaryTable[[#This Row],[Code]], allFYsTable[year2], CN$3))</f>
        <v>2170</v>
      </c>
      <c r="CT38" s="63">
        <f>IF(SummaryTable[[#This Row],[OriginalBudget16]]=0, IF(SummaryTable[[#This Row],[DiffAmount16]]=0, ZeroBudgetNoSpending, ZeroBudgetWithSpending), SummaryTable[[#This Row],[DiffAmount16]]/SummaryTable[[#This Row],[OriginalBudget16]])</f>
        <v>0.14416688812117992</v>
      </c>
      <c r="CU38" s="62">
        <f>IF(COUNTIFS(allFYsTable[Code], SummaryTable[[#This Row],[Code]], allFYsTable[year2], CU$3)=0, NotFound, SUMIFS(allFYsTable[OriginalBudget], allFYsTable[Code], SummaryTable[[#This Row],[Code]], allFYsTable[year2], CU$3))</f>
        <v>14400</v>
      </c>
      <c r="CV38" s="61">
        <f>SummaryTable[[#This Row],[OriginalBudget15]]-SummaryTable[[#This Row],[OriginalBudget14]]</f>
        <v>-171</v>
      </c>
      <c r="CW38" s="54">
        <f>SummaryTable[[#This Row],[BudgetIncreaseAmount15]]/SummaryTable[[#This Row],[OriginalBudget14]]</f>
        <v>-1.1735639283508339E-2</v>
      </c>
      <c r="CX38" s="61">
        <f>IF(COUNTIFS(allFYsTable[Code], SummaryTable[[#This Row],[Code]], allFYsTable[year2], CU$3)=0, NotFound, SUMIFS(allFYsTable[RevisedBudget], allFYsTable[Code], SummaryTable[[#This Row],[Code]], allFYsTable[year2], CU$3))</f>
        <v>14273</v>
      </c>
      <c r="CY38" s="61">
        <f>IF(COUNTIFS(allFYsTable[Code], SummaryTable[[#This Row],[Code]], allFYsTable[year2], CU$3)=0, NotFound, SUMIFS(allFYsTable[Actual], allFYsTable[Code], SummaryTable[[#This Row],[Code]], allFYsTable[year2], CU$3))</f>
        <v>13804</v>
      </c>
      <c r="CZ38" s="61">
        <f>IF(COUNTIFS(allFYsTable[Code], SummaryTable[[#This Row],[Code]], allFYsTable[year2], CU$3)=0, NotFound, SUMIFS(allFYsTable[DiffAmount], allFYsTable[Code], SummaryTable[[#This Row],[Code]], allFYsTable[year2], CU$3))</f>
        <v>-596</v>
      </c>
      <c r="DA38" s="63">
        <f>IF(SummaryTable[[#This Row],[OriginalBudget15]]=0, IF(SummaryTable[[#This Row],[DiffAmount15]]=0, ZeroBudgetNoSpending, ZeroBudgetWithSpending), SummaryTable[[#This Row],[DiffAmount15]]/SummaryTable[[#This Row],[OriginalBudget15]])</f>
        <v>-4.1388888888888892E-2</v>
      </c>
      <c r="DB38" s="62">
        <f>IF(COUNTIFS(allFYsTable[Code], SummaryTable[[#This Row],[Code]], allFYsTable[year2], DB$3)=0, NotFound, SUMIFS(allFYsTable[OriginalBudget], allFYsTable[Code], SummaryTable[[#This Row],[Code]], allFYsTable[year2], DB$3))</f>
        <v>14571</v>
      </c>
      <c r="DC38" s="61">
        <f>SummaryTable[[#This Row],[OriginalBudget14]]-SummaryTable[[#This Row],[OriginalBudget13]]</f>
        <v>-1794</v>
      </c>
      <c r="DD38" s="54">
        <f>SummaryTable[[#This Row],[BudgetIncreaseAmount14]]/SummaryTable[[#This Row],[OriginalBudget13]]</f>
        <v>-0.10962419798350137</v>
      </c>
      <c r="DE38" s="61">
        <f>IF(COUNTIFS(allFYsTable[Code], SummaryTable[[#This Row],[Code]], allFYsTable[year2], DB$3)=0, NotFound, SUMIFS(allFYsTable[RevisedBudget], allFYsTable[Code], SummaryTable[[#This Row],[Code]], allFYsTable[year2], DB$3))</f>
        <v>14680</v>
      </c>
      <c r="DF38" s="61">
        <f>IF(COUNTIFS(allFYsTable[Code], SummaryTable[[#This Row],[Code]], allFYsTable[year2], DB$3)=0, NotFound, SUMIFS(allFYsTable[Actual], allFYsTable[Code], SummaryTable[[#This Row],[Code]], allFYsTable[year2], DB$3))</f>
        <v>13978</v>
      </c>
      <c r="DG38" s="61">
        <f>IF(COUNTIFS(allFYsTable[Code], SummaryTable[[#This Row],[Code]], allFYsTable[year2], DB$3)=0, NotFound, SUMIFS(allFYsTable[DiffAmount], allFYsTable[Code], SummaryTable[[#This Row],[Code]], allFYsTable[year2], DB$3))</f>
        <v>-593</v>
      </c>
      <c r="DH38" s="63">
        <f>IF(SummaryTable[[#This Row],[OriginalBudget14]]=0, IF(SummaryTable[[#This Row],[DiffAmount14]]=0, ZeroBudgetNoSpending, ZeroBudgetWithSpending), SummaryTable[[#This Row],[DiffAmount14]]/SummaryTable[[#This Row],[OriginalBudget14]])</f>
        <v>-4.069727541006108E-2</v>
      </c>
      <c r="DI38" s="62">
        <f>IF(COUNTIFS(allFYsTable[Code], SummaryTable[[#This Row],[Code]], allFYsTable[year2], DI$3)=0, NotFound, SUMIFS(allFYsTable[OriginalBudget], allFYsTable[Code], SummaryTable[[#This Row],[Code]], allFYsTable[year2], DI$3))</f>
        <v>16365</v>
      </c>
      <c r="DJ38" s="61">
        <f>SummaryTable[[#This Row],[OriginalBudget13]]-SummaryTable[[#This Row],[OriginalBudget12]]</f>
        <v>6324</v>
      </c>
      <c r="DK38" s="54">
        <f>SummaryTable[[#This Row],[BudgetIncreaseAmount13]]/SummaryTable[[#This Row],[OriginalBudget12]]</f>
        <v>0.62981774723633099</v>
      </c>
      <c r="DL38" s="61">
        <f>IF(COUNTIFS(allFYsTable[Code], SummaryTable[[#This Row],[Code]], allFYsTable[year2], DI$3)=0, NotFound, SUMIFS(allFYsTable[RevisedBudget], allFYsTable[Code], SummaryTable[[#This Row],[Code]], allFYsTable[year2], DI$3))</f>
        <v>16015</v>
      </c>
      <c r="DM38" s="61">
        <f>IF(COUNTIFS(allFYsTable[Code], SummaryTable[[#This Row],[Code]], allFYsTable[year2], DI$3)=0, NotFound, SUMIFS(allFYsTable[Actual], allFYsTable[Code], SummaryTable[[#This Row],[Code]], allFYsTable[year2], DI$3))</f>
        <v>15537</v>
      </c>
      <c r="DN38" s="61">
        <f>IF(COUNTIFS(allFYsTable[Code], SummaryTable[[#This Row],[Code]], allFYsTable[year2], DI$3)=0, NotFound, SUMIFS(allFYsTable[DiffAmount], allFYsTable[Code], SummaryTable[[#This Row],[Code]], allFYsTable[year2], DI$3))</f>
        <v>-828</v>
      </c>
      <c r="DO38" s="63">
        <f>IF(SummaryTable[[#This Row],[OriginalBudget13]]=0, IF(SummaryTable[[#This Row],[DiffAmount13]]=0, ZeroBudgetNoSpending, ZeroBudgetWithSpending), SummaryTable[[#This Row],[DiffAmount13]]/SummaryTable[[#This Row],[OriginalBudget13]])</f>
        <v>-5.059578368469294E-2</v>
      </c>
      <c r="DP38" s="62">
        <f>IF(COUNTIFS(allFYsTable[Code], SummaryTable[[#This Row],[Code]], allFYsTable[year2], DP$3)=0, NotFound, SUMIFS(allFYsTable[OriginalBudget], allFYsTable[Code], SummaryTable[[#This Row],[Code]], allFYsTable[year2], DP$3))</f>
        <v>10041</v>
      </c>
      <c r="DQ38" s="61">
        <f>SummaryTable[[#This Row],[OriginalBudget12]]-SummaryTable[[#This Row],[OriginalBudget11]]</f>
        <v>2170</v>
      </c>
      <c r="DR38" s="54">
        <f>SummaryTable[[#This Row],[BudgetIncreaseAmount12]]/SummaryTable[[#This Row],[OriginalBudget11]]</f>
        <v>0.27569559141151062</v>
      </c>
      <c r="DS38" s="61">
        <f>IF(COUNTIFS(allFYsTable[Code], SummaryTable[[#This Row],[Code]], allFYsTable[year2], DP$3)=0, NotFound, SUMIFS(allFYsTable[RevisedBudget], allFYsTable[Code], SummaryTable[[#This Row],[Code]], allFYsTable[year2], DP$3))</f>
        <v>9969</v>
      </c>
      <c r="DT38" s="61">
        <f>IF(COUNTIFS(allFYsTable[Code], SummaryTable[[#This Row],[Code]], allFYsTable[year2], DP$3)=0, NotFound, SUMIFS(allFYsTable[Actual], allFYsTable[Code], SummaryTable[[#This Row],[Code]], allFYsTable[year2], DP$3))</f>
        <v>9935</v>
      </c>
      <c r="DU38" s="61">
        <f>IF(COUNTIFS(allFYsTable[Code], SummaryTable[[#This Row],[Code]], allFYsTable[year2], DP$3)=0, NotFound, SUMIFS(allFYsTable[DiffAmount], allFYsTable[Code], SummaryTable[[#This Row],[Code]], allFYsTable[year2], DP$3))</f>
        <v>-106</v>
      </c>
      <c r="DV38" s="63">
        <f>IF(SummaryTable[[#This Row],[OriginalBudget12]]=0, IF(SummaryTable[[#This Row],[DiffAmount12]]=0, ZeroBudgetNoSpending, ZeroBudgetWithSpending), SummaryTable[[#This Row],[DiffAmount12]]/SummaryTable[[#This Row],[OriginalBudget12]])</f>
        <v>-1.0556717458420475E-2</v>
      </c>
      <c r="DW38" s="62">
        <f>IF(COUNTIFS(allFYsTable[Code], SummaryTable[[#This Row],[Code]], allFYsTable[year2], DW$3)=0, NotFound, SUMIFS(allFYsTable[OriginalBudget], allFYsTable[Code], SummaryTable[[#This Row],[Code]], allFYsTable[year2], DW$3))</f>
        <v>7871</v>
      </c>
      <c r="DX38" s="61">
        <f>SummaryTable[[#This Row],[OriginalBudget11]]-SummaryTable[[#This Row],[OriginalBudget10]]</f>
        <v>-5387</v>
      </c>
      <c r="DY38" s="54">
        <f>SummaryTable[[#This Row],[BudgetIncreaseAmount11]]/SummaryTable[[#This Row],[OriginalBudget10]]</f>
        <v>-0.40632071202292958</v>
      </c>
      <c r="DZ38" s="61">
        <f>IF(COUNTIFS(allFYsTable[Code], SummaryTable[[#This Row],[Code]], allFYsTable[year2], DW$3)=0, NotFound, SUMIFS(allFYsTable[RevisedBudget], allFYsTable[Code], SummaryTable[[#This Row],[Code]], allFYsTable[year2], DW$3))</f>
        <v>7871</v>
      </c>
      <c r="EA38" s="61">
        <f>IF(COUNTIFS(allFYsTable[Code], SummaryTable[[#This Row],[Code]], allFYsTable[year2], DW$3)=0, NotFound, SUMIFS(allFYsTable[Actual], allFYsTable[Code], SummaryTable[[#This Row],[Code]], allFYsTable[year2], DW$3))</f>
        <v>7624</v>
      </c>
      <c r="EB38" s="61">
        <f>IF(COUNTIFS(allFYsTable[Code], SummaryTable[[#This Row],[Code]], allFYsTable[year2], DW$3)=0, NotFound, SUMIFS(allFYsTable[DiffAmount], allFYsTable[Code], SummaryTable[[#This Row],[Code]], allFYsTable[year2], DW$3))</f>
        <v>-247</v>
      </c>
      <c r="EC38" s="63">
        <f>IF(SummaryTable[[#This Row],[OriginalBudget11]]=0, IF(SummaryTable[[#This Row],[DiffAmount11]]=0, ZeroBudgetNoSpending, ZeroBudgetWithSpending), SummaryTable[[#This Row],[DiffAmount11]]/SummaryTable[[#This Row],[OriginalBudget11]])</f>
        <v>-3.1381018930250283E-2</v>
      </c>
      <c r="ED38" s="62">
        <f>IF(COUNTIFS(allFYsTable[Code], SummaryTable[[#This Row],[Code]], allFYsTable[year2], ED$3)=0, NotFound, SUMIFS(allFYsTable[OriginalBudget], allFYsTable[Code], SummaryTable[[#This Row],[Code]], allFYsTable[year2], ED$3))</f>
        <v>13258</v>
      </c>
      <c r="EE38" s="61">
        <f>SummaryTable[[#This Row],[OriginalBudget10]]-SummaryTable[[#This Row],[OriginalBudget09]]</f>
        <v>-4391</v>
      </c>
      <c r="EF38" s="54">
        <f>SummaryTable[[#This Row],[BudgetIncreaseAmount10]]/SummaryTable[[#This Row],[OriginalBudget09]]</f>
        <v>-0.24879596577709787</v>
      </c>
      <c r="EG38" s="61">
        <f>IF(COUNTIFS(allFYsTable[Code], SummaryTable[[#This Row],[Code]], allFYsTable[year2], ED$3)=0, NotFound, SUMIFS(allFYsTable[RevisedBudget], allFYsTable[Code], SummaryTable[[#This Row],[Code]], allFYsTable[year2], ED$3))</f>
        <v>15938</v>
      </c>
      <c r="EH38" s="61">
        <f>IF(COUNTIFS(allFYsTable[Code], SummaryTable[[#This Row],[Code]], allFYsTable[year2], ED$3)=0, NotFound, SUMIFS(allFYsTable[Actual], allFYsTable[Code], SummaryTable[[#This Row],[Code]], allFYsTable[year2], ED$3))</f>
        <v>15499</v>
      </c>
      <c r="EI38" s="61">
        <f>IF(COUNTIFS(allFYsTable[Code], SummaryTable[[#This Row],[Code]], allFYsTable[year2], ED$3)=0, NotFound, SUMIFS(allFYsTable[DiffAmount], allFYsTable[Code], SummaryTable[[#This Row],[Code]], allFYsTable[year2], ED$3))</f>
        <v>2241</v>
      </c>
      <c r="EJ38" s="63">
        <f>IF(SummaryTable[[#This Row],[OriginalBudget10]]=0, IF(SummaryTable[[#This Row],[DiffAmount10]]=0, ZeroBudgetNoSpending, ZeroBudgetWithSpending), SummaryTable[[#This Row],[DiffAmount10]]/SummaryTable[[#This Row],[OriginalBudget10]])</f>
        <v>0.16903001961080102</v>
      </c>
      <c r="EK38" s="62">
        <f>IF(COUNTIFS(allFYsTable[Code], SummaryTable[[#This Row],[Code]], allFYsTable[year2], EK$3)=0, NotFound, SUMIFS(allFYsTable[OriginalBudget], allFYsTable[Code], SummaryTable[[#This Row],[Code]], allFYsTable[year2], EK$3))</f>
        <v>17649</v>
      </c>
      <c r="EL38" s="61">
        <f>SummaryTable[[#This Row],[OriginalBudget09]]-SummaryTable[[#This Row],[OriginalBudget08]]</f>
        <v>-4125</v>
      </c>
      <c r="EM38" s="54">
        <f>SummaryTable[[#This Row],[BudgetIncreaseAmount09]]/SummaryTable[[#This Row],[OriginalBudget08]]</f>
        <v>-0.18944612841003031</v>
      </c>
      <c r="EN38" s="61">
        <f>IF(COUNTIFS(allFYsTable[Code], SummaryTable[[#This Row],[Code]], allFYsTable[year2], EK$3)=0, NotFound, SUMIFS(allFYsTable[RevisedBudget], allFYsTable[Code], SummaryTable[[#This Row],[Code]], allFYsTable[year2], EK$3))</f>
        <v>17649</v>
      </c>
      <c r="EO38" s="61">
        <f>IF(COUNTIFS(allFYsTable[Code], SummaryTable[[#This Row],[Code]], allFYsTable[year2], EK$3)=0, NotFound, SUMIFS(allFYsTable[Actual], allFYsTable[Code], SummaryTable[[#This Row],[Code]], allFYsTable[year2], EK$3))</f>
        <v>17153</v>
      </c>
      <c r="EP38" s="61">
        <f>IF(COUNTIFS(allFYsTable[Code], SummaryTable[[#This Row],[Code]], allFYsTable[year2], EK$3)=0, NotFound, SUMIFS(allFYsTable[DiffAmount], allFYsTable[Code], SummaryTable[[#This Row],[Code]], allFYsTable[year2], EK$3))</f>
        <v>-496</v>
      </c>
      <c r="EQ38" s="63">
        <f>IF(SummaryTable[[#This Row],[OriginalBudget09]]=0, IF(SummaryTable[[#This Row],[DiffAmount09]]=0, ZeroBudgetNoSpending, ZeroBudgetWithSpending), SummaryTable[[#This Row],[DiffAmount09]]/SummaryTable[[#This Row],[OriginalBudget09]])</f>
        <v>-2.8103575273386593E-2</v>
      </c>
      <c r="ER38" s="62">
        <f>IF(COUNTIFS(allFYsTable[Code], SummaryTable[[#This Row],[Code]], allFYsTable[year2], ER$3)=0, NotFound, SUMIFS(allFYsTable[OriginalBudget], allFYsTable[Code], SummaryTable[[#This Row],[Code]], allFYsTable[year2], ER$3))</f>
        <v>21774</v>
      </c>
      <c r="ES38" s="61">
        <f>SummaryTable[[#This Row],[OriginalBudget08]]-SummaryTable[[#This Row],[OriginalBudget07]]</f>
        <v>-3800</v>
      </c>
      <c r="ET38" s="54">
        <f>SummaryTable[[#This Row],[BudgetIncreaseAmount08]]/SummaryTable[[#This Row],[OriginalBudget07]]</f>
        <v>-0.14858841010401189</v>
      </c>
      <c r="EU38" s="61">
        <f>IF(COUNTIFS(allFYsTable[Code], SummaryTable[[#This Row],[Code]], allFYsTable[year2], ER$3)=0, NotFound, SUMIFS(allFYsTable[RevisedBudget], allFYsTable[Code], SummaryTable[[#This Row],[Code]], allFYsTable[year2], ER$3))</f>
        <v>22123</v>
      </c>
      <c r="EV38" s="61">
        <f>IF(COUNTIFS(allFYsTable[Code], SummaryTable[[#This Row],[Code]], allFYsTable[year2], ER$3)=0, NotFound, SUMIFS(allFYsTable[Actual], allFYsTable[Code], SummaryTable[[#This Row],[Code]], allFYsTable[year2], ER$3))</f>
        <v>22115</v>
      </c>
      <c r="EW38" s="61">
        <f>IF(COUNTIFS(allFYsTable[Code], SummaryTable[[#This Row],[Code]], allFYsTable[year2], ER$3)=0, NotFound, SUMIFS(allFYsTable[DiffAmount], allFYsTable[Code], SummaryTable[[#This Row],[Code]], allFYsTable[year2], ER$3))</f>
        <v>341</v>
      </c>
      <c r="EX38" s="63">
        <f>IF(SummaryTable[[#This Row],[OriginalBudget08]]=0, IF(SummaryTable[[#This Row],[DiffAmount08]]=0, ZeroBudgetNoSpending, ZeroBudgetWithSpending), SummaryTable[[#This Row],[DiffAmount08]]/SummaryTable[[#This Row],[OriginalBudget08]])</f>
        <v>1.5660879948562505E-2</v>
      </c>
      <c r="EY38" s="62">
        <f>IF(COUNTIFS(allFYsTable[Code], SummaryTable[[#This Row],[Code]], allFYsTable[year2], EY$3)=0, NotFound, SUMIFS(allFYsTable[OriginalBudget], allFYsTable[Code], SummaryTable[[#This Row],[Code]], allFYsTable[year2], EY$3))</f>
        <v>25574</v>
      </c>
      <c r="EZ38" s="61">
        <f>SummaryTable[[#This Row],[OriginalBudget07]]-SummaryTable[[#This Row],[OriginalBudget06]]</f>
        <v>-1007</v>
      </c>
      <c r="FA38" s="54">
        <f>SummaryTable[[#This Row],[BudgetIncreaseAmount07]]/SummaryTable[[#This Row],[OriginalBudget06]]</f>
        <v>-3.7884203002144387E-2</v>
      </c>
      <c r="FB38" s="61">
        <f>IF(COUNTIFS(allFYsTable[Code], SummaryTable[[#This Row],[Code]], allFYsTable[year2], EY$3)=0, NotFound, SUMIFS(allFYsTable[RevisedBudget], allFYsTable[Code], SummaryTable[[#This Row],[Code]], allFYsTable[year2], EY$3))</f>
        <v>26085</v>
      </c>
      <c r="FC38" s="61">
        <f>IF(COUNTIFS(allFYsTable[Code], SummaryTable[[#This Row],[Code]], allFYsTable[year2], EY$3)=0, NotFound, SUMIFS(allFYsTable[Actual], allFYsTable[Code], SummaryTable[[#This Row],[Code]], allFYsTable[year2], EY$3))</f>
        <v>24695</v>
      </c>
      <c r="FD38" s="61">
        <f>IF(COUNTIFS(allFYsTable[Code], SummaryTable[[#This Row],[Code]], allFYsTable[year2], EY$3)=0, NotFound, SUMIFS(allFYsTable[DiffAmount], allFYsTable[Code], SummaryTable[[#This Row],[Code]], allFYsTable[year2], EY$3))</f>
        <v>-879</v>
      </c>
      <c r="FE38" s="63">
        <f>IF(SummaryTable[[#This Row],[OriginalBudget07]]=0, IF(SummaryTable[[#This Row],[DiffAmount07]]=0, ZeroBudgetNoSpending, ZeroBudgetWithSpending), SummaryTable[[#This Row],[DiffAmount07]]/SummaryTable[[#This Row],[OriginalBudget07]])</f>
        <v>-3.4370845389849067E-2</v>
      </c>
      <c r="FF38" s="62">
        <f>IF(COUNTIFS(allFYsTable[Code], SummaryTable[[#This Row],[Code]], allFYsTable[year2], FF$3)=0, NotFound, SUMIFS(allFYsTable[OriginalBudget], allFYsTable[Code], SummaryTable[[#This Row],[Code]], allFYsTable[year2], FF$3))</f>
        <v>26581</v>
      </c>
      <c r="FI38" s="61">
        <f>IF(COUNTIFS(allFYsTable[Code], SummaryTable[[#This Row],[Code]], allFYsTable[year2], FF$3)=0, NotFound, SUMIFS(allFYsTable[RevisedBudget], allFYsTable[Code], SummaryTable[[#This Row],[Code]], allFYsTable[year2], FF$3))</f>
        <v>28119</v>
      </c>
      <c r="FJ38" s="61">
        <f>IF(COUNTIFS(allFYsTable[Code], SummaryTable[[#This Row],[Code]], allFYsTable[year2], FF$3)=0, NotFound, SUMIFS(allFYsTable[Actual], allFYsTable[Code], SummaryTable[[#This Row],[Code]], allFYsTable[year2], FF$3))</f>
        <v>26982</v>
      </c>
      <c r="FK38" s="61">
        <f>IF(COUNTIFS(allFYsTable[Code], SummaryTable[[#This Row],[Code]], allFYsTable[year2], FF$3)=0, NotFound, SUMIFS(allFYsTable[DiffAmount], allFYsTable[Code], SummaryTable[[#This Row],[Code]], allFYsTable[year2], FF$3))</f>
        <v>401</v>
      </c>
      <c r="FL38" s="63">
        <f>IF(SummaryTable[[#This Row],[OriginalBudget06]]=0, IF(SummaryTable[[#This Row],[DiffAmount06]]=0, ZeroBudgetNoSpending, ZeroBudgetWithSpending), SummaryTable[[#This Row],[DiffAmount06]]/SummaryTable[[#This Row],[OriginalBudget06]])</f>
        <v>1.5085963658252134E-2</v>
      </c>
    </row>
    <row r="39" spans="1:168" x14ac:dyDescent="0.45">
      <c r="A39" t="s">
        <v>801</v>
      </c>
      <c r="B39">
        <f>_xlfn.MAXIFS(allFYsTable[year2], allFYsTable[Code], SummaryTable[[#This Row],[Code]])</f>
        <v>2025</v>
      </c>
      <c r="C39" t="str">
        <f>_xlfn.XLOOKUP(SummaryTable[[#This Row],[Code]], NameCodingTable[Code], NameCodingTable[Most Recent Category per allFYs])</f>
        <v>Operations and infrastructure</v>
      </c>
      <c r="D39" t="str">
        <f>_xlfn.XLOOKUP(SummaryTable[[#This Row],[Code]], NameCodingTable[Code], NameCodingTable[Unit Display Name])</f>
        <v>Department of Motor Vehicles (DMV)</v>
      </c>
      <c r="E39" t="str">
        <f>_xlfn.XLOOKUP(SummaryTable[[#This Row],[Code]], NameCodingTable[Code], NameCodingTable[Type])</f>
        <v>agency</v>
      </c>
      <c r="F3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3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39" s="54">
        <f>SummaryTable[[#This Row],['# Over]]/SummaryTable[[#This Row],[Count]]</f>
        <v>0.15</v>
      </c>
      <c r="I3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16</v>
      </c>
      <c r="J39" s="54">
        <f>SummaryTable[[#This Row],['# Under]]/SummaryTable[[#This Row],[Count]]</f>
        <v>0.8</v>
      </c>
      <c r="K3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39" s="54">
        <f>SummaryTable[[#This Row],['# Equal]]/SummaryTable[[#This Row],[Count]]</f>
        <v>0.05</v>
      </c>
      <c r="M39" s="61">
        <f>SUMIFS(allFYsTable[OriginalBudget],allFYsTable[Code],SummaryTable[[#This Row],[Code]])/SummaryTable[[#This Row],[Count]]</f>
        <v>35275.15</v>
      </c>
      <c r="N39" s="61">
        <f>SUMIFS(allFYsTable[Actual],allFYsTable[Code],SummaryTable[[#This Row],[Code]])/SummaryTable[[#This Row],[Count]]</f>
        <v>33855.300000000003</v>
      </c>
      <c r="O39" s="61">
        <f>SummaryTable[[#This Row],[AvgActAmt]]-SummaryTable[[#This Row],[AvgBudAmt]]</f>
        <v>-1419.8499999999985</v>
      </c>
      <c r="P39" s="54">
        <f>IF(SummaryTable[[#This Row],[AvgBudAmt]]=0, IF(SummaryTable[[#This Row],[AvgDiff'#]]=0, 0, NamedFields!$C$3), SummaryTable[[#This Row],[AvgDiff'#]]/SummaryTable[[#This Row],[AvgBudAmt]])</f>
        <v>-4.0250714738278889E-2</v>
      </c>
      <c r="Q39" s="61">
        <f>IFERROR(SUMIFS(allFYsTable[OriginalBudget],allFYsTable[Code],SummaryTable[[#This Row],[Code]],allFYsTable[DiffAmount], "&gt;0")/SummaryTable[[#This Row],['# Over]], 0)</f>
        <v>38204</v>
      </c>
      <c r="R39" s="61">
        <f>IFERROR(SUMIFS(allFYsTable[Actual],allFYsTable[Code],SummaryTable[[#This Row],[Code]],allFYsTable[DiffAmount], "&gt;0")/SummaryTable[[#This Row],['# Over]], 0)</f>
        <v>40550.666666666664</v>
      </c>
      <c r="S39" s="61">
        <f>SummaryTable[[#This Row],[OverAvgAct]]-SummaryTable[[#This Row],[OverAvgBud]]</f>
        <v>2346.6666666666642</v>
      </c>
      <c r="T39" s="54">
        <f>IF(SummaryTable[[#This Row],[OverAvgBud]]=0, IF(SummaryTable[[#This Row],[OverAvgDiff'#]]=0, ZeroBudgetNoSpending, ZeroBudgetWithSpending), SummaryTable[[#This Row],[OverAvgDiff'#]]/SummaryTable[[#This Row],[OverAvgBud]])</f>
        <v>6.1424632673716478E-2</v>
      </c>
      <c r="U39" s="61">
        <f>IFERROR(SUMIFS(allFYsTable[OriginalBudget],allFYsTable[Code],SummaryTable[[#This Row],[Code]],allFYsTable[DiffAmount], "&lt;0")/SummaryTable[[#This Row],['# Under]], 0)</f>
        <v>35068.1875</v>
      </c>
      <c r="V39" s="61">
        <f>IFERROR( SUMIFS(allFYsTable[Actual],allFYsTable[Code],SummaryTable[[#This Row],[Code]],allFYsTable[DiffAmount], "&lt;0")/SummaryTable[[#This Row],['# Under]], 0)</f>
        <v>32853.375</v>
      </c>
      <c r="W39" s="61">
        <f>SummaryTable[[#This Row],[UnderAvgAct]]-SummaryTable[[#This Row],[UnderAvgBud]]</f>
        <v>-2214.8125</v>
      </c>
      <c r="X39" s="54">
        <f>IF(SummaryTable[[#This Row],[UnderAvgBud]]=0, IF(SummaryTable[[#This Row],[UnderAvgDiff'#]]=0, ZeroBudgetNoSpending, NamedFields!$C$3), SummaryTable[[#This Row],[UnderAvgDiff'#]]/SummaryTable[[#This Row],[UnderAvgBud]])</f>
        <v>-6.3157313163105452E-2</v>
      </c>
      <c r="Y3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3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39" s="54">
        <f>IF(SummaryTable[[#This Row],[IncreaseYears]]=0, ZeroBudgetNoSpending, SummaryTable[[#This Row],[OSinIncreaseYear'#]]/SummaryTable[[#This Row],[IncreaseYears]])</f>
        <v>0</v>
      </c>
      <c r="AB39" s="58" t="str">
        <f>SummaryTable[[#This Row],[Code]]</f>
        <v>KV0</v>
      </c>
      <c r="AC39" s="62">
        <f>IF(COUNTIFS(allFYsTable[Code], SummaryTable[[#This Row],[Code]], allFYsTable[year2], AC$3)=0, NotFound, SUMIFS(allFYsTable[OriginalBudget], allFYsTable[Code], SummaryTable[[#This Row],[Code]], allFYsTable[year2], AC$3))</f>
        <v>61771</v>
      </c>
      <c r="AD39" s="61">
        <f>SummaryTable[[#This Row],[OriginalBudget25]]-SummaryTable[[#This Row],[OriginalBudget24]]</f>
        <v>3536</v>
      </c>
      <c r="AE39" s="54">
        <f>SummaryTable[[#This Row],[BudgetIncreaseAmount25]]/SummaryTable[[#This Row],[OriginalBudget24]]</f>
        <v>6.0719498583326176E-2</v>
      </c>
      <c r="AF39" s="61">
        <f>IF(COUNTIFS(allFYsTable[Code], SummaryTable[[#This Row],[Code]], allFYsTable[year2], AC$3)=0, NotFound, SUMIFS(allFYsTable[RevisedBudget], allFYsTable[Code], SummaryTable[[#This Row],[Code]], allFYsTable[year2], AC$3))</f>
        <v>59174</v>
      </c>
      <c r="AG39" s="61">
        <f>IF(COUNTIFS(allFYsTable[Code], SummaryTable[[#This Row],[Code]], allFYsTable[year2], AC$3)=0, NotFound, SUMIFS(allFYsTable[Actual], allFYsTable[Code], SummaryTable[[#This Row],[Code]], allFYsTable[year2], AC$3))</f>
        <v>56745</v>
      </c>
      <c r="AH39" s="61">
        <f>IF(COUNTIFS(allFYsTable[Code], SummaryTable[[#This Row],[Code]], allFYsTable[year2], AC$3)=0, NotFound, SUMIFS(allFYsTable[DiffAmount], allFYsTable[Code], SummaryTable[[#This Row],[Code]], allFYsTable[year2], AC$3))</f>
        <v>-5026</v>
      </c>
      <c r="AI39" s="63">
        <f>IF(SummaryTable[[#This Row],[OriginalBudget25]]=0, IF(SummaryTable[[#This Row],[DiffAmount25]]=0, ZeroBudgetNoSpending, ZeroBudgetWithSpending), SummaryTable[[#This Row],[DiffAmount25]]/SummaryTable[[#This Row],[OriginalBudget25]])</f>
        <v>-8.1365041848116423E-2</v>
      </c>
      <c r="AJ39" s="62">
        <f>IF(COUNTIFS(allFYsTable[Code], SummaryTable[[#This Row],[Code]], allFYsTable[year2], AJ$3)=0, NotFound, SUMIFS(allFYsTable[OriginalBudget], allFYsTable[Code], SummaryTable[[#This Row],[Code]], allFYsTable[year2], AJ$3))</f>
        <v>58235</v>
      </c>
      <c r="AK39" s="61">
        <f>SummaryTable[[#This Row],[OriginalBudget24]]-SummaryTable[[#This Row],[OriginalBudget23]]</f>
        <v>12376</v>
      </c>
      <c r="AL39" s="54">
        <f>SummaryTable[[#This Row],[BudgetIncreaseAmount24]]/SummaryTable[[#This Row],[OriginalBudget23]]</f>
        <v>0.26987069059508495</v>
      </c>
      <c r="AM39" s="61">
        <f>IF(COUNTIFS(allFYsTable[Code], SummaryTable[[#This Row],[Code]], allFYsTable[year2], AK$3)=0, NotFound, SUMIFS(allFYsTable[RevisedBudget], allFYsTable[Code], SummaryTable[[#This Row],[Code]], allFYsTable[year2], AJ$3))</f>
        <v>57722</v>
      </c>
      <c r="AN39" s="61">
        <f>IF(COUNTIFS(allFYsTable[Code], SummaryTable[[#This Row],[Code]], allFYsTable[year2], AJ$3)=0, NotFound, SUMIFS(allFYsTable[Actual], allFYsTable[Code], SummaryTable[[#This Row],[Code]], allFYsTable[year2], AJ$3))</f>
        <v>52390</v>
      </c>
      <c r="AO39" s="61">
        <f>IF(COUNTIFS(allFYsTable[Code], SummaryTable[[#This Row],[Code]], allFYsTable[year2], AJ$3)=0, NotFound, SUMIFS(allFYsTable[DiffAmount], allFYsTable[Code], SummaryTable[[#This Row],[Code]], allFYsTable[year2], AJ$3))</f>
        <v>-5845</v>
      </c>
      <c r="AP39" s="63">
        <f>IF(SummaryTable[[#This Row],[OriginalBudget24]]=0, IF(SummaryTable[[#This Row],[DiffAmount24]]=0, ZeroBudgetNoSpending, ZeroBudgetWithSpending), SummaryTable[[#This Row],[DiffAmount24]]/SummaryTable[[#This Row],[OriginalBudget24]])</f>
        <v>-0.10036919378380699</v>
      </c>
      <c r="AQ39" s="62">
        <f>IF(COUNTIFS(allFYsTable[Code], SummaryTable[[#This Row],[Code]], allFYsTable[year2], AQ$3)=0, NotFound, SUMIFS(allFYsTable[OriginalBudget], allFYsTable[Code], SummaryTable[[#This Row],[Code]], allFYsTable[year2], AQ$3))</f>
        <v>45859</v>
      </c>
      <c r="AR39" s="61">
        <f>SummaryTable[[#This Row],[OriginalBudget23]]-SummaryTable[[#This Row],[OriginalBudget22]]</f>
        <v>6894</v>
      </c>
      <c r="AS39" s="54">
        <f>SummaryTable[[#This Row],[BudgetIncreaseAmount23]]/SummaryTable[[#This Row],[OriginalBudget22]]</f>
        <v>0.17692801231874761</v>
      </c>
      <c r="AT39" s="61">
        <f>IF(COUNTIFS(allFYsTable[Code], SummaryTable[[#This Row],[Code]], allFYsTable[year2], AQ$3)=0, NotFound, SUMIFS(allFYsTable[RevisedBudget], allFYsTable[Code], SummaryTable[[#This Row],[Code]], allFYsTable[year2], AQ$3))</f>
        <v>45509</v>
      </c>
      <c r="AU39" s="61">
        <f>IF(COUNTIFS(allFYsTable[Code], SummaryTable[[#This Row],[Code]], allFYsTable[year2], AQ$3)=0, NotFound, SUMIFS(allFYsTable[Actual], allFYsTable[Code], SummaryTable[[#This Row],[Code]], allFYsTable[year2], AQ$3))</f>
        <v>43760</v>
      </c>
      <c r="AV39" s="61">
        <f>IF(COUNTIFS(allFYsTable[Code], SummaryTable[[#This Row],[Code]], allFYsTable[year2], AQ$3)=0, NotFound, SUMIFS(allFYsTable[DiffAmount], allFYsTable[Code], SummaryTable[[#This Row],[Code]], allFYsTable[year2], AQ$3))</f>
        <v>-2099</v>
      </c>
      <c r="AW39" s="63">
        <f>IF(SummaryTable[[#This Row],[OriginalBudget23]]=0, IF(SummaryTable[[#This Row],[DiffAmount23]]=0, ZeroBudgetNoSpending, ZeroBudgetWithSpending), SummaryTable[[#This Row],[DiffAmount23]]/SummaryTable[[#This Row],[OriginalBudget23]])</f>
        <v>-4.5770732026428833E-2</v>
      </c>
      <c r="AX39" s="62">
        <f>IF(COUNTIFS(allFYsTable[Code], SummaryTable[[#This Row],[Code]], allFYsTable[year2], AX$3)=0, NotFound, SUMIFS(allFYsTable[OriginalBudget], allFYsTable[Code], SummaryTable[[#This Row],[Code]], allFYsTable[year2], AX$3))</f>
        <v>38965</v>
      </c>
      <c r="AY39" s="61">
        <f>SummaryTable[[#This Row],[OriginalBudget22]]-SummaryTable[[#This Row],[OriginalBudget21]]</f>
        <v>1423</v>
      </c>
      <c r="AZ39" s="54">
        <f>SummaryTable[[#This Row],[BudgetIncreaseAmount22]]/SummaryTable[[#This Row],[OriginalBudget21]]</f>
        <v>3.7904213947045975E-2</v>
      </c>
      <c r="BA39" s="61">
        <f>IF(COUNTIFS(allFYsTable[Code], SummaryTable[[#This Row],[Code]], allFYsTable[year2], AX$3)=0, NotFound, SUMIFS(allFYsTable[RevisedBudget], allFYsTable[Code], SummaryTable[[#This Row],[Code]], allFYsTable[year2], AX$3))</f>
        <v>39002</v>
      </c>
      <c r="BB39" s="61">
        <f>IF(COUNTIFS(allFYsTable[Code], SummaryTable[[#This Row],[Code]], allFYsTable[year2], AX$3)=0, NotFound, SUMIFS(allFYsTable[Actual], allFYsTable[Code], SummaryTable[[#This Row],[Code]], allFYsTable[year2], AX$3))</f>
        <v>38065</v>
      </c>
      <c r="BC39" s="61">
        <f>IF(COUNTIFS(allFYsTable[Code], SummaryTable[[#This Row],[Code]], allFYsTable[year2], AX$3)=0, NotFound, SUMIFS(allFYsTable[DiffAmount], allFYsTable[Code], SummaryTable[[#This Row],[Code]], allFYsTable[year2], AX$3))</f>
        <v>-900</v>
      </c>
      <c r="BD39" s="63">
        <f>IF(SummaryTable[[#This Row],[OriginalBudget22]]=0, IF(SummaryTable[[#This Row],[DiffAmount22]]=0, ZeroBudgetNoSpending, ZeroBudgetWithSpending), SummaryTable[[#This Row],[DiffAmount22]]/SummaryTable[[#This Row],[OriginalBudget22]])</f>
        <v>-2.3097651738739896E-2</v>
      </c>
      <c r="BE39" s="62">
        <f>IF(COUNTIFS(allFYsTable[Code], SummaryTable[[#This Row],[Code]], allFYsTable[year2], BE$3)=0, NotFound, SUMIFS(allFYsTable[OriginalBudget], allFYsTable[Code], SummaryTable[[#This Row],[Code]], allFYsTable[year2], BE$3))</f>
        <v>37542</v>
      </c>
      <c r="BF39" s="61">
        <f>SummaryTable[[#This Row],[OriginalBudget21]]-SummaryTable[[#This Row],[OriginalBudget20]]</f>
        <v>2766</v>
      </c>
      <c r="BG39" s="54">
        <f>SummaryTable[[#This Row],[BudgetIncreaseAmount21]]/SummaryTable[[#This Row],[OriginalBudget20]]</f>
        <v>7.9537612146307793E-2</v>
      </c>
      <c r="BH39" s="61">
        <f>IF(COUNTIFS(allFYsTable[Code], SummaryTable[[#This Row],[Code]], allFYsTable[year2], BE$3)=0, NotFound, SUMIFS(allFYsTable[RevisedBudget], allFYsTable[Code], SummaryTable[[#This Row],[Code]], allFYsTable[year2], BE$3))</f>
        <v>36128</v>
      </c>
      <c r="BI39" s="61">
        <f>IF(COUNTIFS(allFYsTable[Code], SummaryTable[[#This Row],[Code]], allFYsTable[year2], BE$3)=0, NotFound, SUMIFS(allFYsTable[Actual], allFYsTable[Code], SummaryTable[[#This Row],[Code]], allFYsTable[year2], BE$3))</f>
        <v>35354</v>
      </c>
      <c r="BJ39" s="61">
        <f>IF(COUNTIFS(allFYsTable[Code], SummaryTable[[#This Row],[Code]], allFYsTable[year2], BE$3)=0, NotFound, SUMIFS(allFYsTable[DiffAmount], allFYsTable[Code], SummaryTable[[#This Row],[Code]], allFYsTable[year2], BE$3))</f>
        <v>-2188</v>
      </c>
      <c r="BK39" s="63">
        <f>IF(SummaryTable[[#This Row],[OriginalBudget21]]=0, IF(SummaryTable[[#This Row],[DiffAmount21]]=0, ZeroBudgetNoSpending, ZeroBudgetWithSpending), SummaryTable[[#This Row],[DiffAmount21]]/SummaryTable[[#This Row],[OriginalBudget21]])</f>
        <v>-5.8281391508177509E-2</v>
      </c>
      <c r="BL39" s="62">
        <f>IF(COUNTIFS(allFYsTable[Code], SummaryTable[[#This Row],[Code]], allFYsTable[year2], BL$3)=0, NotFound, SUMIFS(allFYsTable[OriginalBudget], allFYsTable[Code], SummaryTable[[#This Row],[Code]], allFYsTable[year2], BL$3))</f>
        <v>34776</v>
      </c>
      <c r="BM39" s="61">
        <f>SummaryTable[[#This Row],[OriginalBudget20]]-SummaryTable[[#This Row],[OriginalBudget19]]</f>
        <v>4403</v>
      </c>
      <c r="BN39" s="54">
        <f>SummaryTable[[#This Row],[BudgetIncreaseAmount20]]/SummaryTable[[#This Row],[OriginalBudget19]]</f>
        <v>0.14496427748329108</v>
      </c>
      <c r="BO39" s="61">
        <f>IF(COUNTIFS(allFYsTable[Code], SummaryTable[[#This Row],[Code]], allFYsTable[year2], BL$3)=0, NotFound, SUMIFS(allFYsTable[RevisedBudget], allFYsTable[Code], SummaryTable[[#This Row],[Code]], allFYsTable[year2], BL$3))</f>
        <v>37021</v>
      </c>
      <c r="BP39" s="61">
        <f>IF(COUNTIFS(allFYsTable[Code], SummaryTable[[#This Row],[Code]], allFYsTable[year2], BL$3)=0, NotFound, SUMIFS(allFYsTable[Actual], allFYsTable[Code], SummaryTable[[#This Row],[Code]], allFYsTable[year2], BL$3))</f>
        <v>35749</v>
      </c>
      <c r="BQ39" s="61">
        <f>IF(COUNTIFS(allFYsTable[Code], SummaryTable[[#This Row],[Code]], allFYsTable[year2], BL$3)=0, NotFound, SUMIFS(allFYsTable[DiffAmount], allFYsTable[Code], SummaryTable[[#This Row],[Code]], allFYsTable[year2], BL$3))</f>
        <v>973</v>
      </c>
      <c r="BR39" s="63">
        <f>IF(SummaryTable[[#This Row],[OriginalBudget20]]=0, IF(SummaryTable[[#This Row],[DiffAmount20]]=0, ZeroBudgetNoSpending, ZeroBudgetWithSpending), SummaryTable[[#This Row],[DiffAmount20]]/SummaryTable[[#This Row],[OriginalBudget20]])</f>
        <v>2.7979066022544283E-2</v>
      </c>
      <c r="BS39" s="62">
        <f>IF(COUNTIFS(allFYsTable[Code], SummaryTable[[#This Row],[Code]], allFYsTable[year2], BS$3)=0, NotFound, SUMIFS(allFYsTable[OriginalBudget], allFYsTable[Code], SummaryTable[[#This Row],[Code]], allFYsTable[year2], BS$3))</f>
        <v>30373</v>
      </c>
      <c r="BT39" s="61">
        <f>SummaryTable[[#This Row],[OriginalBudget19]]-SummaryTable[[#This Row],[OriginalBudget18]]</f>
        <v>573</v>
      </c>
      <c r="BU39" s="54">
        <f>SummaryTable[[#This Row],[BudgetIncreaseAmount19]]/SummaryTable[[#This Row],[OriginalBudget18]]</f>
        <v>1.9228187919463086E-2</v>
      </c>
      <c r="BV39" s="61">
        <f>IF(COUNTIFS(allFYsTable[Code], SummaryTable[[#This Row],[Code]], allFYsTable[year2], BS$3)=0, NotFound, SUMIFS(allFYsTable[RevisedBudget], allFYsTable[Code], SummaryTable[[#This Row],[Code]], allFYsTable[year2], BS$3))</f>
        <v>28685</v>
      </c>
      <c r="BW39" s="61">
        <f>IF(COUNTIFS(allFYsTable[Code], SummaryTable[[#This Row],[Code]], allFYsTable[year2], BS$3)=0, NotFound, SUMIFS(allFYsTable[Actual], allFYsTable[Code], SummaryTable[[#This Row],[Code]], allFYsTable[year2], BS$3))</f>
        <v>28683</v>
      </c>
      <c r="BX39" s="61">
        <f>IF(COUNTIFS(allFYsTable[Code], SummaryTable[[#This Row],[Code]], allFYsTable[year2], BS$3)=0, NotFound, SUMIFS(allFYsTable[DiffAmount], allFYsTable[Code], SummaryTable[[#This Row],[Code]], allFYsTable[year2], BS$3))</f>
        <v>-1690</v>
      </c>
      <c r="BY39" s="63">
        <f>IF(SummaryTable[[#This Row],[OriginalBudget19]]=0, IF(SummaryTable[[#This Row],[DiffAmount19]]=0, ZeroBudgetNoSpending, ZeroBudgetWithSpending), SummaryTable[[#This Row],[DiffAmount19]]/SummaryTable[[#This Row],[OriginalBudget19]])</f>
        <v>-5.5641523721726531E-2</v>
      </c>
      <c r="BZ39" s="62">
        <f>IF(COUNTIFS(allFYsTable[Code], SummaryTable[[#This Row],[Code]], allFYsTable[year2], BZ$3)=0, NotFound, SUMIFS(allFYsTable[OriginalBudget], allFYsTable[Code], SummaryTable[[#This Row],[Code]], allFYsTable[year2], BZ$3))</f>
        <v>29800</v>
      </c>
      <c r="CA39" s="61">
        <f>SummaryTable[[#This Row],[OriginalBudget18]]-SummaryTable[[#This Row],[OriginalBudget17]]</f>
        <v>-399</v>
      </c>
      <c r="CB39" s="54">
        <f>SummaryTable[[#This Row],[BudgetIncreaseAmount18]]/SummaryTable[[#This Row],[OriginalBudget17]]</f>
        <v>-1.3212358025100169E-2</v>
      </c>
      <c r="CC39" s="61">
        <f>IF(COUNTIFS(allFYsTable[Code], SummaryTable[[#This Row],[Code]], allFYsTable[year2], BZ$3)=0, NotFound, SUMIFS(allFYsTable[RevisedBudget], allFYsTable[Code], SummaryTable[[#This Row],[Code]], allFYsTable[year2], BZ$3))</f>
        <v>29800</v>
      </c>
      <c r="CD39" s="61">
        <f>IF(COUNTIFS(allFYsTable[Code], SummaryTable[[#This Row],[Code]], allFYsTable[year2], BZ$3)=0, NotFound, SUMIFS(allFYsTable[Actual], allFYsTable[Code], SummaryTable[[#This Row],[Code]], allFYsTable[year2], BZ$3))</f>
        <v>29800</v>
      </c>
      <c r="CE39" s="61">
        <f>IF(COUNTIFS(allFYsTable[Code], SummaryTable[[#This Row],[Code]], allFYsTable[year2], BZ$3)=0, NotFound, SUMIFS(allFYsTable[DiffAmount], allFYsTable[Code], SummaryTable[[#This Row],[Code]], allFYsTable[year2], BZ$3))</f>
        <v>0</v>
      </c>
      <c r="CF39" s="63">
        <f>IF(SummaryTable[[#This Row],[OriginalBudget18]]=0, IF(SummaryTable[[#This Row],[DiffAmount18]]=0, ZeroBudgetNoSpending, ZeroBudgetWithSpending), SummaryTable[[#This Row],[DiffAmount18]]/SummaryTable[[#This Row],[OriginalBudget18]])</f>
        <v>0</v>
      </c>
      <c r="CG39" s="62">
        <f>IF(COUNTIFS(allFYsTable[Code], SummaryTable[[#This Row],[Code]], allFYsTable[year2], CG$3)=0, NotFound, SUMIFS(allFYsTable[OriginalBudget], allFYsTable[Code], SummaryTable[[#This Row],[Code]], allFYsTable[year2], CG$3))</f>
        <v>30199</v>
      </c>
      <c r="CH39" s="61">
        <f>SummaryTable[[#This Row],[OriginalBudget17]]-SummaryTable[[#This Row],[OriginalBudget16]]</f>
        <v>2108</v>
      </c>
      <c r="CI39" s="54">
        <f>SummaryTable[[#This Row],[BudgetIncreaseAmount17]]/SummaryTable[[#This Row],[OriginalBudget16]]</f>
        <v>7.50418283435976E-2</v>
      </c>
      <c r="CJ39" s="61">
        <f>IF(COUNTIFS(allFYsTable[Code], SummaryTable[[#This Row],[Code]], allFYsTable[year2], CG$3)=0, NotFound, SUMIFS(allFYsTable[RevisedBudget], allFYsTable[Code], SummaryTable[[#This Row],[Code]], allFYsTable[year2], CG$3))</f>
        <v>29709</v>
      </c>
      <c r="CK39" s="61">
        <f>IF(COUNTIFS(allFYsTable[Code], SummaryTable[[#This Row],[Code]], allFYsTable[year2], CG$3)=0, NotFound, SUMIFS(allFYsTable[Actual], allFYsTable[Code], SummaryTable[[#This Row],[Code]], allFYsTable[year2], CG$3))</f>
        <v>28518</v>
      </c>
      <c r="CL39" s="61">
        <f>IF(COUNTIFS(allFYsTable[Code], SummaryTable[[#This Row],[Code]], allFYsTable[year2], CG$3)=0, NotFound, SUMIFS(allFYsTable[DiffAmount], allFYsTable[Code], SummaryTable[[#This Row],[Code]], allFYsTable[year2], CG$3))</f>
        <v>-1681</v>
      </c>
      <c r="CM39" s="63">
        <f>IF(SummaryTable[[#This Row],[OriginalBudget17]]=0, IF(SummaryTable[[#This Row],[DiffAmount17]]=0, ZeroBudgetNoSpending, ZeroBudgetWithSpending), SummaryTable[[#This Row],[DiffAmount17]]/SummaryTable[[#This Row],[OriginalBudget17]])</f>
        <v>-5.5664094837577401E-2</v>
      </c>
      <c r="CN39" s="62">
        <f>IF(COUNTIFS(allFYsTable[Code], SummaryTable[[#This Row],[Code]], allFYsTable[year2], CN$3)=0, NotFound, SUMIFS(allFYsTable[OriginalBudget], allFYsTable[Code], SummaryTable[[#This Row],[Code]], allFYsTable[year2], CN$3))</f>
        <v>28091</v>
      </c>
      <c r="CO39" s="61">
        <f>SummaryTable[[#This Row],[OriginalBudget16]]-SummaryTable[[#This Row],[OriginalBudget15]]</f>
        <v>-641</v>
      </c>
      <c r="CP39" s="54">
        <f>SummaryTable[[#This Row],[BudgetIncreaseAmount16]]/SummaryTable[[#This Row],[OriginalBudget15]]</f>
        <v>-2.2309619935959906E-2</v>
      </c>
      <c r="CQ39" s="61">
        <f>IF(COUNTIFS(allFYsTable[Code], SummaryTable[[#This Row],[Code]], allFYsTable[year2], CN$3)=0, NotFound, SUMIFS(allFYsTable[RevisedBudget], allFYsTable[Code], SummaryTable[[#This Row],[Code]], allFYsTable[year2], CN$3))</f>
        <v>26891</v>
      </c>
      <c r="CR39" s="61">
        <f>IF(COUNTIFS(allFYsTable[Code], SummaryTable[[#This Row],[Code]], allFYsTable[year2], CN$3)=0, NotFound, SUMIFS(allFYsTable[Actual], allFYsTable[Code], SummaryTable[[#This Row],[Code]], allFYsTable[year2], CN$3))</f>
        <v>26761</v>
      </c>
      <c r="CS39" s="61">
        <f>IF(COUNTIFS(allFYsTable[Code], SummaryTable[[#This Row],[Code]], allFYsTable[year2], CN$3)=0, NotFound, SUMIFS(allFYsTable[DiffAmount], allFYsTable[Code], SummaryTable[[#This Row],[Code]], allFYsTable[year2], CN$3))</f>
        <v>-1330</v>
      </c>
      <c r="CT39" s="63">
        <f>IF(SummaryTable[[#This Row],[OriginalBudget16]]=0, IF(SummaryTable[[#This Row],[DiffAmount16]]=0, ZeroBudgetNoSpending, ZeroBudgetWithSpending), SummaryTable[[#This Row],[DiffAmount16]]/SummaryTable[[#This Row],[OriginalBudget16]])</f>
        <v>-4.7346125093446302E-2</v>
      </c>
      <c r="CU39" s="62">
        <f>IF(COUNTIFS(allFYsTable[Code], SummaryTable[[#This Row],[Code]], allFYsTable[year2], CU$3)=0, NotFound, SUMIFS(allFYsTable[OriginalBudget], allFYsTable[Code], SummaryTable[[#This Row],[Code]], allFYsTable[year2], CU$3))</f>
        <v>28732</v>
      </c>
      <c r="CV39" s="61">
        <f>SummaryTable[[#This Row],[OriginalBudget15]]-SummaryTable[[#This Row],[OriginalBudget14]]</f>
        <v>1579</v>
      </c>
      <c r="CW39" s="54">
        <f>SummaryTable[[#This Row],[BudgetIncreaseAmount15]]/SummaryTable[[#This Row],[OriginalBudget14]]</f>
        <v>5.8151953743601076E-2</v>
      </c>
      <c r="CX39" s="61">
        <f>IF(COUNTIFS(allFYsTable[Code], SummaryTable[[#This Row],[Code]], allFYsTable[year2], CU$3)=0, NotFound, SUMIFS(allFYsTable[RevisedBudget], allFYsTable[Code], SummaryTable[[#This Row],[Code]], allFYsTable[year2], CU$3))</f>
        <v>26101</v>
      </c>
      <c r="CY39" s="61">
        <f>IF(COUNTIFS(allFYsTable[Code], SummaryTable[[#This Row],[Code]], allFYsTable[year2], CU$3)=0, NotFound, SUMIFS(allFYsTable[Actual], allFYsTable[Code], SummaryTable[[#This Row],[Code]], allFYsTable[year2], CU$3))</f>
        <v>26049</v>
      </c>
      <c r="CZ39" s="61">
        <f>IF(COUNTIFS(allFYsTable[Code], SummaryTable[[#This Row],[Code]], allFYsTable[year2], CU$3)=0, NotFound, SUMIFS(allFYsTable[DiffAmount], allFYsTable[Code], SummaryTable[[#This Row],[Code]], allFYsTable[year2], CU$3))</f>
        <v>-2683</v>
      </c>
      <c r="DA39" s="63">
        <f>IF(SummaryTable[[#This Row],[OriginalBudget15]]=0, IF(SummaryTable[[#This Row],[DiffAmount15]]=0, ZeroBudgetNoSpending, ZeroBudgetWithSpending), SummaryTable[[#This Row],[DiffAmount15]]/SummaryTable[[#This Row],[OriginalBudget15]])</f>
        <v>-9.3380203257691766E-2</v>
      </c>
      <c r="DB39" s="62">
        <f>IF(COUNTIFS(allFYsTable[Code], SummaryTable[[#This Row],[Code]], allFYsTable[year2], DB$3)=0, NotFound, SUMIFS(allFYsTable[OriginalBudget], allFYsTable[Code], SummaryTable[[#This Row],[Code]], allFYsTable[year2], DB$3))</f>
        <v>27153</v>
      </c>
      <c r="DC39" s="61">
        <f>SummaryTable[[#This Row],[OriginalBudget14]]-SummaryTable[[#This Row],[OriginalBudget13]]</f>
        <v>2823</v>
      </c>
      <c r="DD39" s="54">
        <f>SummaryTable[[#This Row],[BudgetIncreaseAmount14]]/SummaryTable[[#This Row],[OriginalBudget13]]</f>
        <v>0.11602959309494451</v>
      </c>
      <c r="DE39" s="61">
        <f>IF(COUNTIFS(allFYsTable[Code], SummaryTable[[#This Row],[Code]], allFYsTable[year2], DB$3)=0, NotFound, SUMIFS(allFYsTable[RevisedBudget], allFYsTable[Code], SummaryTable[[#This Row],[Code]], allFYsTable[year2], DB$3))</f>
        <v>27866</v>
      </c>
      <c r="DF39" s="61">
        <f>IF(COUNTIFS(allFYsTable[Code], SummaryTable[[#This Row],[Code]], allFYsTable[year2], DB$3)=0, NotFound, SUMIFS(allFYsTable[Actual], allFYsTable[Code], SummaryTable[[#This Row],[Code]], allFYsTable[year2], DB$3))</f>
        <v>26900</v>
      </c>
      <c r="DG39" s="61">
        <f>IF(COUNTIFS(allFYsTable[Code], SummaryTable[[#This Row],[Code]], allFYsTable[year2], DB$3)=0, NotFound, SUMIFS(allFYsTable[DiffAmount], allFYsTable[Code], SummaryTable[[#This Row],[Code]], allFYsTable[year2], DB$3))</f>
        <v>-253</v>
      </c>
      <c r="DH39" s="63">
        <f>IF(SummaryTable[[#This Row],[OriginalBudget14]]=0, IF(SummaryTable[[#This Row],[DiffAmount14]]=0, ZeroBudgetNoSpending, ZeroBudgetWithSpending), SummaryTable[[#This Row],[DiffAmount14]]/SummaryTable[[#This Row],[OriginalBudget14]])</f>
        <v>-9.3175708024895963E-3</v>
      </c>
      <c r="DI39" s="62">
        <f>IF(COUNTIFS(allFYsTable[Code], SummaryTable[[#This Row],[Code]], allFYsTable[year2], DI$3)=0, NotFound, SUMIFS(allFYsTable[OriginalBudget], allFYsTable[Code], SummaryTable[[#This Row],[Code]], allFYsTable[year2], DI$3))</f>
        <v>24330</v>
      </c>
      <c r="DJ39" s="61">
        <f>SummaryTable[[#This Row],[OriginalBudget13]]-SummaryTable[[#This Row],[OriginalBudget12]]</f>
        <v>-456</v>
      </c>
      <c r="DK39" s="54">
        <f>SummaryTable[[#This Row],[BudgetIncreaseAmount13]]/SummaryTable[[#This Row],[OriginalBudget12]]</f>
        <v>-1.839748244977003E-2</v>
      </c>
      <c r="DL39" s="61">
        <f>IF(COUNTIFS(allFYsTable[Code], SummaryTable[[#This Row],[Code]], allFYsTable[year2], DI$3)=0, NotFound, SUMIFS(allFYsTable[RevisedBudget], allFYsTable[Code], SummaryTable[[#This Row],[Code]], allFYsTable[year2], DI$3))</f>
        <v>24570</v>
      </c>
      <c r="DM39" s="61">
        <f>IF(COUNTIFS(allFYsTable[Code], SummaryTable[[#This Row],[Code]], allFYsTable[year2], DI$3)=0, NotFound, SUMIFS(allFYsTable[Actual], allFYsTable[Code], SummaryTable[[#This Row],[Code]], allFYsTable[year2], DI$3))</f>
        <v>22941</v>
      </c>
      <c r="DN39" s="61">
        <f>IF(COUNTIFS(allFYsTable[Code], SummaryTable[[#This Row],[Code]], allFYsTable[year2], DI$3)=0, NotFound, SUMIFS(allFYsTable[DiffAmount], allFYsTable[Code], SummaryTable[[#This Row],[Code]], allFYsTable[year2], DI$3))</f>
        <v>-1389</v>
      </c>
      <c r="DO39" s="63">
        <f>IF(SummaryTable[[#This Row],[OriginalBudget13]]=0, IF(SummaryTable[[#This Row],[DiffAmount13]]=0, ZeroBudgetNoSpending, ZeroBudgetWithSpending), SummaryTable[[#This Row],[DiffAmount13]]/SummaryTable[[#This Row],[OriginalBudget13]])</f>
        <v>-5.7090012330456227E-2</v>
      </c>
      <c r="DP39" s="62">
        <f>IF(COUNTIFS(allFYsTable[Code], SummaryTable[[#This Row],[Code]], allFYsTable[year2], DP$3)=0, NotFound, SUMIFS(allFYsTable[OriginalBudget], allFYsTable[Code], SummaryTable[[#This Row],[Code]], allFYsTable[year2], DP$3))</f>
        <v>24786</v>
      </c>
      <c r="DQ39" s="61">
        <f>SummaryTable[[#This Row],[OriginalBudget12]]-SummaryTable[[#This Row],[OriginalBudget11]]</f>
        <v>918</v>
      </c>
      <c r="DR39" s="54">
        <f>SummaryTable[[#This Row],[BudgetIncreaseAmount12]]/SummaryTable[[#This Row],[OriginalBudget11]]</f>
        <v>3.8461538461538464E-2</v>
      </c>
      <c r="DS39" s="61">
        <f>IF(COUNTIFS(allFYsTable[Code], SummaryTable[[#This Row],[Code]], allFYsTable[year2], DP$3)=0, NotFound, SUMIFS(allFYsTable[RevisedBudget], allFYsTable[Code], SummaryTable[[#This Row],[Code]], allFYsTable[year2], DP$3))</f>
        <v>28632</v>
      </c>
      <c r="DT39" s="61">
        <f>IF(COUNTIFS(allFYsTable[Code], SummaryTable[[#This Row],[Code]], allFYsTable[year2], DP$3)=0, NotFound, SUMIFS(allFYsTable[Actual], allFYsTable[Code], SummaryTable[[#This Row],[Code]], allFYsTable[year2], DP$3))</f>
        <v>28522</v>
      </c>
      <c r="DU39" s="61">
        <f>IF(COUNTIFS(allFYsTable[Code], SummaryTable[[#This Row],[Code]], allFYsTable[year2], DP$3)=0, NotFound, SUMIFS(allFYsTable[DiffAmount], allFYsTable[Code], SummaryTable[[#This Row],[Code]], allFYsTable[year2], DP$3))</f>
        <v>3736</v>
      </c>
      <c r="DV39" s="63">
        <f>IF(SummaryTable[[#This Row],[OriginalBudget12]]=0, IF(SummaryTable[[#This Row],[DiffAmount12]]=0, ZeroBudgetNoSpending, ZeroBudgetWithSpending), SummaryTable[[#This Row],[DiffAmount12]]/SummaryTable[[#This Row],[OriginalBudget12]])</f>
        <v>0.15073025094811587</v>
      </c>
      <c r="DW39" s="62">
        <f>IF(COUNTIFS(allFYsTable[Code], SummaryTable[[#This Row],[Code]], allFYsTable[year2], DW$3)=0, NotFound, SUMIFS(allFYsTable[OriginalBudget], allFYsTable[Code], SummaryTable[[#This Row],[Code]], allFYsTable[year2], DW$3))</f>
        <v>23868</v>
      </c>
      <c r="DX39" s="61">
        <f>SummaryTable[[#This Row],[OriginalBudget11]]-SummaryTable[[#This Row],[OriginalBudget10]]</f>
        <v>-2656</v>
      </c>
      <c r="DY39" s="54">
        <f>SummaryTable[[#This Row],[BudgetIncreaseAmount11]]/SummaryTable[[#This Row],[OriginalBudget10]]</f>
        <v>-0.10013572613482129</v>
      </c>
      <c r="DZ39" s="61">
        <f>IF(COUNTIFS(allFYsTable[Code], SummaryTable[[#This Row],[Code]], allFYsTable[year2], DW$3)=0, NotFound, SUMIFS(allFYsTable[RevisedBudget], allFYsTable[Code], SummaryTable[[#This Row],[Code]], allFYsTable[year2], DW$3))</f>
        <v>25802</v>
      </c>
      <c r="EA39" s="61">
        <f>IF(COUNTIFS(allFYsTable[Code], SummaryTable[[#This Row],[Code]], allFYsTable[year2], DW$3)=0, NotFound, SUMIFS(allFYsTable[Actual], allFYsTable[Code], SummaryTable[[#This Row],[Code]], allFYsTable[year2], DW$3))</f>
        <v>23831</v>
      </c>
      <c r="EB39" s="61">
        <f>IF(COUNTIFS(allFYsTable[Code], SummaryTable[[#This Row],[Code]], allFYsTable[year2], DW$3)=0, NotFound, SUMIFS(allFYsTable[DiffAmount], allFYsTable[Code], SummaryTable[[#This Row],[Code]], allFYsTable[year2], DW$3))</f>
        <v>-37</v>
      </c>
      <c r="EC39" s="63">
        <f>IF(SummaryTable[[#This Row],[OriginalBudget11]]=0, IF(SummaryTable[[#This Row],[DiffAmount11]]=0, ZeroBudgetNoSpending, ZeroBudgetWithSpending), SummaryTable[[#This Row],[DiffAmount11]]/SummaryTable[[#This Row],[OriginalBudget11]])</f>
        <v>-1.550192726663315E-3</v>
      </c>
      <c r="ED39" s="62">
        <f>IF(COUNTIFS(allFYsTable[Code], SummaryTable[[#This Row],[Code]], allFYsTable[year2], ED$3)=0, NotFound, SUMIFS(allFYsTable[OriginalBudget], allFYsTable[Code], SummaryTable[[#This Row],[Code]], allFYsTable[year2], ED$3))</f>
        <v>26524</v>
      </c>
      <c r="EE39" s="61">
        <f>SummaryTable[[#This Row],[OriginalBudget10]]-SummaryTable[[#This Row],[OriginalBudget09]]</f>
        <v>-3104</v>
      </c>
      <c r="EF39" s="54">
        <f>SummaryTable[[#This Row],[BudgetIncreaseAmount10]]/SummaryTable[[#This Row],[OriginalBudget09]]</f>
        <v>-0.10476576211691643</v>
      </c>
      <c r="EG39" s="61">
        <f>IF(COUNTIFS(allFYsTable[Code], SummaryTable[[#This Row],[Code]], allFYsTable[year2], ED$3)=0, NotFound, SUMIFS(allFYsTable[RevisedBudget], allFYsTable[Code], SummaryTable[[#This Row],[Code]], allFYsTable[year2], ED$3))</f>
        <v>26958</v>
      </c>
      <c r="EH39" s="61">
        <f>IF(COUNTIFS(allFYsTable[Code], SummaryTable[[#This Row],[Code]], allFYsTable[year2], ED$3)=0, NotFound, SUMIFS(allFYsTable[Actual], allFYsTable[Code], SummaryTable[[#This Row],[Code]], allFYsTable[year2], ED$3))</f>
        <v>26630</v>
      </c>
      <c r="EI39" s="61">
        <f>IF(COUNTIFS(allFYsTable[Code], SummaryTable[[#This Row],[Code]], allFYsTable[year2], ED$3)=0, NotFound, SUMIFS(allFYsTable[DiffAmount], allFYsTable[Code], SummaryTable[[#This Row],[Code]], allFYsTable[year2], ED$3))</f>
        <v>106</v>
      </c>
      <c r="EJ39" s="63">
        <f>IF(SummaryTable[[#This Row],[OriginalBudget10]]=0, IF(SummaryTable[[#This Row],[DiffAmount10]]=0, ZeroBudgetNoSpending, ZeroBudgetWithSpending), SummaryTable[[#This Row],[DiffAmount10]]/SummaryTable[[#This Row],[OriginalBudget10]])</f>
        <v>3.9963806364047656E-3</v>
      </c>
      <c r="EK39" s="62">
        <f>IF(COUNTIFS(allFYsTable[Code], SummaryTable[[#This Row],[Code]], allFYsTable[year2], EK$3)=0, NotFound, SUMIFS(allFYsTable[OriginalBudget], allFYsTable[Code], SummaryTable[[#This Row],[Code]], allFYsTable[year2], EK$3))</f>
        <v>29628</v>
      </c>
      <c r="EL39" s="61">
        <f>SummaryTable[[#This Row],[OriginalBudget09]]-SummaryTable[[#This Row],[OriginalBudget08]]</f>
        <v>-2990</v>
      </c>
      <c r="EM39" s="54">
        <f>SummaryTable[[#This Row],[BudgetIncreaseAmount09]]/SummaryTable[[#This Row],[OriginalBudget08]]</f>
        <v>-9.1667177631982344E-2</v>
      </c>
      <c r="EN39" s="61">
        <f>IF(COUNTIFS(allFYsTable[Code], SummaryTable[[#This Row],[Code]], allFYsTable[year2], EK$3)=0, NotFound, SUMIFS(allFYsTable[RevisedBudget], allFYsTable[Code], SummaryTable[[#This Row],[Code]], allFYsTable[year2], EK$3))</f>
        <v>26427</v>
      </c>
      <c r="EO39" s="61">
        <f>IF(COUNTIFS(allFYsTable[Code], SummaryTable[[#This Row],[Code]], allFYsTable[year2], EK$3)=0, NotFound, SUMIFS(allFYsTable[Actual], allFYsTable[Code], SummaryTable[[#This Row],[Code]], allFYsTable[year2], EK$3))</f>
        <v>26376</v>
      </c>
      <c r="EP39" s="61">
        <f>IF(COUNTIFS(allFYsTable[Code], SummaryTable[[#This Row],[Code]], allFYsTable[year2], EK$3)=0, NotFound, SUMIFS(allFYsTable[DiffAmount], allFYsTable[Code], SummaryTable[[#This Row],[Code]], allFYsTable[year2], EK$3))</f>
        <v>-3252</v>
      </c>
      <c r="EQ39" s="63">
        <f>IF(SummaryTable[[#This Row],[OriginalBudget09]]=0, IF(SummaryTable[[#This Row],[DiffAmount09]]=0, ZeroBudgetNoSpending, ZeroBudgetWithSpending), SummaryTable[[#This Row],[DiffAmount09]]/SummaryTable[[#This Row],[OriginalBudget09]])</f>
        <v>-0.10976103685702714</v>
      </c>
      <c r="ER39" s="62">
        <f>IF(COUNTIFS(allFYsTable[Code], SummaryTable[[#This Row],[Code]], allFYsTable[year2], ER$3)=0, NotFound, SUMIFS(allFYsTable[OriginalBudget], allFYsTable[Code], SummaryTable[[#This Row],[Code]], allFYsTable[year2], ER$3))</f>
        <v>32618</v>
      </c>
      <c r="ES39" s="61">
        <f>SummaryTable[[#This Row],[OriginalBudget08]]-SummaryTable[[#This Row],[OriginalBudget07]]</f>
        <v>-40</v>
      </c>
      <c r="ET39" s="54">
        <f>SummaryTable[[#This Row],[BudgetIncreaseAmount08]]/SummaryTable[[#This Row],[OriginalBudget07]]</f>
        <v>-1.2248147467695512E-3</v>
      </c>
      <c r="EU39" s="61">
        <f>IF(COUNTIFS(allFYsTable[Code], SummaryTable[[#This Row],[Code]], allFYsTable[year2], ER$3)=0, NotFound, SUMIFS(allFYsTable[RevisedBudget], allFYsTable[Code], SummaryTable[[#This Row],[Code]], allFYsTable[year2], ER$3))</f>
        <v>30091</v>
      </c>
      <c r="EV39" s="61">
        <f>IF(COUNTIFS(allFYsTable[Code], SummaryTable[[#This Row],[Code]], allFYsTable[year2], ER$3)=0, NotFound, SUMIFS(allFYsTable[Actual], allFYsTable[Code], SummaryTable[[#This Row],[Code]], allFYsTable[year2], ER$3))</f>
        <v>28426</v>
      </c>
      <c r="EW39" s="61">
        <f>IF(COUNTIFS(allFYsTable[Code], SummaryTable[[#This Row],[Code]], allFYsTable[year2], ER$3)=0, NotFound, SUMIFS(allFYsTable[DiffAmount], allFYsTable[Code], SummaryTable[[#This Row],[Code]], allFYsTable[year2], ER$3))</f>
        <v>-4192</v>
      </c>
      <c r="EX39" s="63">
        <f>IF(SummaryTable[[#This Row],[OriginalBudget08]]=0, IF(SummaryTable[[#This Row],[DiffAmount08]]=0, ZeroBudgetNoSpending, ZeroBudgetWithSpending), SummaryTable[[#This Row],[DiffAmount08]]/SummaryTable[[#This Row],[OriginalBudget08]])</f>
        <v>-0.12851799619841806</v>
      </c>
      <c r="EY39" s="62">
        <f>IF(COUNTIFS(allFYsTable[Code], SummaryTable[[#This Row],[Code]], allFYsTable[year2], EY$3)=0, NotFound, SUMIFS(allFYsTable[OriginalBudget], allFYsTable[Code], SummaryTable[[#This Row],[Code]], allFYsTable[year2], EY$3))</f>
        <v>32658</v>
      </c>
      <c r="EZ39" s="61">
        <f>SummaryTable[[#This Row],[OriginalBudget07]]-SummaryTable[[#This Row],[OriginalBudget06]]</f>
        <v>1589</v>
      </c>
      <c r="FA39" s="54">
        <f>SummaryTable[[#This Row],[BudgetIncreaseAmount07]]/SummaryTable[[#This Row],[OriginalBudget06]]</f>
        <v>5.1144227364897488E-2</v>
      </c>
      <c r="FB39" s="61">
        <f>IF(COUNTIFS(allFYsTable[Code], SummaryTable[[#This Row],[Code]], allFYsTable[year2], EY$3)=0, NotFound, SUMIFS(allFYsTable[RevisedBudget], allFYsTable[Code], SummaryTable[[#This Row],[Code]], allFYsTable[year2], EY$3))</f>
        <v>32798</v>
      </c>
      <c r="FC39" s="61">
        <f>IF(COUNTIFS(allFYsTable[Code], SummaryTable[[#This Row],[Code]], allFYsTable[year2], EY$3)=0, NotFound, SUMIFS(allFYsTable[Actual], allFYsTable[Code], SummaryTable[[#This Row],[Code]], allFYsTable[year2], EY$3))</f>
        <v>31528</v>
      </c>
      <c r="FD39" s="61">
        <f>IF(COUNTIFS(allFYsTable[Code], SummaryTable[[#This Row],[Code]], allFYsTable[year2], EY$3)=0, NotFound, SUMIFS(allFYsTable[DiffAmount], allFYsTable[Code], SummaryTable[[#This Row],[Code]], allFYsTable[year2], EY$3))</f>
        <v>-1130</v>
      </c>
      <c r="FE39" s="63">
        <f>IF(SummaryTable[[#This Row],[OriginalBudget07]]=0, IF(SummaryTable[[#This Row],[DiffAmount07]]=0, ZeroBudgetNoSpending, ZeroBudgetWithSpending), SummaryTable[[#This Row],[DiffAmount07]]/SummaryTable[[#This Row],[OriginalBudget07]])</f>
        <v>-3.460101659623982E-2</v>
      </c>
      <c r="FF39" s="62">
        <f>IF(COUNTIFS(allFYsTable[Code], SummaryTable[[#This Row],[Code]], allFYsTable[year2], FF$3)=0, NotFound, SUMIFS(allFYsTable[OriginalBudget], allFYsTable[Code], SummaryTable[[#This Row],[Code]], allFYsTable[year2], FF$3))</f>
        <v>31069</v>
      </c>
      <c r="FI39" s="61">
        <f>IF(COUNTIFS(allFYsTable[Code], SummaryTable[[#This Row],[Code]], allFYsTable[year2], FF$3)=0, NotFound, SUMIFS(allFYsTable[RevisedBudget], allFYsTable[Code], SummaryTable[[#This Row],[Code]], allFYsTable[year2], FF$3))</f>
        <v>31669</v>
      </c>
      <c r="FJ39" s="61">
        <f>IF(COUNTIFS(allFYsTable[Code], SummaryTable[[#This Row],[Code]], allFYsTable[year2], FF$3)=0, NotFound, SUMIFS(allFYsTable[Actual], allFYsTable[Code], SummaryTable[[#This Row],[Code]], allFYsTable[year2], FF$3))</f>
        <v>29327</v>
      </c>
      <c r="FK39" s="61">
        <f>IF(COUNTIFS(allFYsTable[Code], SummaryTable[[#This Row],[Code]], allFYsTable[year2], FF$3)=0, NotFound, SUMIFS(allFYsTable[DiffAmount], allFYsTable[Code], SummaryTable[[#This Row],[Code]], allFYsTable[year2], FF$3))</f>
        <v>-1742</v>
      </c>
      <c r="FL39" s="63">
        <f>IF(SummaryTable[[#This Row],[OriginalBudget06]]=0, IF(SummaryTable[[#This Row],[DiffAmount06]]=0, ZeroBudgetNoSpending, ZeroBudgetWithSpending), SummaryTable[[#This Row],[DiffAmount06]]/SummaryTable[[#This Row],[OriginalBudget06]])</f>
        <v>-5.6068750201165148E-2</v>
      </c>
    </row>
    <row r="40" spans="1:168" x14ac:dyDescent="0.45">
      <c r="A40" t="s">
        <v>770</v>
      </c>
      <c r="B40">
        <f>_xlfn.MAXIFS(allFYsTable[year2], allFYsTable[Code], SummaryTable[[#This Row],[Code]])</f>
        <v>2025</v>
      </c>
      <c r="C40" t="str">
        <f>_xlfn.XLOOKUP(SummaryTable[[#This Row],[Code]], NameCodingTable[Code], NameCodingTable[Most Recent Category per allFYs])</f>
        <v>Public education system</v>
      </c>
      <c r="D40" t="str">
        <f>_xlfn.XLOOKUP(SummaryTable[[#This Row],[Code]], NameCodingTable[Code], NameCodingTable[Unit Display Name])</f>
        <v>Department of Parks and Recreation (DPR)</v>
      </c>
      <c r="E40" t="str">
        <f>_xlfn.XLOOKUP(SummaryTable[[#This Row],[Code]], NameCodingTable[Code], NameCodingTable[Type])</f>
        <v>agency</v>
      </c>
      <c r="F4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4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9</v>
      </c>
      <c r="H40" s="54">
        <f>SummaryTable[[#This Row],['# Over]]/SummaryTable[[#This Row],[Count]]</f>
        <v>0.45</v>
      </c>
      <c r="I4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11</v>
      </c>
      <c r="J40" s="54">
        <f>SummaryTable[[#This Row],['# Under]]/SummaryTable[[#This Row],[Count]]</f>
        <v>0.55000000000000004</v>
      </c>
      <c r="K4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40" s="54">
        <f>SummaryTable[[#This Row],['# Equal]]/SummaryTable[[#This Row],[Count]]</f>
        <v>0</v>
      </c>
      <c r="M40" s="61">
        <f>SUMIFS(allFYsTable[OriginalBudget],allFYsTable[Code],SummaryTable[[#This Row],[Code]])/SummaryTable[[#This Row],[Count]]</f>
        <v>51230.6</v>
      </c>
      <c r="N40" s="61">
        <f>SUMIFS(allFYsTable[Actual],allFYsTable[Code],SummaryTable[[#This Row],[Code]])/SummaryTable[[#This Row],[Count]]</f>
        <v>51364.15</v>
      </c>
      <c r="O40" s="61">
        <f>SummaryTable[[#This Row],[AvgActAmt]]-SummaryTable[[#This Row],[AvgBudAmt]]</f>
        <v>133.55000000000291</v>
      </c>
      <c r="P40" s="54">
        <f>IF(SummaryTable[[#This Row],[AvgBudAmt]]=0, IF(SummaryTable[[#This Row],[AvgDiff'#]]=0, 0, NamedFields!$C$3), SummaryTable[[#This Row],[AvgDiff'#]]/SummaryTable[[#This Row],[AvgBudAmt]])</f>
        <v>2.6068404430165354E-3</v>
      </c>
      <c r="Q40" s="61">
        <f>IFERROR(SUMIFS(allFYsTable[OriginalBudget],allFYsTable[Code],SummaryTable[[#This Row],[Code]],allFYsTable[DiffAmount], "&gt;0")/SummaryTable[[#This Row],['# Over]], 0)</f>
        <v>49974.111111111109</v>
      </c>
      <c r="R40" s="61">
        <f>IFERROR(SUMIFS(allFYsTable[Actual],allFYsTable[Code],SummaryTable[[#This Row],[Code]],allFYsTable[DiffAmount], "&gt;0")/SummaryTable[[#This Row],['# Over]], 0)</f>
        <v>53177.222222222219</v>
      </c>
      <c r="S40" s="61">
        <f>SummaryTable[[#This Row],[OverAvgAct]]-SummaryTable[[#This Row],[OverAvgBud]]</f>
        <v>3203.1111111111095</v>
      </c>
      <c r="T40" s="54">
        <f>IF(SummaryTable[[#This Row],[OverAvgBud]]=0, IF(SummaryTable[[#This Row],[OverAvgDiff'#]]=0, ZeroBudgetNoSpending, ZeroBudgetWithSpending), SummaryTable[[#This Row],[OverAvgDiff'#]]/SummaryTable[[#This Row],[OverAvgBud]])</f>
        <v>6.4095409400867526E-2</v>
      </c>
      <c r="U40" s="61">
        <f>IFERROR(SUMIFS(allFYsTable[OriginalBudget],allFYsTable[Code],SummaryTable[[#This Row],[Code]],allFYsTable[DiffAmount], "&lt;0")/SummaryTable[[#This Row],['# Under]], 0)</f>
        <v>52258.63636363636</v>
      </c>
      <c r="V40" s="61">
        <f>IFERROR( SUMIFS(allFYsTable[Actual],allFYsTable[Code],SummaryTable[[#This Row],[Code]],allFYsTable[DiffAmount], "&lt;0")/SummaryTable[[#This Row],['# Under]], 0)</f>
        <v>49880.727272727272</v>
      </c>
      <c r="W40" s="61">
        <f>SummaryTable[[#This Row],[UnderAvgAct]]-SummaryTable[[#This Row],[UnderAvgBud]]</f>
        <v>-2377.9090909090883</v>
      </c>
      <c r="X40" s="54">
        <f>IF(SummaryTable[[#This Row],[UnderAvgBud]]=0, IF(SummaryTable[[#This Row],[UnderAvgDiff'#]]=0, ZeroBudgetNoSpending, NamedFields!$C$3), SummaryTable[[#This Row],[UnderAvgDiff'#]]/SummaryTable[[#This Row],[UnderAvgBud]])</f>
        <v>-4.5502700728022288E-2</v>
      </c>
      <c r="Y4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4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40" s="54">
        <f>IF(SummaryTable[[#This Row],[IncreaseYears]]=0, ZeroBudgetNoSpending, SummaryTable[[#This Row],[OSinIncreaseYear'#]]/SummaryTable[[#This Row],[IncreaseYears]])</f>
        <v>0</v>
      </c>
      <c r="AB40" s="58" t="str">
        <f>SummaryTable[[#This Row],[Code]]</f>
        <v>HA0</v>
      </c>
      <c r="AC40" s="62">
        <f>IF(COUNTIFS(allFYsTable[Code], SummaryTable[[#This Row],[Code]], allFYsTable[year2], AC$3)=0, NotFound, SUMIFS(allFYsTable[OriginalBudget], allFYsTable[Code], SummaryTable[[#This Row],[Code]], allFYsTable[year2], AC$3))</f>
        <v>77424</v>
      </c>
      <c r="AD40" s="61">
        <f>SummaryTable[[#This Row],[OriginalBudget25]]-SummaryTable[[#This Row],[OriginalBudget24]]</f>
        <v>-2492</v>
      </c>
      <c r="AE40" s="54">
        <f>SummaryTable[[#This Row],[BudgetIncreaseAmount25]]/SummaryTable[[#This Row],[OriginalBudget24]]</f>
        <v>-3.1182741878972922E-2</v>
      </c>
      <c r="AF40" s="61">
        <f>IF(COUNTIFS(allFYsTable[Code], SummaryTable[[#This Row],[Code]], allFYsTable[year2], AC$3)=0, NotFound, SUMIFS(allFYsTable[RevisedBudget], allFYsTable[Code], SummaryTable[[#This Row],[Code]], allFYsTable[year2], AC$3))</f>
        <v>72136</v>
      </c>
      <c r="AG40" s="61">
        <f>IF(COUNTIFS(allFYsTable[Code], SummaryTable[[#This Row],[Code]], allFYsTable[year2], AC$3)=0, NotFound, SUMIFS(allFYsTable[Actual], allFYsTable[Code], SummaryTable[[#This Row],[Code]], allFYsTable[year2], AC$3))</f>
        <v>70795</v>
      </c>
      <c r="AH40" s="61">
        <f>IF(COUNTIFS(allFYsTable[Code], SummaryTable[[#This Row],[Code]], allFYsTable[year2], AC$3)=0, NotFound, SUMIFS(allFYsTable[DiffAmount], allFYsTable[Code], SummaryTable[[#This Row],[Code]], allFYsTable[year2], AC$3))</f>
        <v>-6629</v>
      </c>
      <c r="AI40" s="63">
        <f>IF(SummaryTable[[#This Row],[OriginalBudget25]]=0, IF(SummaryTable[[#This Row],[DiffAmount25]]=0, ZeroBudgetNoSpending, ZeroBudgetWithSpending), SummaryTable[[#This Row],[DiffAmount25]]/SummaryTable[[#This Row],[OriginalBudget25]])</f>
        <v>-8.5619446166563334E-2</v>
      </c>
      <c r="AJ40" s="62">
        <f>IF(COUNTIFS(allFYsTable[Code], SummaryTable[[#This Row],[Code]], allFYsTable[year2], AJ$3)=0, NotFound, SUMIFS(allFYsTable[OriginalBudget], allFYsTable[Code], SummaryTable[[#This Row],[Code]], allFYsTable[year2], AJ$3))</f>
        <v>79916</v>
      </c>
      <c r="AK40" s="61">
        <f>SummaryTable[[#This Row],[OriginalBudget24]]-SummaryTable[[#This Row],[OriginalBudget23]]</f>
        <v>-2543</v>
      </c>
      <c r="AL40" s="54">
        <f>SummaryTable[[#This Row],[BudgetIncreaseAmount24]]/SummaryTable[[#This Row],[OriginalBudget23]]</f>
        <v>-3.0839568755381463E-2</v>
      </c>
      <c r="AM40" s="61">
        <f>IF(COUNTIFS(allFYsTable[Code], SummaryTable[[#This Row],[Code]], allFYsTable[year2], AK$3)=0, NotFound, SUMIFS(allFYsTable[RevisedBudget], allFYsTable[Code], SummaryTable[[#This Row],[Code]], allFYsTable[year2], AJ$3))</f>
        <v>76953</v>
      </c>
      <c r="AN40" s="61">
        <f>IF(COUNTIFS(allFYsTable[Code], SummaryTable[[#This Row],[Code]], allFYsTable[year2], AJ$3)=0, NotFound, SUMIFS(allFYsTable[Actual], allFYsTable[Code], SummaryTable[[#This Row],[Code]], allFYsTable[year2], AJ$3))</f>
        <v>75842</v>
      </c>
      <c r="AO40" s="61">
        <f>IF(COUNTIFS(allFYsTable[Code], SummaryTable[[#This Row],[Code]], allFYsTable[year2], AJ$3)=0, NotFound, SUMIFS(allFYsTable[DiffAmount], allFYsTable[Code], SummaryTable[[#This Row],[Code]], allFYsTable[year2], AJ$3))</f>
        <v>-4074</v>
      </c>
      <c r="AP40" s="63">
        <f>IF(SummaryTable[[#This Row],[OriginalBudget24]]=0, IF(SummaryTable[[#This Row],[DiffAmount24]]=0, ZeroBudgetNoSpending, ZeroBudgetWithSpending), SummaryTable[[#This Row],[DiffAmount24]]/SummaryTable[[#This Row],[OriginalBudget24]])</f>
        <v>-5.0978527453826521E-2</v>
      </c>
      <c r="AQ40" s="62">
        <f>IF(COUNTIFS(allFYsTable[Code], SummaryTable[[#This Row],[Code]], allFYsTable[year2], AQ$3)=0, NotFound, SUMIFS(allFYsTable[OriginalBudget], allFYsTable[Code], SummaryTable[[#This Row],[Code]], allFYsTable[year2], AQ$3))</f>
        <v>82459</v>
      </c>
      <c r="AR40" s="61">
        <f>SummaryTable[[#This Row],[OriginalBudget23]]-SummaryTable[[#This Row],[OriginalBudget22]]</f>
        <v>21303</v>
      </c>
      <c r="AS40" s="54">
        <f>SummaryTable[[#This Row],[BudgetIncreaseAmount23]]/SummaryTable[[#This Row],[OriginalBudget22]]</f>
        <v>0.34833867486428149</v>
      </c>
      <c r="AT40" s="61">
        <f>IF(COUNTIFS(allFYsTable[Code], SummaryTable[[#This Row],[Code]], allFYsTable[year2], AQ$3)=0, NotFound, SUMIFS(allFYsTable[RevisedBudget], allFYsTable[Code], SummaryTable[[#This Row],[Code]], allFYsTable[year2], AQ$3))</f>
        <v>77774</v>
      </c>
      <c r="AU40" s="61">
        <f>IF(COUNTIFS(allFYsTable[Code], SummaryTable[[#This Row],[Code]], allFYsTable[year2], AQ$3)=0, NotFound, SUMIFS(allFYsTable[Actual], allFYsTable[Code], SummaryTable[[#This Row],[Code]], allFYsTable[year2], AQ$3))</f>
        <v>77377</v>
      </c>
      <c r="AV40" s="61">
        <f>IF(COUNTIFS(allFYsTable[Code], SummaryTable[[#This Row],[Code]], allFYsTable[year2], AQ$3)=0, NotFound, SUMIFS(allFYsTable[DiffAmount], allFYsTable[Code], SummaryTable[[#This Row],[Code]], allFYsTable[year2], AQ$3))</f>
        <v>-5082</v>
      </c>
      <c r="AW40" s="63">
        <f>IF(SummaryTable[[#This Row],[OriginalBudget23]]=0, IF(SummaryTable[[#This Row],[DiffAmount23]]=0, ZeroBudgetNoSpending, ZeroBudgetWithSpending), SummaryTable[[#This Row],[DiffAmount23]]/SummaryTable[[#This Row],[OriginalBudget23]])</f>
        <v>-6.163062855479693E-2</v>
      </c>
      <c r="AX40" s="62">
        <f>IF(COUNTIFS(allFYsTable[Code], SummaryTable[[#This Row],[Code]], allFYsTable[year2], AX$3)=0, NotFound, SUMIFS(allFYsTable[OriginalBudget], allFYsTable[Code], SummaryTable[[#This Row],[Code]], allFYsTable[year2], AX$3))</f>
        <v>61156</v>
      </c>
      <c r="AY40" s="61">
        <f>SummaryTable[[#This Row],[OriginalBudget22]]-SummaryTable[[#This Row],[OriginalBudget21]]</f>
        <v>6260</v>
      </c>
      <c r="AZ40" s="54">
        <f>SummaryTable[[#This Row],[BudgetIncreaseAmount22]]/SummaryTable[[#This Row],[OriginalBudget21]]</f>
        <v>0.11403380938501895</v>
      </c>
      <c r="BA40" s="61">
        <f>IF(COUNTIFS(allFYsTable[Code], SummaryTable[[#This Row],[Code]], allFYsTable[year2], AX$3)=0, NotFound, SUMIFS(allFYsTable[RevisedBudget], allFYsTable[Code], SummaryTable[[#This Row],[Code]], allFYsTable[year2], AX$3))</f>
        <v>65720</v>
      </c>
      <c r="BB40" s="61">
        <f>IF(COUNTIFS(allFYsTable[Code], SummaryTable[[#This Row],[Code]], allFYsTable[year2], AX$3)=0, NotFound, SUMIFS(allFYsTable[Actual], allFYsTable[Code], SummaryTable[[#This Row],[Code]], allFYsTable[year2], AX$3))</f>
        <v>64504</v>
      </c>
      <c r="BC40" s="61">
        <f>IF(COUNTIFS(allFYsTable[Code], SummaryTable[[#This Row],[Code]], allFYsTable[year2], AX$3)=0, NotFound, SUMIFS(allFYsTable[DiffAmount], allFYsTable[Code], SummaryTable[[#This Row],[Code]], allFYsTable[year2], AX$3))</f>
        <v>3348</v>
      </c>
      <c r="BD40" s="63">
        <f>IF(SummaryTable[[#This Row],[OriginalBudget22]]=0, IF(SummaryTable[[#This Row],[DiffAmount22]]=0, ZeroBudgetNoSpending, ZeroBudgetWithSpending), SummaryTable[[#This Row],[DiffAmount22]]/SummaryTable[[#This Row],[OriginalBudget22]])</f>
        <v>5.4745241677022695E-2</v>
      </c>
      <c r="BE40" s="62">
        <f>IF(COUNTIFS(allFYsTable[Code], SummaryTable[[#This Row],[Code]], allFYsTable[year2], BE$3)=0, NotFound, SUMIFS(allFYsTable[OriginalBudget], allFYsTable[Code], SummaryTable[[#This Row],[Code]], allFYsTable[year2], BE$3))</f>
        <v>54896</v>
      </c>
      <c r="BF40" s="61">
        <f>SummaryTable[[#This Row],[OriginalBudget21]]-SummaryTable[[#This Row],[OriginalBudget20]]</f>
        <v>254</v>
      </c>
      <c r="BG40" s="54">
        <f>SummaryTable[[#This Row],[BudgetIncreaseAmount21]]/SummaryTable[[#This Row],[OriginalBudget20]]</f>
        <v>4.6484389297609899E-3</v>
      </c>
      <c r="BH40" s="61">
        <f>IF(COUNTIFS(allFYsTable[Code], SummaryTable[[#This Row],[Code]], allFYsTable[year2], BE$3)=0, NotFound, SUMIFS(allFYsTable[RevisedBudget], allFYsTable[Code], SummaryTable[[#This Row],[Code]], allFYsTable[year2], BE$3))</f>
        <v>54575</v>
      </c>
      <c r="BI40" s="61">
        <f>IF(COUNTIFS(allFYsTable[Code], SummaryTable[[#This Row],[Code]], allFYsTable[year2], BE$3)=0, NotFound, SUMIFS(allFYsTable[Actual], allFYsTable[Code], SummaryTable[[#This Row],[Code]], allFYsTable[year2], BE$3))</f>
        <v>53647</v>
      </c>
      <c r="BJ40" s="61">
        <f>IF(COUNTIFS(allFYsTable[Code], SummaryTable[[#This Row],[Code]], allFYsTable[year2], BE$3)=0, NotFound, SUMIFS(allFYsTable[DiffAmount], allFYsTable[Code], SummaryTable[[#This Row],[Code]], allFYsTable[year2], BE$3))</f>
        <v>-1249</v>
      </c>
      <c r="BK40" s="63">
        <f>IF(SummaryTable[[#This Row],[OriginalBudget21]]=0, IF(SummaryTable[[#This Row],[DiffAmount21]]=0, ZeroBudgetNoSpending, ZeroBudgetWithSpending), SummaryTable[[#This Row],[DiffAmount21]]/SummaryTable[[#This Row],[OriginalBudget21]])</f>
        <v>-2.2752113086563684E-2</v>
      </c>
      <c r="BL40" s="62">
        <f>IF(COUNTIFS(allFYsTable[Code], SummaryTable[[#This Row],[Code]], allFYsTable[year2], BL$3)=0, NotFound, SUMIFS(allFYsTable[OriginalBudget], allFYsTable[Code], SummaryTable[[#This Row],[Code]], allFYsTable[year2], BL$3))</f>
        <v>54642</v>
      </c>
      <c r="BM40" s="61">
        <f>SummaryTable[[#This Row],[OriginalBudget20]]-SummaryTable[[#This Row],[OriginalBudget19]]</f>
        <v>4018</v>
      </c>
      <c r="BN40" s="54">
        <f>SummaryTable[[#This Row],[BudgetIncreaseAmount20]]/SummaryTable[[#This Row],[OriginalBudget19]]</f>
        <v>7.9369469026548678E-2</v>
      </c>
      <c r="BO40" s="61">
        <f>IF(COUNTIFS(allFYsTable[Code], SummaryTable[[#This Row],[Code]], allFYsTable[year2], BL$3)=0, NotFound, SUMIFS(allFYsTable[RevisedBudget], allFYsTable[Code], SummaryTable[[#This Row],[Code]], allFYsTable[year2], BL$3))</f>
        <v>51816</v>
      </c>
      <c r="BP40" s="61">
        <f>IF(COUNTIFS(allFYsTable[Code], SummaryTable[[#This Row],[Code]], allFYsTable[year2], BL$3)=0, NotFound, SUMIFS(allFYsTable[Actual], allFYsTable[Code], SummaryTable[[#This Row],[Code]], allFYsTable[year2], BL$3))</f>
        <v>51048</v>
      </c>
      <c r="BQ40" s="61">
        <f>IF(COUNTIFS(allFYsTable[Code], SummaryTable[[#This Row],[Code]], allFYsTable[year2], BL$3)=0, NotFound, SUMIFS(allFYsTable[DiffAmount], allFYsTable[Code], SummaryTable[[#This Row],[Code]], allFYsTable[year2], BL$3))</f>
        <v>-3594</v>
      </c>
      <c r="BR40" s="63">
        <f>IF(SummaryTable[[#This Row],[OriginalBudget20]]=0, IF(SummaryTable[[#This Row],[DiffAmount20]]=0, ZeroBudgetNoSpending, ZeroBudgetWithSpending), SummaryTable[[#This Row],[DiffAmount20]]/SummaryTable[[#This Row],[OriginalBudget20]])</f>
        <v>-6.577358076205117E-2</v>
      </c>
      <c r="BS40" s="62">
        <f>IF(COUNTIFS(allFYsTable[Code], SummaryTable[[#This Row],[Code]], allFYsTable[year2], BS$3)=0, NotFound, SUMIFS(allFYsTable[OriginalBudget], allFYsTable[Code], SummaryTable[[#This Row],[Code]], allFYsTable[year2], BS$3))</f>
        <v>50624</v>
      </c>
      <c r="BT40" s="61">
        <f>SummaryTable[[#This Row],[OriginalBudget19]]-SummaryTable[[#This Row],[OriginalBudget18]]</f>
        <v>3862</v>
      </c>
      <c r="BU40" s="54">
        <f>SummaryTable[[#This Row],[BudgetIncreaseAmount19]]/SummaryTable[[#This Row],[OriginalBudget18]]</f>
        <v>8.2588426500149692E-2</v>
      </c>
      <c r="BV40" s="61">
        <f>IF(COUNTIFS(allFYsTable[Code], SummaryTable[[#This Row],[Code]], allFYsTable[year2], BS$3)=0, NotFound, SUMIFS(allFYsTable[RevisedBudget], allFYsTable[Code], SummaryTable[[#This Row],[Code]], allFYsTable[year2], BS$3))</f>
        <v>53988</v>
      </c>
      <c r="BW40" s="61">
        <f>IF(COUNTIFS(allFYsTable[Code], SummaryTable[[#This Row],[Code]], allFYsTable[year2], BS$3)=0, NotFound, SUMIFS(allFYsTable[Actual], allFYsTable[Code], SummaryTable[[#This Row],[Code]], allFYsTable[year2], BS$3))</f>
        <v>53369</v>
      </c>
      <c r="BX40" s="61">
        <f>IF(COUNTIFS(allFYsTable[Code], SummaryTable[[#This Row],[Code]], allFYsTable[year2], BS$3)=0, NotFound, SUMIFS(allFYsTable[DiffAmount], allFYsTable[Code], SummaryTable[[#This Row],[Code]], allFYsTable[year2], BS$3))</f>
        <v>2745</v>
      </c>
      <c r="BY40" s="63">
        <f>IF(SummaryTable[[#This Row],[OriginalBudget19]]=0, IF(SummaryTable[[#This Row],[DiffAmount19]]=0, ZeroBudgetNoSpending, ZeroBudgetWithSpending), SummaryTable[[#This Row],[DiffAmount19]]/SummaryTable[[#This Row],[OriginalBudget19]])</f>
        <v>5.422329329962073E-2</v>
      </c>
      <c r="BZ40" s="62">
        <f>IF(COUNTIFS(allFYsTable[Code], SummaryTable[[#This Row],[Code]], allFYsTable[year2], BZ$3)=0, NotFound, SUMIFS(allFYsTable[OriginalBudget], allFYsTable[Code], SummaryTable[[#This Row],[Code]], allFYsTable[year2], BZ$3))</f>
        <v>46762</v>
      </c>
      <c r="CA40" s="61">
        <f>SummaryTable[[#This Row],[OriginalBudget18]]-SummaryTable[[#This Row],[OriginalBudget17]]</f>
        <v>799</v>
      </c>
      <c r="CB40" s="54">
        <f>SummaryTable[[#This Row],[BudgetIncreaseAmount18]]/SummaryTable[[#This Row],[OriginalBudget17]]</f>
        <v>1.7383547636142114E-2</v>
      </c>
      <c r="CC40" s="61">
        <f>IF(COUNTIFS(allFYsTable[Code], SummaryTable[[#This Row],[Code]], allFYsTable[year2], BZ$3)=0, NotFound, SUMIFS(allFYsTable[RevisedBudget], allFYsTable[Code], SummaryTable[[#This Row],[Code]], allFYsTable[year2], BZ$3))</f>
        <v>49092</v>
      </c>
      <c r="CD40" s="61">
        <f>IF(COUNTIFS(allFYsTable[Code], SummaryTable[[#This Row],[Code]], allFYsTable[year2], BZ$3)=0, NotFound, SUMIFS(allFYsTable[Actual], allFYsTable[Code], SummaryTable[[#This Row],[Code]], allFYsTable[year2], BZ$3))</f>
        <v>49062</v>
      </c>
      <c r="CE40" s="61">
        <f>IF(COUNTIFS(allFYsTable[Code], SummaryTable[[#This Row],[Code]], allFYsTable[year2], BZ$3)=0, NotFound, SUMIFS(allFYsTable[DiffAmount], allFYsTable[Code], SummaryTable[[#This Row],[Code]], allFYsTable[year2], BZ$3))</f>
        <v>2300</v>
      </c>
      <c r="CF40" s="63">
        <f>IF(SummaryTable[[#This Row],[OriginalBudget18]]=0, IF(SummaryTable[[#This Row],[DiffAmount18]]=0, ZeroBudgetNoSpending, ZeroBudgetWithSpending), SummaryTable[[#This Row],[DiffAmount18]]/SummaryTable[[#This Row],[OriginalBudget18]])</f>
        <v>4.9185235875283347E-2</v>
      </c>
      <c r="CG40" s="62">
        <f>IF(COUNTIFS(allFYsTable[Code], SummaryTable[[#This Row],[Code]], allFYsTable[year2], CG$3)=0, NotFound, SUMIFS(allFYsTable[OriginalBudget], allFYsTable[Code], SummaryTable[[#This Row],[Code]], allFYsTable[year2], CG$3))</f>
        <v>45963</v>
      </c>
      <c r="CH40" s="61">
        <f>SummaryTable[[#This Row],[OriginalBudget17]]-SummaryTable[[#This Row],[OriginalBudget16]]</f>
        <v>4278</v>
      </c>
      <c r="CI40" s="54">
        <f>SummaryTable[[#This Row],[BudgetIncreaseAmount17]]/SummaryTable[[#This Row],[OriginalBudget16]]</f>
        <v>0.10262684418855704</v>
      </c>
      <c r="CJ40" s="61">
        <f>IF(COUNTIFS(allFYsTable[Code], SummaryTable[[#This Row],[Code]], allFYsTable[year2], CG$3)=0, NotFound, SUMIFS(allFYsTable[RevisedBudget], allFYsTable[Code], SummaryTable[[#This Row],[Code]], allFYsTable[year2], CG$3))</f>
        <v>44662</v>
      </c>
      <c r="CK40" s="61">
        <f>IF(COUNTIFS(allFYsTable[Code], SummaryTable[[#This Row],[Code]], allFYsTable[year2], CG$3)=0, NotFound, SUMIFS(allFYsTable[Actual], allFYsTable[Code], SummaryTable[[#This Row],[Code]], allFYsTable[year2], CG$3))</f>
        <v>44083</v>
      </c>
      <c r="CL40" s="61">
        <f>IF(COUNTIFS(allFYsTable[Code], SummaryTable[[#This Row],[Code]], allFYsTable[year2], CG$3)=0, NotFound, SUMIFS(allFYsTable[DiffAmount], allFYsTable[Code], SummaryTable[[#This Row],[Code]], allFYsTable[year2], CG$3))</f>
        <v>-1880</v>
      </c>
      <c r="CM40" s="63">
        <f>IF(SummaryTable[[#This Row],[OriginalBudget17]]=0, IF(SummaryTable[[#This Row],[DiffAmount17]]=0, ZeroBudgetNoSpending, ZeroBudgetWithSpending), SummaryTable[[#This Row],[DiffAmount17]]/SummaryTable[[#This Row],[OriginalBudget17]])</f>
        <v>-4.0902465026216743E-2</v>
      </c>
      <c r="CN40" s="62">
        <f>IF(COUNTIFS(allFYsTable[Code], SummaryTable[[#This Row],[Code]], allFYsTable[year2], CN$3)=0, NotFound, SUMIFS(allFYsTable[OriginalBudget], allFYsTable[Code], SummaryTable[[#This Row],[Code]], allFYsTable[year2], CN$3))</f>
        <v>41685</v>
      </c>
      <c r="CO40" s="61">
        <f>SummaryTable[[#This Row],[OriginalBudget16]]-SummaryTable[[#This Row],[OriginalBudget15]]</f>
        <v>808</v>
      </c>
      <c r="CP40" s="54">
        <f>SummaryTable[[#This Row],[BudgetIncreaseAmount16]]/SummaryTable[[#This Row],[OriginalBudget15]]</f>
        <v>1.9766616923942559E-2</v>
      </c>
      <c r="CQ40" s="61">
        <f>IF(COUNTIFS(allFYsTable[Code], SummaryTable[[#This Row],[Code]], allFYsTable[year2], CN$3)=0, NotFound, SUMIFS(allFYsTable[RevisedBudget], allFYsTable[Code], SummaryTable[[#This Row],[Code]], allFYsTable[year2], CN$3))</f>
        <v>42908</v>
      </c>
      <c r="CR40" s="61">
        <f>IF(COUNTIFS(allFYsTable[Code], SummaryTable[[#This Row],[Code]], allFYsTable[year2], CN$3)=0, NotFound, SUMIFS(allFYsTable[Actual], allFYsTable[Code], SummaryTable[[#This Row],[Code]], allFYsTable[year2], CN$3))</f>
        <v>42537</v>
      </c>
      <c r="CS40" s="61">
        <f>IF(COUNTIFS(allFYsTable[Code], SummaryTable[[#This Row],[Code]], allFYsTable[year2], CN$3)=0, NotFound, SUMIFS(allFYsTable[DiffAmount], allFYsTable[Code], SummaryTable[[#This Row],[Code]], allFYsTable[year2], CN$3))</f>
        <v>852</v>
      </c>
      <c r="CT40" s="63">
        <f>IF(SummaryTable[[#This Row],[OriginalBudget16]]=0, IF(SummaryTable[[#This Row],[DiffAmount16]]=0, ZeroBudgetNoSpending, ZeroBudgetWithSpending), SummaryTable[[#This Row],[DiffAmount16]]/SummaryTable[[#This Row],[OriginalBudget16]])</f>
        <v>2.0439006836991725E-2</v>
      </c>
      <c r="CU40" s="62">
        <f>IF(COUNTIFS(allFYsTable[Code], SummaryTable[[#This Row],[Code]], allFYsTable[year2], CU$3)=0, NotFound, SUMIFS(allFYsTable[OriginalBudget], allFYsTable[Code], SummaryTable[[#This Row],[Code]], allFYsTable[year2], CU$3))</f>
        <v>40877</v>
      </c>
      <c r="CV40" s="61">
        <f>SummaryTable[[#This Row],[OriginalBudget15]]-SummaryTable[[#This Row],[OriginalBudget14]]</f>
        <v>6027</v>
      </c>
      <c r="CW40" s="54">
        <f>SummaryTable[[#This Row],[BudgetIncreaseAmount15]]/SummaryTable[[#This Row],[OriginalBudget14]]</f>
        <v>0.17294117647058824</v>
      </c>
      <c r="CX40" s="61">
        <f>IF(COUNTIFS(allFYsTable[Code], SummaryTable[[#This Row],[Code]], allFYsTable[year2], CU$3)=0, NotFound, SUMIFS(allFYsTable[RevisedBudget], allFYsTable[Code], SummaryTable[[#This Row],[Code]], allFYsTable[year2], CU$3))</f>
        <v>39238</v>
      </c>
      <c r="CY40" s="61">
        <f>IF(COUNTIFS(allFYsTable[Code], SummaryTable[[#This Row],[Code]], allFYsTable[year2], CU$3)=0, NotFound, SUMIFS(allFYsTable[Actual], allFYsTable[Code], SummaryTable[[#This Row],[Code]], allFYsTable[year2], CU$3))</f>
        <v>38994</v>
      </c>
      <c r="CZ40" s="61">
        <f>IF(COUNTIFS(allFYsTable[Code], SummaryTable[[#This Row],[Code]], allFYsTable[year2], CU$3)=0, NotFound, SUMIFS(allFYsTable[DiffAmount], allFYsTable[Code], SummaryTable[[#This Row],[Code]], allFYsTable[year2], CU$3))</f>
        <v>-1883</v>
      </c>
      <c r="DA40" s="63">
        <f>IF(SummaryTable[[#This Row],[OriginalBudget15]]=0, IF(SummaryTable[[#This Row],[DiffAmount15]]=0, ZeroBudgetNoSpending, ZeroBudgetWithSpending), SummaryTable[[#This Row],[DiffAmount15]]/SummaryTable[[#This Row],[OriginalBudget15]])</f>
        <v>-4.6065024341316631E-2</v>
      </c>
      <c r="DB40" s="62">
        <f>IF(COUNTIFS(allFYsTable[Code], SummaryTable[[#This Row],[Code]], allFYsTable[year2], DB$3)=0, NotFound, SUMIFS(allFYsTable[OriginalBudget], allFYsTable[Code], SummaryTable[[#This Row],[Code]], allFYsTable[year2], DB$3))</f>
        <v>34850</v>
      </c>
      <c r="DC40" s="61">
        <f>SummaryTable[[#This Row],[OriginalBudget14]]-SummaryTable[[#This Row],[OriginalBudget13]]</f>
        <v>783</v>
      </c>
      <c r="DD40" s="54">
        <f>SummaryTable[[#This Row],[BudgetIncreaseAmount14]]/SummaryTable[[#This Row],[OriginalBudget13]]</f>
        <v>2.298411952916312E-2</v>
      </c>
      <c r="DE40" s="61">
        <f>IF(COUNTIFS(allFYsTable[Code], SummaryTable[[#This Row],[Code]], allFYsTable[year2], DB$3)=0, NotFound, SUMIFS(allFYsTable[RevisedBudget], allFYsTable[Code], SummaryTable[[#This Row],[Code]], allFYsTable[year2], DB$3))</f>
        <v>36582</v>
      </c>
      <c r="DF40" s="61">
        <f>IF(COUNTIFS(allFYsTable[Code], SummaryTable[[#This Row],[Code]], allFYsTable[year2], DB$3)=0, NotFound, SUMIFS(allFYsTable[Actual], allFYsTable[Code], SummaryTable[[#This Row],[Code]], allFYsTable[year2], DB$3))</f>
        <v>34593</v>
      </c>
      <c r="DG40" s="61">
        <f>IF(COUNTIFS(allFYsTable[Code], SummaryTable[[#This Row],[Code]], allFYsTable[year2], DB$3)=0, NotFound, SUMIFS(allFYsTable[DiffAmount], allFYsTable[Code], SummaryTable[[#This Row],[Code]], allFYsTable[year2], DB$3))</f>
        <v>-257</v>
      </c>
      <c r="DH40" s="63">
        <f>IF(SummaryTable[[#This Row],[OriginalBudget14]]=0, IF(SummaryTable[[#This Row],[DiffAmount14]]=0, ZeroBudgetNoSpending, ZeroBudgetWithSpending), SummaryTable[[#This Row],[DiffAmount14]]/SummaryTable[[#This Row],[OriginalBudget14]])</f>
        <v>-7.3744619799139171E-3</v>
      </c>
      <c r="DI40" s="62">
        <f>IF(COUNTIFS(allFYsTable[Code], SummaryTable[[#This Row],[Code]], allFYsTable[year2], DI$3)=0, NotFound, SUMIFS(allFYsTable[OriginalBudget], allFYsTable[Code], SummaryTable[[#This Row],[Code]], allFYsTable[year2], DI$3))</f>
        <v>34067</v>
      </c>
      <c r="DJ40" s="61">
        <f>SummaryTable[[#This Row],[OriginalBudget13]]-SummaryTable[[#This Row],[OriginalBudget12]]</f>
        <v>1893</v>
      </c>
      <c r="DK40" s="54">
        <f>SummaryTable[[#This Row],[BudgetIncreaseAmount13]]/SummaryTable[[#This Row],[OriginalBudget12]]</f>
        <v>5.8836327469385219E-2</v>
      </c>
      <c r="DL40" s="61">
        <f>IF(COUNTIFS(allFYsTable[Code], SummaryTable[[#This Row],[Code]], allFYsTable[year2], DI$3)=0, NotFound, SUMIFS(allFYsTable[RevisedBudget], allFYsTable[Code], SummaryTable[[#This Row],[Code]], allFYsTable[year2], DI$3))</f>
        <v>34157</v>
      </c>
      <c r="DM40" s="61">
        <f>IF(COUNTIFS(allFYsTable[Code], SummaryTable[[#This Row],[Code]], allFYsTable[year2], DI$3)=0, NotFound, SUMIFS(allFYsTable[Actual], allFYsTable[Code], SummaryTable[[#This Row],[Code]], allFYsTable[year2], DI$3))</f>
        <v>33244</v>
      </c>
      <c r="DN40" s="61">
        <f>IF(COUNTIFS(allFYsTable[Code], SummaryTable[[#This Row],[Code]], allFYsTable[year2], DI$3)=0, NotFound, SUMIFS(allFYsTable[DiffAmount], allFYsTable[Code], SummaryTable[[#This Row],[Code]], allFYsTable[year2], DI$3))</f>
        <v>-823</v>
      </c>
      <c r="DO40" s="63">
        <f>IF(SummaryTable[[#This Row],[OriginalBudget13]]=0, IF(SummaryTable[[#This Row],[DiffAmount13]]=0, ZeroBudgetNoSpending, ZeroBudgetWithSpending), SummaryTable[[#This Row],[DiffAmount13]]/SummaryTable[[#This Row],[OriginalBudget13]])</f>
        <v>-2.4158276337804915E-2</v>
      </c>
      <c r="DP40" s="62">
        <f>IF(COUNTIFS(allFYsTable[Code], SummaryTable[[#This Row],[Code]], allFYsTable[year2], DP$3)=0, NotFound, SUMIFS(allFYsTable[OriginalBudget], allFYsTable[Code], SummaryTable[[#This Row],[Code]], allFYsTable[year2], DP$3))</f>
        <v>32174</v>
      </c>
      <c r="DQ40" s="61">
        <f>SummaryTable[[#This Row],[OriginalBudget12]]-SummaryTable[[#This Row],[OriginalBudget11]]</f>
        <v>-5403</v>
      </c>
      <c r="DR40" s="54">
        <f>SummaryTable[[#This Row],[BudgetIncreaseAmount12]]/SummaryTable[[#This Row],[OriginalBudget11]]</f>
        <v>-0.14378476195545148</v>
      </c>
      <c r="DS40" s="61">
        <f>IF(COUNTIFS(allFYsTable[Code], SummaryTable[[#This Row],[Code]], allFYsTable[year2], DP$3)=0, NotFound, SUMIFS(allFYsTable[RevisedBudget], allFYsTable[Code], SummaryTable[[#This Row],[Code]], allFYsTable[year2], DP$3))</f>
        <v>32231</v>
      </c>
      <c r="DT40" s="61">
        <f>IF(COUNTIFS(allFYsTable[Code], SummaryTable[[#This Row],[Code]], allFYsTable[year2], DP$3)=0, NotFound, SUMIFS(allFYsTable[Actual], allFYsTable[Code], SummaryTable[[#This Row],[Code]], allFYsTable[year2], DP$3))</f>
        <v>31739</v>
      </c>
      <c r="DU40" s="61">
        <f>IF(COUNTIFS(allFYsTable[Code], SummaryTable[[#This Row],[Code]], allFYsTable[year2], DP$3)=0, NotFound, SUMIFS(allFYsTable[DiffAmount], allFYsTable[Code], SummaryTable[[#This Row],[Code]], allFYsTable[year2], DP$3))</f>
        <v>-435</v>
      </c>
      <c r="DV40" s="63">
        <f>IF(SummaryTable[[#This Row],[OriginalBudget12]]=0, IF(SummaryTable[[#This Row],[DiffAmount12]]=0, ZeroBudgetNoSpending, ZeroBudgetWithSpending), SummaryTable[[#This Row],[DiffAmount12]]/SummaryTable[[#This Row],[OriginalBudget12]])</f>
        <v>-1.352023372909803E-2</v>
      </c>
      <c r="DW40" s="62">
        <f>IF(COUNTIFS(allFYsTable[Code], SummaryTable[[#This Row],[Code]], allFYsTable[year2], DW$3)=0, NotFound, SUMIFS(allFYsTable[OriginalBudget], allFYsTable[Code], SummaryTable[[#This Row],[Code]], allFYsTable[year2], DW$3))</f>
        <v>37577</v>
      </c>
      <c r="DX40" s="61">
        <f>SummaryTable[[#This Row],[OriginalBudget11]]-SummaryTable[[#This Row],[OriginalBudget10]]</f>
        <v>-2048</v>
      </c>
      <c r="DY40" s="54">
        <f>SummaryTable[[#This Row],[BudgetIncreaseAmount11]]/SummaryTable[[#This Row],[OriginalBudget10]]</f>
        <v>-5.1684542586750787E-2</v>
      </c>
      <c r="DZ40" s="61">
        <f>IF(COUNTIFS(allFYsTable[Code], SummaryTable[[#This Row],[Code]], allFYsTable[year2], DW$3)=0, NotFound, SUMIFS(allFYsTable[RevisedBudget], allFYsTable[Code], SummaryTable[[#This Row],[Code]], allFYsTable[year2], DW$3))</f>
        <v>38567</v>
      </c>
      <c r="EA40" s="61">
        <f>IF(COUNTIFS(allFYsTable[Code], SummaryTable[[#This Row],[Code]], allFYsTable[year2], DW$3)=0, NotFound, SUMIFS(allFYsTable[Actual], allFYsTable[Code], SummaryTable[[#This Row],[Code]], allFYsTable[year2], DW$3))</f>
        <v>37326</v>
      </c>
      <c r="EB40" s="61">
        <f>IF(COUNTIFS(allFYsTable[Code], SummaryTable[[#This Row],[Code]], allFYsTable[year2], DW$3)=0, NotFound, SUMIFS(allFYsTable[DiffAmount], allFYsTable[Code], SummaryTable[[#This Row],[Code]], allFYsTable[year2], DW$3))</f>
        <v>-251</v>
      </c>
      <c r="EC40" s="63">
        <f>IF(SummaryTable[[#This Row],[OriginalBudget11]]=0, IF(SummaryTable[[#This Row],[DiffAmount11]]=0, ZeroBudgetNoSpending, ZeroBudgetWithSpending), SummaryTable[[#This Row],[DiffAmount11]]/SummaryTable[[#This Row],[OriginalBudget11]])</f>
        <v>-6.6796178513452379E-3</v>
      </c>
      <c r="ED40" s="62">
        <f>IF(COUNTIFS(allFYsTable[Code], SummaryTable[[#This Row],[Code]], allFYsTable[year2], ED$3)=0, NotFound, SUMIFS(allFYsTable[OriginalBudget], allFYsTable[Code], SummaryTable[[#This Row],[Code]], allFYsTable[year2], ED$3))</f>
        <v>39625</v>
      </c>
      <c r="EE40" s="61">
        <f>SummaryTable[[#This Row],[OriginalBudget10]]-SummaryTable[[#This Row],[OriginalBudget09]]</f>
        <v>-5195</v>
      </c>
      <c r="EF40" s="54">
        <f>SummaryTable[[#This Row],[BudgetIncreaseAmount10]]/SummaryTable[[#This Row],[OriginalBudget09]]</f>
        <v>-0.11590807675145025</v>
      </c>
      <c r="EG40" s="61">
        <f>IF(COUNTIFS(allFYsTable[Code], SummaryTable[[#This Row],[Code]], allFYsTable[year2], ED$3)=0, NotFound, SUMIFS(allFYsTable[RevisedBudget], allFYsTable[Code], SummaryTable[[#This Row],[Code]], allFYsTable[year2], ED$3))</f>
        <v>47712</v>
      </c>
      <c r="EH40" s="61">
        <f>IF(COUNTIFS(allFYsTable[Code], SummaryTable[[#This Row],[Code]], allFYsTable[year2], ED$3)=0, NotFound, SUMIFS(allFYsTable[Actual], allFYsTable[Code], SummaryTable[[#This Row],[Code]], allFYsTable[year2], ED$3))</f>
        <v>46945</v>
      </c>
      <c r="EI40" s="61">
        <f>IF(COUNTIFS(allFYsTable[Code], SummaryTable[[#This Row],[Code]], allFYsTable[year2], ED$3)=0, NotFound, SUMIFS(allFYsTable[DiffAmount], allFYsTable[Code], SummaryTable[[#This Row],[Code]], allFYsTable[year2], ED$3))</f>
        <v>7320</v>
      </c>
      <c r="EJ40" s="63">
        <f>IF(SummaryTable[[#This Row],[OriginalBudget10]]=0, IF(SummaryTable[[#This Row],[DiffAmount10]]=0, ZeroBudgetNoSpending, ZeroBudgetWithSpending), SummaryTable[[#This Row],[DiffAmount10]]/SummaryTable[[#This Row],[OriginalBudget10]])</f>
        <v>0.18473186119873816</v>
      </c>
      <c r="EK40" s="62">
        <f>IF(COUNTIFS(allFYsTable[Code], SummaryTable[[#This Row],[Code]], allFYsTable[year2], EK$3)=0, NotFound, SUMIFS(allFYsTable[OriginalBudget], allFYsTable[Code], SummaryTable[[#This Row],[Code]], allFYsTable[year2], EK$3))</f>
        <v>44820</v>
      </c>
      <c r="EL40" s="61">
        <f>SummaryTable[[#This Row],[OriginalBudget09]]-SummaryTable[[#This Row],[OriginalBudget08]]</f>
        <v>-2538</v>
      </c>
      <c r="EM40" s="54">
        <f>SummaryTable[[#This Row],[BudgetIncreaseAmount09]]/SummaryTable[[#This Row],[OriginalBudget08]]</f>
        <v>-5.3591790193842644E-2</v>
      </c>
      <c r="EN40" s="61">
        <f>IF(COUNTIFS(allFYsTable[Code], SummaryTable[[#This Row],[Code]], allFYsTable[year2], EK$3)=0, NotFound, SUMIFS(allFYsTable[RevisedBudget], allFYsTable[Code], SummaryTable[[#This Row],[Code]], allFYsTable[year2], EK$3))</f>
        <v>50713</v>
      </c>
      <c r="EO40" s="61">
        <f>IF(COUNTIFS(allFYsTable[Code], SummaryTable[[#This Row],[Code]], allFYsTable[year2], EK$3)=0, NotFound, SUMIFS(allFYsTable[Actual], allFYsTable[Code], SummaryTable[[#This Row],[Code]], allFYsTable[year2], EK$3))</f>
        <v>49607</v>
      </c>
      <c r="EP40" s="61">
        <f>IF(COUNTIFS(allFYsTable[Code], SummaryTable[[#This Row],[Code]], allFYsTable[year2], EK$3)=0, NotFound, SUMIFS(allFYsTable[DiffAmount], allFYsTable[Code], SummaryTable[[#This Row],[Code]], allFYsTable[year2], EK$3))</f>
        <v>4787</v>
      </c>
      <c r="EQ40" s="63">
        <f>IF(SummaryTable[[#This Row],[OriginalBudget09]]=0, IF(SummaryTable[[#This Row],[DiffAmount09]]=0, ZeroBudgetNoSpending, ZeroBudgetWithSpending), SummaryTable[[#This Row],[DiffAmount09]]/SummaryTable[[#This Row],[OriginalBudget09]])</f>
        <v>0.10680499776885319</v>
      </c>
      <c r="ER40" s="62">
        <f>IF(COUNTIFS(allFYsTable[Code], SummaryTable[[#This Row],[Code]], allFYsTable[year2], ER$3)=0, NotFound, SUMIFS(allFYsTable[OriginalBudget], allFYsTable[Code], SummaryTable[[#This Row],[Code]], allFYsTable[year2], ER$3))</f>
        <v>47358</v>
      </c>
      <c r="ES40" s="61">
        <f>SummaryTable[[#This Row],[OriginalBudget08]]-SummaryTable[[#This Row],[OriginalBudget07]]</f>
        <v>5273</v>
      </c>
      <c r="ET40" s="54">
        <f>SummaryTable[[#This Row],[BudgetIncreaseAmount08]]/SummaryTable[[#This Row],[OriginalBudget07]]</f>
        <v>0.12529404776048472</v>
      </c>
      <c r="EU40" s="61">
        <f>IF(COUNTIFS(allFYsTable[Code], SummaryTable[[#This Row],[Code]], allFYsTable[year2], ER$3)=0, NotFound, SUMIFS(allFYsTable[RevisedBudget], allFYsTable[Code], SummaryTable[[#This Row],[Code]], allFYsTable[year2], ER$3))</f>
        <v>49070</v>
      </c>
      <c r="EV40" s="61">
        <f>IF(COUNTIFS(allFYsTable[Code], SummaryTable[[#This Row],[Code]], allFYsTable[year2], ER$3)=0, NotFound, SUMIFS(allFYsTable[Actual], allFYsTable[Code], SummaryTable[[#This Row],[Code]], allFYsTable[year2], ER$3))</f>
        <v>49029</v>
      </c>
      <c r="EW40" s="61">
        <f>IF(COUNTIFS(allFYsTable[Code], SummaryTable[[#This Row],[Code]], allFYsTable[year2], ER$3)=0, NotFound, SUMIFS(allFYsTable[DiffAmount], allFYsTable[Code], SummaryTable[[#This Row],[Code]], allFYsTable[year2], ER$3))</f>
        <v>1671</v>
      </c>
      <c r="EX40" s="63">
        <f>IF(SummaryTable[[#This Row],[OriginalBudget08]]=0, IF(SummaryTable[[#This Row],[DiffAmount08]]=0, ZeroBudgetNoSpending, ZeroBudgetWithSpending), SummaryTable[[#This Row],[DiffAmount08]]/SummaryTable[[#This Row],[OriginalBudget08]])</f>
        <v>3.5284429241099709E-2</v>
      </c>
      <c r="EY40" s="62">
        <f>IF(COUNTIFS(allFYsTable[Code], SummaryTable[[#This Row],[Code]], allFYsTable[year2], EY$3)=0, NotFound, SUMIFS(allFYsTable[OriginalBudget], allFYsTable[Code], SummaryTable[[#This Row],[Code]], allFYsTable[year2], EY$3))</f>
        <v>42085</v>
      </c>
      <c r="EZ40" s="61">
        <f>SummaryTable[[#This Row],[OriginalBudget07]]-SummaryTable[[#This Row],[OriginalBudget06]]</f>
        <v>736</v>
      </c>
      <c r="FA40" s="54">
        <f>SummaryTable[[#This Row],[BudgetIncreaseAmount07]]/SummaryTable[[#This Row],[OriginalBudget06]]</f>
        <v>1.7799704950542939E-2</v>
      </c>
      <c r="FB40" s="61">
        <f>IF(COUNTIFS(allFYsTable[Code], SummaryTable[[#This Row],[Code]], allFYsTable[year2], EY$3)=0, NotFound, SUMIFS(allFYsTable[RevisedBudget], allFYsTable[Code], SummaryTable[[#This Row],[Code]], allFYsTable[year2], EY$3))</f>
        <v>47065</v>
      </c>
      <c r="FC40" s="61">
        <f>IF(COUNTIFS(allFYsTable[Code], SummaryTable[[#This Row],[Code]], allFYsTable[year2], EY$3)=0, NotFound, SUMIFS(allFYsTable[Actual], allFYsTable[Code], SummaryTable[[#This Row],[Code]], allFYsTable[year2], EY$3))</f>
        <v>46431</v>
      </c>
      <c r="FD40" s="61">
        <f>IF(COUNTIFS(allFYsTable[Code], SummaryTable[[#This Row],[Code]], allFYsTable[year2], EY$3)=0, NotFound, SUMIFS(allFYsTable[DiffAmount], allFYsTable[Code], SummaryTable[[#This Row],[Code]], allFYsTable[year2], EY$3))</f>
        <v>4346</v>
      </c>
      <c r="FE40" s="63">
        <f>IF(SummaryTable[[#This Row],[OriginalBudget07]]=0, IF(SummaryTable[[#This Row],[DiffAmount07]]=0, ZeroBudgetNoSpending, ZeroBudgetWithSpending), SummaryTable[[#This Row],[DiffAmount07]]/SummaryTable[[#This Row],[OriginalBudget07]])</f>
        <v>0.10326719733871925</v>
      </c>
      <c r="FF40" s="62">
        <f>IF(COUNTIFS(allFYsTable[Code], SummaryTable[[#This Row],[Code]], allFYsTable[year2], FF$3)=0, NotFound, SUMIFS(allFYsTable[OriginalBudget], allFYsTable[Code], SummaryTable[[#This Row],[Code]], allFYsTable[year2], FF$3))</f>
        <v>41349</v>
      </c>
      <c r="FI40" s="61">
        <f>IF(COUNTIFS(allFYsTable[Code], SummaryTable[[#This Row],[Code]], allFYsTable[year2], FF$3)=0, NotFound, SUMIFS(allFYsTable[RevisedBudget], allFYsTable[Code], SummaryTable[[#This Row],[Code]], allFYsTable[year2], FF$3))</f>
        <v>42771</v>
      </c>
      <c r="FJ40" s="61">
        <f>IF(COUNTIFS(allFYsTable[Code], SummaryTable[[#This Row],[Code]], allFYsTable[year2], FF$3)=0, NotFound, SUMIFS(allFYsTable[Actual], allFYsTable[Code], SummaryTable[[#This Row],[Code]], allFYsTable[year2], FF$3))</f>
        <v>42674</v>
      </c>
      <c r="FK40" s="61">
        <f>IF(COUNTIFS(allFYsTable[Code], SummaryTable[[#This Row],[Code]], allFYsTable[year2], FF$3)=0, NotFound, SUMIFS(allFYsTable[DiffAmount], allFYsTable[Code], SummaryTable[[#This Row],[Code]], allFYsTable[year2], FF$3))</f>
        <v>1325</v>
      </c>
      <c r="FL40" s="63">
        <f>IF(SummaryTable[[#This Row],[OriginalBudget06]]=0, IF(SummaryTable[[#This Row],[DiffAmount06]]=0, ZeroBudgetNoSpending, ZeroBudgetWithSpending), SummaryTable[[#This Row],[DiffAmount06]]/SummaryTable[[#This Row],[OriginalBudget06]])</f>
        <v>3.204430578732255E-2</v>
      </c>
    </row>
    <row r="41" spans="1:168" x14ac:dyDescent="0.45">
      <c r="A41" t="s">
        <v>802</v>
      </c>
      <c r="B41">
        <f>_xlfn.MAXIFS(allFYsTable[year2], allFYsTable[Code], SummaryTable[[#This Row],[Code]])</f>
        <v>2025</v>
      </c>
      <c r="C41" t="str">
        <f>_xlfn.XLOOKUP(SummaryTable[[#This Row],[Code]], NameCodingTable[Code], NameCodingTable[Most Recent Category per allFYs])</f>
        <v>Operations and infrastructure</v>
      </c>
      <c r="D41" t="str">
        <f>_xlfn.XLOOKUP(SummaryTable[[#This Row],[Code]], NameCodingTable[Code], NameCodingTable[Unit Display Name])</f>
        <v>Department of Public Works (DPW)</v>
      </c>
      <c r="E41" t="str">
        <f>_xlfn.XLOOKUP(SummaryTable[[#This Row],[Code]], NameCodingTable[Code], NameCodingTable[Type])</f>
        <v>agency</v>
      </c>
      <c r="F4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4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16</v>
      </c>
      <c r="H41" s="54">
        <f>SummaryTable[[#This Row],['# Over]]/SummaryTable[[#This Row],[Count]]</f>
        <v>0.8</v>
      </c>
      <c r="I4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3</v>
      </c>
      <c r="J41" s="54">
        <f>SummaryTable[[#This Row],['# Under]]/SummaryTable[[#This Row],[Count]]</f>
        <v>0.15</v>
      </c>
      <c r="K4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41" s="54">
        <f>SummaryTable[[#This Row],['# Equal]]/SummaryTable[[#This Row],[Count]]</f>
        <v>0.05</v>
      </c>
      <c r="M41" s="61">
        <f>SUMIFS(allFYsTable[OriginalBudget],allFYsTable[Code],SummaryTable[[#This Row],[Code]])/SummaryTable[[#This Row],[Count]]</f>
        <v>134841.75</v>
      </c>
      <c r="N41" s="61">
        <f>SUMIFS(allFYsTable[Actual],allFYsTable[Code],SummaryTable[[#This Row],[Code]])/SummaryTable[[#This Row],[Count]]</f>
        <v>138881</v>
      </c>
      <c r="O41" s="61">
        <f>SummaryTable[[#This Row],[AvgActAmt]]-SummaryTable[[#This Row],[AvgBudAmt]]</f>
        <v>4039.25</v>
      </c>
      <c r="P41" s="54">
        <f>IF(SummaryTable[[#This Row],[AvgBudAmt]]=0, IF(SummaryTable[[#This Row],[AvgDiff'#]]=0, 0, NamedFields!$C$3), SummaryTable[[#This Row],[AvgDiff'#]]/SummaryTable[[#This Row],[AvgBudAmt]])</f>
        <v>2.9955484855395308E-2</v>
      </c>
      <c r="Q41" s="61">
        <f>IFERROR(SUMIFS(allFYsTable[OriginalBudget],allFYsTable[Code],SummaryTable[[#This Row],[Code]],allFYsTable[DiffAmount], "&gt;0")/SummaryTable[[#This Row],['# Over]], 0)</f>
        <v>133301.375</v>
      </c>
      <c r="R41" s="61">
        <f>IFERROR(SUMIFS(allFYsTable[Actual],allFYsTable[Code],SummaryTable[[#This Row],[Code]],allFYsTable[DiffAmount], "&gt;0")/SummaryTable[[#This Row],['# Over]], 0)</f>
        <v>138844.75</v>
      </c>
      <c r="S41" s="61">
        <f>SummaryTable[[#This Row],[OverAvgAct]]-SummaryTable[[#This Row],[OverAvgBud]]</f>
        <v>5543.375</v>
      </c>
      <c r="T41" s="54">
        <f>IF(SummaryTable[[#This Row],[OverAvgBud]]=0, IF(SummaryTable[[#This Row],[OverAvgDiff'#]]=0, ZeroBudgetNoSpending, ZeroBudgetWithSpending), SummaryTable[[#This Row],[OverAvgDiff'#]]/SummaryTable[[#This Row],[OverAvgBud]])</f>
        <v>4.1585279971793239E-2</v>
      </c>
      <c r="U41" s="61">
        <f>IFERROR(SUMIFS(allFYsTable[OriginalBudget],allFYsTable[Code],SummaryTable[[#This Row],[Code]],allFYsTable[DiffAmount], "&lt;0")/SummaryTable[[#This Row],['# Under]], 0)</f>
        <v>155857.33333333334</v>
      </c>
      <c r="V41" s="61">
        <f>IFERROR( SUMIFS(allFYsTable[Actual],allFYsTable[Code],SummaryTable[[#This Row],[Code]],allFYsTable[DiffAmount], "&lt;0")/SummaryTable[[#This Row],['# Under]], 0)</f>
        <v>153221</v>
      </c>
      <c r="W41" s="61">
        <f>SummaryTable[[#This Row],[UnderAvgAct]]-SummaryTable[[#This Row],[UnderAvgBud]]</f>
        <v>-2636.333333333343</v>
      </c>
      <c r="X41" s="54">
        <f>IF(SummaryTable[[#This Row],[UnderAvgBud]]=0, IF(SummaryTable[[#This Row],[UnderAvgDiff'#]]=0, ZeroBudgetNoSpending, NamedFields!$C$3), SummaryTable[[#This Row],[UnderAvgDiff'#]]/SummaryTable[[#This Row],[UnderAvgBud]])</f>
        <v>-1.6915041961451986E-2</v>
      </c>
      <c r="Y4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4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41" s="54">
        <f>IF(SummaryTable[[#This Row],[IncreaseYears]]=0, ZeroBudgetNoSpending, SummaryTable[[#This Row],[OSinIncreaseYear'#]]/SummaryTable[[#This Row],[IncreaseYears]])</f>
        <v>0</v>
      </c>
      <c r="AB41" s="58" t="str">
        <f>SummaryTable[[#This Row],[Code]]</f>
        <v>KT0</v>
      </c>
      <c r="AC41" s="62">
        <f>IF(COUNTIFS(allFYsTable[Code], SummaryTable[[#This Row],[Code]], allFYsTable[year2], AC$3)=0, NotFound, SUMIFS(allFYsTable[OriginalBudget], allFYsTable[Code], SummaryTable[[#This Row],[Code]], allFYsTable[year2], AC$3))</f>
        <v>172843</v>
      </c>
      <c r="AD41" s="61">
        <f>SummaryTable[[#This Row],[OriginalBudget25]]-SummaryTable[[#This Row],[OriginalBudget24]]</f>
        <v>883</v>
      </c>
      <c r="AE41" s="54">
        <f>SummaryTable[[#This Row],[BudgetIncreaseAmount25]]/SummaryTable[[#This Row],[OriginalBudget24]]</f>
        <v>5.1349150965340779E-3</v>
      </c>
      <c r="AF41" s="61">
        <f>IF(COUNTIFS(allFYsTable[Code], SummaryTable[[#This Row],[Code]], allFYsTable[year2], AC$3)=0, NotFound, SUMIFS(allFYsTable[RevisedBudget], allFYsTable[Code], SummaryTable[[#This Row],[Code]], allFYsTable[year2], AC$3))</f>
        <v>189738</v>
      </c>
      <c r="AG41" s="61">
        <f>IF(COUNTIFS(allFYsTable[Code], SummaryTable[[#This Row],[Code]], allFYsTable[year2], AC$3)=0, NotFound, SUMIFS(allFYsTable[Actual], allFYsTable[Code], SummaryTable[[#This Row],[Code]], allFYsTable[year2], AC$3))</f>
        <v>189033</v>
      </c>
      <c r="AH41" s="61">
        <f>IF(COUNTIFS(allFYsTable[Code], SummaryTable[[#This Row],[Code]], allFYsTable[year2], AC$3)=0, NotFound, SUMIFS(allFYsTable[DiffAmount], allFYsTable[Code], SummaryTable[[#This Row],[Code]], allFYsTable[year2], AC$3))</f>
        <v>16190</v>
      </c>
      <c r="AI41" s="63">
        <f>IF(SummaryTable[[#This Row],[OriginalBudget25]]=0, IF(SummaryTable[[#This Row],[DiffAmount25]]=0, ZeroBudgetNoSpending, ZeroBudgetWithSpending), SummaryTable[[#This Row],[DiffAmount25]]/SummaryTable[[#This Row],[OriginalBudget25]])</f>
        <v>9.3668820837407352E-2</v>
      </c>
      <c r="AJ41" s="62">
        <f>IF(COUNTIFS(allFYsTable[Code], SummaryTable[[#This Row],[Code]], allFYsTable[year2], AJ$3)=0, NotFound, SUMIFS(allFYsTable[OriginalBudget], allFYsTable[Code], SummaryTable[[#This Row],[Code]], allFYsTable[year2], AJ$3))</f>
        <v>171960</v>
      </c>
      <c r="AK41" s="61">
        <f>SummaryTable[[#This Row],[OriginalBudget24]]-SummaryTable[[#This Row],[OriginalBudget23]]</f>
        <v>-4946</v>
      </c>
      <c r="AL41" s="54">
        <f>SummaryTable[[#This Row],[BudgetIncreaseAmount24]]/SummaryTable[[#This Row],[OriginalBudget23]]</f>
        <v>-2.7958350762551865E-2</v>
      </c>
      <c r="AM41" s="61">
        <f>IF(COUNTIFS(allFYsTable[Code], SummaryTable[[#This Row],[Code]], allFYsTable[year2], AK$3)=0, NotFound, SUMIFS(allFYsTable[RevisedBudget], allFYsTable[Code], SummaryTable[[#This Row],[Code]], allFYsTable[year2], AJ$3))</f>
        <v>174823</v>
      </c>
      <c r="AN41" s="61">
        <f>IF(COUNTIFS(allFYsTable[Code], SummaryTable[[#This Row],[Code]], allFYsTable[year2], AJ$3)=0, NotFound, SUMIFS(allFYsTable[Actual], allFYsTable[Code], SummaryTable[[#This Row],[Code]], allFYsTable[year2], AJ$3))</f>
        <v>174810</v>
      </c>
      <c r="AO41" s="61">
        <f>IF(COUNTIFS(allFYsTable[Code], SummaryTable[[#This Row],[Code]], allFYsTable[year2], AJ$3)=0, NotFound, SUMIFS(allFYsTable[DiffAmount], allFYsTable[Code], SummaryTable[[#This Row],[Code]], allFYsTable[year2], AJ$3))</f>
        <v>2850</v>
      </c>
      <c r="AP41" s="63">
        <f>IF(SummaryTable[[#This Row],[OriginalBudget24]]=0, IF(SummaryTable[[#This Row],[DiffAmount24]]=0, ZeroBudgetNoSpending, ZeroBudgetWithSpending), SummaryTable[[#This Row],[DiffAmount24]]/SummaryTable[[#This Row],[OriginalBudget24]])</f>
        <v>1.6573621772505234E-2</v>
      </c>
      <c r="AQ41" s="62">
        <f>IF(COUNTIFS(allFYsTable[Code], SummaryTable[[#This Row],[Code]], allFYsTable[year2], AQ$3)=0, NotFound, SUMIFS(allFYsTable[OriginalBudget], allFYsTable[Code], SummaryTable[[#This Row],[Code]], allFYsTable[year2], AQ$3))</f>
        <v>176906</v>
      </c>
      <c r="AR41" s="61">
        <f>SummaryTable[[#This Row],[OriginalBudget23]]-SummaryTable[[#This Row],[OriginalBudget22]]</f>
        <v>15547</v>
      </c>
      <c r="AS41" s="54">
        <f>SummaryTable[[#This Row],[BudgetIncreaseAmount23]]/SummaryTable[[#This Row],[OriginalBudget22]]</f>
        <v>9.6350374010746226E-2</v>
      </c>
      <c r="AT41" s="61">
        <f>IF(COUNTIFS(allFYsTable[Code], SummaryTable[[#This Row],[Code]], allFYsTable[year2], AQ$3)=0, NotFound, SUMIFS(allFYsTable[RevisedBudget], allFYsTable[Code], SummaryTable[[#This Row],[Code]], allFYsTable[year2], AQ$3))</f>
        <v>176431</v>
      </c>
      <c r="AU41" s="61">
        <f>IF(COUNTIFS(allFYsTable[Code], SummaryTable[[#This Row],[Code]], allFYsTable[year2], AQ$3)=0, NotFound, SUMIFS(allFYsTable[Actual], allFYsTable[Code], SummaryTable[[#This Row],[Code]], allFYsTable[year2], AQ$3))</f>
        <v>175178</v>
      </c>
      <c r="AV41" s="61">
        <f>IF(COUNTIFS(allFYsTable[Code], SummaryTable[[#This Row],[Code]], allFYsTable[year2], AQ$3)=0, NotFound, SUMIFS(allFYsTable[DiffAmount], allFYsTable[Code], SummaryTable[[#This Row],[Code]], allFYsTable[year2], AQ$3))</f>
        <v>-1728</v>
      </c>
      <c r="AW41" s="63">
        <f>IF(SummaryTable[[#This Row],[OriginalBudget23]]=0, IF(SummaryTable[[#This Row],[DiffAmount23]]=0, ZeroBudgetNoSpending, ZeroBudgetWithSpending), SummaryTable[[#This Row],[DiffAmount23]]/SummaryTable[[#This Row],[OriginalBudget23]])</f>
        <v>-9.7678993363707282E-3</v>
      </c>
      <c r="AX41" s="62">
        <f>IF(COUNTIFS(allFYsTable[Code], SummaryTable[[#This Row],[Code]], allFYsTable[year2], AX$3)=0, NotFound, SUMIFS(allFYsTable[OriginalBudget], allFYsTable[Code], SummaryTable[[#This Row],[Code]], allFYsTable[year2], AX$3))</f>
        <v>161359</v>
      </c>
      <c r="AY41" s="61">
        <f>SummaryTable[[#This Row],[OriginalBudget22]]-SummaryTable[[#This Row],[OriginalBudget21]]</f>
        <v>13711</v>
      </c>
      <c r="AZ41" s="54">
        <f>SummaryTable[[#This Row],[BudgetIncreaseAmount22]]/SummaryTable[[#This Row],[OriginalBudget21]]</f>
        <v>9.2862754659731248E-2</v>
      </c>
      <c r="BA41" s="61">
        <f>IF(COUNTIFS(allFYsTable[Code], SummaryTable[[#This Row],[Code]], allFYsTable[year2], AX$3)=0, NotFound, SUMIFS(allFYsTable[RevisedBudget], allFYsTable[Code], SummaryTable[[#This Row],[Code]], allFYsTable[year2], AX$3))</f>
        <v>173461</v>
      </c>
      <c r="BB41" s="61">
        <f>IF(COUNTIFS(allFYsTable[Code], SummaryTable[[#This Row],[Code]], allFYsTable[year2], AX$3)=0, NotFound, SUMIFS(allFYsTable[Actual], allFYsTable[Code], SummaryTable[[#This Row],[Code]], allFYsTable[year2], AX$3))</f>
        <v>172066</v>
      </c>
      <c r="BC41" s="61">
        <f>IF(COUNTIFS(allFYsTable[Code], SummaryTable[[#This Row],[Code]], allFYsTable[year2], AX$3)=0, NotFound, SUMIFS(allFYsTable[DiffAmount], allFYsTable[Code], SummaryTable[[#This Row],[Code]], allFYsTable[year2], AX$3))</f>
        <v>10707</v>
      </c>
      <c r="BD41" s="63">
        <f>IF(SummaryTable[[#This Row],[OriginalBudget22]]=0, IF(SummaryTable[[#This Row],[DiffAmount22]]=0, ZeroBudgetNoSpending, ZeroBudgetWithSpending), SummaryTable[[#This Row],[DiffAmount22]]/SummaryTable[[#This Row],[OriginalBudget22]])</f>
        <v>6.6355145978842206E-2</v>
      </c>
      <c r="BE41" s="62">
        <f>IF(COUNTIFS(allFYsTable[Code], SummaryTable[[#This Row],[Code]], allFYsTable[year2], BE$3)=0, NotFound, SUMIFS(allFYsTable[OriginalBudget], allFYsTable[Code], SummaryTable[[#This Row],[Code]], allFYsTable[year2], BE$3))</f>
        <v>147648</v>
      </c>
      <c r="BF41" s="61">
        <f>SummaryTable[[#This Row],[OriginalBudget21]]-SummaryTable[[#This Row],[OriginalBudget20]]</f>
        <v>-3237</v>
      </c>
      <c r="BG41" s="54">
        <f>SummaryTable[[#This Row],[BudgetIncreaseAmount21]]/SummaryTable[[#This Row],[OriginalBudget20]]</f>
        <v>-2.145342479371707E-2</v>
      </c>
      <c r="BH41" s="61">
        <f>IF(COUNTIFS(allFYsTable[Code], SummaryTable[[#This Row],[Code]], allFYsTable[year2], BE$3)=0, NotFound, SUMIFS(allFYsTable[RevisedBudget], allFYsTable[Code], SummaryTable[[#This Row],[Code]], allFYsTable[year2], BE$3))</f>
        <v>153064</v>
      </c>
      <c r="BI41" s="61">
        <f>IF(COUNTIFS(allFYsTable[Code], SummaryTable[[#This Row],[Code]], allFYsTable[year2], BE$3)=0, NotFound, SUMIFS(allFYsTable[Actual], allFYsTable[Code], SummaryTable[[#This Row],[Code]], allFYsTable[year2], BE$3))</f>
        <v>152830</v>
      </c>
      <c r="BJ41" s="61">
        <f>IF(COUNTIFS(allFYsTable[Code], SummaryTable[[#This Row],[Code]], allFYsTable[year2], BE$3)=0, NotFound, SUMIFS(allFYsTable[DiffAmount], allFYsTable[Code], SummaryTable[[#This Row],[Code]], allFYsTable[year2], BE$3))</f>
        <v>5182</v>
      </c>
      <c r="BK41" s="63">
        <f>IF(SummaryTable[[#This Row],[OriginalBudget21]]=0, IF(SummaryTable[[#This Row],[DiffAmount21]]=0, ZeroBudgetNoSpending, ZeroBudgetWithSpending), SummaryTable[[#This Row],[DiffAmount21]]/SummaryTable[[#This Row],[OriginalBudget21]])</f>
        <v>3.5096987429562201E-2</v>
      </c>
      <c r="BL41" s="62">
        <f>IF(COUNTIFS(allFYsTable[Code], SummaryTable[[#This Row],[Code]], allFYsTable[year2], BL$3)=0, NotFound, SUMIFS(allFYsTable[OriginalBudget], allFYsTable[Code], SummaryTable[[#This Row],[Code]], allFYsTable[year2], BL$3))</f>
        <v>150885</v>
      </c>
      <c r="BM41" s="61">
        <f>SummaryTable[[#This Row],[OriginalBudget20]]-SummaryTable[[#This Row],[OriginalBudget19]]</f>
        <v>11104</v>
      </c>
      <c r="BN41" s="54">
        <f>SummaryTable[[#This Row],[BudgetIncreaseAmount20]]/SummaryTable[[#This Row],[OriginalBudget19]]</f>
        <v>7.9438550303689348E-2</v>
      </c>
      <c r="BO41" s="61">
        <f>IF(COUNTIFS(allFYsTable[Code], SummaryTable[[#This Row],[Code]], allFYsTable[year2], BL$3)=0, NotFound, SUMIFS(allFYsTable[RevisedBudget], allFYsTable[Code], SummaryTable[[#This Row],[Code]], allFYsTable[year2], BL$3))</f>
        <v>147736</v>
      </c>
      <c r="BP41" s="61">
        <f>IF(COUNTIFS(allFYsTable[Code], SummaryTable[[#This Row],[Code]], allFYsTable[year2], BL$3)=0, NotFound, SUMIFS(allFYsTable[Actual], allFYsTable[Code], SummaryTable[[#This Row],[Code]], allFYsTable[year2], BL$3))</f>
        <v>146535</v>
      </c>
      <c r="BQ41" s="61">
        <f>IF(COUNTIFS(allFYsTable[Code], SummaryTable[[#This Row],[Code]], allFYsTable[year2], BL$3)=0, NotFound, SUMIFS(allFYsTable[DiffAmount], allFYsTable[Code], SummaryTable[[#This Row],[Code]], allFYsTable[year2], BL$3))</f>
        <v>-4350</v>
      </c>
      <c r="BR41" s="63">
        <f>IF(SummaryTable[[#This Row],[OriginalBudget20]]=0, IF(SummaryTable[[#This Row],[DiffAmount20]]=0, ZeroBudgetNoSpending, ZeroBudgetWithSpending), SummaryTable[[#This Row],[DiffAmount20]]/SummaryTable[[#This Row],[OriginalBudget20]])</f>
        <v>-2.8829903568943233E-2</v>
      </c>
      <c r="BS41" s="62">
        <f>IF(COUNTIFS(allFYsTable[Code], SummaryTable[[#This Row],[Code]], allFYsTable[year2], BS$3)=0, NotFound, SUMIFS(allFYsTable[OriginalBudget], allFYsTable[Code], SummaryTable[[#This Row],[Code]], allFYsTable[year2], BS$3))</f>
        <v>139781</v>
      </c>
      <c r="BT41" s="61">
        <f>SummaryTable[[#This Row],[OriginalBudget19]]-SummaryTable[[#This Row],[OriginalBudget18]]</f>
        <v>-185</v>
      </c>
      <c r="BU41" s="54">
        <f>SummaryTable[[#This Row],[BudgetIncreaseAmount19]]/SummaryTable[[#This Row],[OriginalBudget18]]</f>
        <v>-1.3217495677521683E-3</v>
      </c>
      <c r="BV41" s="61">
        <f>IF(COUNTIFS(allFYsTable[Code], SummaryTable[[#This Row],[Code]], allFYsTable[year2], BS$3)=0, NotFound, SUMIFS(allFYsTable[RevisedBudget], allFYsTable[Code], SummaryTable[[#This Row],[Code]], allFYsTable[year2], BS$3))</f>
        <v>138098</v>
      </c>
      <c r="BW41" s="61">
        <f>IF(COUNTIFS(allFYsTable[Code], SummaryTable[[#This Row],[Code]], allFYsTable[year2], BS$3)=0, NotFound, SUMIFS(allFYsTable[Actual], allFYsTable[Code], SummaryTable[[#This Row],[Code]], allFYsTable[year2], BS$3))</f>
        <v>137950</v>
      </c>
      <c r="BX41" s="61">
        <f>IF(COUNTIFS(allFYsTable[Code], SummaryTable[[#This Row],[Code]], allFYsTable[year2], BS$3)=0, NotFound, SUMIFS(allFYsTable[DiffAmount], allFYsTable[Code], SummaryTable[[#This Row],[Code]], allFYsTable[year2], BS$3))</f>
        <v>-1831</v>
      </c>
      <c r="BY41" s="63">
        <f>IF(SummaryTable[[#This Row],[OriginalBudget19]]=0, IF(SummaryTable[[#This Row],[DiffAmount19]]=0, ZeroBudgetNoSpending, ZeroBudgetWithSpending), SummaryTable[[#This Row],[DiffAmount19]]/SummaryTable[[#This Row],[OriginalBudget19]])</f>
        <v>-1.3099062104291714E-2</v>
      </c>
      <c r="BZ41" s="62">
        <f>IF(COUNTIFS(allFYsTable[Code], SummaryTable[[#This Row],[Code]], allFYsTable[year2], BZ$3)=0, NotFound, SUMIFS(allFYsTable[OriginalBudget], allFYsTable[Code], SummaryTable[[#This Row],[Code]], allFYsTable[year2], BZ$3))</f>
        <v>139966</v>
      </c>
      <c r="CA41" s="61">
        <f>SummaryTable[[#This Row],[OriginalBudget18]]-SummaryTable[[#This Row],[OriginalBudget17]]</f>
        <v>2470</v>
      </c>
      <c r="CB41" s="54">
        <f>SummaryTable[[#This Row],[BudgetIncreaseAmount18]]/SummaryTable[[#This Row],[OriginalBudget17]]</f>
        <v>1.7964158957351487E-2</v>
      </c>
      <c r="CC41" s="61">
        <f>IF(COUNTIFS(allFYsTable[Code], SummaryTable[[#This Row],[Code]], allFYsTable[year2], BZ$3)=0, NotFound, SUMIFS(allFYsTable[RevisedBudget], allFYsTable[Code], SummaryTable[[#This Row],[Code]], allFYsTable[year2], BZ$3))</f>
        <v>141366</v>
      </c>
      <c r="CD41" s="61">
        <f>IF(COUNTIFS(allFYsTable[Code], SummaryTable[[#This Row],[Code]], allFYsTable[year2], BZ$3)=0, NotFound, SUMIFS(allFYsTable[Actual], allFYsTable[Code], SummaryTable[[#This Row],[Code]], allFYsTable[year2], BZ$3))</f>
        <v>141338</v>
      </c>
      <c r="CE41" s="61">
        <f>IF(COUNTIFS(allFYsTable[Code], SummaryTable[[#This Row],[Code]], allFYsTable[year2], BZ$3)=0, NotFound, SUMIFS(allFYsTable[DiffAmount], allFYsTable[Code], SummaryTable[[#This Row],[Code]], allFYsTable[year2], BZ$3))</f>
        <v>1372</v>
      </c>
      <c r="CF41" s="63">
        <f>IF(SummaryTable[[#This Row],[OriginalBudget18]]=0, IF(SummaryTable[[#This Row],[DiffAmount18]]=0, ZeroBudgetNoSpending, ZeroBudgetWithSpending), SummaryTable[[#This Row],[DiffAmount18]]/SummaryTable[[#This Row],[OriginalBudget18]])</f>
        <v>9.8023805781404048E-3</v>
      </c>
      <c r="CG41" s="62">
        <f>IF(COUNTIFS(allFYsTable[Code], SummaryTable[[#This Row],[Code]], allFYsTable[year2], CG$3)=0, NotFound, SUMIFS(allFYsTable[OriginalBudget], allFYsTable[Code], SummaryTable[[#This Row],[Code]], allFYsTable[year2], CG$3))</f>
        <v>137496</v>
      </c>
      <c r="CH41" s="61">
        <f>SummaryTable[[#This Row],[OriginalBudget17]]-SummaryTable[[#This Row],[OriginalBudget16]]</f>
        <v>11816</v>
      </c>
      <c r="CI41" s="54">
        <f>SummaryTable[[#This Row],[BudgetIncreaseAmount17]]/SummaryTable[[#This Row],[OriginalBudget16]]</f>
        <v>9.4016549968173144E-2</v>
      </c>
      <c r="CJ41" s="61">
        <f>IF(COUNTIFS(allFYsTable[Code], SummaryTable[[#This Row],[Code]], allFYsTable[year2], CG$3)=0, NotFound, SUMIFS(allFYsTable[RevisedBudget], allFYsTable[Code], SummaryTable[[#This Row],[Code]], allFYsTable[year2], CG$3))</f>
        <v>140419</v>
      </c>
      <c r="CK41" s="61">
        <f>IF(COUNTIFS(allFYsTable[Code], SummaryTable[[#This Row],[Code]], allFYsTable[year2], CG$3)=0, NotFound, SUMIFS(allFYsTable[Actual], allFYsTable[Code], SummaryTable[[#This Row],[Code]], allFYsTable[year2], CG$3))</f>
        <v>139847</v>
      </c>
      <c r="CL41" s="61">
        <f>IF(COUNTIFS(allFYsTable[Code], SummaryTable[[#This Row],[Code]], allFYsTable[year2], CG$3)=0, NotFound, SUMIFS(allFYsTable[DiffAmount], allFYsTable[Code], SummaryTable[[#This Row],[Code]], allFYsTable[year2], CG$3))</f>
        <v>2351</v>
      </c>
      <c r="CM41" s="63">
        <f>IF(SummaryTable[[#This Row],[OriginalBudget17]]=0, IF(SummaryTable[[#This Row],[DiffAmount17]]=0, ZeroBudgetNoSpending, ZeroBudgetWithSpending), SummaryTable[[#This Row],[DiffAmount17]]/SummaryTable[[#This Row],[OriginalBudget17]])</f>
        <v>1.7098679234304998E-2</v>
      </c>
      <c r="CN41" s="62">
        <f>IF(COUNTIFS(allFYsTable[Code], SummaryTable[[#This Row],[Code]], allFYsTable[year2], CN$3)=0, NotFound, SUMIFS(allFYsTable[OriginalBudget], allFYsTable[Code], SummaryTable[[#This Row],[Code]], allFYsTable[year2], CN$3))</f>
        <v>125680</v>
      </c>
      <c r="CO41" s="61">
        <f>SummaryTable[[#This Row],[OriginalBudget16]]-SummaryTable[[#This Row],[OriginalBudget15]]</f>
        <v>5021</v>
      </c>
      <c r="CP41" s="54">
        <f>SummaryTable[[#This Row],[BudgetIncreaseAmount16]]/SummaryTable[[#This Row],[OriginalBudget15]]</f>
        <v>4.1613141166427704E-2</v>
      </c>
      <c r="CQ41" s="61">
        <f>IF(COUNTIFS(allFYsTable[Code], SummaryTable[[#This Row],[Code]], allFYsTable[year2], CN$3)=0, NotFound, SUMIFS(allFYsTable[RevisedBudget], allFYsTable[Code], SummaryTable[[#This Row],[Code]], allFYsTable[year2], CN$3))</f>
        <v>129254</v>
      </c>
      <c r="CR41" s="61">
        <f>IF(COUNTIFS(allFYsTable[Code], SummaryTable[[#This Row],[Code]], allFYsTable[year2], CN$3)=0, NotFound, SUMIFS(allFYsTable[Actual], allFYsTable[Code], SummaryTable[[#This Row],[Code]], allFYsTable[year2], CN$3))</f>
        <v>128867</v>
      </c>
      <c r="CS41" s="61">
        <f>IF(COUNTIFS(allFYsTable[Code], SummaryTable[[#This Row],[Code]], allFYsTable[year2], CN$3)=0, NotFound, SUMIFS(allFYsTable[DiffAmount], allFYsTable[Code], SummaryTable[[#This Row],[Code]], allFYsTable[year2], CN$3))</f>
        <v>3187</v>
      </c>
      <c r="CT41" s="63">
        <f>IF(SummaryTable[[#This Row],[OriginalBudget16]]=0, IF(SummaryTable[[#This Row],[DiffAmount16]]=0, ZeroBudgetNoSpending, ZeroBudgetWithSpending), SummaryTable[[#This Row],[DiffAmount16]]/SummaryTable[[#This Row],[OriginalBudget16]])</f>
        <v>2.5358052196053468E-2</v>
      </c>
      <c r="CU41" s="62">
        <f>IF(COUNTIFS(allFYsTable[Code], SummaryTable[[#This Row],[Code]], allFYsTable[year2], CU$3)=0, NotFound, SUMIFS(allFYsTable[OriginalBudget], allFYsTable[Code], SummaryTable[[#This Row],[Code]], allFYsTable[year2], CU$3))</f>
        <v>120659</v>
      </c>
      <c r="CV41" s="61">
        <f>SummaryTable[[#This Row],[OriginalBudget15]]-SummaryTable[[#This Row],[OriginalBudget14]]</f>
        <v>9175</v>
      </c>
      <c r="CW41" s="54">
        <f>SummaryTable[[#This Row],[BudgetIncreaseAmount15]]/SummaryTable[[#This Row],[OriginalBudget14]]</f>
        <v>8.2298805209716192E-2</v>
      </c>
      <c r="CX41" s="61">
        <f>IF(COUNTIFS(allFYsTable[Code], SummaryTable[[#This Row],[Code]], allFYsTable[year2], CU$3)=0, NotFound, SUMIFS(allFYsTable[RevisedBudget], allFYsTable[Code], SummaryTable[[#This Row],[Code]], allFYsTable[year2], CU$3))</f>
        <v>125054</v>
      </c>
      <c r="CY41" s="61">
        <f>IF(COUNTIFS(allFYsTable[Code], SummaryTable[[#This Row],[Code]], allFYsTable[year2], CU$3)=0, NotFound, SUMIFS(allFYsTable[Actual], allFYsTable[Code], SummaryTable[[#This Row],[Code]], allFYsTable[year2], CU$3))</f>
        <v>124804</v>
      </c>
      <c r="CZ41" s="61">
        <f>IF(COUNTIFS(allFYsTable[Code], SummaryTable[[#This Row],[Code]], allFYsTable[year2], CU$3)=0, NotFound, SUMIFS(allFYsTable[DiffAmount], allFYsTable[Code], SummaryTable[[#This Row],[Code]], allFYsTable[year2], CU$3))</f>
        <v>4145</v>
      </c>
      <c r="DA41" s="63">
        <f>IF(SummaryTable[[#This Row],[OriginalBudget15]]=0, IF(SummaryTable[[#This Row],[DiffAmount15]]=0, ZeroBudgetNoSpending, ZeroBudgetWithSpending), SummaryTable[[#This Row],[DiffAmount15]]/SummaryTable[[#This Row],[OriginalBudget15]])</f>
        <v>3.4353011379176027E-2</v>
      </c>
      <c r="DB41" s="62">
        <f>IF(COUNTIFS(allFYsTable[Code], SummaryTable[[#This Row],[Code]], allFYsTable[year2], DB$3)=0, NotFound, SUMIFS(allFYsTable[OriginalBudget], allFYsTable[Code], SummaryTable[[#This Row],[Code]], allFYsTable[year2], DB$3))</f>
        <v>111484</v>
      </c>
      <c r="DC41" s="61">
        <f>SummaryTable[[#This Row],[OriginalBudget14]]-SummaryTable[[#This Row],[OriginalBudget13]]</f>
        <v>7437</v>
      </c>
      <c r="DD41" s="54">
        <f>SummaryTable[[#This Row],[BudgetIncreaseAmount14]]/SummaryTable[[#This Row],[OriginalBudget13]]</f>
        <v>7.1477313137332174E-2</v>
      </c>
      <c r="DE41" s="61">
        <f>IF(COUNTIFS(allFYsTable[Code], SummaryTable[[#This Row],[Code]], allFYsTable[year2], DB$3)=0, NotFound, SUMIFS(allFYsTable[RevisedBudget], allFYsTable[Code], SummaryTable[[#This Row],[Code]], allFYsTable[year2], DB$3))</f>
        <v>132492</v>
      </c>
      <c r="DF41" s="61">
        <f>IF(COUNTIFS(allFYsTable[Code], SummaryTable[[#This Row],[Code]], allFYsTable[year2], DB$3)=0, NotFound, SUMIFS(allFYsTable[Actual], allFYsTable[Code], SummaryTable[[#This Row],[Code]], allFYsTable[year2], DB$3))</f>
        <v>131933</v>
      </c>
      <c r="DG41" s="61">
        <f>IF(COUNTIFS(allFYsTable[Code], SummaryTable[[#This Row],[Code]], allFYsTable[year2], DB$3)=0, NotFound, SUMIFS(allFYsTable[DiffAmount], allFYsTable[Code], SummaryTable[[#This Row],[Code]], allFYsTable[year2], DB$3))</f>
        <v>20449</v>
      </c>
      <c r="DH41" s="63">
        <f>IF(SummaryTable[[#This Row],[OriginalBudget14]]=0, IF(SummaryTable[[#This Row],[DiffAmount14]]=0, ZeroBudgetNoSpending, ZeroBudgetWithSpending), SummaryTable[[#This Row],[DiffAmount14]]/SummaryTable[[#This Row],[OriginalBudget14]])</f>
        <v>0.18342542427612932</v>
      </c>
      <c r="DI41" s="62">
        <f>IF(COUNTIFS(allFYsTable[Code], SummaryTable[[#This Row],[Code]], allFYsTable[year2], DI$3)=0, NotFound, SUMIFS(allFYsTable[OriginalBudget], allFYsTable[Code], SummaryTable[[#This Row],[Code]], allFYsTable[year2], DI$3))</f>
        <v>104047</v>
      </c>
      <c r="DJ41" s="61">
        <f>SummaryTable[[#This Row],[OriginalBudget13]]-SummaryTable[[#This Row],[OriginalBudget12]]</f>
        <v>6828</v>
      </c>
      <c r="DK41" s="54">
        <f>SummaryTable[[#This Row],[BudgetIncreaseAmount13]]/SummaryTable[[#This Row],[OriginalBudget12]]</f>
        <v>7.0233184871270019E-2</v>
      </c>
      <c r="DL41" s="61">
        <f>IF(COUNTIFS(allFYsTable[Code], SummaryTable[[#This Row],[Code]], allFYsTable[year2], DI$3)=0, NotFound, SUMIFS(allFYsTable[RevisedBudget], allFYsTable[Code], SummaryTable[[#This Row],[Code]], allFYsTable[year2], DI$3))</f>
        <v>105543</v>
      </c>
      <c r="DM41" s="61">
        <f>IF(COUNTIFS(allFYsTable[Code], SummaryTable[[#This Row],[Code]], allFYsTable[year2], DI$3)=0, NotFound, SUMIFS(allFYsTable[Actual], allFYsTable[Code], SummaryTable[[#This Row],[Code]], allFYsTable[year2], DI$3))</f>
        <v>105533</v>
      </c>
      <c r="DN41" s="61">
        <f>IF(COUNTIFS(allFYsTable[Code], SummaryTable[[#This Row],[Code]], allFYsTable[year2], DI$3)=0, NotFound, SUMIFS(allFYsTable[DiffAmount], allFYsTable[Code], SummaryTable[[#This Row],[Code]], allFYsTable[year2], DI$3))</f>
        <v>1486</v>
      </c>
      <c r="DO41" s="63">
        <f>IF(SummaryTable[[#This Row],[OriginalBudget13]]=0, IF(SummaryTable[[#This Row],[DiffAmount13]]=0, ZeroBudgetNoSpending, ZeroBudgetWithSpending), SummaryTable[[#This Row],[DiffAmount13]]/SummaryTable[[#This Row],[OriginalBudget13]])</f>
        <v>1.4282007169836708E-2</v>
      </c>
      <c r="DP41" s="62">
        <f>IF(COUNTIFS(allFYsTable[Code], SummaryTable[[#This Row],[Code]], allFYsTable[year2], DP$3)=0, NotFound, SUMIFS(allFYsTable[OriginalBudget], allFYsTable[Code], SummaryTable[[#This Row],[Code]], allFYsTable[year2], DP$3))</f>
        <v>97219</v>
      </c>
      <c r="DQ41" s="61">
        <f>SummaryTable[[#This Row],[OriginalBudget12]]-SummaryTable[[#This Row],[OriginalBudget11]]</f>
        <v>778</v>
      </c>
      <c r="DR41" s="54">
        <f>SummaryTable[[#This Row],[BudgetIncreaseAmount12]]/SummaryTable[[#This Row],[OriginalBudget11]]</f>
        <v>8.0671083875115349E-3</v>
      </c>
      <c r="DS41" s="61">
        <f>IF(COUNTIFS(allFYsTable[Code], SummaryTable[[#This Row],[Code]], allFYsTable[year2], DP$3)=0, NotFound, SUMIFS(allFYsTable[RevisedBudget], allFYsTable[Code], SummaryTable[[#This Row],[Code]], allFYsTable[year2], DP$3))</f>
        <v>101640</v>
      </c>
      <c r="DT41" s="61">
        <f>IF(COUNTIFS(allFYsTable[Code], SummaryTable[[#This Row],[Code]], allFYsTable[year2], DP$3)=0, NotFound, SUMIFS(allFYsTable[Actual], allFYsTable[Code], SummaryTable[[#This Row],[Code]], allFYsTable[year2], DP$3))</f>
        <v>101638</v>
      </c>
      <c r="DU41" s="61">
        <f>IF(COUNTIFS(allFYsTable[Code], SummaryTable[[#This Row],[Code]], allFYsTable[year2], DP$3)=0, NotFound, SUMIFS(allFYsTable[DiffAmount], allFYsTable[Code], SummaryTable[[#This Row],[Code]], allFYsTable[year2], DP$3))</f>
        <v>4419</v>
      </c>
      <c r="DV41" s="63">
        <f>IF(SummaryTable[[#This Row],[OriginalBudget12]]=0, IF(SummaryTable[[#This Row],[DiffAmount12]]=0, ZeroBudgetNoSpending, ZeroBudgetWithSpending), SummaryTable[[#This Row],[DiffAmount12]]/SummaryTable[[#This Row],[OriginalBudget12]])</f>
        <v>4.5454077906582048E-2</v>
      </c>
      <c r="DW41" s="62">
        <f>IF(COUNTIFS(allFYsTable[Code], SummaryTable[[#This Row],[Code]], allFYsTable[year2], DW$3)=0, NotFound, SUMIFS(allFYsTable[OriginalBudget], allFYsTable[Code], SummaryTable[[#This Row],[Code]], allFYsTable[year2], DW$3))</f>
        <v>96441</v>
      </c>
      <c r="DX41" s="61">
        <f>SummaryTable[[#This Row],[OriginalBudget11]]-SummaryTable[[#This Row],[OriginalBudget10]]</f>
        <v>-19580</v>
      </c>
      <c r="DY41" s="54">
        <f>SummaryTable[[#This Row],[BudgetIncreaseAmount11]]/SummaryTable[[#This Row],[OriginalBudget10]]</f>
        <v>-0.16876255160703665</v>
      </c>
      <c r="DZ41" s="61">
        <f>IF(COUNTIFS(allFYsTable[Code], SummaryTable[[#This Row],[Code]], allFYsTable[year2], DW$3)=0, NotFound, SUMIFS(allFYsTable[RevisedBudget], allFYsTable[Code], SummaryTable[[#This Row],[Code]], allFYsTable[year2], DW$3))</f>
        <v>96441</v>
      </c>
      <c r="EA41" s="61">
        <f>IF(COUNTIFS(allFYsTable[Code], SummaryTable[[#This Row],[Code]], allFYsTable[year2], DW$3)=0, NotFound, SUMIFS(allFYsTable[Actual], allFYsTable[Code], SummaryTable[[#This Row],[Code]], allFYsTable[year2], DW$3))</f>
        <v>96441</v>
      </c>
      <c r="EB41" s="61">
        <f>IF(COUNTIFS(allFYsTable[Code], SummaryTable[[#This Row],[Code]], allFYsTable[year2], DW$3)=0, NotFound, SUMIFS(allFYsTable[DiffAmount], allFYsTable[Code], SummaryTable[[#This Row],[Code]], allFYsTable[year2], DW$3))</f>
        <v>0</v>
      </c>
      <c r="EC41" s="63">
        <f>IF(SummaryTable[[#This Row],[OriginalBudget11]]=0, IF(SummaryTable[[#This Row],[DiffAmount11]]=0, ZeroBudgetNoSpending, ZeroBudgetWithSpending), SummaryTable[[#This Row],[DiffAmount11]]/SummaryTable[[#This Row],[OriginalBudget11]])</f>
        <v>0</v>
      </c>
      <c r="ED41" s="62">
        <f>IF(COUNTIFS(allFYsTable[Code], SummaryTable[[#This Row],[Code]], allFYsTable[year2], ED$3)=0, NotFound, SUMIFS(allFYsTable[OriginalBudget], allFYsTable[Code], SummaryTable[[#This Row],[Code]], allFYsTable[year2], ED$3))</f>
        <v>116021</v>
      </c>
      <c r="EE41" s="61">
        <f>SummaryTable[[#This Row],[OriginalBudget10]]-SummaryTable[[#This Row],[OriginalBudget09]]</f>
        <v>-7713</v>
      </c>
      <c r="EF41" s="54">
        <f>SummaryTable[[#This Row],[BudgetIncreaseAmount10]]/SummaryTable[[#This Row],[OriginalBudget09]]</f>
        <v>-6.2335332244977129E-2</v>
      </c>
      <c r="EG41" s="61">
        <f>IF(COUNTIFS(allFYsTable[Code], SummaryTable[[#This Row],[Code]], allFYsTable[year2], ED$3)=0, NotFound, SUMIFS(allFYsTable[RevisedBudget], allFYsTable[Code], SummaryTable[[#This Row],[Code]], allFYsTable[year2], ED$3))</f>
        <v>119285</v>
      </c>
      <c r="EH41" s="61">
        <f>IF(COUNTIFS(allFYsTable[Code], SummaryTable[[#This Row],[Code]], allFYsTable[year2], ED$3)=0, NotFound, SUMIFS(allFYsTable[Actual], allFYsTable[Code], SummaryTable[[#This Row],[Code]], allFYsTable[year2], ED$3))</f>
        <v>119211</v>
      </c>
      <c r="EI41" s="61">
        <f>IF(COUNTIFS(allFYsTable[Code], SummaryTable[[#This Row],[Code]], allFYsTable[year2], ED$3)=0, NotFound, SUMIFS(allFYsTable[DiffAmount], allFYsTable[Code], SummaryTable[[#This Row],[Code]], allFYsTable[year2], ED$3))</f>
        <v>3190</v>
      </c>
      <c r="EJ41" s="63">
        <f>IF(SummaryTable[[#This Row],[OriginalBudget10]]=0, IF(SummaryTable[[#This Row],[DiffAmount10]]=0, ZeroBudgetNoSpending, ZeroBudgetWithSpending), SummaryTable[[#This Row],[DiffAmount10]]/SummaryTable[[#This Row],[OriginalBudget10]])</f>
        <v>2.7495022452831815E-2</v>
      </c>
      <c r="EK41" s="62">
        <f>IF(COUNTIFS(allFYsTable[Code], SummaryTable[[#This Row],[Code]], allFYsTable[year2], EK$3)=0, NotFound, SUMIFS(allFYsTable[OriginalBudget], allFYsTable[Code], SummaryTable[[#This Row],[Code]], allFYsTable[year2], EK$3))</f>
        <v>123734</v>
      </c>
      <c r="EL41" s="61">
        <f>SummaryTable[[#This Row],[OriginalBudget09]]-SummaryTable[[#This Row],[OriginalBudget08]]</f>
        <v>4942</v>
      </c>
      <c r="EM41" s="54">
        <f>SummaryTable[[#This Row],[BudgetIncreaseAmount09]]/SummaryTable[[#This Row],[OriginalBudget08]]</f>
        <v>4.1602128089433629E-2</v>
      </c>
      <c r="EN41" s="61">
        <f>IF(COUNTIFS(allFYsTable[Code], SummaryTable[[#This Row],[Code]], allFYsTable[year2], EK$3)=0, NotFound, SUMIFS(allFYsTable[RevisedBudget], allFYsTable[Code], SummaryTable[[#This Row],[Code]], allFYsTable[year2], EK$3))</f>
        <v>127518</v>
      </c>
      <c r="EO41" s="61">
        <f>IF(COUNTIFS(allFYsTable[Code], SummaryTable[[#This Row],[Code]], allFYsTable[year2], EK$3)=0, NotFound, SUMIFS(allFYsTable[Actual], allFYsTable[Code], SummaryTable[[#This Row],[Code]], allFYsTable[year2], EK$3))</f>
        <v>127375</v>
      </c>
      <c r="EP41" s="61">
        <f>IF(COUNTIFS(allFYsTable[Code], SummaryTable[[#This Row],[Code]], allFYsTable[year2], EK$3)=0, NotFound, SUMIFS(allFYsTable[DiffAmount], allFYsTable[Code], SummaryTable[[#This Row],[Code]], allFYsTable[year2], EK$3))</f>
        <v>3641</v>
      </c>
      <c r="EQ41" s="63">
        <f>IF(SummaryTable[[#This Row],[OriginalBudget09]]=0, IF(SummaryTable[[#This Row],[DiffAmount09]]=0, ZeroBudgetNoSpending, ZeroBudgetWithSpending), SummaryTable[[#This Row],[DiffAmount09]]/SummaryTable[[#This Row],[OriginalBudget09]])</f>
        <v>2.9426026799424573E-2</v>
      </c>
      <c r="ER41" s="62">
        <f>IF(COUNTIFS(allFYsTable[Code], SummaryTable[[#This Row],[Code]], allFYsTable[year2], ER$3)=0, NotFound, SUMIFS(allFYsTable[OriginalBudget], allFYsTable[Code], SummaryTable[[#This Row],[Code]], allFYsTable[year2], ER$3))</f>
        <v>118792</v>
      </c>
      <c r="ES41" s="61">
        <f>SummaryTable[[#This Row],[OriginalBudget08]]-SummaryTable[[#This Row],[OriginalBudget07]]</f>
        <v>13431</v>
      </c>
      <c r="ET41" s="54">
        <f>SummaryTable[[#This Row],[BudgetIncreaseAmount08]]/SummaryTable[[#This Row],[OriginalBudget07]]</f>
        <v>0.12747601104773112</v>
      </c>
      <c r="EU41" s="61">
        <f>IF(COUNTIFS(allFYsTable[Code], SummaryTable[[#This Row],[Code]], allFYsTable[year2], ER$3)=0, NotFound, SUMIFS(allFYsTable[RevisedBudget], allFYsTable[Code], SummaryTable[[#This Row],[Code]], allFYsTable[year2], ER$3))</f>
        <v>119652</v>
      </c>
      <c r="EV41" s="61">
        <f>IF(COUNTIFS(allFYsTable[Code], SummaryTable[[#This Row],[Code]], allFYsTable[year2], ER$3)=0, NotFound, SUMIFS(allFYsTable[Actual], allFYsTable[Code], SummaryTable[[#This Row],[Code]], allFYsTable[year2], ER$3))</f>
        <v>119618</v>
      </c>
      <c r="EW41" s="61">
        <f>IF(COUNTIFS(allFYsTable[Code], SummaryTable[[#This Row],[Code]], allFYsTable[year2], ER$3)=0, NotFound, SUMIFS(allFYsTable[DiffAmount], allFYsTable[Code], SummaryTable[[#This Row],[Code]], allFYsTable[year2], ER$3))</f>
        <v>826</v>
      </c>
      <c r="EX41" s="63">
        <f>IF(SummaryTable[[#This Row],[OriginalBudget08]]=0, IF(SummaryTable[[#This Row],[DiffAmount08]]=0, ZeroBudgetNoSpending, ZeroBudgetWithSpending), SummaryTable[[#This Row],[DiffAmount08]]/SummaryTable[[#This Row],[OriginalBudget08]])</f>
        <v>6.9533301905852244E-3</v>
      </c>
      <c r="EY41" s="62">
        <f>IF(COUNTIFS(allFYsTable[Code], SummaryTable[[#This Row],[Code]], allFYsTable[year2], EY$3)=0, NotFound, SUMIFS(allFYsTable[OriginalBudget], allFYsTable[Code], SummaryTable[[#This Row],[Code]], allFYsTable[year2], EY$3))</f>
        <v>105361</v>
      </c>
      <c r="EZ41" s="61">
        <f>SummaryTable[[#This Row],[OriginalBudget07]]-SummaryTable[[#This Row],[OriginalBudget06]]</f>
        <v>13789</v>
      </c>
      <c r="FA41" s="54">
        <f>SummaryTable[[#This Row],[BudgetIncreaseAmount07]]/SummaryTable[[#This Row],[OriginalBudget06]]</f>
        <v>0.15058096361333159</v>
      </c>
      <c r="FB41" s="61">
        <f>IF(COUNTIFS(allFYsTable[Code], SummaryTable[[#This Row],[Code]], allFYsTable[year2], EY$3)=0, NotFound, SUMIFS(allFYsTable[RevisedBudget], allFYsTable[Code], SummaryTable[[#This Row],[Code]], allFYsTable[year2], EY$3))</f>
        <v>109534</v>
      </c>
      <c r="FC41" s="61">
        <f>IF(COUNTIFS(allFYsTable[Code], SummaryTable[[#This Row],[Code]], allFYsTable[year2], EY$3)=0, NotFound, SUMIFS(allFYsTable[Actual], allFYsTable[Code], SummaryTable[[#This Row],[Code]], allFYsTable[year2], EY$3))</f>
        <v>106156</v>
      </c>
      <c r="FD41" s="61">
        <f>IF(COUNTIFS(allFYsTable[Code], SummaryTable[[#This Row],[Code]], allFYsTable[year2], EY$3)=0, NotFound, SUMIFS(allFYsTable[DiffAmount], allFYsTable[Code], SummaryTable[[#This Row],[Code]], allFYsTable[year2], EY$3))</f>
        <v>795</v>
      </c>
      <c r="FE41" s="63">
        <f>IF(SummaryTable[[#This Row],[OriginalBudget07]]=0, IF(SummaryTable[[#This Row],[DiffAmount07]]=0, ZeroBudgetNoSpending, ZeroBudgetWithSpending), SummaryTable[[#This Row],[DiffAmount07]]/SummaryTable[[#This Row],[OriginalBudget07]])</f>
        <v>7.5454864703258318E-3</v>
      </c>
      <c r="FF41" s="62">
        <f>IF(COUNTIFS(allFYsTable[Code], SummaryTable[[#This Row],[Code]], allFYsTable[year2], FF$3)=0, NotFound, SUMIFS(allFYsTable[OriginalBudget], allFYsTable[Code], SummaryTable[[#This Row],[Code]], allFYsTable[year2], FF$3))</f>
        <v>91572</v>
      </c>
      <c r="FI41" s="61">
        <f>IF(COUNTIFS(allFYsTable[Code], SummaryTable[[#This Row],[Code]], allFYsTable[year2], FF$3)=0, NotFound, SUMIFS(allFYsTable[RevisedBudget], allFYsTable[Code], SummaryTable[[#This Row],[Code]], allFYsTable[year2], FF$3))</f>
        <v>97622</v>
      </c>
      <c r="FJ41" s="61">
        <f>IF(COUNTIFS(allFYsTable[Code], SummaryTable[[#This Row],[Code]], allFYsTable[year2], FF$3)=0, NotFound, SUMIFS(allFYsTable[Actual], allFYsTable[Code], SummaryTable[[#This Row],[Code]], allFYsTable[year2], FF$3))</f>
        <v>97588</v>
      </c>
      <c r="FK41" s="61">
        <f>IF(COUNTIFS(allFYsTable[Code], SummaryTable[[#This Row],[Code]], allFYsTable[year2], FF$3)=0, NotFound, SUMIFS(allFYsTable[DiffAmount], allFYsTable[Code], SummaryTable[[#This Row],[Code]], allFYsTable[year2], FF$3))</f>
        <v>6016</v>
      </c>
      <c r="FL41" s="63">
        <f>IF(SummaryTable[[#This Row],[OriginalBudget06]]=0, IF(SummaryTable[[#This Row],[DiffAmount06]]=0, ZeroBudgetNoSpending, ZeroBudgetWithSpending), SummaryTable[[#This Row],[DiffAmount06]]/SummaryTable[[#This Row],[OriginalBudget06]])</f>
        <v>6.5696937928624466E-2</v>
      </c>
    </row>
    <row r="42" spans="1:168" x14ac:dyDescent="0.45">
      <c r="A42" t="s">
        <v>738</v>
      </c>
      <c r="B42">
        <f>_xlfn.MAXIFS(allFYsTable[year2], allFYsTable[Code], SummaryTable[[#This Row],[Code]])</f>
        <v>2025</v>
      </c>
      <c r="C42" t="str">
        <f>_xlfn.XLOOKUP(SummaryTable[[#This Row],[Code]], NameCodingTable[Code], NameCodingTable[Most Recent Category per allFYs])</f>
        <v>Economic development and regulation</v>
      </c>
      <c r="D42" t="str">
        <f>_xlfn.XLOOKUP(SummaryTable[[#This Row],[Code]], NameCodingTable[Code], NameCodingTable[Unit Display Name])</f>
        <v>Department of Small and Local Business Development (DSLBD)</v>
      </c>
      <c r="E42" t="str">
        <f>_xlfn.XLOOKUP(SummaryTable[[#This Row],[Code]], NameCodingTable[Code], NameCodingTable[Type])</f>
        <v>agency</v>
      </c>
      <c r="F4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4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42" s="54">
        <f>SummaryTable[[#This Row],['# Over]]/SummaryTable[[#This Row],[Count]]</f>
        <v>0.3</v>
      </c>
      <c r="I4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14</v>
      </c>
      <c r="J42" s="54">
        <f>SummaryTable[[#This Row],['# Under]]/SummaryTable[[#This Row],[Count]]</f>
        <v>0.7</v>
      </c>
      <c r="K4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42" s="54">
        <f>SummaryTable[[#This Row],['# Equal]]/SummaryTable[[#This Row],[Count]]</f>
        <v>0</v>
      </c>
      <c r="M42" s="61">
        <f>SUMIFS(allFYsTable[OriginalBudget],allFYsTable[Code],SummaryTable[[#This Row],[Code]])/SummaryTable[[#This Row],[Count]]</f>
        <v>10978</v>
      </c>
      <c r="N42" s="61">
        <f>SUMIFS(allFYsTable[Actual],allFYsTable[Code],SummaryTable[[#This Row],[Code]])/SummaryTable[[#This Row],[Count]]</f>
        <v>10850.75</v>
      </c>
      <c r="O42" s="61">
        <f>SummaryTable[[#This Row],[AvgActAmt]]-SummaryTable[[#This Row],[AvgBudAmt]]</f>
        <v>-127.25</v>
      </c>
      <c r="P42" s="54">
        <f>IF(SummaryTable[[#This Row],[AvgBudAmt]]=0, IF(SummaryTable[[#This Row],[AvgDiff'#]]=0, 0, NamedFields!$C$3), SummaryTable[[#This Row],[AvgDiff'#]]/SummaryTable[[#This Row],[AvgBudAmt]])</f>
        <v>-1.1591364547276372E-2</v>
      </c>
      <c r="Q42" s="61">
        <f>IFERROR(SUMIFS(allFYsTable[OriginalBudget],allFYsTable[Code],SummaryTable[[#This Row],[Code]],allFYsTable[DiffAmount], "&gt;0")/SummaryTable[[#This Row],['# Over]], 0)</f>
        <v>8988.6666666666661</v>
      </c>
      <c r="R42" s="61">
        <f>IFERROR(SUMIFS(allFYsTable[Actual],allFYsTable[Code],SummaryTable[[#This Row],[Code]],allFYsTable[DiffAmount], "&gt;0")/SummaryTable[[#This Row],['# Over]], 0)</f>
        <v>9739.5</v>
      </c>
      <c r="S42" s="61">
        <f>SummaryTable[[#This Row],[OverAvgAct]]-SummaryTable[[#This Row],[OverAvgBud]]</f>
        <v>750.83333333333394</v>
      </c>
      <c r="T42" s="54">
        <f>IF(SummaryTable[[#This Row],[OverAvgBud]]=0, IF(SummaryTable[[#This Row],[OverAvgDiff'#]]=0, ZeroBudgetNoSpending, ZeroBudgetWithSpending), SummaryTable[[#This Row],[OverAvgDiff'#]]/SummaryTable[[#This Row],[OverAvgBud]])</f>
        <v>8.3531113253726988E-2</v>
      </c>
      <c r="U42" s="61">
        <f>IFERROR(SUMIFS(allFYsTable[OriginalBudget],allFYsTable[Code],SummaryTable[[#This Row],[Code]],allFYsTable[DiffAmount], "&lt;0")/SummaryTable[[#This Row],['# Under]], 0)</f>
        <v>11830.571428571429</v>
      </c>
      <c r="V42" s="61">
        <f>IFERROR( SUMIFS(allFYsTable[Actual],allFYsTable[Code],SummaryTable[[#This Row],[Code]],allFYsTable[DiffAmount], "&lt;0")/SummaryTable[[#This Row],['# Under]], 0)</f>
        <v>11327</v>
      </c>
      <c r="W42" s="61">
        <f>SummaryTable[[#This Row],[UnderAvgAct]]-SummaryTable[[#This Row],[UnderAvgBud]]</f>
        <v>-503.57142857142935</v>
      </c>
      <c r="X42" s="54">
        <f>IF(SummaryTable[[#This Row],[UnderAvgBud]]=0, IF(SummaryTable[[#This Row],[UnderAvgDiff'#]]=0, ZeroBudgetNoSpending, NamedFields!$C$3), SummaryTable[[#This Row],[UnderAvgDiff'#]]/SummaryTable[[#This Row],[UnderAvgBud]])</f>
        <v>-4.2565266742338313E-2</v>
      </c>
      <c r="Y4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8</v>
      </c>
      <c r="Z4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42" s="54">
        <f>IF(SummaryTable[[#This Row],[IncreaseYears]]=0, ZeroBudgetNoSpending, SummaryTable[[#This Row],[OSinIncreaseYear'#]]/SummaryTable[[#This Row],[IncreaseYears]])</f>
        <v>0.125</v>
      </c>
      <c r="AB42" s="58" t="str">
        <f>SummaryTable[[#This Row],[Code]]</f>
        <v>EN0</v>
      </c>
      <c r="AC42" s="62">
        <f>IF(COUNTIFS(allFYsTable[Code], SummaryTable[[#This Row],[Code]], allFYsTable[year2], AC$3)=0, NotFound, SUMIFS(allFYsTable[OriginalBudget], allFYsTable[Code], SummaryTable[[#This Row],[Code]], allFYsTable[year2], AC$3))</f>
        <v>24112</v>
      </c>
      <c r="AD42" s="61">
        <f>SummaryTable[[#This Row],[OriginalBudget25]]-SummaryTable[[#This Row],[OriginalBudget24]]</f>
        <v>773</v>
      </c>
      <c r="AE42" s="54">
        <f>SummaryTable[[#This Row],[BudgetIncreaseAmount25]]/SummaryTable[[#This Row],[OriginalBudget24]]</f>
        <v>3.3120527871802564E-2</v>
      </c>
      <c r="AF42" s="61">
        <f>IF(COUNTIFS(allFYsTable[Code], SummaryTable[[#This Row],[Code]], allFYsTable[year2], AC$3)=0, NotFound, SUMIFS(allFYsTable[RevisedBudget], allFYsTable[Code], SummaryTable[[#This Row],[Code]], allFYsTable[year2], AC$3))</f>
        <v>22891</v>
      </c>
      <c r="AG42" s="61">
        <f>IF(COUNTIFS(allFYsTable[Code], SummaryTable[[#This Row],[Code]], allFYsTable[year2], AC$3)=0, NotFound, SUMIFS(allFYsTable[Actual], allFYsTable[Code], SummaryTable[[#This Row],[Code]], allFYsTable[year2], AC$3))</f>
        <v>22883</v>
      </c>
      <c r="AH42" s="61">
        <f>IF(COUNTIFS(allFYsTable[Code], SummaryTable[[#This Row],[Code]], allFYsTable[year2], AC$3)=0, NotFound, SUMIFS(allFYsTable[DiffAmount], allFYsTable[Code], SummaryTable[[#This Row],[Code]], allFYsTable[year2], AC$3))</f>
        <v>-1229</v>
      </c>
      <c r="AI42" s="63">
        <f>IF(SummaryTable[[#This Row],[OriginalBudget25]]=0, IF(SummaryTable[[#This Row],[DiffAmount25]]=0, ZeroBudgetNoSpending, ZeroBudgetWithSpending), SummaryTable[[#This Row],[DiffAmount25]]/SummaryTable[[#This Row],[OriginalBudget25]])</f>
        <v>-5.0970471134704709E-2</v>
      </c>
      <c r="AJ42" s="62">
        <f>IF(COUNTIFS(allFYsTable[Code], SummaryTable[[#This Row],[Code]], allFYsTable[year2], AJ$3)=0, NotFound, SUMIFS(allFYsTable[OriginalBudget], allFYsTable[Code], SummaryTable[[#This Row],[Code]], allFYsTable[year2], AJ$3))</f>
        <v>23339</v>
      </c>
      <c r="AK42" s="61">
        <f>SummaryTable[[#This Row],[OriginalBudget24]]-SummaryTable[[#This Row],[OriginalBudget23]]</f>
        <v>808</v>
      </c>
      <c r="AL42" s="54">
        <f>SummaryTable[[#This Row],[BudgetIncreaseAmount24]]/SummaryTable[[#This Row],[OriginalBudget23]]</f>
        <v>3.5861701655496868E-2</v>
      </c>
      <c r="AM42" s="61">
        <f>IF(COUNTIFS(allFYsTable[Code], SummaryTable[[#This Row],[Code]], allFYsTable[year2], AK$3)=0, NotFound, SUMIFS(allFYsTable[RevisedBudget], allFYsTable[Code], SummaryTable[[#This Row],[Code]], allFYsTable[year2], AJ$3))</f>
        <v>22715</v>
      </c>
      <c r="AN42" s="61">
        <f>IF(COUNTIFS(allFYsTable[Code], SummaryTable[[#This Row],[Code]], allFYsTable[year2], AJ$3)=0, NotFound, SUMIFS(allFYsTable[Actual], allFYsTable[Code], SummaryTable[[#This Row],[Code]], allFYsTable[year2], AJ$3))</f>
        <v>22636</v>
      </c>
      <c r="AO42" s="61">
        <f>IF(COUNTIFS(allFYsTable[Code], SummaryTable[[#This Row],[Code]], allFYsTable[year2], AJ$3)=0, NotFound, SUMIFS(allFYsTable[DiffAmount], allFYsTable[Code], SummaryTable[[#This Row],[Code]], allFYsTable[year2], AJ$3))</f>
        <v>-703</v>
      </c>
      <c r="AP42" s="63">
        <f>IF(SummaryTable[[#This Row],[OriginalBudget24]]=0, IF(SummaryTable[[#This Row],[DiffAmount24]]=0, ZeroBudgetNoSpending, ZeroBudgetWithSpending), SummaryTable[[#This Row],[DiffAmount24]]/SummaryTable[[#This Row],[OriginalBudget24]])</f>
        <v>-3.0121256266335317E-2</v>
      </c>
      <c r="AQ42" s="62">
        <f>IF(COUNTIFS(allFYsTable[Code], SummaryTable[[#This Row],[Code]], allFYsTable[year2], AQ$3)=0, NotFound, SUMIFS(allFYsTable[OriginalBudget], allFYsTable[Code], SummaryTable[[#This Row],[Code]], allFYsTable[year2], AQ$3))</f>
        <v>22531</v>
      </c>
      <c r="AR42" s="61">
        <f>SummaryTable[[#This Row],[OriginalBudget23]]-SummaryTable[[#This Row],[OriginalBudget22]]</f>
        <v>1381</v>
      </c>
      <c r="AS42" s="54">
        <f>SummaryTable[[#This Row],[BudgetIncreaseAmount23]]/SummaryTable[[#This Row],[OriginalBudget22]]</f>
        <v>6.5295508274231681E-2</v>
      </c>
      <c r="AT42" s="61">
        <f>IF(COUNTIFS(allFYsTable[Code], SummaryTable[[#This Row],[Code]], allFYsTable[year2], AQ$3)=0, NotFound, SUMIFS(allFYsTable[RevisedBudget], allFYsTable[Code], SummaryTable[[#This Row],[Code]], allFYsTable[year2], AQ$3))</f>
        <v>23068</v>
      </c>
      <c r="AU42" s="61">
        <f>IF(COUNTIFS(allFYsTable[Code], SummaryTable[[#This Row],[Code]], allFYsTable[year2], AQ$3)=0, NotFound, SUMIFS(allFYsTable[Actual], allFYsTable[Code], SummaryTable[[#This Row],[Code]], allFYsTable[year2], AQ$3))</f>
        <v>22778</v>
      </c>
      <c r="AV42" s="61">
        <f>IF(COUNTIFS(allFYsTable[Code], SummaryTable[[#This Row],[Code]], allFYsTable[year2], AQ$3)=0, NotFound, SUMIFS(allFYsTable[DiffAmount], allFYsTable[Code], SummaryTable[[#This Row],[Code]], allFYsTable[year2], AQ$3))</f>
        <v>247</v>
      </c>
      <c r="AW42" s="63">
        <f>IF(SummaryTable[[#This Row],[OriginalBudget23]]=0, IF(SummaryTable[[#This Row],[DiffAmount23]]=0, ZeroBudgetNoSpending, ZeroBudgetWithSpending), SummaryTable[[#This Row],[DiffAmount23]]/SummaryTable[[#This Row],[OriginalBudget23]])</f>
        <v>1.0962673649638276E-2</v>
      </c>
      <c r="AX42" s="62">
        <f>IF(COUNTIFS(allFYsTable[Code], SummaryTable[[#This Row],[Code]], allFYsTable[year2], AX$3)=0, NotFound, SUMIFS(allFYsTable[OriginalBudget], allFYsTable[Code], SummaryTable[[#This Row],[Code]], allFYsTable[year2], AX$3))</f>
        <v>21150</v>
      </c>
      <c r="AY42" s="61">
        <f>SummaryTable[[#This Row],[OriginalBudget22]]-SummaryTable[[#This Row],[OriginalBudget21]]</f>
        <v>4926</v>
      </c>
      <c r="AZ42" s="54">
        <f>SummaryTable[[#This Row],[BudgetIncreaseAmount22]]/SummaryTable[[#This Row],[OriginalBudget21]]</f>
        <v>0.3036242603550296</v>
      </c>
      <c r="BA42" s="61">
        <f>IF(COUNTIFS(allFYsTable[Code], SummaryTable[[#This Row],[Code]], allFYsTable[year2], AX$3)=0, NotFound, SUMIFS(allFYsTable[RevisedBudget], allFYsTable[Code], SummaryTable[[#This Row],[Code]], allFYsTable[year2], AX$3))</f>
        <v>20981</v>
      </c>
      <c r="BB42" s="61">
        <f>IF(COUNTIFS(allFYsTable[Code], SummaryTable[[#This Row],[Code]], allFYsTable[year2], AX$3)=0, NotFound, SUMIFS(allFYsTable[Actual], allFYsTable[Code], SummaryTable[[#This Row],[Code]], allFYsTable[year2], AX$3))</f>
        <v>20896</v>
      </c>
      <c r="BC42" s="61">
        <f>IF(COUNTIFS(allFYsTable[Code], SummaryTable[[#This Row],[Code]], allFYsTable[year2], AX$3)=0, NotFound, SUMIFS(allFYsTable[DiffAmount], allFYsTable[Code], SummaryTable[[#This Row],[Code]], allFYsTable[year2], AX$3))</f>
        <v>-254</v>
      </c>
      <c r="BD42" s="63">
        <f>IF(SummaryTable[[#This Row],[OriginalBudget22]]=0, IF(SummaryTable[[#This Row],[DiffAmount22]]=0, ZeroBudgetNoSpending, ZeroBudgetWithSpending), SummaryTable[[#This Row],[DiffAmount22]]/SummaryTable[[#This Row],[OriginalBudget22]])</f>
        <v>-1.2009456264775413E-2</v>
      </c>
      <c r="BE42" s="62">
        <f>IF(COUNTIFS(allFYsTable[Code], SummaryTable[[#This Row],[Code]], allFYsTable[year2], BE$3)=0, NotFound, SUMIFS(allFYsTable[OriginalBudget], allFYsTable[Code], SummaryTable[[#This Row],[Code]], allFYsTable[year2], BE$3))</f>
        <v>16224</v>
      </c>
      <c r="BF42" s="61">
        <f>SummaryTable[[#This Row],[OriginalBudget21]]-SummaryTable[[#This Row],[OriginalBudget20]]</f>
        <v>271</v>
      </c>
      <c r="BG42" s="54">
        <f>SummaryTable[[#This Row],[BudgetIncreaseAmount21]]/SummaryTable[[#This Row],[OriginalBudget20]]</f>
        <v>1.6987400488936249E-2</v>
      </c>
      <c r="BH42" s="61">
        <f>IF(COUNTIFS(allFYsTable[Code], SummaryTable[[#This Row],[Code]], allFYsTable[year2], BE$3)=0, NotFound, SUMIFS(allFYsTable[RevisedBudget], allFYsTable[Code], SummaryTable[[#This Row],[Code]], allFYsTable[year2], BE$3))</f>
        <v>16043</v>
      </c>
      <c r="BI42" s="61">
        <f>IF(COUNTIFS(allFYsTable[Code], SummaryTable[[#This Row],[Code]], allFYsTable[year2], BE$3)=0, NotFound, SUMIFS(allFYsTable[Actual], allFYsTable[Code], SummaryTable[[#This Row],[Code]], allFYsTable[year2], BE$3))</f>
        <v>15886</v>
      </c>
      <c r="BJ42" s="61">
        <f>IF(COUNTIFS(allFYsTable[Code], SummaryTable[[#This Row],[Code]], allFYsTable[year2], BE$3)=0, NotFound, SUMIFS(allFYsTable[DiffAmount], allFYsTable[Code], SummaryTable[[#This Row],[Code]], allFYsTable[year2], BE$3))</f>
        <v>-338</v>
      </c>
      <c r="BK42" s="63">
        <f>IF(SummaryTable[[#This Row],[OriginalBudget21]]=0, IF(SummaryTable[[#This Row],[DiffAmount21]]=0, ZeroBudgetNoSpending, ZeroBudgetWithSpending), SummaryTable[[#This Row],[DiffAmount21]]/SummaryTable[[#This Row],[OriginalBudget21]])</f>
        <v>-2.0833333333333332E-2</v>
      </c>
      <c r="BL42" s="62">
        <f>IF(COUNTIFS(allFYsTable[Code], SummaryTable[[#This Row],[Code]], allFYsTable[year2], BL$3)=0, NotFound, SUMIFS(allFYsTable[OriginalBudget], allFYsTable[Code], SummaryTable[[#This Row],[Code]], allFYsTable[year2], BL$3))</f>
        <v>15953</v>
      </c>
      <c r="BM42" s="61">
        <f>SummaryTable[[#This Row],[OriginalBudget20]]-SummaryTable[[#This Row],[OriginalBudget19]]</f>
        <v>1332</v>
      </c>
      <c r="BN42" s="54">
        <f>SummaryTable[[#This Row],[BudgetIncreaseAmount20]]/SummaryTable[[#This Row],[OriginalBudget19]]</f>
        <v>9.1101839819437799E-2</v>
      </c>
      <c r="BO42" s="61">
        <f>IF(COUNTIFS(allFYsTable[Code], SummaryTable[[#This Row],[Code]], allFYsTable[year2], BL$3)=0, NotFound, SUMIFS(allFYsTable[RevisedBudget], allFYsTable[Code], SummaryTable[[#This Row],[Code]], allFYsTable[year2], BL$3))</f>
        <v>15865</v>
      </c>
      <c r="BP42" s="61">
        <f>IF(COUNTIFS(allFYsTable[Code], SummaryTable[[#This Row],[Code]], allFYsTable[year2], BL$3)=0, NotFound, SUMIFS(allFYsTable[Actual], allFYsTable[Code], SummaryTable[[#This Row],[Code]], allFYsTable[year2], BL$3))</f>
        <v>15660</v>
      </c>
      <c r="BQ42" s="61">
        <f>IF(COUNTIFS(allFYsTable[Code], SummaryTable[[#This Row],[Code]], allFYsTable[year2], BL$3)=0, NotFound, SUMIFS(allFYsTable[DiffAmount], allFYsTable[Code], SummaryTable[[#This Row],[Code]], allFYsTable[year2], BL$3))</f>
        <v>-293</v>
      </c>
      <c r="BR42" s="63">
        <f>IF(SummaryTable[[#This Row],[OriginalBudget20]]=0, IF(SummaryTable[[#This Row],[DiffAmount20]]=0, ZeroBudgetNoSpending, ZeroBudgetWithSpending), SummaryTable[[#This Row],[DiffAmount20]]/SummaryTable[[#This Row],[OriginalBudget20]])</f>
        <v>-1.8366451451137716E-2</v>
      </c>
      <c r="BS42" s="62">
        <f>IF(COUNTIFS(allFYsTable[Code], SummaryTable[[#This Row],[Code]], allFYsTable[year2], BS$3)=0, NotFound, SUMIFS(allFYsTable[OriginalBudget], allFYsTable[Code], SummaryTable[[#This Row],[Code]], allFYsTable[year2], BS$3))</f>
        <v>14621</v>
      </c>
      <c r="BT42" s="61">
        <f>SummaryTable[[#This Row],[OriginalBudget19]]-SummaryTable[[#This Row],[OriginalBudget18]]</f>
        <v>-11</v>
      </c>
      <c r="BU42" s="54">
        <f>SummaryTable[[#This Row],[BudgetIncreaseAmount19]]/SummaryTable[[#This Row],[OriginalBudget18]]</f>
        <v>-7.5177692728266808E-4</v>
      </c>
      <c r="BV42" s="61">
        <f>IF(COUNTIFS(allFYsTable[Code], SummaryTable[[#This Row],[Code]], allFYsTable[year2], BS$3)=0, NotFound, SUMIFS(allFYsTable[RevisedBudget], allFYsTable[Code], SummaryTable[[#This Row],[Code]], allFYsTable[year2], BS$3))</f>
        <v>15431</v>
      </c>
      <c r="BW42" s="61">
        <f>IF(COUNTIFS(allFYsTable[Code], SummaryTable[[#This Row],[Code]], allFYsTable[year2], BS$3)=0, NotFound, SUMIFS(allFYsTable[Actual], allFYsTable[Code], SummaryTable[[#This Row],[Code]], allFYsTable[year2], BS$3))</f>
        <v>15348</v>
      </c>
      <c r="BX42" s="61">
        <f>IF(COUNTIFS(allFYsTable[Code], SummaryTable[[#This Row],[Code]], allFYsTable[year2], BS$3)=0, NotFound, SUMIFS(allFYsTable[DiffAmount], allFYsTable[Code], SummaryTable[[#This Row],[Code]], allFYsTable[year2], BS$3))</f>
        <v>727</v>
      </c>
      <c r="BY42" s="63">
        <f>IF(SummaryTable[[#This Row],[OriginalBudget19]]=0, IF(SummaryTable[[#This Row],[DiffAmount19]]=0, ZeroBudgetNoSpending, ZeroBudgetWithSpending), SummaryTable[[#This Row],[DiffAmount19]]/SummaryTable[[#This Row],[OriginalBudget19]])</f>
        <v>4.9723001162711167E-2</v>
      </c>
      <c r="BZ42" s="62">
        <f>IF(COUNTIFS(allFYsTable[Code], SummaryTable[[#This Row],[Code]], allFYsTable[year2], BZ$3)=0, NotFound, SUMIFS(allFYsTable[OriginalBudget], allFYsTable[Code], SummaryTable[[#This Row],[Code]], allFYsTable[year2], BZ$3))</f>
        <v>14632</v>
      </c>
      <c r="CA42" s="61">
        <f>SummaryTable[[#This Row],[OriginalBudget18]]-SummaryTable[[#This Row],[OriginalBudget17]]</f>
        <v>3475</v>
      </c>
      <c r="CB42" s="54">
        <f>SummaryTable[[#This Row],[BudgetIncreaseAmount18]]/SummaryTable[[#This Row],[OriginalBudget17]]</f>
        <v>0.31146365510441876</v>
      </c>
      <c r="CC42" s="61">
        <f>IF(COUNTIFS(allFYsTable[Code], SummaryTable[[#This Row],[Code]], allFYsTable[year2], BZ$3)=0, NotFound, SUMIFS(allFYsTable[RevisedBudget], allFYsTable[Code], SummaryTable[[#This Row],[Code]], allFYsTable[year2], BZ$3))</f>
        <v>14818</v>
      </c>
      <c r="CD42" s="61">
        <f>IF(COUNTIFS(allFYsTable[Code], SummaryTable[[#This Row],[Code]], allFYsTable[year2], BZ$3)=0, NotFound, SUMIFS(allFYsTable[Actual], allFYsTable[Code], SummaryTable[[#This Row],[Code]], allFYsTable[year2], BZ$3))</f>
        <v>14465</v>
      </c>
      <c r="CE42" s="61">
        <f>IF(COUNTIFS(allFYsTable[Code], SummaryTable[[#This Row],[Code]], allFYsTable[year2], BZ$3)=0, NotFound, SUMIFS(allFYsTable[DiffAmount], allFYsTable[Code], SummaryTable[[#This Row],[Code]], allFYsTable[year2], BZ$3))</f>
        <v>-167</v>
      </c>
      <c r="CF42" s="63">
        <f>IF(SummaryTable[[#This Row],[OriginalBudget18]]=0, IF(SummaryTable[[#This Row],[DiffAmount18]]=0, ZeroBudgetNoSpending, ZeroBudgetWithSpending), SummaryTable[[#This Row],[DiffAmount18]]/SummaryTable[[#This Row],[OriginalBudget18]])</f>
        <v>-1.1413340623291416E-2</v>
      </c>
      <c r="CG42" s="62">
        <f>IF(COUNTIFS(allFYsTable[Code], SummaryTable[[#This Row],[Code]], allFYsTable[year2], CG$3)=0, NotFound, SUMIFS(allFYsTable[OriginalBudget], allFYsTable[Code], SummaryTable[[#This Row],[Code]], allFYsTable[year2], CG$3))</f>
        <v>11157</v>
      </c>
      <c r="CH42" s="61">
        <f>SummaryTable[[#This Row],[OriginalBudget17]]-SummaryTable[[#This Row],[OriginalBudget16]]</f>
        <v>1515</v>
      </c>
      <c r="CI42" s="54">
        <f>SummaryTable[[#This Row],[BudgetIncreaseAmount17]]/SummaryTable[[#This Row],[OriginalBudget16]]</f>
        <v>0.15712507778469198</v>
      </c>
      <c r="CJ42" s="61">
        <f>IF(COUNTIFS(allFYsTable[Code], SummaryTable[[#This Row],[Code]], allFYsTable[year2], CG$3)=0, NotFound, SUMIFS(allFYsTable[RevisedBudget], allFYsTable[Code], SummaryTable[[#This Row],[Code]], allFYsTable[year2], CG$3))</f>
        <v>10687</v>
      </c>
      <c r="CK42" s="61">
        <f>IF(COUNTIFS(allFYsTable[Code], SummaryTable[[#This Row],[Code]], allFYsTable[year2], CG$3)=0, NotFound, SUMIFS(allFYsTable[Actual], allFYsTable[Code], SummaryTable[[#This Row],[Code]], allFYsTable[year2], CG$3))</f>
        <v>10554</v>
      </c>
      <c r="CL42" s="61">
        <f>IF(COUNTIFS(allFYsTable[Code], SummaryTable[[#This Row],[Code]], allFYsTable[year2], CG$3)=0, NotFound, SUMIFS(allFYsTable[DiffAmount], allFYsTable[Code], SummaryTable[[#This Row],[Code]], allFYsTable[year2], CG$3))</f>
        <v>-603</v>
      </c>
      <c r="CM42" s="63">
        <f>IF(SummaryTable[[#This Row],[OriginalBudget17]]=0, IF(SummaryTable[[#This Row],[DiffAmount17]]=0, ZeroBudgetNoSpending, ZeroBudgetWithSpending), SummaryTable[[#This Row],[DiffAmount17]]/SummaryTable[[#This Row],[OriginalBudget17]])</f>
        <v>-5.4046786770637269E-2</v>
      </c>
      <c r="CN42" s="62">
        <f>IF(COUNTIFS(allFYsTable[Code], SummaryTable[[#This Row],[Code]], allFYsTable[year2], CN$3)=0, NotFound, SUMIFS(allFYsTable[OriginalBudget], allFYsTable[Code], SummaryTable[[#This Row],[Code]], allFYsTable[year2], CN$3))</f>
        <v>9642</v>
      </c>
      <c r="CO42" s="61">
        <f>SummaryTable[[#This Row],[OriginalBudget16]]-SummaryTable[[#This Row],[OriginalBudget15]]</f>
        <v>657</v>
      </c>
      <c r="CP42" s="54">
        <f>SummaryTable[[#This Row],[BudgetIncreaseAmount16]]/SummaryTable[[#This Row],[OriginalBudget15]]</f>
        <v>7.3121869782971624E-2</v>
      </c>
      <c r="CQ42" s="61">
        <f>IF(COUNTIFS(allFYsTable[Code], SummaryTable[[#This Row],[Code]], allFYsTable[year2], CN$3)=0, NotFound, SUMIFS(allFYsTable[RevisedBudget], allFYsTable[Code], SummaryTable[[#This Row],[Code]], allFYsTable[year2], CN$3))</f>
        <v>9342</v>
      </c>
      <c r="CR42" s="61">
        <f>IF(COUNTIFS(allFYsTable[Code], SummaryTable[[#This Row],[Code]], allFYsTable[year2], CN$3)=0, NotFound, SUMIFS(allFYsTable[Actual], allFYsTable[Code], SummaryTable[[#This Row],[Code]], allFYsTable[year2], CN$3))</f>
        <v>9122</v>
      </c>
      <c r="CS42" s="61">
        <f>IF(COUNTIFS(allFYsTable[Code], SummaryTable[[#This Row],[Code]], allFYsTable[year2], CN$3)=0, NotFound, SUMIFS(allFYsTable[DiffAmount], allFYsTable[Code], SummaryTable[[#This Row],[Code]], allFYsTable[year2], CN$3))</f>
        <v>-520</v>
      </c>
      <c r="CT42" s="63">
        <f>IF(SummaryTable[[#This Row],[OriginalBudget16]]=0, IF(SummaryTable[[#This Row],[DiffAmount16]]=0, ZeroBudgetNoSpending, ZeroBudgetWithSpending), SummaryTable[[#This Row],[DiffAmount16]]/SummaryTable[[#This Row],[OriginalBudget16]])</f>
        <v>-5.3930719767683051E-2</v>
      </c>
      <c r="CU42" s="62">
        <f>IF(COUNTIFS(allFYsTable[Code], SummaryTable[[#This Row],[Code]], allFYsTable[year2], CU$3)=0, NotFound, SUMIFS(allFYsTable[OriginalBudget], allFYsTable[Code], SummaryTable[[#This Row],[Code]], allFYsTable[year2], CU$3))</f>
        <v>8985</v>
      </c>
      <c r="CV42" s="61">
        <f>SummaryTable[[#This Row],[OriginalBudget15]]-SummaryTable[[#This Row],[OriginalBudget14]]</f>
        <v>1521</v>
      </c>
      <c r="CW42" s="54">
        <f>SummaryTable[[#This Row],[BudgetIncreaseAmount15]]/SummaryTable[[#This Row],[OriginalBudget14]]</f>
        <v>0.2037781350482315</v>
      </c>
      <c r="CX42" s="61">
        <f>IF(COUNTIFS(allFYsTable[Code], SummaryTable[[#This Row],[Code]], allFYsTable[year2], CU$3)=0, NotFound, SUMIFS(allFYsTable[RevisedBudget], allFYsTable[Code], SummaryTable[[#This Row],[Code]], allFYsTable[year2], CU$3))</f>
        <v>8807</v>
      </c>
      <c r="CY42" s="61">
        <f>IF(COUNTIFS(allFYsTable[Code], SummaryTable[[#This Row],[Code]], allFYsTable[year2], CU$3)=0, NotFound, SUMIFS(allFYsTable[Actual], allFYsTable[Code], SummaryTable[[#This Row],[Code]], allFYsTable[year2], CU$3))</f>
        <v>8524</v>
      </c>
      <c r="CZ42" s="61">
        <f>IF(COUNTIFS(allFYsTable[Code], SummaryTable[[#This Row],[Code]], allFYsTable[year2], CU$3)=0, NotFound, SUMIFS(allFYsTable[DiffAmount], allFYsTable[Code], SummaryTable[[#This Row],[Code]], allFYsTable[year2], CU$3))</f>
        <v>-461</v>
      </c>
      <c r="DA42" s="63">
        <f>IF(SummaryTable[[#This Row],[OriginalBudget15]]=0, IF(SummaryTable[[#This Row],[DiffAmount15]]=0, ZeroBudgetNoSpending, ZeroBudgetWithSpending), SummaryTable[[#This Row],[DiffAmount15]]/SummaryTable[[#This Row],[OriginalBudget15]])</f>
        <v>-5.1307735114079017E-2</v>
      </c>
      <c r="DB42" s="62">
        <f>IF(COUNTIFS(allFYsTable[Code], SummaryTable[[#This Row],[Code]], allFYsTable[year2], DB$3)=0, NotFound, SUMIFS(allFYsTable[OriginalBudget], allFYsTable[Code], SummaryTable[[#This Row],[Code]], allFYsTable[year2], DB$3))</f>
        <v>7464</v>
      </c>
      <c r="DC42" s="61">
        <f>SummaryTable[[#This Row],[OriginalBudget14]]-SummaryTable[[#This Row],[OriginalBudget13]]</f>
        <v>2188</v>
      </c>
      <c r="DD42" s="54">
        <f>SummaryTable[[#This Row],[BudgetIncreaseAmount14]]/SummaryTable[[#This Row],[OriginalBudget13]]</f>
        <v>0.41470811220621684</v>
      </c>
      <c r="DE42" s="61">
        <f>IF(COUNTIFS(allFYsTable[Code], SummaryTable[[#This Row],[Code]], allFYsTable[year2], DB$3)=0, NotFound, SUMIFS(allFYsTable[RevisedBudget], allFYsTable[Code], SummaryTable[[#This Row],[Code]], allFYsTable[year2], DB$3))</f>
        <v>8072</v>
      </c>
      <c r="DF42" s="61">
        <f>IF(COUNTIFS(allFYsTable[Code], SummaryTable[[#This Row],[Code]], allFYsTable[year2], DB$3)=0, NotFound, SUMIFS(allFYsTable[Actual], allFYsTable[Code], SummaryTable[[#This Row],[Code]], allFYsTable[year2], DB$3))</f>
        <v>7734</v>
      </c>
      <c r="DG42" s="61">
        <f>IF(COUNTIFS(allFYsTable[Code], SummaryTable[[#This Row],[Code]], allFYsTable[year2], DB$3)=0, NotFound, SUMIFS(allFYsTable[DiffAmount], allFYsTable[Code], SummaryTable[[#This Row],[Code]], allFYsTable[year2], DB$3))</f>
        <v>270</v>
      </c>
      <c r="DH42" s="63">
        <f>IF(SummaryTable[[#This Row],[OriginalBudget14]]=0, IF(SummaryTable[[#This Row],[DiffAmount14]]=0, ZeroBudgetNoSpending, ZeroBudgetWithSpending), SummaryTable[[#This Row],[DiffAmount14]]/SummaryTable[[#This Row],[OriginalBudget14]])</f>
        <v>3.6173633440514469E-2</v>
      </c>
      <c r="DI42" s="62">
        <f>IF(COUNTIFS(allFYsTable[Code], SummaryTable[[#This Row],[Code]], allFYsTable[year2], DI$3)=0, NotFound, SUMIFS(allFYsTable[OriginalBudget], allFYsTable[Code], SummaryTable[[#This Row],[Code]], allFYsTable[year2], DI$3))</f>
        <v>5276</v>
      </c>
      <c r="DJ42" s="61">
        <f>SummaryTable[[#This Row],[OriginalBudget13]]-SummaryTable[[#This Row],[OriginalBudget12]]</f>
        <v>424</v>
      </c>
      <c r="DK42" s="54">
        <f>SummaryTable[[#This Row],[BudgetIncreaseAmount13]]/SummaryTable[[#This Row],[OriginalBudget12]]</f>
        <v>8.7386644682605111E-2</v>
      </c>
      <c r="DL42" s="61">
        <f>IF(COUNTIFS(allFYsTable[Code], SummaryTable[[#This Row],[Code]], allFYsTable[year2], DI$3)=0, NotFound, SUMIFS(allFYsTable[RevisedBudget], allFYsTable[Code], SummaryTable[[#This Row],[Code]], allFYsTable[year2], DI$3))</f>
        <v>4142</v>
      </c>
      <c r="DM42" s="61">
        <f>IF(COUNTIFS(allFYsTable[Code], SummaryTable[[#This Row],[Code]], allFYsTable[year2], DI$3)=0, NotFound, SUMIFS(allFYsTable[Actual], allFYsTable[Code], SummaryTable[[#This Row],[Code]], allFYsTable[year2], DI$3))</f>
        <v>4047</v>
      </c>
      <c r="DN42" s="61">
        <f>IF(COUNTIFS(allFYsTable[Code], SummaryTable[[#This Row],[Code]], allFYsTable[year2], DI$3)=0, NotFound, SUMIFS(allFYsTable[DiffAmount], allFYsTable[Code], SummaryTable[[#This Row],[Code]], allFYsTable[year2], DI$3))</f>
        <v>-1229</v>
      </c>
      <c r="DO42" s="63">
        <f>IF(SummaryTable[[#This Row],[OriginalBudget13]]=0, IF(SummaryTable[[#This Row],[DiffAmount13]]=0, ZeroBudgetNoSpending, ZeroBudgetWithSpending), SummaryTable[[#This Row],[DiffAmount13]]/SummaryTable[[#This Row],[OriginalBudget13]])</f>
        <v>-0.23294162244124336</v>
      </c>
      <c r="DP42" s="62">
        <f>IF(COUNTIFS(allFYsTable[Code], SummaryTable[[#This Row],[Code]], allFYsTable[year2], DP$3)=0, NotFound, SUMIFS(allFYsTable[OriginalBudget], allFYsTable[Code], SummaryTable[[#This Row],[Code]], allFYsTable[year2], DP$3))</f>
        <v>4852</v>
      </c>
      <c r="DQ42" s="61">
        <f>SummaryTable[[#This Row],[OriginalBudget12]]-SummaryTable[[#This Row],[OriginalBudget11]]</f>
        <v>199</v>
      </c>
      <c r="DR42" s="54">
        <f>SummaryTable[[#This Row],[BudgetIncreaseAmount12]]/SummaryTable[[#This Row],[OriginalBudget11]]</f>
        <v>4.2768106597893832E-2</v>
      </c>
      <c r="DS42" s="61">
        <f>IF(COUNTIFS(allFYsTable[Code], SummaryTable[[#This Row],[Code]], allFYsTable[year2], DP$3)=0, NotFound, SUMIFS(allFYsTable[RevisedBudget], allFYsTable[Code], SummaryTable[[#This Row],[Code]], allFYsTable[year2], DP$3))</f>
        <v>4919</v>
      </c>
      <c r="DT42" s="61">
        <f>IF(COUNTIFS(allFYsTable[Code], SummaryTable[[#This Row],[Code]], allFYsTable[year2], DP$3)=0, NotFound, SUMIFS(allFYsTable[Actual], allFYsTable[Code], SummaryTable[[#This Row],[Code]], allFYsTable[year2], DP$3))</f>
        <v>4792</v>
      </c>
      <c r="DU42" s="61">
        <f>IF(COUNTIFS(allFYsTable[Code], SummaryTable[[#This Row],[Code]], allFYsTable[year2], DP$3)=0, NotFound, SUMIFS(allFYsTable[DiffAmount], allFYsTable[Code], SummaryTable[[#This Row],[Code]], allFYsTable[year2], DP$3))</f>
        <v>-60</v>
      </c>
      <c r="DV42" s="63">
        <f>IF(SummaryTable[[#This Row],[OriginalBudget12]]=0, IF(SummaryTable[[#This Row],[DiffAmount12]]=0, ZeroBudgetNoSpending, ZeroBudgetWithSpending), SummaryTable[[#This Row],[DiffAmount12]]/SummaryTable[[#This Row],[OriginalBudget12]])</f>
        <v>-1.236603462489695E-2</v>
      </c>
      <c r="DW42" s="62">
        <f>IF(COUNTIFS(allFYsTable[Code], SummaryTable[[#This Row],[Code]], allFYsTable[year2], DW$3)=0, NotFound, SUMIFS(allFYsTable[OriginalBudget], allFYsTable[Code], SummaryTable[[#This Row],[Code]], allFYsTable[year2], DW$3))</f>
        <v>4653</v>
      </c>
      <c r="DX42" s="61">
        <f>SummaryTable[[#This Row],[OriginalBudget11]]-SummaryTable[[#This Row],[OriginalBudget10]]</f>
        <v>2268</v>
      </c>
      <c r="DY42" s="54">
        <f>SummaryTable[[#This Row],[BudgetIncreaseAmount11]]/SummaryTable[[#This Row],[OriginalBudget10]]</f>
        <v>0.95094339622641511</v>
      </c>
      <c r="DZ42" s="61">
        <f>IF(COUNTIFS(allFYsTable[Code], SummaryTable[[#This Row],[Code]], allFYsTable[year2], DW$3)=0, NotFound, SUMIFS(allFYsTable[RevisedBudget], allFYsTable[Code], SummaryTable[[#This Row],[Code]], allFYsTable[year2], DW$3))</f>
        <v>7676</v>
      </c>
      <c r="EA42" s="61">
        <f>IF(COUNTIFS(allFYsTable[Code], SummaryTable[[#This Row],[Code]], allFYsTable[year2], DW$3)=0, NotFound, SUMIFS(allFYsTable[Actual], allFYsTable[Code], SummaryTable[[#This Row],[Code]], allFYsTable[year2], DW$3))</f>
        <v>7536</v>
      </c>
      <c r="EB42" s="61">
        <f>IF(COUNTIFS(allFYsTable[Code], SummaryTable[[#This Row],[Code]], allFYsTable[year2], DW$3)=0, NotFound, SUMIFS(allFYsTable[DiffAmount], allFYsTable[Code], SummaryTable[[#This Row],[Code]], allFYsTable[year2], DW$3))</f>
        <v>2883</v>
      </c>
      <c r="EC42" s="63">
        <f>IF(SummaryTable[[#This Row],[OriginalBudget11]]=0, IF(SummaryTable[[#This Row],[DiffAmount11]]=0, ZeroBudgetNoSpending, ZeroBudgetWithSpending), SummaryTable[[#This Row],[DiffAmount11]]/SummaryTable[[#This Row],[OriginalBudget11]])</f>
        <v>0.61960025789813022</v>
      </c>
      <c r="ED42" s="62">
        <f>IF(COUNTIFS(allFYsTable[Code], SummaryTable[[#This Row],[Code]], allFYsTable[year2], ED$3)=0, NotFound, SUMIFS(allFYsTable[OriginalBudget], allFYsTable[Code], SummaryTable[[#This Row],[Code]], allFYsTable[year2], ED$3))</f>
        <v>2385</v>
      </c>
      <c r="EE42" s="61">
        <f>SummaryTable[[#This Row],[OriginalBudget10]]-SummaryTable[[#This Row],[OriginalBudget09]]</f>
        <v>-840</v>
      </c>
      <c r="EF42" s="54">
        <f>SummaryTable[[#This Row],[BudgetIncreaseAmount10]]/SummaryTable[[#This Row],[OriginalBudget09]]</f>
        <v>-0.26046511627906976</v>
      </c>
      <c r="EG42" s="61">
        <f>IF(COUNTIFS(allFYsTable[Code], SummaryTable[[#This Row],[Code]], allFYsTable[year2], ED$3)=0, NotFound, SUMIFS(allFYsTable[RevisedBudget], allFYsTable[Code], SummaryTable[[#This Row],[Code]], allFYsTable[year2], ED$3))</f>
        <v>2374</v>
      </c>
      <c r="EH42" s="61">
        <f>IF(COUNTIFS(allFYsTable[Code], SummaryTable[[#This Row],[Code]], allFYsTable[year2], ED$3)=0, NotFound, SUMIFS(allFYsTable[Actual], allFYsTable[Code], SummaryTable[[#This Row],[Code]], allFYsTable[year2], ED$3))</f>
        <v>2339</v>
      </c>
      <c r="EI42" s="61">
        <f>IF(COUNTIFS(allFYsTable[Code], SummaryTable[[#This Row],[Code]], allFYsTable[year2], ED$3)=0, NotFound, SUMIFS(allFYsTable[DiffAmount], allFYsTable[Code], SummaryTable[[#This Row],[Code]], allFYsTable[year2], ED$3))</f>
        <v>-46</v>
      </c>
      <c r="EJ42" s="63">
        <f>IF(SummaryTable[[#This Row],[OriginalBudget10]]=0, IF(SummaryTable[[#This Row],[DiffAmount10]]=0, ZeroBudgetNoSpending, ZeroBudgetWithSpending), SummaryTable[[#This Row],[DiffAmount10]]/SummaryTable[[#This Row],[OriginalBudget10]])</f>
        <v>-1.9287211740041929E-2</v>
      </c>
      <c r="EK42" s="62">
        <f>IF(COUNTIFS(allFYsTable[Code], SummaryTable[[#This Row],[Code]], allFYsTable[year2], EK$3)=0, NotFound, SUMIFS(allFYsTable[OriginalBudget], allFYsTable[Code], SummaryTable[[#This Row],[Code]], allFYsTable[year2], EK$3))</f>
        <v>3225</v>
      </c>
      <c r="EL42" s="61">
        <f>SummaryTable[[#This Row],[OriginalBudget09]]-SummaryTable[[#This Row],[OriginalBudget08]]</f>
        <v>-994</v>
      </c>
      <c r="EM42" s="54">
        <f>SummaryTable[[#This Row],[BudgetIncreaseAmount09]]/SummaryTable[[#This Row],[OriginalBudget08]]</f>
        <v>-0.23560085328276842</v>
      </c>
      <c r="EN42" s="61">
        <f>IF(COUNTIFS(allFYsTable[Code], SummaryTable[[#This Row],[Code]], allFYsTable[year2], EK$3)=0, NotFound, SUMIFS(allFYsTable[RevisedBudget], allFYsTable[Code], SummaryTable[[#This Row],[Code]], allFYsTable[year2], EK$3))</f>
        <v>3745</v>
      </c>
      <c r="EO42" s="61">
        <f>IF(COUNTIFS(allFYsTable[Code], SummaryTable[[#This Row],[Code]], allFYsTable[year2], EK$3)=0, NotFound, SUMIFS(allFYsTable[Actual], allFYsTable[Code], SummaryTable[[#This Row],[Code]], allFYsTable[year2], EK$3))</f>
        <v>3343</v>
      </c>
      <c r="EP42" s="61">
        <f>IF(COUNTIFS(allFYsTable[Code], SummaryTable[[#This Row],[Code]], allFYsTable[year2], EK$3)=0, NotFound, SUMIFS(allFYsTable[DiffAmount], allFYsTable[Code], SummaryTable[[#This Row],[Code]], allFYsTable[year2], EK$3))</f>
        <v>118</v>
      </c>
      <c r="EQ42" s="63">
        <f>IF(SummaryTable[[#This Row],[OriginalBudget09]]=0, IF(SummaryTable[[#This Row],[DiffAmount09]]=0, ZeroBudgetNoSpending, ZeroBudgetWithSpending), SummaryTable[[#This Row],[DiffAmount09]]/SummaryTable[[#This Row],[OriginalBudget09]])</f>
        <v>3.6589147286821708E-2</v>
      </c>
      <c r="ER42" s="62">
        <f>IF(COUNTIFS(allFYsTable[Code], SummaryTable[[#This Row],[Code]], allFYsTable[year2], ER$3)=0, NotFound, SUMIFS(allFYsTable[OriginalBudget], allFYsTable[Code], SummaryTable[[#This Row],[Code]], allFYsTable[year2], ER$3))</f>
        <v>4219</v>
      </c>
      <c r="ES42" s="61">
        <f>SummaryTable[[#This Row],[OriginalBudget08]]-SummaryTable[[#This Row],[OriginalBudget07]]</f>
        <v>1557</v>
      </c>
      <c r="ET42" s="54">
        <f>SummaryTable[[#This Row],[BudgetIncreaseAmount08]]/SummaryTable[[#This Row],[OriginalBudget07]]</f>
        <v>0.58489857250187827</v>
      </c>
      <c r="EU42" s="61">
        <f>IF(COUNTIFS(allFYsTable[Code], SummaryTable[[#This Row],[Code]], allFYsTable[year2], ER$3)=0, NotFound, SUMIFS(allFYsTable[RevisedBudget], allFYsTable[Code], SummaryTable[[#This Row],[Code]], allFYsTable[year2], ER$3))</f>
        <v>4447</v>
      </c>
      <c r="EV42" s="61">
        <f>IF(COUNTIFS(allFYsTable[Code], SummaryTable[[#This Row],[Code]], allFYsTable[year2], ER$3)=0, NotFound, SUMIFS(allFYsTable[Actual], allFYsTable[Code], SummaryTable[[#This Row],[Code]], allFYsTable[year2], ER$3))</f>
        <v>3932</v>
      </c>
      <c r="EW42" s="61">
        <f>IF(COUNTIFS(allFYsTable[Code], SummaryTable[[#This Row],[Code]], allFYsTable[year2], ER$3)=0, NotFound, SUMIFS(allFYsTable[DiffAmount], allFYsTable[Code], SummaryTable[[#This Row],[Code]], allFYsTable[year2], ER$3))</f>
        <v>-287</v>
      </c>
      <c r="EX42" s="63">
        <f>IF(SummaryTable[[#This Row],[OriginalBudget08]]=0, IF(SummaryTable[[#This Row],[DiffAmount08]]=0, ZeroBudgetNoSpending, ZeroBudgetWithSpending), SummaryTable[[#This Row],[DiffAmount08]]/SummaryTable[[#This Row],[OriginalBudget08]])</f>
        <v>-6.8025598483052854E-2</v>
      </c>
      <c r="EY42" s="62">
        <f>IF(COUNTIFS(allFYsTable[Code], SummaryTable[[#This Row],[Code]], allFYsTable[year2], EY$3)=0, NotFound, SUMIFS(allFYsTable[OriginalBudget], allFYsTable[Code], SummaryTable[[#This Row],[Code]], allFYsTable[year2], EY$3))</f>
        <v>2662</v>
      </c>
      <c r="EZ42" s="61">
        <f>SummaryTable[[#This Row],[OriginalBudget07]]-SummaryTable[[#This Row],[OriginalBudget06]]</f>
        <v>1224</v>
      </c>
      <c r="FA42" s="54">
        <f>SummaryTable[[#This Row],[BudgetIncreaseAmount07]]/SummaryTable[[#This Row],[OriginalBudget06]]</f>
        <v>0.85118219749652291</v>
      </c>
      <c r="FB42" s="61">
        <f>IF(COUNTIFS(allFYsTable[Code], SummaryTable[[#This Row],[Code]], allFYsTable[year2], EY$3)=0, NotFound, SUMIFS(allFYsTable[RevisedBudget], allFYsTable[Code], SummaryTable[[#This Row],[Code]], allFYsTable[year2], EY$3))</f>
        <v>2662</v>
      </c>
      <c r="FC42" s="61">
        <f>IF(COUNTIFS(allFYsTable[Code], SummaryTable[[#This Row],[Code]], allFYsTable[year2], EY$3)=0, NotFound, SUMIFS(allFYsTable[Actual], allFYsTable[Code], SummaryTable[[#This Row],[Code]], allFYsTable[year2], EY$3))</f>
        <v>1860</v>
      </c>
      <c r="FD42" s="61">
        <f>IF(COUNTIFS(allFYsTable[Code], SummaryTable[[#This Row],[Code]], allFYsTable[year2], EY$3)=0, NotFound, SUMIFS(allFYsTable[DiffAmount], allFYsTable[Code], SummaryTable[[#This Row],[Code]], allFYsTable[year2], EY$3))</f>
        <v>-802</v>
      </c>
      <c r="FE42" s="63">
        <f>IF(SummaryTable[[#This Row],[OriginalBudget07]]=0, IF(SummaryTable[[#This Row],[DiffAmount07]]=0, ZeroBudgetNoSpending, ZeroBudgetWithSpending), SummaryTable[[#This Row],[DiffAmount07]]/SummaryTable[[#This Row],[OriginalBudget07]])</f>
        <v>-0.30127723516153271</v>
      </c>
      <c r="FF42" s="62">
        <f>IF(COUNTIFS(allFYsTable[Code], SummaryTable[[#This Row],[Code]], allFYsTable[year2], FF$3)=0, NotFound, SUMIFS(allFYsTable[OriginalBudget], allFYsTable[Code], SummaryTable[[#This Row],[Code]], allFYsTable[year2], FF$3))</f>
        <v>1438</v>
      </c>
      <c r="FI42" s="61">
        <f>IF(COUNTIFS(allFYsTable[Code], SummaryTable[[#This Row],[Code]], allFYsTable[year2], FF$3)=0, NotFound, SUMIFS(allFYsTable[RevisedBudget], allFYsTable[Code], SummaryTable[[#This Row],[Code]], allFYsTable[year2], FF$3))</f>
        <v>2288</v>
      </c>
      <c r="FJ42" s="61">
        <f>IF(COUNTIFS(allFYsTable[Code], SummaryTable[[#This Row],[Code]], allFYsTable[year2], FF$3)=0, NotFound, SUMIFS(allFYsTable[Actual], allFYsTable[Code], SummaryTable[[#This Row],[Code]], allFYsTable[year2], FF$3))</f>
        <v>1698</v>
      </c>
      <c r="FK42" s="61">
        <f>IF(COUNTIFS(allFYsTable[Code], SummaryTable[[#This Row],[Code]], allFYsTable[year2], FF$3)=0, NotFound, SUMIFS(allFYsTable[DiffAmount], allFYsTable[Code], SummaryTable[[#This Row],[Code]], allFYsTable[year2], FF$3))</f>
        <v>260</v>
      </c>
      <c r="FL42" s="63">
        <f>IF(SummaryTable[[#This Row],[OriginalBudget06]]=0, IF(SummaryTable[[#This Row],[DiffAmount06]]=0, ZeroBudgetNoSpending, ZeroBudgetWithSpending), SummaryTable[[#This Row],[DiffAmount06]]/SummaryTable[[#This Row],[OriginalBudget06]])</f>
        <v>0.1808066759388039</v>
      </c>
    </row>
    <row r="43" spans="1:168" x14ac:dyDescent="0.45">
      <c r="A43" t="s">
        <v>752</v>
      </c>
      <c r="B43">
        <f>_xlfn.MAXIFS(allFYsTable[year2], allFYsTable[Code], SummaryTable[[#This Row],[Code]])</f>
        <v>2025</v>
      </c>
      <c r="C43" t="str">
        <f>_xlfn.XLOOKUP(SummaryTable[[#This Row],[Code]], NameCodingTable[Code], NameCodingTable[Most Recent Category per allFYs])</f>
        <v>Public safety and justice</v>
      </c>
      <c r="D43" t="str">
        <f>_xlfn.XLOOKUP(SummaryTable[[#This Row],[Code]], NameCodingTable[Code], NameCodingTable[Unit Display Name])</f>
        <v>Department of Youth Rehabilitation Services (DYRS)</v>
      </c>
      <c r="E43" t="str">
        <f>_xlfn.XLOOKUP(SummaryTable[[#This Row],[Code]], NameCodingTable[Code], NameCodingTable[Type])</f>
        <v>agency</v>
      </c>
      <c r="F4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4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8</v>
      </c>
      <c r="H43" s="54">
        <f>SummaryTable[[#This Row],['# Over]]/SummaryTable[[#This Row],[Count]]</f>
        <v>0.4</v>
      </c>
      <c r="I4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43" s="54">
        <f>SummaryTable[[#This Row],['# Under]]/SummaryTable[[#This Row],[Count]]</f>
        <v>0.6</v>
      </c>
      <c r="K4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43" s="54">
        <f>SummaryTable[[#This Row],['# Equal]]/SummaryTable[[#This Row],[Count]]</f>
        <v>0</v>
      </c>
      <c r="M43" s="61">
        <f>SUMIFS(allFYsTable[OriginalBudget],allFYsTable[Code],SummaryTable[[#This Row],[Code]])/SummaryTable[[#This Row],[Count]]</f>
        <v>90715.85</v>
      </c>
      <c r="N43" s="61">
        <f>SUMIFS(allFYsTable[Actual],allFYsTable[Code],SummaryTable[[#This Row],[Code]])/SummaryTable[[#This Row],[Count]]</f>
        <v>90359.25</v>
      </c>
      <c r="O43" s="61">
        <f>SummaryTable[[#This Row],[AvgActAmt]]-SummaryTable[[#This Row],[AvgBudAmt]]</f>
        <v>-356.60000000000582</v>
      </c>
      <c r="P43" s="54">
        <f>IF(SummaryTable[[#This Row],[AvgBudAmt]]=0, IF(SummaryTable[[#This Row],[AvgDiff'#]]=0, 0, NamedFields!$C$3), SummaryTable[[#This Row],[AvgDiff'#]]/SummaryTable[[#This Row],[AvgBudAmt]])</f>
        <v>-3.9309558362734384E-3</v>
      </c>
      <c r="Q43" s="61">
        <f>IFERROR(SUMIFS(allFYsTable[OriginalBudget],allFYsTable[Code],SummaryTable[[#This Row],[Code]],allFYsTable[DiffAmount], "&gt;0")/SummaryTable[[#This Row],['# Over]], 0)</f>
        <v>80355.375</v>
      </c>
      <c r="R43" s="61">
        <f>IFERROR(SUMIFS(allFYsTable[Actual],allFYsTable[Code],SummaryTable[[#This Row],[Code]],allFYsTable[DiffAmount], "&gt;0")/SummaryTable[[#This Row],['# Over]], 0)</f>
        <v>88533.125</v>
      </c>
      <c r="S43" s="61">
        <f>SummaryTable[[#This Row],[OverAvgAct]]-SummaryTable[[#This Row],[OverAvgBud]]</f>
        <v>8177.75</v>
      </c>
      <c r="T43" s="54">
        <f>IF(SummaryTable[[#This Row],[OverAvgBud]]=0, IF(SummaryTable[[#This Row],[OverAvgDiff'#]]=0, ZeroBudgetNoSpending, ZeroBudgetWithSpending), SummaryTable[[#This Row],[OverAvgDiff'#]]/SummaryTable[[#This Row],[OverAvgBud]])</f>
        <v>0.10176979449103436</v>
      </c>
      <c r="U43" s="61">
        <f>IFERROR(SUMIFS(allFYsTable[OriginalBudget],allFYsTable[Code],SummaryTable[[#This Row],[Code]],allFYsTable[DiffAmount], "&lt;0")/SummaryTable[[#This Row],['# Under]], 0)</f>
        <v>97622.833333333328</v>
      </c>
      <c r="V43" s="61">
        <f>IFERROR( SUMIFS(allFYsTable[Actual],allFYsTable[Code],SummaryTable[[#This Row],[Code]],allFYsTable[DiffAmount], "&lt;0")/SummaryTable[[#This Row],['# Under]], 0)</f>
        <v>91576.666666666672</v>
      </c>
      <c r="W43" s="61">
        <f>SummaryTable[[#This Row],[UnderAvgAct]]-SummaryTable[[#This Row],[UnderAvgBud]]</f>
        <v>-6046.166666666657</v>
      </c>
      <c r="X43" s="54">
        <f>IF(SummaryTable[[#This Row],[UnderAvgBud]]=0, IF(SummaryTable[[#This Row],[UnderAvgDiff'#]]=0, ZeroBudgetNoSpending, NamedFields!$C$3), SummaryTable[[#This Row],[UnderAvgDiff'#]]/SummaryTable[[#This Row],[UnderAvgBud]])</f>
        <v>-6.1933939635023812E-2</v>
      </c>
      <c r="Y4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4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43" s="54">
        <f>IF(SummaryTable[[#This Row],[IncreaseYears]]=0, ZeroBudgetNoSpending, SummaryTable[[#This Row],[OSinIncreaseYear'#]]/SummaryTable[[#This Row],[IncreaseYears]])</f>
        <v>0</v>
      </c>
      <c r="AB43" s="58" t="str">
        <f>SummaryTable[[#This Row],[Code]]</f>
        <v>JZ0</v>
      </c>
      <c r="AC43" s="62">
        <f>IF(COUNTIFS(allFYsTable[Code], SummaryTable[[#This Row],[Code]], allFYsTable[year2], AC$3)=0, NotFound, SUMIFS(allFYsTable[OriginalBudget], allFYsTable[Code], SummaryTable[[#This Row],[Code]], allFYsTable[year2], AC$3))</f>
        <v>92740</v>
      </c>
      <c r="AD43" s="61">
        <f>SummaryTable[[#This Row],[OriginalBudget25]]-SummaryTable[[#This Row],[OriginalBudget24]]</f>
        <v>5831</v>
      </c>
      <c r="AE43" s="54">
        <f>SummaryTable[[#This Row],[BudgetIncreaseAmount25]]/SummaryTable[[#This Row],[OriginalBudget24]]</f>
        <v>6.7093166415446034E-2</v>
      </c>
      <c r="AF43" s="61">
        <f>IF(COUNTIFS(allFYsTable[Code], SummaryTable[[#This Row],[Code]], allFYsTable[year2], AC$3)=0, NotFound, SUMIFS(allFYsTable[RevisedBudget], allFYsTable[Code], SummaryTable[[#This Row],[Code]], allFYsTable[year2], AC$3))</f>
        <v>104521</v>
      </c>
      <c r="AG43" s="61">
        <f>IF(COUNTIFS(allFYsTable[Code], SummaryTable[[#This Row],[Code]], allFYsTable[year2], AC$3)=0, NotFound, SUMIFS(allFYsTable[Actual], allFYsTable[Code], SummaryTable[[#This Row],[Code]], allFYsTable[year2], AC$3))</f>
        <v>100722</v>
      </c>
      <c r="AH43" s="61">
        <f>IF(COUNTIFS(allFYsTable[Code], SummaryTable[[#This Row],[Code]], allFYsTable[year2], AC$3)=0, NotFound, SUMIFS(allFYsTable[DiffAmount], allFYsTable[Code], SummaryTable[[#This Row],[Code]], allFYsTable[year2], AC$3))</f>
        <v>7982</v>
      </c>
      <c r="AI43" s="63">
        <f>IF(SummaryTable[[#This Row],[OriginalBudget25]]=0, IF(SummaryTable[[#This Row],[DiffAmount25]]=0, ZeroBudgetNoSpending, ZeroBudgetWithSpending), SummaryTable[[#This Row],[DiffAmount25]]/SummaryTable[[#This Row],[OriginalBudget25]])</f>
        <v>8.6068578822514563E-2</v>
      </c>
      <c r="AJ43" s="62">
        <f>IF(COUNTIFS(allFYsTable[Code], SummaryTable[[#This Row],[Code]], allFYsTable[year2], AJ$3)=0, NotFound, SUMIFS(allFYsTable[OriginalBudget], allFYsTable[Code], SummaryTable[[#This Row],[Code]], allFYsTable[year2], AJ$3))</f>
        <v>86909</v>
      </c>
      <c r="AK43" s="61">
        <f>SummaryTable[[#This Row],[OriginalBudget24]]-SummaryTable[[#This Row],[OriginalBudget23]]</f>
        <v>-2281</v>
      </c>
      <c r="AL43" s="54">
        <f>SummaryTable[[#This Row],[BudgetIncreaseAmount24]]/SummaryTable[[#This Row],[OriginalBudget23]]</f>
        <v>-2.5574615988339499E-2</v>
      </c>
      <c r="AM43" s="61">
        <f>IF(COUNTIFS(allFYsTable[Code], SummaryTable[[#This Row],[Code]], allFYsTable[year2], AK$3)=0, NotFound, SUMIFS(allFYsTable[RevisedBudget], allFYsTable[Code], SummaryTable[[#This Row],[Code]], allFYsTable[year2], AJ$3))</f>
        <v>93909</v>
      </c>
      <c r="AN43" s="61">
        <f>IF(COUNTIFS(allFYsTable[Code], SummaryTable[[#This Row],[Code]], allFYsTable[year2], AJ$3)=0, NotFound, SUMIFS(allFYsTable[Actual], allFYsTable[Code], SummaryTable[[#This Row],[Code]], allFYsTable[year2], AJ$3))</f>
        <v>93175</v>
      </c>
      <c r="AO43" s="61">
        <f>IF(COUNTIFS(allFYsTable[Code], SummaryTable[[#This Row],[Code]], allFYsTable[year2], AJ$3)=0, NotFound, SUMIFS(allFYsTable[DiffAmount], allFYsTable[Code], SummaryTable[[#This Row],[Code]], allFYsTable[year2], AJ$3))</f>
        <v>6266</v>
      </c>
      <c r="AP43" s="63">
        <f>IF(SummaryTable[[#This Row],[OriginalBudget24]]=0, IF(SummaryTable[[#This Row],[DiffAmount24]]=0, ZeroBudgetNoSpending, ZeroBudgetWithSpending), SummaryTable[[#This Row],[DiffAmount24]]/SummaryTable[[#This Row],[OriginalBudget24]])</f>
        <v>7.2098401776570897E-2</v>
      </c>
      <c r="AQ43" s="62">
        <f>IF(COUNTIFS(allFYsTable[Code], SummaryTable[[#This Row],[Code]], allFYsTable[year2], AQ$3)=0, NotFound, SUMIFS(allFYsTable[OriginalBudget], allFYsTable[Code], SummaryTable[[#This Row],[Code]], allFYsTable[year2], AQ$3))</f>
        <v>89190</v>
      </c>
      <c r="AR43" s="61">
        <f>SummaryTable[[#This Row],[OriginalBudget23]]-SummaryTable[[#This Row],[OriginalBudget22]]</f>
        <v>4119</v>
      </c>
      <c r="AS43" s="54">
        <f>SummaryTable[[#This Row],[BudgetIncreaseAmount23]]/SummaryTable[[#This Row],[OriginalBudget22]]</f>
        <v>4.8418379941460664E-2</v>
      </c>
      <c r="AT43" s="61">
        <f>IF(COUNTIFS(allFYsTable[Code], SummaryTable[[#This Row],[Code]], allFYsTable[year2], AQ$3)=0, NotFound, SUMIFS(allFYsTable[RevisedBudget], allFYsTable[Code], SummaryTable[[#This Row],[Code]], allFYsTable[year2], AQ$3))</f>
        <v>89229</v>
      </c>
      <c r="AU43" s="61">
        <f>IF(COUNTIFS(allFYsTable[Code], SummaryTable[[#This Row],[Code]], allFYsTable[year2], AQ$3)=0, NotFound, SUMIFS(allFYsTable[Actual], allFYsTable[Code], SummaryTable[[#This Row],[Code]], allFYsTable[year2], AQ$3))</f>
        <v>89036</v>
      </c>
      <c r="AV43" s="61">
        <f>IF(COUNTIFS(allFYsTable[Code], SummaryTable[[#This Row],[Code]], allFYsTable[year2], AQ$3)=0, NotFound, SUMIFS(allFYsTable[DiffAmount], allFYsTable[Code], SummaryTable[[#This Row],[Code]], allFYsTable[year2], AQ$3))</f>
        <v>-154</v>
      </c>
      <c r="AW43" s="63">
        <f>IF(SummaryTable[[#This Row],[OriginalBudget23]]=0, IF(SummaryTable[[#This Row],[DiffAmount23]]=0, ZeroBudgetNoSpending, ZeroBudgetWithSpending), SummaryTable[[#This Row],[DiffAmount23]]/SummaryTable[[#This Row],[OriginalBudget23]])</f>
        <v>-1.7266509698396681E-3</v>
      </c>
      <c r="AX43" s="62">
        <f>IF(COUNTIFS(allFYsTable[Code], SummaryTable[[#This Row],[Code]], allFYsTable[year2], AX$3)=0, NotFound, SUMIFS(allFYsTable[OriginalBudget], allFYsTable[Code], SummaryTable[[#This Row],[Code]], allFYsTable[year2], AX$3))</f>
        <v>85071</v>
      </c>
      <c r="AY43" s="61">
        <f>SummaryTable[[#This Row],[OriginalBudget22]]-SummaryTable[[#This Row],[OriginalBudget21]]</f>
        <v>895</v>
      </c>
      <c r="AZ43" s="54">
        <f>SummaryTable[[#This Row],[BudgetIncreaseAmount22]]/SummaryTable[[#This Row],[OriginalBudget21]]</f>
        <v>1.0632484318570614E-2</v>
      </c>
      <c r="BA43" s="61">
        <f>IF(COUNTIFS(allFYsTable[Code], SummaryTable[[#This Row],[Code]], allFYsTable[year2], AX$3)=0, NotFound, SUMIFS(allFYsTable[RevisedBudget], allFYsTable[Code], SummaryTable[[#This Row],[Code]], allFYsTable[year2], AX$3))</f>
        <v>82822</v>
      </c>
      <c r="BB43" s="61">
        <f>IF(COUNTIFS(allFYsTable[Code], SummaryTable[[#This Row],[Code]], allFYsTable[year2], AX$3)=0, NotFound, SUMIFS(allFYsTable[Actual], allFYsTable[Code], SummaryTable[[#This Row],[Code]], allFYsTable[year2], AX$3))</f>
        <v>82809</v>
      </c>
      <c r="BC43" s="61">
        <f>IF(COUNTIFS(allFYsTable[Code], SummaryTable[[#This Row],[Code]], allFYsTable[year2], AX$3)=0, NotFound, SUMIFS(allFYsTable[DiffAmount], allFYsTable[Code], SummaryTable[[#This Row],[Code]], allFYsTable[year2], AX$3))</f>
        <v>-2262</v>
      </c>
      <c r="BD43" s="63">
        <f>IF(SummaryTable[[#This Row],[OriginalBudget22]]=0, IF(SummaryTable[[#This Row],[DiffAmount22]]=0, ZeroBudgetNoSpending, ZeroBudgetWithSpending), SummaryTable[[#This Row],[DiffAmount22]]/SummaryTable[[#This Row],[OriginalBudget22]])</f>
        <v>-2.6589554607327998E-2</v>
      </c>
      <c r="BE43" s="62">
        <f>IF(COUNTIFS(allFYsTable[Code], SummaryTable[[#This Row],[Code]], allFYsTable[year2], BE$3)=0, NotFound, SUMIFS(allFYsTable[OriginalBudget], allFYsTable[Code], SummaryTable[[#This Row],[Code]], allFYsTable[year2], BE$3))</f>
        <v>84176</v>
      </c>
      <c r="BF43" s="61">
        <f>SummaryTable[[#This Row],[OriginalBudget21]]-SummaryTable[[#This Row],[OriginalBudget20]]</f>
        <v>-5731</v>
      </c>
      <c r="BG43" s="54">
        <f>SummaryTable[[#This Row],[BudgetIncreaseAmount21]]/SummaryTable[[#This Row],[OriginalBudget20]]</f>
        <v>-6.3743646212197053E-2</v>
      </c>
      <c r="BH43" s="61">
        <f>IF(COUNTIFS(allFYsTable[Code], SummaryTable[[#This Row],[Code]], allFYsTable[year2], BE$3)=0, NotFound, SUMIFS(allFYsTable[RevisedBudget], allFYsTable[Code], SummaryTable[[#This Row],[Code]], allFYsTable[year2], BE$3))</f>
        <v>82737</v>
      </c>
      <c r="BI43" s="61">
        <f>IF(COUNTIFS(allFYsTable[Code], SummaryTable[[#This Row],[Code]], allFYsTable[year2], BE$3)=0, NotFound, SUMIFS(allFYsTable[Actual], allFYsTable[Code], SummaryTable[[#This Row],[Code]], allFYsTable[year2], BE$3))</f>
        <v>82081</v>
      </c>
      <c r="BJ43" s="61">
        <f>IF(COUNTIFS(allFYsTable[Code], SummaryTable[[#This Row],[Code]], allFYsTable[year2], BE$3)=0, NotFound, SUMIFS(allFYsTable[DiffAmount], allFYsTable[Code], SummaryTable[[#This Row],[Code]], allFYsTable[year2], BE$3))</f>
        <v>-2095</v>
      </c>
      <c r="BK43" s="63">
        <f>IF(SummaryTable[[#This Row],[OriginalBudget21]]=0, IF(SummaryTable[[#This Row],[DiffAmount21]]=0, ZeroBudgetNoSpending, ZeroBudgetWithSpending), SummaryTable[[#This Row],[DiffAmount21]]/SummaryTable[[#This Row],[OriginalBudget21]])</f>
        <v>-2.488832921497814E-2</v>
      </c>
      <c r="BL43" s="62">
        <f>IF(COUNTIFS(allFYsTable[Code], SummaryTable[[#This Row],[Code]], allFYsTable[year2], BL$3)=0, NotFound, SUMIFS(allFYsTable[OriginalBudget], allFYsTable[Code], SummaryTable[[#This Row],[Code]], allFYsTable[year2], BL$3))</f>
        <v>89907</v>
      </c>
      <c r="BM43" s="61">
        <f>SummaryTable[[#This Row],[OriginalBudget20]]-SummaryTable[[#This Row],[OriginalBudget19]]</f>
        <v>-5061</v>
      </c>
      <c r="BN43" s="54">
        <f>SummaryTable[[#This Row],[BudgetIncreaseAmount20]]/SummaryTable[[#This Row],[OriginalBudget19]]</f>
        <v>-5.3291635077078597E-2</v>
      </c>
      <c r="BO43" s="61">
        <f>IF(COUNTIFS(allFYsTable[Code], SummaryTable[[#This Row],[Code]], allFYsTable[year2], BL$3)=0, NotFound, SUMIFS(allFYsTable[RevisedBudget], allFYsTable[Code], SummaryTable[[#This Row],[Code]], allFYsTable[year2], BL$3))</f>
        <v>82690</v>
      </c>
      <c r="BP43" s="61">
        <f>IF(COUNTIFS(allFYsTable[Code], SummaryTable[[#This Row],[Code]], allFYsTable[year2], BL$3)=0, NotFound, SUMIFS(allFYsTable[Actual], allFYsTable[Code], SummaryTable[[#This Row],[Code]], allFYsTable[year2], BL$3))</f>
        <v>82144</v>
      </c>
      <c r="BQ43" s="61">
        <f>IF(COUNTIFS(allFYsTable[Code], SummaryTable[[#This Row],[Code]], allFYsTable[year2], BL$3)=0, NotFound, SUMIFS(allFYsTable[DiffAmount], allFYsTable[Code], SummaryTable[[#This Row],[Code]], allFYsTable[year2], BL$3))</f>
        <v>-7763</v>
      </c>
      <c r="BR43" s="63">
        <f>IF(SummaryTable[[#This Row],[OriginalBudget20]]=0, IF(SummaryTable[[#This Row],[DiffAmount20]]=0, ZeroBudgetNoSpending, ZeroBudgetWithSpending), SummaryTable[[#This Row],[DiffAmount20]]/SummaryTable[[#This Row],[OriginalBudget20]])</f>
        <v>-8.6344778493331997E-2</v>
      </c>
      <c r="BS43" s="62">
        <f>IF(COUNTIFS(allFYsTable[Code], SummaryTable[[#This Row],[Code]], allFYsTable[year2], BS$3)=0, NotFound, SUMIFS(allFYsTable[OriginalBudget], allFYsTable[Code], SummaryTable[[#This Row],[Code]], allFYsTable[year2], BS$3))</f>
        <v>94968</v>
      </c>
      <c r="BT43" s="61">
        <f>SummaryTable[[#This Row],[OriginalBudget19]]-SummaryTable[[#This Row],[OriginalBudget18]]</f>
        <v>-1917</v>
      </c>
      <c r="BU43" s="54">
        <f>SummaryTable[[#This Row],[BudgetIncreaseAmount19]]/SummaryTable[[#This Row],[OriginalBudget18]]</f>
        <v>-1.9786344635392476E-2</v>
      </c>
      <c r="BV43" s="61">
        <f>IF(COUNTIFS(allFYsTable[Code], SummaryTable[[#This Row],[Code]], allFYsTable[year2], BS$3)=0, NotFound, SUMIFS(allFYsTable[RevisedBudget], allFYsTable[Code], SummaryTable[[#This Row],[Code]], allFYsTable[year2], BS$3))</f>
        <v>86147</v>
      </c>
      <c r="BW43" s="61">
        <f>IF(COUNTIFS(allFYsTable[Code], SummaryTable[[#This Row],[Code]], allFYsTable[year2], BS$3)=0, NotFound, SUMIFS(allFYsTable[Actual], allFYsTable[Code], SummaryTable[[#This Row],[Code]], allFYsTable[year2], BS$3))</f>
        <v>85767</v>
      </c>
      <c r="BX43" s="61">
        <f>IF(COUNTIFS(allFYsTable[Code], SummaryTable[[#This Row],[Code]], allFYsTable[year2], BS$3)=0, NotFound, SUMIFS(allFYsTable[DiffAmount], allFYsTable[Code], SummaryTable[[#This Row],[Code]], allFYsTable[year2], BS$3))</f>
        <v>-9201</v>
      </c>
      <c r="BY43" s="63">
        <f>IF(SummaryTable[[#This Row],[OriginalBudget19]]=0, IF(SummaryTable[[#This Row],[DiffAmount19]]=0, ZeroBudgetNoSpending, ZeroBudgetWithSpending), SummaryTable[[#This Row],[DiffAmount19]]/SummaryTable[[#This Row],[OriginalBudget19]])</f>
        <v>-9.6885266616123331E-2</v>
      </c>
      <c r="BZ43" s="62">
        <f>IF(COUNTIFS(allFYsTable[Code], SummaryTable[[#This Row],[Code]], allFYsTable[year2], BZ$3)=0, NotFound, SUMIFS(allFYsTable[OriginalBudget], allFYsTable[Code], SummaryTable[[#This Row],[Code]], allFYsTable[year2], BZ$3))</f>
        <v>96885</v>
      </c>
      <c r="CA43" s="61">
        <f>SummaryTable[[#This Row],[OriginalBudget18]]-SummaryTable[[#This Row],[OriginalBudget17]]</f>
        <v>-4644</v>
      </c>
      <c r="CB43" s="54">
        <f>SummaryTable[[#This Row],[BudgetIncreaseAmount18]]/SummaryTable[[#This Row],[OriginalBudget17]]</f>
        <v>-4.5740625831043345E-2</v>
      </c>
      <c r="CC43" s="61">
        <f>IF(COUNTIFS(allFYsTable[Code], SummaryTable[[#This Row],[Code]], allFYsTable[year2], BZ$3)=0, NotFound, SUMIFS(allFYsTable[RevisedBudget], allFYsTable[Code], SummaryTable[[#This Row],[Code]], allFYsTable[year2], BZ$3))</f>
        <v>93175</v>
      </c>
      <c r="CD43" s="61">
        <f>IF(COUNTIFS(allFYsTable[Code], SummaryTable[[#This Row],[Code]], allFYsTable[year2], BZ$3)=0, NotFound, SUMIFS(allFYsTable[Actual], allFYsTable[Code], SummaryTable[[#This Row],[Code]], allFYsTable[year2], BZ$3))</f>
        <v>87507</v>
      </c>
      <c r="CE43" s="61">
        <f>IF(COUNTIFS(allFYsTable[Code], SummaryTable[[#This Row],[Code]], allFYsTable[year2], BZ$3)=0, NotFound, SUMIFS(allFYsTable[DiffAmount], allFYsTable[Code], SummaryTable[[#This Row],[Code]], allFYsTable[year2], BZ$3))</f>
        <v>-9378</v>
      </c>
      <c r="CF43" s="63">
        <f>IF(SummaryTable[[#This Row],[OriginalBudget18]]=0, IF(SummaryTable[[#This Row],[DiffAmount18]]=0, ZeroBudgetNoSpending, ZeroBudgetWithSpending), SummaryTable[[#This Row],[DiffAmount18]]/SummaryTable[[#This Row],[OriginalBudget18]])</f>
        <v>-9.679516953088714E-2</v>
      </c>
      <c r="CG43" s="62">
        <f>IF(COUNTIFS(allFYsTable[Code], SummaryTable[[#This Row],[Code]], allFYsTable[year2], CG$3)=0, NotFound, SUMIFS(allFYsTable[OriginalBudget], allFYsTable[Code], SummaryTable[[#This Row],[Code]], allFYsTable[year2], CG$3))</f>
        <v>101529</v>
      </c>
      <c r="CH43" s="61">
        <f>SummaryTable[[#This Row],[OriginalBudget17]]-SummaryTable[[#This Row],[OriginalBudget16]]</f>
        <v>-4147</v>
      </c>
      <c r="CI43" s="54">
        <f>SummaryTable[[#This Row],[BudgetIncreaseAmount17]]/SummaryTable[[#This Row],[OriginalBudget16]]</f>
        <v>-3.9242590559824368E-2</v>
      </c>
      <c r="CJ43" s="61">
        <f>IF(COUNTIFS(allFYsTable[Code], SummaryTable[[#This Row],[Code]], allFYsTable[year2], CG$3)=0, NotFound, SUMIFS(allFYsTable[RevisedBudget], allFYsTable[Code], SummaryTable[[#This Row],[Code]], allFYsTable[year2], CG$3))</f>
        <v>91786</v>
      </c>
      <c r="CK43" s="61">
        <f>IF(COUNTIFS(allFYsTable[Code], SummaryTable[[#This Row],[Code]], allFYsTable[year2], CG$3)=0, NotFound, SUMIFS(allFYsTable[Actual], allFYsTable[Code], SummaryTable[[#This Row],[Code]], allFYsTable[year2], CG$3))</f>
        <v>90344</v>
      </c>
      <c r="CL43" s="61">
        <f>IF(COUNTIFS(allFYsTable[Code], SummaryTable[[#This Row],[Code]], allFYsTable[year2], CG$3)=0, NotFound, SUMIFS(allFYsTable[DiffAmount], allFYsTable[Code], SummaryTable[[#This Row],[Code]], allFYsTable[year2], CG$3))</f>
        <v>-11185</v>
      </c>
      <c r="CM43" s="63">
        <f>IF(SummaryTable[[#This Row],[OriginalBudget17]]=0, IF(SummaryTable[[#This Row],[DiffAmount17]]=0, ZeroBudgetNoSpending, ZeroBudgetWithSpending), SummaryTable[[#This Row],[DiffAmount17]]/SummaryTable[[#This Row],[OriginalBudget17]])</f>
        <v>-0.11016556845827301</v>
      </c>
      <c r="CN43" s="62">
        <f>IF(COUNTIFS(allFYsTable[Code], SummaryTable[[#This Row],[Code]], allFYsTable[year2], CN$3)=0, NotFound, SUMIFS(allFYsTable[OriginalBudget], allFYsTable[Code], SummaryTable[[#This Row],[Code]], allFYsTable[year2], CN$3))</f>
        <v>105676</v>
      </c>
      <c r="CO43" s="61">
        <f>SummaryTable[[#This Row],[OriginalBudget16]]-SummaryTable[[#This Row],[OriginalBudget15]]</f>
        <v>-223</v>
      </c>
      <c r="CP43" s="54">
        <f>SummaryTable[[#This Row],[BudgetIncreaseAmount16]]/SummaryTable[[#This Row],[OriginalBudget15]]</f>
        <v>-2.1057800356943882E-3</v>
      </c>
      <c r="CQ43" s="61">
        <f>IF(COUNTIFS(allFYsTable[Code], SummaryTable[[#This Row],[Code]], allFYsTable[year2], CN$3)=0, NotFound, SUMIFS(allFYsTable[RevisedBudget], allFYsTable[Code], SummaryTable[[#This Row],[Code]], allFYsTable[year2], CN$3))</f>
        <v>99676</v>
      </c>
      <c r="CR43" s="61">
        <f>IF(COUNTIFS(allFYsTable[Code], SummaryTable[[#This Row],[Code]], allFYsTable[year2], CN$3)=0, NotFound, SUMIFS(allFYsTable[Actual], allFYsTable[Code], SummaryTable[[#This Row],[Code]], allFYsTable[year2], CN$3))</f>
        <v>98823</v>
      </c>
      <c r="CS43" s="61">
        <f>IF(COUNTIFS(allFYsTable[Code], SummaryTable[[#This Row],[Code]], allFYsTable[year2], CN$3)=0, NotFound, SUMIFS(allFYsTable[DiffAmount], allFYsTable[Code], SummaryTable[[#This Row],[Code]], allFYsTable[year2], CN$3))</f>
        <v>-6853</v>
      </c>
      <c r="CT43" s="63">
        <f>IF(SummaryTable[[#This Row],[OriginalBudget16]]=0, IF(SummaryTable[[#This Row],[DiffAmount16]]=0, ZeroBudgetNoSpending, ZeroBudgetWithSpending), SummaryTable[[#This Row],[DiffAmount16]]/SummaryTable[[#This Row],[OriginalBudget16]])</f>
        <v>-6.4849161588250881E-2</v>
      </c>
      <c r="CU43" s="62">
        <f>IF(COUNTIFS(allFYsTable[Code], SummaryTable[[#This Row],[Code]], allFYsTable[year2], CU$3)=0, NotFound, SUMIFS(allFYsTable[OriginalBudget], allFYsTable[Code], SummaryTable[[#This Row],[Code]], allFYsTable[year2], CU$3))</f>
        <v>105899</v>
      </c>
      <c r="CV43" s="61">
        <f>SummaryTable[[#This Row],[OriginalBudget15]]-SummaryTable[[#This Row],[OriginalBudget14]]</f>
        <v>1009</v>
      </c>
      <c r="CW43" s="54">
        <f>SummaryTable[[#This Row],[BudgetIncreaseAmount15]]/SummaryTable[[#This Row],[OriginalBudget14]]</f>
        <v>9.6196014872723806E-3</v>
      </c>
      <c r="CX43" s="61">
        <f>IF(COUNTIFS(allFYsTable[Code], SummaryTable[[#This Row],[Code]], allFYsTable[year2], CU$3)=0, NotFound, SUMIFS(allFYsTable[RevisedBudget], allFYsTable[Code], SummaryTable[[#This Row],[Code]], allFYsTable[year2], CU$3))</f>
        <v>98104</v>
      </c>
      <c r="CY43" s="61">
        <f>IF(COUNTIFS(allFYsTable[Code], SummaryTable[[#This Row],[Code]], allFYsTable[year2], CU$3)=0, NotFound, SUMIFS(allFYsTable[Actual], allFYsTable[Code], SummaryTable[[#This Row],[Code]], allFYsTable[year2], CU$3))</f>
        <v>94967</v>
      </c>
      <c r="CZ43" s="61">
        <f>IF(COUNTIFS(allFYsTable[Code], SummaryTable[[#This Row],[Code]], allFYsTable[year2], CU$3)=0, NotFound, SUMIFS(allFYsTable[DiffAmount], allFYsTable[Code], SummaryTable[[#This Row],[Code]], allFYsTable[year2], CU$3))</f>
        <v>-10932</v>
      </c>
      <c r="DA43" s="63">
        <f>IF(SummaryTable[[#This Row],[OriginalBudget15]]=0, IF(SummaryTable[[#This Row],[DiffAmount15]]=0, ZeroBudgetNoSpending, ZeroBudgetWithSpending), SummaryTable[[#This Row],[DiffAmount15]]/SummaryTable[[#This Row],[OriginalBudget15]])</f>
        <v>-0.10323043654803161</v>
      </c>
      <c r="DB43" s="62">
        <f>IF(COUNTIFS(allFYsTable[Code], SummaryTable[[#This Row],[Code]], allFYsTable[year2], DB$3)=0, NotFound, SUMIFS(allFYsTable[OriginalBudget], allFYsTable[Code], SummaryTable[[#This Row],[Code]], allFYsTable[year2], DB$3))</f>
        <v>104890</v>
      </c>
      <c r="DC43" s="61">
        <f>SummaryTable[[#This Row],[OriginalBudget14]]-SummaryTable[[#This Row],[OriginalBudget13]]</f>
        <v>-1494</v>
      </c>
      <c r="DD43" s="54">
        <f>SummaryTable[[#This Row],[BudgetIncreaseAmount14]]/SummaryTable[[#This Row],[OriginalBudget13]]</f>
        <v>-1.4043465182734246E-2</v>
      </c>
      <c r="DE43" s="61">
        <f>IF(COUNTIFS(allFYsTable[Code], SummaryTable[[#This Row],[Code]], allFYsTable[year2], DB$3)=0, NotFound, SUMIFS(allFYsTable[RevisedBudget], allFYsTable[Code], SummaryTable[[#This Row],[Code]], allFYsTable[year2], DB$3))</f>
        <v>106128</v>
      </c>
      <c r="DF43" s="61">
        <f>IF(COUNTIFS(allFYsTable[Code], SummaryTable[[#This Row],[Code]], allFYsTable[year2], DB$3)=0, NotFound, SUMIFS(allFYsTable[Actual], allFYsTable[Code], SummaryTable[[#This Row],[Code]], allFYsTable[year2], DB$3))</f>
        <v>99826</v>
      </c>
      <c r="DG43" s="61">
        <f>IF(COUNTIFS(allFYsTable[Code], SummaryTable[[#This Row],[Code]], allFYsTable[year2], DB$3)=0, NotFound, SUMIFS(allFYsTable[DiffAmount], allFYsTable[Code], SummaryTable[[#This Row],[Code]], allFYsTable[year2], DB$3))</f>
        <v>-5064</v>
      </c>
      <c r="DH43" s="63">
        <f>IF(SummaryTable[[#This Row],[OriginalBudget14]]=0, IF(SummaryTable[[#This Row],[DiffAmount14]]=0, ZeroBudgetNoSpending, ZeroBudgetWithSpending), SummaryTable[[#This Row],[DiffAmount14]]/SummaryTable[[#This Row],[OriginalBudget14]])</f>
        <v>-4.8279149585279818E-2</v>
      </c>
      <c r="DI43" s="62">
        <f>IF(COUNTIFS(allFYsTable[Code], SummaryTable[[#This Row],[Code]], allFYsTable[year2], DI$3)=0, NotFound, SUMIFS(allFYsTable[OriginalBudget], allFYsTable[Code], SummaryTable[[#This Row],[Code]], allFYsTable[year2], DI$3))</f>
        <v>106384</v>
      </c>
      <c r="DJ43" s="61">
        <f>SummaryTable[[#This Row],[OriginalBudget13]]-SummaryTable[[#This Row],[OriginalBudget12]]</f>
        <v>-515</v>
      </c>
      <c r="DK43" s="54">
        <f>SummaryTable[[#This Row],[BudgetIncreaseAmount13]]/SummaryTable[[#This Row],[OriginalBudget12]]</f>
        <v>-4.8176315961795712E-3</v>
      </c>
      <c r="DL43" s="61">
        <f>IF(COUNTIFS(allFYsTable[Code], SummaryTable[[#This Row],[Code]], allFYsTable[year2], DI$3)=0, NotFound, SUMIFS(allFYsTable[RevisedBudget], allFYsTable[Code], SummaryTable[[#This Row],[Code]], allFYsTable[year2], DI$3))</f>
        <v>101210</v>
      </c>
      <c r="DM43" s="61">
        <f>IF(COUNTIFS(allFYsTable[Code], SummaryTable[[#This Row],[Code]], allFYsTable[year2], DI$3)=0, NotFound, SUMIFS(allFYsTable[Actual], allFYsTable[Code], SummaryTable[[#This Row],[Code]], allFYsTable[year2], DI$3))</f>
        <v>100185</v>
      </c>
      <c r="DN43" s="61">
        <f>IF(COUNTIFS(allFYsTable[Code], SummaryTable[[#This Row],[Code]], allFYsTable[year2], DI$3)=0, NotFound, SUMIFS(allFYsTable[DiffAmount], allFYsTable[Code], SummaryTable[[#This Row],[Code]], allFYsTable[year2], DI$3))</f>
        <v>-6199</v>
      </c>
      <c r="DO43" s="63">
        <f>IF(SummaryTable[[#This Row],[OriginalBudget13]]=0, IF(SummaryTable[[#This Row],[DiffAmount13]]=0, ZeroBudgetNoSpending, ZeroBudgetWithSpending), SummaryTable[[#This Row],[DiffAmount13]]/SummaryTable[[#This Row],[OriginalBudget13]])</f>
        <v>-5.8270040607610166E-2</v>
      </c>
      <c r="DP43" s="62">
        <f>IF(COUNTIFS(allFYsTable[Code], SummaryTable[[#This Row],[Code]], allFYsTable[year2], DP$3)=0, NotFound, SUMIFS(allFYsTable[OriginalBudget], allFYsTable[Code], SummaryTable[[#This Row],[Code]], allFYsTable[year2], DP$3))</f>
        <v>106899</v>
      </c>
      <c r="DQ43" s="61">
        <f>SummaryTable[[#This Row],[OriginalBudget12]]-SummaryTable[[#This Row],[OriginalBudget11]]</f>
        <v>16588</v>
      </c>
      <c r="DR43" s="54">
        <f>SummaryTable[[#This Row],[BudgetIncreaseAmount12]]/SummaryTable[[#This Row],[OriginalBudget11]]</f>
        <v>0.18367640708219377</v>
      </c>
      <c r="DS43" s="61">
        <f>IF(COUNTIFS(allFYsTable[Code], SummaryTable[[#This Row],[Code]], allFYsTable[year2], DP$3)=0, NotFound, SUMIFS(allFYsTable[RevisedBudget], allFYsTable[Code], SummaryTable[[#This Row],[Code]], allFYsTable[year2], DP$3))</f>
        <v>106069</v>
      </c>
      <c r="DT43" s="61">
        <f>IF(COUNTIFS(allFYsTable[Code], SummaryTable[[#This Row],[Code]], allFYsTable[year2], DP$3)=0, NotFound, SUMIFS(allFYsTable[Actual], allFYsTable[Code], SummaryTable[[#This Row],[Code]], allFYsTable[year2], DP$3))</f>
        <v>105431</v>
      </c>
      <c r="DU43" s="61">
        <f>IF(COUNTIFS(allFYsTable[Code], SummaryTable[[#This Row],[Code]], allFYsTable[year2], DP$3)=0, NotFound, SUMIFS(allFYsTable[DiffAmount], allFYsTable[Code], SummaryTable[[#This Row],[Code]], allFYsTable[year2], DP$3))</f>
        <v>-1468</v>
      </c>
      <c r="DV43" s="63">
        <f>IF(SummaryTable[[#This Row],[OriginalBudget12]]=0, IF(SummaryTable[[#This Row],[DiffAmount12]]=0, ZeroBudgetNoSpending, ZeroBudgetWithSpending), SummaryTable[[#This Row],[DiffAmount12]]/SummaryTable[[#This Row],[OriginalBudget12]])</f>
        <v>-1.3732588705226428E-2</v>
      </c>
      <c r="DW43" s="62">
        <f>IF(COUNTIFS(allFYsTable[Code], SummaryTable[[#This Row],[Code]], allFYsTable[year2], DW$3)=0, NotFound, SUMIFS(allFYsTable[OriginalBudget], allFYsTable[Code], SummaryTable[[#This Row],[Code]], allFYsTable[year2], DW$3))</f>
        <v>90311</v>
      </c>
      <c r="DX43" s="61">
        <f>SummaryTable[[#This Row],[OriginalBudget11]]-SummaryTable[[#This Row],[OriginalBudget10]]</f>
        <v>5295</v>
      </c>
      <c r="DY43" s="54">
        <f>SummaryTable[[#This Row],[BudgetIncreaseAmount11]]/SummaryTable[[#This Row],[OriginalBudget10]]</f>
        <v>6.2282393902324269E-2</v>
      </c>
      <c r="DZ43" s="61">
        <f>IF(COUNTIFS(allFYsTable[Code], SummaryTable[[#This Row],[Code]], allFYsTable[year2], DW$3)=0, NotFound, SUMIFS(allFYsTable[RevisedBudget], allFYsTable[Code], SummaryTable[[#This Row],[Code]], allFYsTable[year2], DW$3))</f>
        <v>98711</v>
      </c>
      <c r="EA43" s="61">
        <f>IF(COUNTIFS(allFYsTable[Code], SummaryTable[[#This Row],[Code]], allFYsTable[year2], DW$3)=0, NotFound, SUMIFS(allFYsTable[Actual], allFYsTable[Code], SummaryTable[[#This Row],[Code]], allFYsTable[year2], DW$3))</f>
        <v>97064</v>
      </c>
      <c r="EB43" s="61">
        <f>IF(COUNTIFS(allFYsTable[Code], SummaryTable[[#This Row],[Code]], allFYsTable[year2], DW$3)=0, NotFound, SUMIFS(allFYsTable[DiffAmount], allFYsTable[Code], SummaryTable[[#This Row],[Code]], allFYsTable[year2], DW$3))</f>
        <v>6753</v>
      </c>
      <c r="EC43" s="63">
        <f>IF(SummaryTable[[#This Row],[OriginalBudget11]]=0, IF(SummaryTable[[#This Row],[DiffAmount11]]=0, ZeroBudgetNoSpending, ZeroBudgetWithSpending), SummaryTable[[#This Row],[DiffAmount11]]/SummaryTable[[#This Row],[OriginalBudget11]])</f>
        <v>7.4774944358937445E-2</v>
      </c>
      <c r="ED43" s="62">
        <f>IF(COUNTIFS(allFYsTable[Code], SummaryTable[[#This Row],[Code]], allFYsTable[year2], ED$3)=0, NotFound, SUMIFS(allFYsTable[OriginalBudget], allFYsTable[Code], SummaryTable[[#This Row],[Code]], allFYsTable[year2], ED$3))</f>
        <v>85016</v>
      </c>
      <c r="EE43" s="61">
        <f>SummaryTable[[#This Row],[OriginalBudget10]]-SummaryTable[[#This Row],[OriginalBudget09]]</f>
        <v>3873</v>
      </c>
      <c r="EF43" s="54">
        <f>SummaryTable[[#This Row],[BudgetIncreaseAmount10]]/SummaryTable[[#This Row],[OriginalBudget09]]</f>
        <v>4.7730549770158857E-2</v>
      </c>
      <c r="EG43" s="61">
        <f>IF(COUNTIFS(allFYsTable[Code], SummaryTable[[#This Row],[Code]], allFYsTable[year2], ED$3)=0, NotFound, SUMIFS(allFYsTable[RevisedBudget], allFYsTable[Code], SummaryTable[[#This Row],[Code]], allFYsTable[year2], ED$3))</f>
        <v>97860</v>
      </c>
      <c r="EH43" s="61">
        <f>IF(COUNTIFS(allFYsTable[Code], SummaryTable[[#This Row],[Code]], allFYsTable[year2], ED$3)=0, NotFound, SUMIFS(allFYsTable[Actual], allFYsTable[Code], SummaryTable[[#This Row],[Code]], allFYsTable[year2], ED$3))</f>
        <v>97016</v>
      </c>
      <c r="EI43" s="61">
        <f>IF(COUNTIFS(allFYsTable[Code], SummaryTable[[#This Row],[Code]], allFYsTable[year2], ED$3)=0, NotFound, SUMIFS(allFYsTable[DiffAmount], allFYsTable[Code], SummaryTable[[#This Row],[Code]], allFYsTable[year2], ED$3))</f>
        <v>12000</v>
      </c>
      <c r="EJ43" s="63">
        <f>IF(SummaryTable[[#This Row],[OriginalBudget10]]=0, IF(SummaryTable[[#This Row],[DiffAmount10]]=0, ZeroBudgetNoSpending, ZeroBudgetWithSpending), SummaryTable[[#This Row],[DiffAmount10]]/SummaryTable[[#This Row],[OriginalBudget10]])</f>
        <v>0.14114990119506918</v>
      </c>
      <c r="EK43" s="62">
        <f>IF(COUNTIFS(allFYsTable[Code], SummaryTable[[#This Row],[Code]], allFYsTable[year2], EK$3)=0, NotFound, SUMIFS(allFYsTable[OriginalBudget], allFYsTable[Code], SummaryTable[[#This Row],[Code]], allFYsTable[year2], EK$3))</f>
        <v>81143</v>
      </c>
      <c r="EL43" s="61">
        <f>SummaryTable[[#This Row],[OriginalBudget09]]-SummaryTable[[#This Row],[OriginalBudget08]]</f>
        <v>1438</v>
      </c>
      <c r="EM43" s="54">
        <f>SummaryTable[[#This Row],[BudgetIncreaseAmount09]]/SummaryTable[[#This Row],[OriginalBudget08]]</f>
        <v>1.8041528134997806E-2</v>
      </c>
      <c r="EN43" s="61">
        <f>IF(COUNTIFS(allFYsTable[Code], SummaryTable[[#This Row],[Code]], allFYsTable[year2], EK$3)=0, NotFound, SUMIFS(allFYsTable[RevisedBudget], allFYsTable[Code], SummaryTable[[#This Row],[Code]], allFYsTable[year2], EK$3))</f>
        <v>94043</v>
      </c>
      <c r="EO43" s="61">
        <f>IF(COUNTIFS(allFYsTable[Code], SummaryTable[[#This Row],[Code]], allFYsTable[year2], EK$3)=0, NotFound, SUMIFS(allFYsTable[Actual], allFYsTable[Code], SummaryTable[[#This Row],[Code]], allFYsTable[year2], EK$3))</f>
        <v>93732</v>
      </c>
      <c r="EP43" s="61">
        <f>IF(COUNTIFS(allFYsTable[Code], SummaryTable[[#This Row],[Code]], allFYsTable[year2], EK$3)=0, NotFound, SUMIFS(allFYsTable[DiffAmount], allFYsTable[Code], SummaryTable[[#This Row],[Code]], allFYsTable[year2], EK$3))</f>
        <v>12589</v>
      </c>
      <c r="EQ43" s="63">
        <f>IF(SummaryTable[[#This Row],[OriginalBudget09]]=0, IF(SummaryTable[[#This Row],[DiffAmount09]]=0, ZeroBudgetNoSpending, ZeroBudgetWithSpending), SummaryTable[[#This Row],[DiffAmount09]]/SummaryTable[[#This Row],[OriginalBudget09]])</f>
        <v>0.15514585361645489</v>
      </c>
      <c r="ER43" s="62">
        <f>IF(COUNTIFS(allFYsTable[Code], SummaryTable[[#This Row],[Code]], allFYsTable[year2], ER$3)=0, NotFound, SUMIFS(allFYsTable[OriginalBudget], allFYsTable[Code], SummaryTable[[#This Row],[Code]], allFYsTable[year2], ER$3))</f>
        <v>79705</v>
      </c>
      <c r="ES43" s="61">
        <f>SummaryTable[[#This Row],[OriginalBudget08]]-SummaryTable[[#This Row],[OriginalBudget07]]</f>
        <v>11776</v>
      </c>
      <c r="ET43" s="54">
        <f>SummaryTable[[#This Row],[BudgetIncreaseAmount08]]/SummaryTable[[#This Row],[OriginalBudget07]]</f>
        <v>0.17335747618837316</v>
      </c>
      <c r="EU43" s="61">
        <f>IF(COUNTIFS(allFYsTable[Code], SummaryTable[[#This Row],[Code]], allFYsTable[year2], ER$3)=0, NotFound, SUMIFS(allFYsTable[RevisedBudget], allFYsTable[Code], SummaryTable[[#This Row],[Code]], allFYsTable[year2], ER$3))</f>
        <v>85612</v>
      </c>
      <c r="EV43" s="61">
        <f>IF(COUNTIFS(allFYsTable[Code], SummaryTable[[#This Row],[Code]], allFYsTable[year2], ER$3)=0, NotFound, SUMIFS(allFYsTable[Actual], allFYsTable[Code], SummaryTable[[#This Row],[Code]], allFYsTable[year2], ER$3))</f>
        <v>84463</v>
      </c>
      <c r="EW43" s="61">
        <f>IF(COUNTIFS(allFYsTable[Code], SummaryTable[[#This Row],[Code]], allFYsTable[year2], ER$3)=0, NotFound, SUMIFS(allFYsTable[DiffAmount], allFYsTable[Code], SummaryTable[[#This Row],[Code]], allFYsTable[year2], ER$3))</f>
        <v>4758</v>
      </c>
      <c r="EX43" s="63">
        <f>IF(SummaryTable[[#This Row],[OriginalBudget08]]=0, IF(SummaryTable[[#This Row],[DiffAmount08]]=0, ZeroBudgetNoSpending, ZeroBudgetWithSpending), SummaryTable[[#This Row],[DiffAmount08]]/SummaryTable[[#This Row],[OriginalBudget08]])</f>
        <v>5.9695125776300109E-2</v>
      </c>
      <c r="EY43" s="62">
        <f>IF(COUNTIFS(allFYsTable[Code], SummaryTable[[#This Row],[Code]], allFYsTable[year2], EY$3)=0, NotFound, SUMIFS(allFYsTable[OriginalBudget], allFYsTable[Code], SummaryTable[[#This Row],[Code]], allFYsTable[year2], EY$3))</f>
        <v>67929</v>
      </c>
      <c r="EZ43" s="61">
        <f>SummaryTable[[#This Row],[OriginalBudget07]]-SummaryTable[[#This Row],[OriginalBudget06]]</f>
        <v>8839</v>
      </c>
      <c r="FA43" s="54">
        <f>SummaryTable[[#This Row],[BudgetIncreaseAmount07]]/SummaryTable[[#This Row],[OriginalBudget06]]</f>
        <v>0.14958537823658827</v>
      </c>
      <c r="FB43" s="61">
        <f>IF(COUNTIFS(allFYsTable[Code], SummaryTable[[#This Row],[Code]], allFYsTable[year2], EY$3)=0, NotFound, SUMIFS(allFYsTable[RevisedBudget], allFYsTable[Code], SummaryTable[[#This Row],[Code]], allFYsTable[year2], EY$3))</f>
        <v>74644</v>
      </c>
      <c r="FC43" s="61">
        <f>IF(COUNTIFS(allFYsTable[Code], SummaryTable[[#This Row],[Code]], allFYsTable[year2], EY$3)=0, NotFound, SUMIFS(allFYsTable[Actual], allFYsTable[Code], SummaryTable[[#This Row],[Code]], allFYsTable[year2], EY$3))</f>
        <v>73936</v>
      </c>
      <c r="FD43" s="61">
        <f>IF(COUNTIFS(allFYsTable[Code], SummaryTable[[#This Row],[Code]], allFYsTable[year2], EY$3)=0, NotFound, SUMIFS(allFYsTable[DiffAmount], allFYsTable[Code], SummaryTable[[#This Row],[Code]], allFYsTable[year2], EY$3))</f>
        <v>6007</v>
      </c>
      <c r="FE43" s="63">
        <f>IF(SummaryTable[[#This Row],[OriginalBudget07]]=0, IF(SummaryTable[[#This Row],[DiffAmount07]]=0, ZeroBudgetNoSpending, ZeroBudgetWithSpending), SummaryTable[[#This Row],[DiffAmount07]]/SummaryTable[[#This Row],[OriginalBudget07]])</f>
        <v>8.8430567209880906E-2</v>
      </c>
      <c r="FF43" s="62">
        <f>IF(COUNTIFS(allFYsTable[Code], SummaryTable[[#This Row],[Code]], allFYsTable[year2], FF$3)=0, NotFound, SUMIFS(allFYsTable[OriginalBudget], allFYsTable[Code], SummaryTable[[#This Row],[Code]], allFYsTable[year2], FF$3))</f>
        <v>59090</v>
      </c>
      <c r="FI43" s="61">
        <f>IF(COUNTIFS(allFYsTable[Code], SummaryTable[[#This Row],[Code]], allFYsTable[year2], FF$3)=0, NotFound, SUMIFS(allFYsTable[RevisedBudget], allFYsTable[Code], SummaryTable[[#This Row],[Code]], allFYsTable[year2], FF$3))</f>
        <v>69101</v>
      </c>
      <c r="FJ43" s="61">
        <f>IF(COUNTIFS(allFYsTable[Code], SummaryTable[[#This Row],[Code]], allFYsTable[year2], FF$3)=0, NotFound, SUMIFS(allFYsTable[Actual], allFYsTable[Code], SummaryTable[[#This Row],[Code]], allFYsTable[year2], FF$3))</f>
        <v>68157</v>
      </c>
      <c r="FK43" s="61">
        <f>IF(COUNTIFS(allFYsTable[Code], SummaryTable[[#This Row],[Code]], allFYsTable[year2], FF$3)=0, NotFound, SUMIFS(allFYsTable[DiffAmount], allFYsTable[Code], SummaryTable[[#This Row],[Code]], allFYsTable[year2], FF$3))</f>
        <v>9067</v>
      </c>
      <c r="FL43" s="63">
        <f>IF(SummaryTable[[#This Row],[OriginalBudget06]]=0, IF(SummaryTable[[#This Row],[DiffAmount06]]=0, ZeroBudgetNoSpending, ZeroBudgetWithSpending), SummaryTable[[#This Row],[DiffAmount06]]/SummaryTable[[#This Row],[OriginalBudget06]])</f>
        <v>0.15344389913690981</v>
      </c>
    </row>
    <row r="44" spans="1:168" x14ac:dyDescent="0.45">
      <c r="A44" t="s">
        <v>791</v>
      </c>
      <c r="B44">
        <f>_xlfn.MAXIFS(allFYsTable[year2], allFYsTable[Code], SummaryTable[[#This Row],[Code]])</f>
        <v>2025</v>
      </c>
      <c r="C44" t="str">
        <f>_xlfn.XLOOKUP(SummaryTable[[#This Row],[Code]], NameCodingTable[Code], NameCodingTable[Most Recent Category per allFYs])</f>
        <v>Human support services</v>
      </c>
      <c r="D44" t="str">
        <f>_xlfn.XLOOKUP(SummaryTable[[#This Row],[Code]], NameCodingTable[Code], NameCodingTable[Unit Display Name])</f>
        <v>Department on Disability Services (DDS)</v>
      </c>
      <c r="E44" t="str">
        <f>_xlfn.XLOOKUP(SummaryTable[[#This Row],[Code]], NameCodingTable[Code], NameCodingTable[Type])</f>
        <v>agency</v>
      </c>
      <c r="F4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18</v>
      </c>
      <c r="G4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44" s="54">
        <f>SummaryTable[[#This Row],['# Over]]/SummaryTable[[#This Row],[Count]]</f>
        <v>0.33333333333333331</v>
      </c>
      <c r="I4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44" s="54">
        <f>SummaryTable[[#This Row],['# Under]]/SummaryTable[[#This Row],[Count]]</f>
        <v>0.66666666666666663</v>
      </c>
      <c r="K4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44" s="54">
        <f>SummaryTable[[#This Row],['# Equal]]/SummaryTable[[#This Row],[Count]]</f>
        <v>0</v>
      </c>
      <c r="M44" s="61">
        <f>SUMIFS(allFYsTable[OriginalBudget],allFYsTable[Code],SummaryTable[[#This Row],[Code]])/SummaryTable[[#This Row],[Count]]</f>
        <v>103703.77777777778</v>
      </c>
      <c r="N44" s="61">
        <f>SUMIFS(allFYsTable[Actual],allFYsTable[Code],SummaryTable[[#This Row],[Code]])/SummaryTable[[#This Row],[Count]]</f>
        <v>98597.055555555562</v>
      </c>
      <c r="O44" s="61">
        <f>SummaryTable[[#This Row],[AvgActAmt]]-SummaryTable[[#This Row],[AvgBudAmt]]</f>
        <v>-5106.722222222219</v>
      </c>
      <c r="P44" s="54">
        <f>IF(SummaryTable[[#This Row],[AvgBudAmt]]=0, IF(SummaryTable[[#This Row],[AvgDiff'#]]=0, 0, NamedFields!$C$3), SummaryTable[[#This Row],[AvgDiff'#]]/SummaryTable[[#This Row],[AvgBudAmt]])</f>
        <v>-4.9243357683315905E-2</v>
      </c>
      <c r="Q44" s="61">
        <f>IFERROR(SUMIFS(allFYsTable[OriginalBudget],allFYsTable[Code],SummaryTable[[#This Row],[Code]],allFYsTable[DiffAmount], "&gt;0")/SummaryTable[[#This Row],['# Over]], 0)</f>
        <v>96457.666666666672</v>
      </c>
      <c r="R44" s="61">
        <f>IFERROR(SUMIFS(allFYsTable[Actual],allFYsTable[Code],SummaryTable[[#This Row],[Code]],allFYsTable[DiffAmount], "&gt;0")/SummaryTable[[#This Row],['# Over]], 0)</f>
        <v>98847.5</v>
      </c>
      <c r="S44" s="61">
        <f>SummaryTable[[#This Row],[OverAvgAct]]-SummaryTable[[#This Row],[OverAvgBud]]</f>
        <v>2389.8333333333285</v>
      </c>
      <c r="T44" s="54">
        <f>IF(SummaryTable[[#This Row],[OverAvgBud]]=0, IF(SummaryTable[[#This Row],[OverAvgDiff'#]]=0, ZeroBudgetNoSpending, ZeroBudgetWithSpending), SummaryTable[[#This Row],[OverAvgDiff'#]]/SummaryTable[[#This Row],[OverAvgBud]])</f>
        <v>2.477598117308797E-2</v>
      </c>
      <c r="U44" s="61">
        <f>IFERROR(SUMIFS(allFYsTable[OriginalBudget],allFYsTable[Code],SummaryTable[[#This Row],[Code]],allFYsTable[DiffAmount], "&lt;0")/SummaryTable[[#This Row],['# Under]], 0)</f>
        <v>107326.83333333333</v>
      </c>
      <c r="V44" s="61">
        <f>IFERROR( SUMIFS(allFYsTable[Actual],allFYsTable[Code],SummaryTable[[#This Row],[Code]],allFYsTable[DiffAmount], "&lt;0")/SummaryTable[[#This Row],['# Under]], 0)</f>
        <v>98471.833333333328</v>
      </c>
      <c r="W44" s="61">
        <f>SummaryTable[[#This Row],[UnderAvgAct]]-SummaryTable[[#This Row],[UnderAvgBud]]</f>
        <v>-8855</v>
      </c>
      <c r="X44" s="54">
        <f>IF(SummaryTable[[#This Row],[UnderAvgBud]]=0, IF(SummaryTable[[#This Row],[UnderAvgDiff'#]]=0, ZeroBudgetNoSpending, NamedFields!$C$3), SummaryTable[[#This Row],[UnderAvgDiff'#]]/SummaryTable[[#This Row],[UnderAvgBud]])</f>
        <v>-8.2504996420590698E-2</v>
      </c>
      <c r="Y4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4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44" s="54">
        <f>IF(SummaryTable[[#This Row],[IncreaseYears]]=0, ZeroBudgetNoSpending, SummaryTable[[#This Row],[OSinIncreaseYear'#]]/SummaryTable[[#This Row],[IncreaseYears]])</f>
        <v>0</v>
      </c>
      <c r="AB44" s="58" t="str">
        <f>SummaryTable[[#This Row],[Code]]</f>
        <v>JM0</v>
      </c>
      <c r="AC44" s="62">
        <f>IF(COUNTIFS(allFYsTable[Code], SummaryTable[[#This Row],[Code]], allFYsTable[year2], AC$3)=0, NotFound, SUMIFS(allFYsTable[OriginalBudget], allFYsTable[Code], SummaryTable[[#This Row],[Code]], allFYsTable[year2], AC$3))</f>
        <v>142523</v>
      </c>
      <c r="AD44" s="61">
        <f>SummaryTable[[#This Row],[OriginalBudget25]]-SummaryTable[[#This Row],[OriginalBudget24]]</f>
        <v>-525</v>
      </c>
      <c r="AE44" s="54">
        <f>SummaryTable[[#This Row],[BudgetIncreaseAmount25]]/SummaryTable[[#This Row],[OriginalBudget24]]</f>
        <v>-3.67009675074101E-3</v>
      </c>
      <c r="AF44" s="61">
        <f>IF(COUNTIFS(allFYsTable[Code], SummaryTable[[#This Row],[Code]], allFYsTable[year2], AC$3)=0, NotFound, SUMIFS(allFYsTable[RevisedBudget], allFYsTable[Code], SummaryTable[[#This Row],[Code]], allFYsTable[year2], AC$3))</f>
        <v>143316</v>
      </c>
      <c r="AG44" s="61">
        <f>IF(COUNTIFS(allFYsTable[Code], SummaryTable[[#This Row],[Code]], allFYsTable[year2], AC$3)=0, NotFound, SUMIFS(allFYsTable[Actual], allFYsTable[Code], SummaryTable[[#This Row],[Code]], allFYsTable[year2], AC$3))</f>
        <v>143304</v>
      </c>
      <c r="AH44" s="61">
        <f>IF(COUNTIFS(allFYsTable[Code], SummaryTable[[#This Row],[Code]], allFYsTable[year2], AC$3)=0, NotFound, SUMIFS(allFYsTable[DiffAmount], allFYsTable[Code], SummaryTable[[#This Row],[Code]], allFYsTable[year2], AC$3))</f>
        <v>781</v>
      </c>
      <c r="AI44" s="63">
        <f>IF(SummaryTable[[#This Row],[OriginalBudget25]]=0, IF(SummaryTable[[#This Row],[DiffAmount25]]=0, ZeroBudgetNoSpending, ZeroBudgetWithSpending), SummaryTable[[#This Row],[DiffAmount25]]/SummaryTable[[#This Row],[OriginalBudget25]])</f>
        <v>5.4798172926475023E-3</v>
      </c>
      <c r="AJ44" s="62">
        <f>IF(COUNTIFS(allFYsTable[Code], SummaryTable[[#This Row],[Code]], allFYsTable[year2], AJ$3)=0, NotFound, SUMIFS(allFYsTable[OriginalBudget], allFYsTable[Code], SummaryTable[[#This Row],[Code]], allFYsTable[year2], AJ$3))</f>
        <v>143048</v>
      </c>
      <c r="AK44" s="61">
        <f>SummaryTable[[#This Row],[OriginalBudget24]]-SummaryTable[[#This Row],[OriginalBudget23]]</f>
        <v>6641</v>
      </c>
      <c r="AL44" s="54">
        <f>SummaryTable[[#This Row],[BudgetIncreaseAmount24]]/SummaryTable[[#This Row],[OriginalBudget23]]</f>
        <v>4.8685184777907294E-2</v>
      </c>
      <c r="AM44" s="61">
        <f>IF(COUNTIFS(allFYsTable[Code], SummaryTable[[#This Row],[Code]], allFYsTable[year2], AK$3)=0, NotFound, SUMIFS(allFYsTable[RevisedBudget], allFYsTable[Code], SummaryTable[[#This Row],[Code]], allFYsTable[year2], AJ$3))</f>
        <v>140539</v>
      </c>
      <c r="AN44" s="61">
        <f>IF(COUNTIFS(allFYsTable[Code], SummaryTable[[#This Row],[Code]], allFYsTable[year2], AJ$3)=0, NotFound, SUMIFS(allFYsTable[Actual], allFYsTable[Code], SummaryTable[[#This Row],[Code]], allFYsTable[year2], AJ$3))</f>
        <v>140253</v>
      </c>
      <c r="AO44" s="61">
        <f>IF(COUNTIFS(allFYsTable[Code], SummaryTable[[#This Row],[Code]], allFYsTable[year2], AJ$3)=0, NotFound, SUMIFS(allFYsTable[DiffAmount], allFYsTable[Code], SummaryTable[[#This Row],[Code]], allFYsTable[year2], AJ$3))</f>
        <v>-2795</v>
      </c>
      <c r="AP44" s="63">
        <f>IF(SummaryTable[[#This Row],[OriginalBudget24]]=0, IF(SummaryTable[[#This Row],[DiffAmount24]]=0, ZeroBudgetNoSpending, ZeroBudgetWithSpending), SummaryTable[[#This Row],[DiffAmount24]]/SummaryTable[[#This Row],[OriginalBudget24]])</f>
        <v>-1.9538896034897377E-2</v>
      </c>
      <c r="AQ44" s="62">
        <f>IF(COUNTIFS(allFYsTable[Code], SummaryTable[[#This Row],[Code]], allFYsTable[year2], AQ$3)=0, NotFound, SUMIFS(allFYsTable[OriginalBudget], allFYsTable[Code], SummaryTable[[#This Row],[Code]], allFYsTable[year2], AQ$3))</f>
        <v>136407</v>
      </c>
      <c r="AR44" s="61">
        <f>SummaryTable[[#This Row],[OriginalBudget23]]-SummaryTable[[#This Row],[OriginalBudget22]]</f>
        <v>2343</v>
      </c>
      <c r="AS44" s="54">
        <f>SummaryTable[[#This Row],[BudgetIncreaseAmount23]]/SummaryTable[[#This Row],[OriginalBudget22]]</f>
        <v>1.7476727533118512E-2</v>
      </c>
      <c r="AT44" s="61">
        <f>IF(COUNTIFS(allFYsTable[Code], SummaryTable[[#This Row],[Code]], allFYsTable[year2], AQ$3)=0, NotFound, SUMIFS(allFYsTable[RevisedBudget], allFYsTable[Code], SummaryTable[[#This Row],[Code]], allFYsTable[year2], AQ$3))</f>
        <v>130145</v>
      </c>
      <c r="AU44" s="61">
        <f>IF(COUNTIFS(allFYsTable[Code], SummaryTable[[#This Row],[Code]], allFYsTable[year2], AQ$3)=0, NotFound, SUMIFS(allFYsTable[Actual], allFYsTable[Code], SummaryTable[[#This Row],[Code]], allFYsTable[year2], AQ$3))</f>
        <v>129697</v>
      </c>
      <c r="AV44" s="61">
        <f>IF(COUNTIFS(allFYsTable[Code], SummaryTable[[#This Row],[Code]], allFYsTable[year2], AQ$3)=0, NotFound, SUMIFS(allFYsTable[DiffAmount], allFYsTable[Code], SummaryTable[[#This Row],[Code]], allFYsTable[year2], AQ$3))</f>
        <v>-6710</v>
      </c>
      <c r="AW44" s="63">
        <f>IF(SummaryTable[[#This Row],[OriginalBudget23]]=0, IF(SummaryTable[[#This Row],[DiffAmount23]]=0, ZeroBudgetNoSpending, ZeroBudgetWithSpending), SummaryTable[[#This Row],[DiffAmount23]]/SummaryTable[[#This Row],[OriginalBudget23]])</f>
        <v>-4.9191023921059771E-2</v>
      </c>
      <c r="AX44" s="62">
        <f>IF(COUNTIFS(allFYsTable[Code], SummaryTable[[#This Row],[Code]], allFYsTable[year2], AX$3)=0, NotFound, SUMIFS(allFYsTable[OriginalBudget], allFYsTable[Code], SummaryTable[[#This Row],[Code]], allFYsTable[year2], AX$3))</f>
        <v>134064</v>
      </c>
      <c r="AY44" s="61">
        <f>SummaryTable[[#This Row],[OriginalBudget22]]-SummaryTable[[#This Row],[OriginalBudget21]]</f>
        <v>3016</v>
      </c>
      <c r="AZ44" s="54">
        <f>SummaryTable[[#This Row],[BudgetIncreaseAmount22]]/SummaryTable[[#This Row],[OriginalBudget21]]</f>
        <v>2.3014467981197727E-2</v>
      </c>
      <c r="BA44" s="61">
        <f>IF(COUNTIFS(allFYsTable[Code], SummaryTable[[#This Row],[Code]], allFYsTable[year2], AX$3)=0, NotFound, SUMIFS(allFYsTable[RevisedBudget], allFYsTable[Code], SummaryTable[[#This Row],[Code]], allFYsTable[year2], AX$3))</f>
        <v>103967</v>
      </c>
      <c r="BB44" s="61">
        <f>IF(COUNTIFS(allFYsTable[Code], SummaryTable[[#This Row],[Code]], allFYsTable[year2], AX$3)=0, NotFound, SUMIFS(allFYsTable[Actual], allFYsTable[Code], SummaryTable[[#This Row],[Code]], allFYsTable[year2], AX$3))</f>
        <v>103799</v>
      </c>
      <c r="BC44" s="61">
        <f>IF(COUNTIFS(allFYsTable[Code], SummaryTable[[#This Row],[Code]], allFYsTable[year2], AX$3)=0, NotFound, SUMIFS(allFYsTable[DiffAmount], allFYsTable[Code], SummaryTable[[#This Row],[Code]], allFYsTable[year2], AX$3))</f>
        <v>-30265</v>
      </c>
      <c r="BD44" s="63">
        <f>IF(SummaryTable[[#This Row],[OriginalBudget22]]=0, IF(SummaryTable[[#This Row],[DiffAmount22]]=0, ZeroBudgetNoSpending, ZeroBudgetWithSpending), SummaryTable[[#This Row],[DiffAmount22]]/SummaryTable[[#This Row],[OriginalBudget22]])</f>
        <v>-0.22575038787444804</v>
      </c>
      <c r="BE44" s="62">
        <f>IF(COUNTIFS(allFYsTable[Code], SummaryTable[[#This Row],[Code]], allFYsTable[year2], BE$3)=0, NotFound, SUMIFS(allFYsTable[OriginalBudget], allFYsTable[Code], SummaryTable[[#This Row],[Code]], allFYsTable[year2], BE$3))</f>
        <v>131048</v>
      </c>
      <c r="BF44" s="61">
        <f>SummaryTable[[#This Row],[OriginalBudget21]]-SummaryTable[[#This Row],[OriginalBudget20]]</f>
        <v>-7203</v>
      </c>
      <c r="BG44" s="54">
        <f>SummaryTable[[#This Row],[BudgetIncreaseAmount21]]/SummaryTable[[#This Row],[OriginalBudget20]]</f>
        <v>-5.2100888962828482E-2</v>
      </c>
      <c r="BH44" s="61">
        <f>IF(COUNTIFS(allFYsTable[Code], SummaryTable[[#This Row],[Code]], allFYsTable[year2], BE$3)=0, NotFound, SUMIFS(allFYsTable[RevisedBudget], allFYsTable[Code], SummaryTable[[#This Row],[Code]], allFYsTable[year2], BE$3))</f>
        <v>104500</v>
      </c>
      <c r="BI44" s="61">
        <f>IF(COUNTIFS(allFYsTable[Code], SummaryTable[[#This Row],[Code]], allFYsTable[year2], BE$3)=0, NotFound, SUMIFS(allFYsTable[Actual], allFYsTable[Code], SummaryTable[[#This Row],[Code]], allFYsTable[year2], BE$3))</f>
        <v>101223</v>
      </c>
      <c r="BJ44" s="61">
        <f>IF(COUNTIFS(allFYsTable[Code], SummaryTable[[#This Row],[Code]], allFYsTable[year2], BE$3)=0, NotFound, SUMIFS(allFYsTable[DiffAmount], allFYsTable[Code], SummaryTable[[#This Row],[Code]], allFYsTable[year2], BE$3))</f>
        <v>-29825</v>
      </c>
      <c r="BK44" s="63">
        <f>IF(SummaryTable[[#This Row],[OriginalBudget21]]=0, IF(SummaryTable[[#This Row],[DiffAmount21]]=0, ZeroBudgetNoSpending, ZeroBudgetWithSpending), SummaryTable[[#This Row],[DiffAmount21]]/SummaryTable[[#This Row],[OriginalBudget21]])</f>
        <v>-0.22758836456870765</v>
      </c>
      <c r="BL44" s="62">
        <f>IF(COUNTIFS(allFYsTable[Code], SummaryTable[[#This Row],[Code]], allFYsTable[year2], BL$3)=0, NotFound, SUMIFS(allFYsTable[OriginalBudget], allFYsTable[Code], SummaryTable[[#This Row],[Code]], allFYsTable[year2], BL$3))</f>
        <v>138251</v>
      </c>
      <c r="BM44" s="61">
        <f>SummaryTable[[#This Row],[OriginalBudget20]]-SummaryTable[[#This Row],[OriginalBudget19]]</f>
        <v>16259</v>
      </c>
      <c r="BN44" s="54">
        <f>SummaryTable[[#This Row],[BudgetIncreaseAmount20]]/SummaryTable[[#This Row],[OriginalBudget19]]</f>
        <v>0.13327923142501147</v>
      </c>
      <c r="BO44" s="61">
        <f>IF(COUNTIFS(allFYsTable[Code], SummaryTable[[#This Row],[Code]], allFYsTable[year2], BL$3)=0, NotFound, SUMIFS(allFYsTable[RevisedBudget], allFYsTable[Code], SummaryTable[[#This Row],[Code]], allFYsTable[year2], BL$3))</f>
        <v>116751</v>
      </c>
      <c r="BP44" s="61">
        <f>IF(COUNTIFS(allFYsTable[Code], SummaryTable[[#This Row],[Code]], allFYsTable[year2], BL$3)=0, NotFound, SUMIFS(allFYsTable[Actual], allFYsTable[Code], SummaryTable[[#This Row],[Code]], allFYsTable[year2], BL$3))</f>
        <v>115176</v>
      </c>
      <c r="BQ44" s="61">
        <f>IF(COUNTIFS(allFYsTable[Code], SummaryTable[[#This Row],[Code]], allFYsTable[year2], BL$3)=0, NotFound, SUMIFS(allFYsTable[DiffAmount], allFYsTable[Code], SummaryTable[[#This Row],[Code]], allFYsTable[year2], BL$3))</f>
        <v>-23075</v>
      </c>
      <c r="BR44" s="63">
        <f>IF(SummaryTable[[#This Row],[OriginalBudget20]]=0, IF(SummaryTable[[#This Row],[DiffAmount20]]=0, ZeroBudgetNoSpending, ZeroBudgetWithSpending), SummaryTable[[#This Row],[DiffAmount20]]/SummaryTable[[#This Row],[OriginalBudget20]])</f>
        <v>-0.16690656848775054</v>
      </c>
      <c r="BS44" s="62">
        <f>IF(COUNTIFS(allFYsTable[Code], SummaryTable[[#This Row],[Code]], allFYsTable[year2], BS$3)=0, NotFound, SUMIFS(allFYsTable[OriginalBudget], allFYsTable[Code], SummaryTable[[#This Row],[Code]], allFYsTable[year2], BS$3))</f>
        <v>121992</v>
      </c>
      <c r="BT44" s="61">
        <f>SummaryTable[[#This Row],[OriginalBudget19]]-SummaryTable[[#This Row],[OriginalBudget18]]</f>
        <v>5380</v>
      </c>
      <c r="BU44" s="54">
        <f>SummaryTable[[#This Row],[BudgetIncreaseAmount19]]/SummaryTable[[#This Row],[OriginalBudget18]]</f>
        <v>4.6135903680581757E-2</v>
      </c>
      <c r="BV44" s="61">
        <f>IF(COUNTIFS(allFYsTable[Code], SummaryTable[[#This Row],[Code]], allFYsTable[year2], BS$3)=0, NotFound, SUMIFS(allFYsTable[RevisedBudget], allFYsTable[Code], SummaryTable[[#This Row],[Code]], allFYsTable[year2], BS$3))</f>
        <v>124310</v>
      </c>
      <c r="BW44" s="61">
        <f>IF(COUNTIFS(allFYsTable[Code], SummaryTable[[#This Row],[Code]], allFYsTable[year2], BS$3)=0, NotFound, SUMIFS(allFYsTable[Actual], allFYsTable[Code], SummaryTable[[#This Row],[Code]], allFYsTable[year2], BS$3))</f>
        <v>123037</v>
      </c>
      <c r="BX44" s="61">
        <f>IF(COUNTIFS(allFYsTable[Code], SummaryTable[[#This Row],[Code]], allFYsTable[year2], BS$3)=0, NotFound, SUMIFS(allFYsTable[DiffAmount], allFYsTable[Code], SummaryTable[[#This Row],[Code]], allFYsTable[year2], BS$3))</f>
        <v>1045</v>
      </c>
      <c r="BY44" s="63">
        <f>IF(SummaryTable[[#This Row],[OriginalBudget19]]=0, IF(SummaryTable[[#This Row],[DiffAmount19]]=0, ZeroBudgetNoSpending, ZeroBudgetWithSpending), SummaryTable[[#This Row],[DiffAmount19]]/SummaryTable[[#This Row],[OriginalBudget19]])</f>
        <v>8.5661354842940518E-3</v>
      </c>
      <c r="BZ44" s="62">
        <f>IF(COUNTIFS(allFYsTable[Code], SummaryTable[[#This Row],[Code]], allFYsTable[year2], BZ$3)=0, NotFound, SUMIFS(allFYsTable[OriginalBudget], allFYsTable[Code], SummaryTable[[#This Row],[Code]], allFYsTable[year2], BZ$3))</f>
        <v>116612</v>
      </c>
      <c r="CA44" s="61">
        <f>SummaryTable[[#This Row],[OriginalBudget18]]-SummaryTable[[#This Row],[OriginalBudget17]]</f>
        <v>-2126</v>
      </c>
      <c r="CB44" s="54">
        <f>SummaryTable[[#This Row],[BudgetIncreaseAmount18]]/SummaryTable[[#This Row],[OriginalBudget17]]</f>
        <v>-1.7904967238794658E-2</v>
      </c>
      <c r="CC44" s="61">
        <f>IF(COUNTIFS(allFYsTable[Code], SummaryTable[[#This Row],[Code]], allFYsTable[year2], BZ$3)=0, NotFound, SUMIFS(allFYsTable[RevisedBudget], allFYsTable[Code], SummaryTable[[#This Row],[Code]], allFYsTable[year2], BZ$3))</f>
        <v>121615</v>
      </c>
      <c r="CD44" s="61">
        <f>IF(COUNTIFS(allFYsTable[Code], SummaryTable[[#This Row],[Code]], allFYsTable[year2], BZ$3)=0, NotFound, SUMIFS(allFYsTable[Actual], allFYsTable[Code], SummaryTable[[#This Row],[Code]], allFYsTable[year2], BZ$3))</f>
        <v>121586</v>
      </c>
      <c r="CE44" s="61">
        <f>IF(COUNTIFS(allFYsTable[Code], SummaryTable[[#This Row],[Code]], allFYsTable[year2], BZ$3)=0, NotFound, SUMIFS(allFYsTable[DiffAmount], allFYsTable[Code], SummaryTable[[#This Row],[Code]], allFYsTable[year2], BZ$3))</f>
        <v>4974</v>
      </c>
      <c r="CF44" s="63">
        <f>IF(SummaryTable[[#This Row],[OriginalBudget18]]=0, IF(SummaryTable[[#This Row],[DiffAmount18]]=0, ZeroBudgetNoSpending, ZeroBudgetWithSpending), SummaryTable[[#This Row],[DiffAmount18]]/SummaryTable[[#This Row],[OriginalBudget18]])</f>
        <v>4.2654272287586184E-2</v>
      </c>
      <c r="CG44" s="62">
        <f>IF(COUNTIFS(allFYsTable[Code], SummaryTable[[#This Row],[Code]], allFYsTable[year2], CG$3)=0, NotFound, SUMIFS(allFYsTable[OriginalBudget], allFYsTable[Code], SummaryTable[[#This Row],[Code]], allFYsTable[year2], CG$3))</f>
        <v>118738</v>
      </c>
      <c r="CH44" s="61">
        <f>SummaryTable[[#This Row],[OriginalBudget17]]-SummaryTable[[#This Row],[OriginalBudget16]]</f>
        <v>1113</v>
      </c>
      <c r="CI44" s="54">
        <f>SummaryTable[[#This Row],[BudgetIncreaseAmount17]]/SummaryTable[[#This Row],[OriginalBudget16]]</f>
        <v>9.4622741764080771E-3</v>
      </c>
      <c r="CJ44" s="61">
        <f>IF(COUNTIFS(allFYsTable[Code], SummaryTable[[#This Row],[Code]], allFYsTable[year2], CG$3)=0, NotFound, SUMIFS(allFYsTable[RevisedBudget], allFYsTable[Code], SummaryTable[[#This Row],[Code]], allFYsTable[year2], CG$3))</f>
        <v>115792</v>
      </c>
      <c r="CK44" s="61">
        <f>IF(COUNTIFS(allFYsTable[Code], SummaryTable[[#This Row],[Code]], allFYsTable[year2], CG$3)=0, NotFound, SUMIFS(allFYsTable[Actual], allFYsTable[Code], SummaryTable[[#This Row],[Code]], allFYsTable[year2], CG$3))</f>
        <v>115430</v>
      </c>
      <c r="CL44" s="61">
        <f>IF(COUNTIFS(allFYsTable[Code], SummaryTable[[#This Row],[Code]], allFYsTable[year2], CG$3)=0, NotFound, SUMIFS(allFYsTable[DiffAmount], allFYsTable[Code], SummaryTable[[#This Row],[Code]], allFYsTable[year2], CG$3))</f>
        <v>-3308</v>
      </c>
      <c r="CM44" s="63">
        <f>IF(SummaryTable[[#This Row],[OriginalBudget17]]=0, IF(SummaryTable[[#This Row],[DiffAmount17]]=0, ZeroBudgetNoSpending, ZeroBudgetWithSpending), SummaryTable[[#This Row],[DiffAmount17]]/SummaryTable[[#This Row],[OriginalBudget17]])</f>
        <v>-2.7859657396958008E-2</v>
      </c>
      <c r="CN44" s="62">
        <f>IF(COUNTIFS(allFYsTable[Code], SummaryTable[[#This Row],[Code]], allFYsTable[year2], CN$3)=0, NotFound, SUMIFS(allFYsTable[OriginalBudget], allFYsTable[Code], SummaryTable[[#This Row],[Code]], allFYsTable[year2], CN$3))</f>
        <v>117625</v>
      </c>
      <c r="CO44" s="61">
        <f>SummaryTable[[#This Row],[OriginalBudget16]]-SummaryTable[[#This Row],[OriginalBudget15]]</f>
        <v>1695</v>
      </c>
      <c r="CP44" s="54">
        <f>SummaryTable[[#This Row],[BudgetIncreaseAmount16]]/SummaryTable[[#This Row],[OriginalBudget15]]</f>
        <v>1.4620891917536445E-2</v>
      </c>
      <c r="CQ44" s="61">
        <f>IF(COUNTIFS(allFYsTable[Code], SummaryTable[[#This Row],[Code]], allFYsTable[year2], CN$3)=0, NotFound, SUMIFS(allFYsTable[RevisedBudget], allFYsTable[Code], SummaryTable[[#This Row],[Code]], allFYsTable[year2], CN$3))</f>
        <v>113955</v>
      </c>
      <c r="CR44" s="61">
        <f>IF(COUNTIFS(allFYsTable[Code], SummaryTable[[#This Row],[Code]], allFYsTable[year2], CN$3)=0, NotFound, SUMIFS(allFYsTable[Actual], allFYsTable[Code], SummaryTable[[#This Row],[Code]], allFYsTable[year2], CN$3))</f>
        <v>113829</v>
      </c>
      <c r="CS44" s="61">
        <f>IF(COUNTIFS(allFYsTable[Code], SummaryTable[[#This Row],[Code]], allFYsTable[year2], CN$3)=0, NotFound, SUMIFS(allFYsTable[DiffAmount], allFYsTable[Code], SummaryTable[[#This Row],[Code]], allFYsTable[year2], CN$3))</f>
        <v>-3796</v>
      </c>
      <c r="CT44" s="63">
        <f>IF(SummaryTable[[#This Row],[OriginalBudget16]]=0, IF(SummaryTable[[#This Row],[DiffAmount16]]=0, ZeroBudgetNoSpending, ZeroBudgetWithSpending), SummaryTable[[#This Row],[DiffAmount16]]/SummaryTable[[#This Row],[OriginalBudget16]])</f>
        <v>-3.227205100956429E-2</v>
      </c>
      <c r="CU44" s="62">
        <f>IF(COUNTIFS(allFYsTable[Code], SummaryTable[[#This Row],[Code]], allFYsTable[year2], CU$3)=0, NotFound, SUMIFS(allFYsTable[OriginalBudget], allFYsTable[Code], SummaryTable[[#This Row],[Code]], allFYsTable[year2], CU$3))</f>
        <v>115930</v>
      </c>
      <c r="CV44" s="61">
        <f>SummaryTable[[#This Row],[OriginalBudget15]]-SummaryTable[[#This Row],[OriginalBudget14]]</f>
        <v>60726</v>
      </c>
      <c r="CW44" s="54">
        <f>SummaryTable[[#This Row],[BudgetIncreaseAmount15]]/SummaryTable[[#This Row],[OriginalBudget14]]</f>
        <v>1.1000289834069994</v>
      </c>
      <c r="CX44" s="61">
        <f>IF(COUNTIFS(allFYsTable[Code], SummaryTable[[#This Row],[Code]], allFYsTable[year2], CU$3)=0, NotFound, SUMIFS(allFYsTable[RevisedBudget], allFYsTable[Code], SummaryTable[[#This Row],[Code]], allFYsTable[year2], CU$3))</f>
        <v>114746</v>
      </c>
      <c r="CY44" s="61">
        <f>IF(COUNTIFS(allFYsTable[Code], SummaryTable[[#This Row],[Code]], allFYsTable[year2], CU$3)=0, NotFound, SUMIFS(allFYsTable[Actual], allFYsTable[Code], SummaryTable[[#This Row],[Code]], allFYsTable[year2], CU$3))</f>
        <v>113724</v>
      </c>
      <c r="CZ44" s="61">
        <f>IF(COUNTIFS(allFYsTable[Code], SummaryTable[[#This Row],[Code]], allFYsTable[year2], CU$3)=0, NotFound, SUMIFS(allFYsTable[DiffAmount], allFYsTable[Code], SummaryTable[[#This Row],[Code]], allFYsTable[year2], CU$3))</f>
        <v>-2206</v>
      </c>
      <c r="DA44" s="63">
        <f>IF(SummaryTable[[#This Row],[OriginalBudget15]]=0, IF(SummaryTable[[#This Row],[DiffAmount15]]=0, ZeroBudgetNoSpending, ZeroBudgetWithSpending), SummaryTable[[#This Row],[DiffAmount15]]/SummaryTable[[#This Row],[OriginalBudget15]])</f>
        <v>-1.9028724230138877E-2</v>
      </c>
      <c r="DB44" s="62">
        <f>IF(COUNTIFS(allFYsTable[Code], SummaryTable[[#This Row],[Code]], allFYsTable[year2], DB$3)=0, NotFound, SUMIFS(allFYsTable[OriginalBudget], allFYsTable[Code], SummaryTable[[#This Row],[Code]], allFYsTable[year2], DB$3))</f>
        <v>55204</v>
      </c>
      <c r="DC44" s="61">
        <f>SummaryTable[[#This Row],[OriginalBudget14]]-SummaryTable[[#This Row],[OriginalBudget13]]</f>
        <v>828</v>
      </c>
      <c r="DD44" s="54">
        <f>SummaryTable[[#This Row],[BudgetIncreaseAmount14]]/SummaryTable[[#This Row],[OriginalBudget13]]</f>
        <v>1.5227306164484332E-2</v>
      </c>
      <c r="DE44" s="61">
        <f>IF(COUNTIFS(allFYsTable[Code], SummaryTable[[#This Row],[Code]], allFYsTable[year2], DB$3)=0, NotFound, SUMIFS(allFYsTable[RevisedBudget], allFYsTable[Code], SummaryTable[[#This Row],[Code]], allFYsTable[year2], DB$3))</f>
        <v>59140</v>
      </c>
      <c r="DF44" s="61">
        <f>IF(COUNTIFS(allFYsTable[Code], SummaryTable[[#This Row],[Code]], allFYsTable[year2], DB$3)=0, NotFound, SUMIFS(allFYsTable[Actual], allFYsTable[Code], SummaryTable[[#This Row],[Code]], allFYsTable[year2], DB$3))</f>
        <v>57216</v>
      </c>
      <c r="DG44" s="61">
        <f>IF(COUNTIFS(allFYsTable[Code], SummaryTable[[#This Row],[Code]], allFYsTable[year2], DB$3)=0, NotFound, SUMIFS(allFYsTable[DiffAmount], allFYsTable[Code], SummaryTable[[#This Row],[Code]], allFYsTable[year2], DB$3))</f>
        <v>2012</v>
      </c>
      <c r="DH44" s="63">
        <f>IF(SummaryTable[[#This Row],[OriginalBudget14]]=0, IF(SummaryTable[[#This Row],[DiffAmount14]]=0, ZeroBudgetNoSpending, ZeroBudgetWithSpending), SummaryTable[[#This Row],[DiffAmount14]]/SummaryTable[[#This Row],[OriginalBudget14]])</f>
        <v>3.6446634301862187E-2</v>
      </c>
      <c r="DI44" s="62">
        <f>IF(COUNTIFS(allFYsTable[Code], SummaryTable[[#This Row],[Code]], allFYsTable[year2], DI$3)=0, NotFound, SUMIFS(allFYsTable[OriginalBudget], allFYsTable[Code], SummaryTable[[#This Row],[Code]], allFYsTable[year2], DI$3))</f>
        <v>54376</v>
      </c>
      <c r="DJ44" s="61">
        <f>SummaryTable[[#This Row],[OriginalBudget13]]-SummaryTable[[#This Row],[OriginalBudget12]]</f>
        <v>1032</v>
      </c>
      <c r="DK44" s="54">
        <f>SummaryTable[[#This Row],[BudgetIncreaseAmount13]]/SummaryTable[[#This Row],[OriginalBudget12]]</f>
        <v>1.9346130773845231E-2</v>
      </c>
      <c r="DL44" s="61">
        <f>IF(COUNTIFS(allFYsTable[Code], SummaryTable[[#This Row],[Code]], allFYsTable[year2], DI$3)=0, NotFound, SUMIFS(allFYsTable[RevisedBudget], allFYsTable[Code], SummaryTable[[#This Row],[Code]], allFYsTable[year2], DI$3))</f>
        <v>54723</v>
      </c>
      <c r="DM44" s="61">
        <f>IF(COUNTIFS(allFYsTable[Code], SummaryTable[[#This Row],[Code]], allFYsTable[year2], DI$3)=0, NotFound, SUMIFS(allFYsTable[Actual], allFYsTable[Code], SummaryTable[[#This Row],[Code]], allFYsTable[year2], DI$3))</f>
        <v>54071</v>
      </c>
      <c r="DN44" s="61">
        <f>IF(COUNTIFS(allFYsTable[Code], SummaryTable[[#This Row],[Code]], allFYsTable[year2], DI$3)=0, NotFound, SUMIFS(allFYsTable[DiffAmount], allFYsTable[Code], SummaryTable[[#This Row],[Code]], allFYsTable[year2], DI$3))</f>
        <v>-305</v>
      </c>
      <c r="DO44" s="63">
        <f>IF(SummaryTable[[#This Row],[OriginalBudget13]]=0, IF(SummaryTable[[#This Row],[DiffAmount13]]=0, ZeroBudgetNoSpending, ZeroBudgetWithSpending), SummaryTable[[#This Row],[DiffAmount13]]/SummaryTable[[#This Row],[OriginalBudget13]])</f>
        <v>-5.6090922465793737E-3</v>
      </c>
      <c r="DP44" s="62">
        <f>IF(COUNTIFS(allFYsTable[Code], SummaryTable[[#This Row],[Code]], allFYsTable[year2], DP$3)=0, NotFound, SUMIFS(allFYsTable[OriginalBudget], allFYsTable[Code], SummaryTable[[#This Row],[Code]], allFYsTable[year2], DP$3))</f>
        <v>53344</v>
      </c>
      <c r="DQ44" s="61">
        <f>SummaryTable[[#This Row],[OriginalBudget12]]-SummaryTable[[#This Row],[OriginalBudget11]]</f>
        <v>0</v>
      </c>
      <c r="DR44" s="54">
        <f>SummaryTable[[#This Row],[BudgetIncreaseAmount12]]/SummaryTable[[#This Row],[OriginalBudget11]]</f>
        <v>0</v>
      </c>
      <c r="DS44" s="61">
        <f>IF(COUNTIFS(allFYsTable[Code], SummaryTable[[#This Row],[Code]], allFYsTable[year2], DP$3)=0, NotFound, SUMIFS(allFYsTable[RevisedBudget], allFYsTable[Code], SummaryTable[[#This Row],[Code]], allFYsTable[year2], DP$3))</f>
        <v>55434</v>
      </c>
      <c r="DT44" s="61">
        <f>IF(COUNTIFS(allFYsTable[Code], SummaryTable[[#This Row],[Code]], allFYsTable[year2], DP$3)=0, NotFound, SUMIFS(allFYsTable[Actual], allFYsTable[Code], SummaryTable[[#This Row],[Code]], allFYsTable[year2], DP$3))</f>
        <v>55099</v>
      </c>
      <c r="DU44" s="61">
        <f>IF(COUNTIFS(allFYsTable[Code], SummaryTable[[#This Row],[Code]], allFYsTable[year2], DP$3)=0, NotFound, SUMIFS(allFYsTable[DiffAmount], allFYsTable[Code], SummaryTable[[#This Row],[Code]], allFYsTable[year2], DP$3))</f>
        <v>1755</v>
      </c>
      <c r="DV44" s="63">
        <f>IF(SummaryTable[[#This Row],[OriginalBudget12]]=0, IF(SummaryTable[[#This Row],[DiffAmount12]]=0, ZeroBudgetNoSpending, ZeroBudgetWithSpending), SummaryTable[[#This Row],[DiffAmount12]]/SummaryTable[[#This Row],[OriginalBudget12]])</f>
        <v>3.2899670065986805E-2</v>
      </c>
      <c r="DW44" s="62">
        <f>IF(COUNTIFS(allFYsTable[Code], SummaryTable[[#This Row],[Code]], allFYsTable[year2], DW$3)=0, NotFound, SUMIFS(allFYsTable[OriginalBudget], allFYsTable[Code], SummaryTable[[#This Row],[Code]], allFYsTable[year2], DW$3))</f>
        <v>53344</v>
      </c>
      <c r="DX44" s="61">
        <f>SummaryTable[[#This Row],[OriginalBudget11]]-SummaryTable[[#This Row],[OriginalBudget10]]</f>
        <v>-8663</v>
      </c>
      <c r="DY44" s="54">
        <f>SummaryTable[[#This Row],[BudgetIncreaseAmount11]]/SummaryTable[[#This Row],[OriginalBudget10]]</f>
        <v>-0.13971003273823923</v>
      </c>
      <c r="DZ44" s="61">
        <f>IF(COUNTIFS(allFYsTable[Code], SummaryTable[[#This Row],[Code]], allFYsTable[year2], DW$3)=0, NotFound, SUMIFS(allFYsTable[RevisedBudget], allFYsTable[Code], SummaryTable[[#This Row],[Code]], allFYsTable[year2], DW$3))</f>
        <v>53344</v>
      </c>
      <c r="EA44" s="61">
        <f>IF(COUNTIFS(allFYsTable[Code], SummaryTable[[#This Row],[Code]], allFYsTable[year2], DW$3)=0, NotFound, SUMIFS(allFYsTable[Actual], allFYsTable[Code], SummaryTable[[#This Row],[Code]], allFYsTable[year2], DW$3))</f>
        <v>53084</v>
      </c>
      <c r="EB44" s="61">
        <f>IF(COUNTIFS(allFYsTable[Code], SummaryTable[[#This Row],[Code]], allFYsTable[year2], DW$3)=0, NotFound, SUMIFS(allFYsTable[DiffAmount], allFYsTable[Code], SummaryTable[[#This Row],[Code]], allFYsTable[year2], DW$3))</f>
        <v>-260</v>
      </c>
      <c r="EC44" s="63">
        <f>IF(SummaryTable[[#This Row],[OriginalBudget11]]=0, IF(SummaryTable[[#This Row],[DiffAmount11]]=0, ZeroBudgetNoSpending, ZeroBudgetWithSpending), SummaryTable[[#This Row],[DiffAmount11]]/SummaryTable[[#This Row],[OriginalBudget11]])</f>
        <v>-4.874025194961008E-3</v>
      </c>
      <c r="ED44" s="62">
        <f>IF(COUNTIFS(allFYsTable[Code], SummaryTable[[#This Row],[Code]], allFYsTable[year2], ED$3)=0, NotFound, SUMIFS(allFYsTable[OriginalBudget], allFYsTable[Code], SummaryTable[[#This Row],[Code]], allFYsTable[year2], ED$3))</f>
        <v>62007</v>
      </c>
      <c r="EE44" s="61">
        <f>SummaryTable[[#This Row],[OriginalBudget10]]-SummaryTable[[#This Row],[OriginalBudget09]]</f>
        <v>-27064</v>
      </c>
      <c r="EF44" s="54">
        <f>SummaryTable[[#This Row],[BudgetIncreaseAmount10]]/SummaryTable[[#This Row],[OriginalBudget09]]</f>
        <v>-0.30384749244984338</v>
      </c>
      <c r="EG44" s="61">
        <f>IF(COUNTIFS(allFYsTable[Code], SummaryTable[[#This Row],[Code]], allFYsTable[year2], ED$3)=0, NotFound, SUMIFS(allFYsTable[RevisedBudget], allFYsTable[Code], SummaryTable[[#This Row],[Code]], allFYsTable[year2], ED$3))</f>
        <v>61643</v>
      </c>
      <c r="EH44" s="61">
        <f>IF(COUNTIFS(allFYsTable[Code], SummaryTable[[#This Row],[Code]], allFYsTable[year2], ED$3)=0, NotFound, SUMIFS(allFYsTable[Actual], allFYsTable[Code], SummaryTable[[#This Row],[Code]], allFYsTable[year2], ED$3))</f>
        <v>59465</v>
      </c>
      <c r="EI44" s="61">
        <f>IF(COUNTIFS(allFYsTable[Code], SummaryTable[[#This Row],[Code]], allFYsTable[year2], ED$3)=0, NotFound, SUMIFS(allFYsTable[DiffAmount], allFYsTable[Code], SummaryTable[[#This Row],[Code]], allFYsTable[year2], ED$3))</f>
        <v>-2542</v>
      </c>
      <c r="EJ44" s="63">
        <f>IF(SummaryTable[[#This Row],[OriginalBudget10]]=0, IF(SummaryTable[[#This Row],[DiffAmount10]]=0, ZeroBudgetNoSpending, ZeroBudgetWithSpending), SummaryTable[[#This Row],[DiffAmount10]]/SummaryTable[[#This Row],[OriginalBudget10]])</f>
        <v>-4.099537149031561E-2</v>
      </c>
      <c r="EK44" s="62">
        <f>IF(COUNTIFS(allFYsTable[Code], SummaryTable[[#This Row],[Code]], allFYsTable[year2], EK$3)=0, NotFound, SUMIFS(allFYsTable[OriginalBudget], allFYsTable[Code], SummaryTable[[#This Row],[Code]], allFYsTable[year2], EK$3))</f>
        <v>89071</v>
      </c>
      <c r="EL44" s="61">
        <f>SummaryTable[[#This Row],[OriginalBudget09]]-SummaryTable[[#This Row],[OriginalBudget08]]</f>
        <v>5987</v>
      </c>
      <c r="EM44" s="54">
        <f>SummaryTable[[#This Row],[BudgetIncreaseAmount09]]/SummaryTable[[#This Row],[OriginalBudget08]]</f>
        <v>7.2059602330171876E-2</v>
      </c>
      <c r="EN44" s="61">
        <f>IF(COUNTIFS(allFYsTable[Code], SummaryTable[[#This Row],[Code]], allFYsTable[year2], EK$3)=0, NotFound, SUMIFS(allFYsTable[RevisedBudget], allFYsTable[Code], SummaryTable[[#This Row],[Code]], allFYsTable[year2], EK$3))</f>
        <v>94953</v>
      </c>
      <c r="EO44" s="61">
        <f>IF(COUNTIFS(allFYsTable[Code], SummaryTable[[#This Row],[Code]], allFYsTable[year2], EK$3)=0, NotFound, SUMIFS(allFYsTable[Actual], allFYsTable[Code], SummaryTable[[#This Row],[Code]], allFYsTable[year2], EK$3))</f>
        <v>92843</v>
      </c>
      <c r="EP44" s="61">
        <f>IF(COUNTIFS(allFYsTable[Code], SummaryTable[[#This Row],[Code]], allFYsTable[year2], EK$3)=0, NotFound, SUMIFS(allFYsTable[DiffAmount], allFYsTable[Code], SummaryTable[[#This Row],[Code]], allFYsTable[year2], EK$3))</f>
        <v>3772</v>
      </c>
      <c r="EQ44" s="63">
        <f>IF(SummaryTable[[#This Row],[OriginalBudget09]]=0, IF(SummaryTable[[#This Row],[DiffAmount09]]=0, ZeroBudgetNoSpending, ZeroBudgetWithSpending), SummaryTable[[#This Row],[DiffAmount09]]/SummaryTable[[#This Row],[OriginalBudget09]])</f>
        <v>4.2348239045256031E-2</v>
      </c>
      <c r="ER44" s="62">
        <f>IF(COUNTIFS(allFYsTable[Code], SummaryTable[[#This Row],[Code]], allFYsTable[year2], ER$3)=0, NotFound, SUMIFS(allFYsTable[OriginalBudget], allFYsTable[Code], SummaryTable[[#This Row],[Code]], allFYsTable[year2], ER$3))</f>
        <v>83084</v>
      </c>
      <c r="ES44" s="61" t="e">
        <f>SummaryTable[[#This Row],[OriginalBudget08]]-SummaryTable[[#This Row],[OriginalBudget07]]</f>
        <v>#N/A</v>
      </c>
      <c r="ET44" s="54" t="e">
        <f>SummaryTable[[#This Row],[BudgetIncreaseAmount08]]/SummaryTable[[#This Row],[OriginalBudget07]]</f>
        <v>#N/A</v>
      </c>
      <c r="EU44" s="61">
        <f>IF(COUNTIFS(allFYsTable[Code], SummaryTable[[#This Row],[Code]], allFYsTable[year2], ER$3)=0, NotFound, SUMIFS(allFYsTable[RevisedBudget], allFYsTable[Code], SummaryTable[[#This Row],[Code]], allFYsTable[year2], ER$3))</f>
        <v>83084</v>
      </c>
      <c r="EV44" s="61">
        <f>IF(COUNTIFS(allFYsTable[Code], SummaryTable[[#This Row],[Code]], allFYsTable[year2], ER$3)=0, NotFound, SUMIFS(allFYsTable[Actual], allFYsTable[Code], SummaryTable[[#This Row],[Code]], allFYsTable[year2], ER$3))</f>
        <v>81911</v>
      </c>
      <c r="EW44" s="61">
        <f>IF(COUNTIFS(allFYsTable[Code], SummaryTable[[#This Row],[Code]], allFYsTable[year2], ER$3)=0, NotFound, SUMIFS(allFYsTable[DiffAmount], allFYsTable[Code], SummaryTable[[#This Row],[Code]], allFYsTable[year2], ER$3))</f>
        <v>-1173</v>
      </c>
      <c r="EX44" s="63">
        <f>IF(SummaryTable[[#This Row],[OriginalBudget08]]=0, IF(SummaryTable[[#This Row],[DiffAmount08]]=0, ZeroBudgetNoSpending, ZeroBudgetWithSpending), SummaryTable[[#This Row],[DiffAmount08]]/SummaryTable[[#This Row],[OriginalBudget08]])</f>
        <v>-1.4118241779403977E-2</v>
      </c>
      <c r="EY44" s="62" t="e">
        <f>IF(COUNTIFS(allFYsTable[Code], SummaryTable[[#This Row],[Code]], allFYsTable[year2], EY$3)=0, NotFound, SUMIFS(allFYsTable[OriginalBudget], allFYsTable[Code], SummaryTable[[#This Row],[Code]], allFYsTable[year2], EY$3))</f>
        <v>#N/A</v>
      </c>
      <c r="EZ44" s="61" t="e">
        <f>SummaryTable[[#This Row],[OriginalBudget07]]-SummaryTable[[#This Row],[OriginalBudget06]]</f>
        <v>#N/A</v>
      </c>
      <c r="FA44" s="54" t="e">
        <f>SummaryTable[[#This Row],[BudgetIncreaseAmount07]]/SummaryTable[[#This Row],[OriginalBudget06]]</f>
        <v>#N/A</v>
      </c>
      <c r="FB44" s="61" t="e">
        <f>IF(COUNTIFS(allFYsTable[Code], SummaryTable[[#This Row],[Code]], allFYsTable[year2], EY$3)=0, NotFound, SUMIFS(allFYsTable[RevisedBudget], allFYsTable[Code], SummaryTable[[#This Row],[Code]], allFYsTable[year2], EY$3))</f>
        <v>#N/A</v>
      </c>
      <c r="FC44" s="61" t="e">
        <f>IF(COUNTIFS(allFYsTable[Code], SummaryTable[[#This Row],[Code]], allFYsTable[year2], EY$3)=0, NotFound, SUMIFS(allFYsTable[Actual], allFYsTable[Code], SummaryTable[[#This Row],[Code]], allFYsTable[year2], EY$3))</f>
        <v>#N/A</v>
      </c>
      <c r="FD44" s="61" t="e">
        <f>IF(COUNTIFS(allFYsTable[Code], SummaryTable[[#This Row],[Code]], allFYsTable[year2], EY$3)=0, NotFound, SUMIFS(allFYsTable[DiffAmount], allFYsTable[Code], SummaryTable[[#This Row],[Code]], allFYsTable[year2], EY$3))</f>
        <v>#N/A</v>
      </c>
      <c r="FE44" s="63" t="e">
        <f>IF(SummaryTable[[#This Row],[OriginalBudget07]]=0, IF(SummaryTable[[#This Row],[DiffAmount07]]=0, ZeroBudgetNoSpending, ZeroBudgetWithSpending), SummaryTable[[#This Row],[DiffAmount07]]/SummaryTable[[#This Row],[OriginalBudget07]])</f>
        <v>#N/A</v>
      </c>
      <c r="FF44" s="62" t="e">
        <f>IF(COUNTIFS(allFYsTable[Code], SummaryTable[[#This Row],[Code]], allFYsTable[year2], FF$3)=0, NotFound, SUMIFS(allFYsTable[OriginalBudget], allFYsTable[Code], SummaryTable[[#This Row],[Code]], allFYsTable[year2], FF$3))</f>
        <v>#N/A</v>
      </c>
      <c r="FI44" s="61" t="e">
        <f>IF(COUNTIFS(allFYsTable[Code], SummaryTable[[#This Row],[Code]], allFYsTable[year2], FF$3)=0, NotFound, SUMIFS(allFYsTable[RevisedBudget], allFYsTable[Code], SummaryTable[[#This Row],[Code]], allFYsTable[year2], FF$3))</f>
        <v>#N/A</v>
      </c>
      <c r="FJ44" s="61" t="e">
        <f>IF(COUNTIFS(allFYsTable[Code], SummaryTable[[#This Row],[Code]], allFYsTable[year2], FF$3)=0, NotFound, SUMIFS(allFYsTable[Actual], allFYsTable[Code], SummaryTable[[#This Row],[Code]], allFYsTable[year2], FF$3))</f>
        <v>#N/A</v>
      </c>
      <c r="FK44" s="61" t="e">
        <f>IF(COUNTIFS(allFYsTable[Code], SummaryTable[[#This Row],[Code]], allFYsTable[year2], FF$3)=0, NotFound, SUMIFS(allFYsTable[DiffAmount], allFYsTable[Code], SummaryTable[[#This Row],[Code]], allFYsTable[year2], FF$3))</f>
        <v>#N/A</v>
      </c>
      <c r="FL44" s="63" t="e">
        <f>IF(SummaryTable[[#This Row],[OriginalBudget06]]=0, IF(SummaryTable[[#This Row],[DiffAmount06]]=0, ZeroBudgetNoSpending, ZeroBudgetWithSpending), SummaryTable[[#This Row],[DiffAmount06]]/SummaryTable[[#This Row],[OriginalBudget06]])</f>
        <v>#N/A</v>
      </c>
    </row>
    <row r="45" spans="1:168" x14ac:dyDescent="0.45">
      <c r="A45" t="s">
        <v>803</v>
      </c>
      <c r="B45">
        <f>_xlfn.MAXIFS(allFYsTable[year2], allFYsTable[Code], SummaryTable[[#This Row],[Code]])</f>
        <v>2025</v>
      </c>
      <c r="C45" t="str">
        <f>_xlfn.XLOOKUP(SummaryTable[[#This Row],[Code]], NameCodingTable[Code], NameCodingTable[Most Recent Category per allFYs])</f>
        <v>Operations and infrastructure</v>
      </c>
      <c r="D45" t="str">
        <f>_xlfn.XLOOKUP(SummaryTable[[#This Row],[Code]], NameCodingTable[Code], NameCodingTable[Unit Display Name])</f>
        <v>District Department of Transportation (DDOT)</v>
      </c>
      <c r="E45" t="str">
        <f>_xlfn.XLOOKUP(SummaryTable[[#This Row],[Code]], NameCodingTable[Code], NameCodingTable[Type])</f>
        <v>agency</v>
      </c>
      <c r="F4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4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7</v>
      </c>
      <c r="H45" s="54">
        <f>SummaryTable[[#This Row],['# Over]]/SummaryTable[[#This Row],[Count]]</f>
        <v>0.35</v>
      </c>
      <c r="I4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13</v>
      </c>
      <c r="J45" s="54">
        <f>SummaryTable[[#This Row],['# Under]]/SummaryTable[[#This Row],[Count]]</f>
        <v>0.65</v>
      </c>
      <c r="K4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45" s="54">
        <f>SummaryTable[[#This Row],['# Equal]]/SummaryTable[[#This Row],[Count]]</f>
        <v>0</v>
      </c>
      <c r="M45" s="61">
        <f>SUMIFS(allFYsTable[OriginalBudget],allFYsTable[Code],SummaryTable[[#This Row],[Code]])/SummaryTable[[#This Row],[Count]]</f>
        <v>78808.350000000006</v>
      </c>
      <c r="N45" s="61">
        <f>SUMIFS(allFYsTable[Actual],allFYsTable[Code],SummaryTable[[#This Row],[Code]])/SummaryTable[[#This Row],[Count]]</f>
        <v>78133.5</v>
      </c>
      <c r="O45" s="61">
        <f>SummaryTable[[#This Row],[AvgActAmt]]-SummaryTable[[#This Row],[AvgBudAmt]]</f>
        <v>-674.85000000000582</v>
      </c>
      <c r="P45" s="54">
        <f>IF(SummaryTable[[#This Row],[AvgBudAmt]]=0, IF(SummaryTable[[#This Row],[AvgDiff'#]]=0, 0, NamedFields!$C$3), SummaryTable[[#This Row],[AvgDiff'#]]/SummaryTable[[#This Row],[AvgBudAmt]])</f>
        <v>-8.5631789017281256E-3</v>
      </c>
      <c r="Q45" s="61">
        <f>IFERROR(SUMIFS(allFYsTable[OriginalBudget],allFYsTable[Code],SummaryTable[[#This Row],[Code]],allFYsTable[DiffAmount], "&gt;0")/SummaryTable[[#This Row],['# Over]], 0)</f>
        <v>71806.571428571435</v>
      </c>
      <c r="R45" s="61">
        <f>IFERROR(SUMIFS(allFYsTable[Actual],allFYsTable[Code],SummaryTable[[#This Row],[Code]],allFYsTable[DiffAmount], "&gt;0")/SummaryTable[[#This Row],['# Over]], 0)</f>
        <v>75150.428571428565</v>
      </c>
      <c r="S45" s="61">
        <f>SummaryTable[[#This Row],[OverAvgAct]]-SummaryTable[[#This Row],[OverAvgBud]]</f>
        <v>3343.8571428571304</v>
      </c>
      <c r="T45" s="54">
        <f>IF(SummaryTable[[#This Row],[OverAvgBud]]=0, IF(SummaryTable[[#This Row],[OverAvgDiff'#]]=0, ZeroBudgetNoSpending, ZeroBudgetWithSpending), SummaryTable[[#This Row],[OverAvgDiff'#]]/SummaryTable[[#This Row],[OverAvgBud]])</f>
        <v>4.6567564448936054E-2</v>
      </c>
      <c r="U45" s="61">
        <f>IFERROR(SUMIFS(allFYsTable[OriginalBudget],allFYsTable[Code],SummaryTable[[#This Row],[Code]],allFYsTable[DiffAmount], "&lt;0")/SummaryTable[[#This Row],['# Under]], 0)</f>
        <v>82578.538461538468</v>
      </c>
      <c r="V45" s="61">
        <f>IFERROR( SUMIFS(allFYsTable[Actual],allFYsTable[Code],SummaryTable[[#This Row],[Code]],allFYsTable[DiffAmount], "&lt;0")/SummaryTable[[#This Row],['# Under]], 0)</f>
        <v>79739.769230769234</v>
      </c>
      <c r="W45" s="61">
        <f>SummaryTable[[#This Row],[UnderAvgAct]]-SummaryTable[[#This Row],[UnderAvgBud]]</f>
        <v>-2838.7692307692341</v>
      </c>
      <c r="X45" s="54">
        <f>IF(SummaryTable[[#This Row],[UnderAvgBud]]=0, IF(SummaryTable[[#This Row],[UnderAvgDiff'#]]=0, ZeroBudgetNoSpending, NamedFields!$C$3), SummaryTable[[#This Row],[UnderAvgDiff'#]]/SummaryTable[[#This Row],[UnderAvgBud]])</f>
        <v>-3.4376598128960718E-2</v>
      </c>
      <c r="Y4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4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45" s="54">
        <f>IF(SummaryTable[[#This Row],[IncreaseYears]]=0, ZeroBudgetNoSpending, SummaryTable[[#This Row],[OSinIncreaseYear'#]]/SummaryTable[[#This Row],[IncreaseYears]])</f>
        <v>0</v>
      </c>
      <c r="AB45" s="58" t="str">
        <f>SummaryTable[[#This Row],[Code]]</f>
        <v>KA0</v>
      </c>
      <c r="AC45" s="62">
        <f>IF(COUNTIFS(allFYsTable[Code], SummaryTable[[#This Row],[Code]], allFYsTable[year2], AC$3)=0, NotFound, SUMIFS(allFYsTable[OriginalBudget], allFYsTable[Code], SummaryTable[[#This Row],[Code]], allFYsTable[year2], AC$3))</f>
        <v>134198</v>
      </c>
      <c r="AD45" s="61">
        <f>SummaryTable[[#This Row],[OriginalBudget25]]-SummaryTable[[#This Row],[OriginalBudget24]]</f>
        <v>-22218</v>
      </c>
      <c r="AE45" s="54">
        <f>SummaryTable[[#This Row],[BudgetIncreaseAmount25]]/SummaryTable[[#This Row],[OriginalBudget24]]</f>
        <v>-0.1420442921440262</v>
      </c>
      <c r="AF45" s="61">
        <f>IF(COUNTIFS(allFYsTable[Code], SummaryTable[[#This Row],[Code]], allFYsTable[year2], AC$3)=0, NotFound, SUMIFS(allFYsTable[RevisedBudget], allFYsTable[Code], SummaryTable[[#This Row],[Code]], allFYsTable[year2], AC$3))</f>
        <v>154550</v>
      </c>
      <c r="AG45" s="61">
        <f>IF(COUNTIFS(allFYsTable[Code], SummaryTable[[#This Row],[Code]], allFYsTable[year2], AC$3)=0, NotFound, SUMIFS(allFYsTable[Actual], allFYsTable[Code], SummaryTable[[#This Row],[Code]], allFYsTable[year2], AC$3))</f>
        <v>145938</v>
      </c>
      <c r="AH45" s="61">
        <f>IF(COUNTIFS(allFYsTable[Code], SummaryTable[[#This Row],[Code]], allFYsTable[year2], AC$3)=0, NotFound, SUMIFS(allFYsTable[DiffAmount], allFYsTable[Code], SummaryTable[[#This Row],[Code]], allFYsTable[year2], AC$3))</f>
        <v>11740</v>
      </c>
      <c r="AI45" s="63">
        <f>IF(SummaryTable[[#This Row],[OriginalBudget25]]=0, IF(SummaryTable[[#This Row],[DiffAmount25]]=0, ZeroBudgetNoSpending, ZeroBudgetWithSpending), SummaryTable[[#This Row],[DiffAmount25]]/SummaryTable[[#This Row],[OriginalBudget25]])</f>
        <v>8.7482674853574569E-2</v>
      </c>
      <c r="AJ45" s="62">
        <f>IF(COUNTIFS(allFYsTable[Code], SummaryTable[[#This Row],[Code]], allFYsTable[year2], AJ$3)=0, NotFound, SUMIFS(allFYsTable[OriginalBudget], allFYsTable[Code], SummaryTable[[#This Row],[Code]], allFYsTable[year2], AJ$3))</f>
        <v>156416</v>
      </c>
      <c r="AK45" s="61">
        <f>SummaryTable[[#This Row],[OriginalBudget24]]-SummaryTable[[#This Row],[OriginalBudget23]]</f>
        <v>6576</v>
      </c>
      <c r="AL45" s="54">
        <f>SummaryTable[[#This Row],[BudgetIncreaseAmount24]]/SummaryTable[[#This Row],[OriginalBudget23]]</f>
        <v>4.3886812600106781E-2</v>
      </c>
      <c r="AM45" s="61">
        <f>IF(COUNTIFS(allFYsTable[Code], SummaryTable[[#This Row],[Code]], allFYsTable[year2], AK$3)=0, NotFound, SUMIFS(allFYsTable[RevisedBudget], allFYsTable[Code], SummaryTable[[#This Row],[Code]], allFYsTable[year2], AJ$3))</f>
        <v>154446</v>
      </c>
      <c r="AN45" s="61">
        <f>IF(COUNTIFS(allFYsTable[Code], SummaryTable[[#This Row],[Code]], allFYsTable[year2], AJ$3)=0, NotFound, SUMIFS(allFYsTable[Actual], allFYsTable[Code], SummaryTable[[#This Row],[Code]], allFYsTable[year2], AJ$3))</f>
        <v>154160</v>
      </c>
      <c r="AO45" s="61">
        <f>IF(COUNTIFS(allFYsTable[Code], SummaryTable[[#This Row],[Code]], allFYsTable[year2], AJ$3)=0, NotFound, SUMIFS(allFYsTable[DiffAmount], allFYsTable[Code], SummaryTable[[#This Row],[Code]], allFYsTable[year2], AJ$3))</f>
        <v>-2256</v>
      </c>
      <c r="AP45" s="63">
        <f>IF(SummaryTable[[#This Row],[OriginalBudget24]]=0, IF(SummaryTable[[#This Row],[DiffAmount24]]=0, ZeroBudgetNoSpending, ZeroBudgetWithSpending), SummaryTable[[#This Row],[DiffAmount24]]/SummaryTable[[#This Row],[OriginalBudget24]])</f>
        <v>-1.4423076923076924E-2</v>
      </c>
      <c r="AQ45" s="62">
        <f>IF(COUNTIFS(allFYsTable[Code], SummaryTable[[#This Row],[Code]], allFYsTable[year2], AQ$3)=0, NotFound, SUMIFS(allFYsTable[OriginalBudget], allFYsTable[Code], SummaryTable[[#This Row],[Code]], allFYsTable[year2], AQ$3))</f>
        <v>149840</v>
      </c>
      <c r="AR45" s="61">
        <f>SummaryTable[[#This Row],[OriginalBudget23]]-SummaryTable[[#This Row],[OriginalBudget22]]</f>
        <v>16987</v>
      </c>
      <c r="AS45" s="54">
        <f>SummaryTable[[#This Row],[BudgetIncreaseAmount23]]/SummaryTable[[#This Row],[OriginalBudget22]]</f>
        <v>0.12786312691471025</v>
      </c>
      <c r="AT45" s="61">
        <f>IF(COUNTIFS(allFYsTable[Code], SummaryTable[[#This Row],[Code]], allFYsTable[year2], AQ$3)=0, NotFound, SUMIFS(allFYsTable[RevisedBudget], allFYsTable[Code], SummaryTable[[#This Row],[Code]], allFYsTable[year2], AQ$3))</f>
        <v>150100</v>
      </c>
      <c r="AU45" s="61">
        <f>IF(COUNTIFS(allFYsTable[Code], SummaryTable[[#This Row],[Code]], allFYsTable[year2], AQ$3)=0, NotFound, SUMIFS(allFYsTable[Actual], allFYsTable[Code], SummaryTable[[#This Row],[Code]], allFYsTable[year2], AQ$3))</f>
        <v>149446</v>
      </c>
      <c r="AV45" s="61">
        <f>IF(COUNTIFS(allFYsTable[Code], SummaryTable[[#This Row],[Code]], allFYsTable[year2], AQ$3)=0, NotFound, SUMIFS(allFYsTable[DiffAmount], allFYsTable[Code], SummaryTable[[#This Row],[Code]], allFYsTable[year2], AQ$3))</f>
        <v>-394</v>
      </c>
      <c r="AW45" s="63">
        <f>IF(SummaryTable[[#This Row],[OriginalBudget23]]=0, IF(SummaryTable[[#This Row],[DiffAmount23]]=0, ZeroBudgetNoSpending, ZeroBudgetWithSpending), SummaryTable[[#This Row],[DiffAmount23]]/SummaryTable[[#This Row],[OriginalBudget23]])</f>
        <v>-2.6294714361986119E-3</v>
      </c>
      <c r="AX45" s="62">
        <f>IF(COUNTIFS(allFYsTable[Code], SummaryTable[[#This Row],[Code]], allFYsTable[year2], AX$3)=0, NotFound, SUMIFS(allFYsTable[OriginalBudget], allFYsTable[Code], SummaryTable[[#This Row],[Code]], allFYsTable[year2], AX$3))</f>
        <v>132853</v>
      </c>
      <c r="AY45" s="61">
        <f>SummaryTable[[#This Row],[OriginalBudget22]]-SummaryTable[[#This Row],[OriginalBudget21]]</f>
        <v>21881</v>
      </c>
      <c r="AZ45" s="54">
        <f>SummaryTable[[#This Row],[BudgetIncreaseAmount22]]/SummaryTable[[#This Row],[OriginalBudget21]]</f>
        <v>0.19717586418195582</v>
      </c>
      <c r="BA45" s="61">
        <f>IF(COUNTIFS(allFYsTable[Code], SummaryTable[[#This Row],[Code]], allFYsTable[year2], AX$3)=0, NotFound, SUMIFS(allFYsTable[RevisedBudget], allFYsTable[Code], SummaryTable[[#This Row],[Code]], allFYsTable[year2], AX$3))</f>
        <v>124391</v>
      </c>
      <c r="BB45" s="61">
        <f>IF(COUNTIFS(allFYsTable[Code], SummaryTable[[#This Row],[Code]], allFYsTable[year2], AX$3)=0, NotFound, SUMIFS(allFYsTable[Actual], allFYsTable[Code], SummaryTable[[#This Row],[Code]], allFYsTable[year2], AX$3))</f>
        <v>123674</v>
      </c>
      <c r="BC45" s="61">
        <f>IF(COUNTIFS(allFYsTable[Code], SummaryTable[[#This Row],[Code]], allFYsTable[year2], AX$3)=0, NotFound, SUMIFS(allFYsTable[DiffAmount], allFYsTable[Code], SummaryTable[[#This Row],[Code]], allFYsTable[year2], AX$3))</f>
        <v>-9179</v>
      </c>
      <c r="BD45" s="63">
        <f>IF(SummaryTable[[#This Row],[OriginalBudget22]]=0, IF(SummaryTable[[#This Row],[DiffAmount22]]=0, ZeroBudgetNoSpending, ZeroBudgetWithSpending), SummaryTable[[#This Row],[DiffAmount22]]/SummaryTable[[#This Row],[OriginalBudget22]])</f>
        <v>-6.9091401774894062E-2</v>
      </c>
      <c r="BE45" s="62">
        <f>IF(COUNTIFS(allFYsTable[Code], SummaryTable[[#This Row],[Code]], allFYsTable[year2], BE$3)=0, NotFound, SUMIFS(allFYsTable[OriginalBudget], allFYsTable[Code], SummaryTable[[#This Row],[Code]], allFYsTable[year2], BE$3))</f>
        <v>110972</v>
      </c>
      <c r="BF45" s="61">
        <f>SummaryTable[[#This Row],[OriginalBudget21]]-SummaryTable[[#This Row],[OriginalBudget20]]</f>
        <v>2331</v>
      </c>
      <c r="BG45" s="54">
        <f>SummaryTable[[#This Row],[BudgetIncreaseAmount21]]/SummaryTable[[#This Row],[OriginalBudget20]]</f>
        <v>2.1455988070801998E-2</v>
      </c>
      <c r="BH45" s="61">
        <f>IF(COUNTIFS(allFYsTable[Code], SummaryTable[[#This Row],[Code]], allFYsTable[year2], BE$3)=0, NotFound, SUMIFS(allFYsTable[RevisedBudget], allFYsTable[Code], SummaryTable[[#This Row],[Code]], allFYsTable[year2], BE$3))</f>
        <v>107847</v>
      </c>
      <c r="BI45" s="61">
        <f>IF(COUNTIFS(allFYsTable[Code], SummaryTable[[#This Row],[Code]], allFYsTable[year2], BE$3)=0, NotFound, SUMIFS(allFYsTable[Actual], allFYsTable[Code], SummaryTable[[#This Row],[Code]], allFYsTable[year2], BE$3))</f>
        <v>107591</v>
      </c>
      <c r="BJ45" s="61">
        <f>IF(COUNTIFS(allFYsTable[Code], SummaryTable[[#This Row],[Code]], allFYsTable[year2], BE$3)=0, NotFound, SUMIFS(allFYsTable[DiffAmount], allFYsTable[Code], SummaryTable[[#This Row],[Code]], allFYsTable[year2], BE$3))</f>
        <v>-3381</v>
      </c>
      <c r="BK45" s="63">
        <f>IF(SummaryTable[[#This Row],[OriginalBudget21]]=0, IF(SummaryTable[[#This Row],[DiffAmount21]]=0, ZeroBudgetNoSpending, ZeroBudgetWithSpending), SummaryTable[[#This Row],[DiffAmount21]]/SummaryTable[[#This Row],[OriginalBudget21]])</f>
        <v>-3.0467144865371446E-2</v>
      </c>
      <c r="BL45" s="62">
        <f>IF(COUNTIFS(allFYsTable[Code], SummaryTable[[#This Row],[Code]], allFYsTable[year2], BL$3)=0, NotFound, SUMIFS(allFYsTable[OriginalBudget], allFYsTable[Code], SummaryTable[[#This Row],[Code]], allFYsTable[year2], BL$3))</f>
        <v>108641</v>
      </c>
      <c r="BM45" s="61">
        <f>SummaryTable[[#This Row],[OriginalBudget20]]-SummaryTable[[#This Row],[OriginalBudget19]]</f>
        <v>1058</v>
      </c>
      <c r="BN45" s="54">
        <f>SummaryTable[[#This Row],[BudgetIncreaseAmount20]]/SummaryTable[[#This Row],[OriginalBudget19]]</f>
        <v>9.8342674957939448E-3</v>
      </c>
      <c r="BO45" s="61">
        <f>IF(COUNTIFS(allFYsTable[Code], SummaryTable[[#This Row],[Code]], allFYsTable[year2], BL$3)=0, NotFound, SUMIFS(allFYsTable[RevisedBudget], allFYsTable[Code], SummaryTable[[#This Row],[Code]], allFYsTable[year2], BL$3))</f>
        <v>112894</v>
      </c>
      <c r="BP45" s="61">
        <f>IF(COUNTIFS(allFYsTable[Code], SummaryTable[[#This Row],[Code]], allFYsTable[year2], BL$3)=0, NotFound, SUMIFS(allFYsTable[Actual], allFYsTable[Code], SummaryTable[[#This Row],[Code]], allFYsTable[year2], BL$3))</f>
        <v>111085</v>
      </c>
      <c r="BQ45" s="61">
        <f>IF(COUNTIFS(allFYsTable[Code], SummaryTable[[#This Row],[Code]], allFYsTable[year2], BL$3)=0, NotFound, SUMIFS(allFYsTable[DiffAmount], allFYsTable[Code], SummaryTable[[#This Row],[Code]], allFYsTable[year2], BL$3))</f>
        <v>2444</v>
      </c>
      <c r="BR45" s="63">
        <f>IF(SummaryTable[[#This Row],[OriginalBudget20]]=0, IF(SummaryTable[[#This Row],[DiffAmount20]]=0, ZeroBudgetNoSpending, ZeroBudgetWithSpending), SummaryTable[[#This Row],[DiffAmount20]]/SummaryTable[[#This Row],[OriginalBudget20]])</f>
        <v>2.2496111044633241E-2</v>
      </c>
      <c r="BS45" s="62">
        <f>IF(COUNTIFS(allFYsTable[Code], SummaryTable[[#This Row],[Code]], allFYsTable[year2], BS$3)=0, NotFound, SUMIFS(allFYsTable[OriginalBudget], allFYsTable[Code], SummaryTable[[#This Row],[Code]], allFYsTable[year2], BS$3))</f>
        <v>107583</v>
      </c>
      <c r="BT45" s="61">
        <f>SummaryTable[[#This Row],[OriginalBudget19]]-SummaryTable[[#This Row],[OriginalBudget18]]</f>
        <v>24680</v>
      </c>
      <c r="BU45" s="54">
        <f>SummaryTable[[#This Row],[BudgetIncreaseAmount19]]/SummaryTable[[#This Row],[OriginalBudget18]]</f>
        <v>0.29769730890317603</v>
      </c>
      <c r="BV45" s="61">
        <f>IF(COUNTIFS(allFYsTable[Code], SummaryTable[[#This Row],[Code]], allFYsTable[year2], BS$3)=0, NotFound, SUMIFS(allFYsTable[RevisedBudget], allFYsTable[Code], SummaryTable[[#This Row],[Code]], allFYsTable[year2], BS$3))</f>
        <v>106154</v>
      </c>
      <c r="BW45" s="61">
        <f>IF(COUNTIFS(allFYsTable[Code], SummaryTable[[#This Row],[Code]], allFYsTable[year2], BS$3)=0, NotFound, SUMIFS(allFYsTable[Actual], allFYsTable[Code], SummaryTable[[#This Row],[Code]], allFYsTable[year2], BS$3))</f>
        <v>105971</v>
      </c>
      <c r="BX45" s="61">
        <f>IF(COUNTIFS(allFYsTable[Code], SummaryTable[[#This Row],[Code]], allFYsTable[year2], BS$3)=0, NotFound, SUMIFS(allFYsTable[DiffAmount], allFYsTable[Code], SummaryTable[[#This Row],[Code]], allFYsTable[year2], BS$3))</f>
        <v>-1612</v>
      </c>
      <c r="BY45" s="63">
        <f>IF(SummaryTable[[#This Row],[OriginalBudget19]]=0, IF(SummaryTable[[#This Row],[DiffAmount19]]=0, ZeroBudgetNoSpending, ZeroBudgetWithSpending), SummaryTable[[#This Row],[DiffAmount19]]/SummaryTable[[#This Row],[OriginalBudget19]])</f>
        <v>-1.4983779965236144E-2</v>
      </c>
      <c r="BZ45" s="62">
        <f>IF(COUNTIFS(allFYsTable[Code], SummaryTable[[#This Row],[Code]], allFYsTable[year2], BZ$3)=0, NotFound, SUMIFS(allFYsTable[OriginalBudget], allFYsTable[Code], SummaryTable[[#This Row],[Code]], allFYsTable[year2], BZ$3))</f>
        <v>82903</v>
      </c>
      <c r="CA45" s="61">
        <f>SummaryTable[[#This Row],[OriginalBudget18]]-SummaryTable[[#This Row],[OriginalBudget17]]</f>
        <v>7498</v>
      </c>
      <c r="CB45" s="54">
        <f>SummaryTable[[#This Row],[BudgetIncreaseAmount18]]/SummaryTable[[#This Row],[OriginalBudget17]]</f>
        <v>9.9436376898083684E-2</v>
      </c>
      <c r="CC45" s="61">
        <f>IF(COUNTIFS(allFYsTable[Code], SummaryTable[[#This Row],[Code]], allFYsTable[year2], BZ$3)=0, NotFound, SUMIFS(allFYsTable[RevisedBudget], allFYsTable[Code], SummaryTable[[#This Row],[Code]], allFYsTable[year2], BZ$3))</f>
        <v>84218</v>
      </c>
      <c r="CD45" s="61">
        <f>IF(COUNTIFS(allFYsTable[Code], SummaryTable[[#This Row],[Code]], allFYsTable[year2], BZ$3)=0, NotFound, SUMIFS(allFYsTable[Actual], allFYsTable[Code], SummaryTable[[#This Row],[Code]], allFYsTable[year2], BZ$3))</f>
        <v>83892</v>
      </c>
      <c r="CE45" s="61">
        <f>IF(COUNTIFS(allFYsTable[Code], SummaryTable[[#This Row],[Code]], allFYsTable[year2], BZ$3)=0, NotFound, SUMIFS(allFYsTable[DiffAmount], allFYsTable[Code], SummaryTable[[#This Row],[Code]], allFYsTable[year2], BZ$3))</f>
        <v>989</v>
      </c>
      <c r="CF45" s="63">
        <f>IF(SummaryTable[[#This Row],[OriginalBudget18]]=0, IF(SummaryTable[[#This Row],[DiffAmount18]]=0, ZeroBudgetNoSpending, ZeroBudgetWithSpending), SummaryTable[[#This Row],[DiffAmount18]]/SummaryTable[[#This Row],[OriginalBudget18]])</f>
        <v>1.1929604477521923E-2</v>
      </c>
      <c r="CG45" s="62">
        <f>IF(COUNTIFS(allFYsTable[Code], SummaryTable[[#This Row],[Code]], allFYsTable[year2], CG$3)=0, NotFound, SUMIFS(allFYsTable[OriginalBudget], allFYsTable[Code], SummaryTable[[#This Row],[Code]], allFYsTable[year2], CG$3))</f>
        <v>75405</v>
      </c>
      <c r="CH45" s="61">
        <f>SummaryTable[[#This Row],[OriginalBudget17]]-SummaryTable[[#This Row],[OriginalBudget16]]</f>
        <v>-9620</v>
      </c>
      <c r="CI45" s="54">
        <f>SummaryTable[[#This Row],[BudgetIncreaseAmount17]]/SummaryTable[[#This Row],[OriginalBudget16]]</f>
        <v>-0.11314319317847692</v>
      </c>
      <c r="CJ45" s="61">
        <f>IF(COUNTIFS(allFYsTable[Code], SummaryTable[[#This Row],[Code]], allFYsTable[year2], CG$3)=0, NotFound, SUMIFS(allFYsTable[RevisedBudget], allFYsTable[Code], SummaryTable[[#This Row],[Code]], allFYsTable[year2], CG$3))</f>
        <v>75345</v>
      </c>
      <c r="CK45" s="61">
        <f>IF(COUNTIFS(allFYsTable[Code], SummaryTable[[#This Row],[Code]], allFYsTable[year2], CG$3)=0, NotFound, SUMIFS(allFYsTable[Actual], allFYsTable[Code], SummaryTable[[#This Row],[Code]], allFYsTable[year2], CG$3))</f>
        <v>70155</v>
      </c>
      <c r="CL45" s="61">
        <f>IF(COUNTIFS(allFYsTable[Code], SummaryTable[[#This Row],[Code]], allFYsTable[year2], CG$3)=0, NotFound, SUMIFS(allFYsTable[DiffAmount], allFYsTable[Code], SummaryTable[[#This Row],[Code]], allFYsTable[year2], CG$3))</f>
        <v>-5250</v>
      </c>
      <c r="CM45" s="63">
        <f>IF(SummaryTable[[#This Row],[OriginalBudget17]]=0, IF(SummaryTable[[#This Row],[DiffAmount17]]=0, ZeroBudgetNoSpending, ZeroBudgetWithSpending), SummaryTable[[#This Row],[DiffAmount17]]/SummaryTable[[#This Row],[OriginalBudget17]])</f>
        <v>-6.9624030236721701E-2</v>
      </c>
      <c r="CN45" s="62">
        <f>IF(COUNTIFS(allFYsTable[Code], SummaryTable[[#This Row],[Code]], allFYsTable[year2], CN$3)=0, NotFound, SUMIFS(allFYsTable[OriginalBudget], allFYsTable[Code], SummaryTable[[#This Row],[Code]], allFYsTable[year2], CN$3))</f>
        <v>85025</v>
      </c>
      <c r="CO45" s="61">
        <f>SummaryTable[[#This Row],[OriginalBudget16]]-SummaryTable[[#This Row],[OriginalBudget15]]</f>
        <v>4239</v>
      </c>
      <c r="CP45" s="54">
        <f>SummaryTable[[#This Row],[BudgetIncreaseAmount16]]/SummaryTable[[#This Row],[OriginalBudget15]]</f>
        <v>5.2471962963879883E-2</v>
      </c>
      <c r="CQ45" s="61">
        <f>IF(COUNTIFS(allFYsTable[Code], SummaryTable[[#This Row],[Code]], allFYsTable[year2], CN$3)=0, NotFound, SUMIFS(allFYsTable[RevisedBudget], allFYsTable[Code], SummaryTable[[#This Row],[Code]], allFYsTable[year2], CN$3))</f>
        <v>82066</v>
      </c>
      <c r="CR45" s="61">
        <f>IF(COUNTIFS(allFYsTable[Code], SummaryTable[[#This Row],[Code]], allFYsTable[year2], CN$3)=0, NotFound, SUMIFS(allFYsTable[Actual], allFYsTable[Code], SummaryTable[[#This Row],[Code]], allFYsTable[year2], CN$3))</f>
        <v>81680</v>
      </c>
      <c r="CS45" s="61">
        <f>IF(COUNTIFS(allFYsTable[Code], SummaryTable[[#This Row],[Code]], allFYsTable[year2], CN$3)=0, NotFound, SUMIFS(allFYsTable[DiffAmount], allFYsTable[Code], SummaryTable[[#This Row],[Code]], allFYsTable[year2], CN$3))</f>
        <v>-3345</v>
      </c>
      <c r="CT45" s="63">
        <f>IF(SummaryTable[[#This Row],[OriginalBudget16]]=0, IF(SummaryTable[[#This Row],[DiffAmount16]]=0, ZeroBudgetNoSpending, ZeroBudgetWithSpending), SummaryTable[[#This Row],[DiffAmount16]]/SummaryTable[[#This Row],[OriginalBudget16]])</f>
        <v>-3.9341370185239637E-2</v>
      </c>
      <c r="CU45" s="62">
        <f>IF(COUNTIFS(allFYsTable[Code], SummaryTable[[#This Row],[Code]], allFYsTable[year2], CU$3)=0, NotFound, SUMIFS(allFYsTable[OriginalBudget], allFYsTable[Code], SummaryTable[[#This Row],[Code]], allFYsTable[year2], CU$3))</f>
        <v>80786</v>
      </c>
      <c r="CV45" s="61">
        <f>SummaryTable[[#This Row],[OriginalBudget15]]-SummaryTable[[#This Row],[OriginalBudget14]]</f>
        <v>4073</v>
      </c>
      <c r="CW45" s="54">
        <f>SummaryTable[[#This Row],[BudgetIncreaseAmount15]]/SummaryTable[[#This Row],[OriginalBudget14]]</f>
        <v>5.3093999713216794E-2</v>
      </c>
      <c r="CX45" s="61">
        <f>IF(COUNTIFS(allFYsTable[Code], SummaryTable[[#This Row],[Code]], allFYsTable[year2], CU$3)=0, NotFound, SUMIFS(allFYsTable[RevisedBudget], allFYsTable[Code], SummaryTable[[#This Row],[Code]], allFYsTable[year2], CU$3))</f>
        <v>76645</v>
      </c>
      <c r="CY45" s="61">
        <f>IF(COUNTIFS(allFYsTable[Code], SummaryTable[[#This Row],[Code]], allFYsTable[year2], CU$3)=0, NotFound, SUMIFS(allFYsTable[Actual], allFYsTable[Code], SummaryTable[[#This Row],[Code]], allFYsTable[year2], CU$3))</f>
        <v>75050</v>
      </c>
      <c r="CZ45" s="61">
        <f>IF(COUNTIFS(allFYsTable[Code], SummaryTable[[#This Row],[Code]], allFYsTable[year2], CU$3)=0, NotFound, SUMIFS(allFYsTable[DiffAmount], allFYsTable[Code], SummaryTable[[#This Row],[Code]], allFYsTable[year2], CU$3))</f>
        <v>-5736</v>
      </c>
      <c r="DA45" s="63">
        <f>IF(SummaryTable[[#This Row],[OriginalBudget15]]=0, IF(SummaryTable[[#This Row],[DiffAmount15]]=0, ZeroBudgetNoSpending, ZeroBudgetWithSpending), SummaryTable[[#This Row],[DiffAmount15]]/SummaryTable[[#This Row],[OriginalBudget15]])</f>
        <v>-7.1002401406184246E-2</v>
      </c>
      <c r="DB45" s="62">
        <f>IF(COUNTIFS(allFYsTable[Code], SummaryTable[[#This Row],[Code]], allFYsTable[year2], DB$3)=0, NotFound, SUMIFS(allFYsTable[OriginalBudget], allFYsTable[Code], SummaryTable[[#This Row],[Code]], allFYsTable[year2], DB$3))</f>
        <v>76713</v>
      </c>
      <c r="DC45" s="61">
        <f>SummaryTable[[#This Row],[OriginalBudget14]]-SummaryTable[[#This Row],[OriginalBudget13]]</f>
        <v>11531</v>
      </c>
      <c r="DD45" s="54">
        <f>SummaryTable[[#This Row],[BudgetIncreaseAmount14]]/SummaryTable[[#This Row],[OriginalBudget13]]</f>
        <v>0.17690466693258874</v>
      </c>
      <c r="DE45" s="61">
        <f>IF(COUNTIFS(allFYsTable[Code], SummaryTable[[#This Row],[Code]], allFYsTable[year2], DB$3)=0, NotFound, SUMIFS(allFYsTable[RevisedBudget], allFYsTable[Code], SummaryTable[[#This Row],[Code]], allFYsTable[year2], DB$3))</f>
        <v>79723</v>
      </c>
      <c r="DF45" s="61">
        <f>IF(COUNTIFS(allFYsTable[Code], SummaryTable[[#This Row],[Code]], allFYsTable[year2], DB$3)=0, NotFound, SUMIFS(allFYsTable[Actual], allFYsTable[Code], SummaryTable[[#This Row],[Code]], allFYsTable[year2], DB$3))</f>
        <v>74187</v>
      </c>
      <c r="DG45" s="61">
        <f>IF(COUNTIFS(allFYsTable[Code], SummaryTable[[#This Row],[Code]], allFYsTable[year2], DB$3)=0, NotFound, SUMIFS(allFYsTable[DiffAmount], allFYsTable[Code], SummaryTable[[#This Row],[Code]], allFYsTable[year2], DB$3))</f>
        <v>-2526</v>
      </c>
      <c r="DH45" s="63">
        <f>IF(SummaryTable[[#This Row],[OriginalBudget14]]=0, IF(SummaryTable[[#This Row],[DiffAmount14]]=0, ZeroBudgetNoSpending, ZeroBudgetWithSpending), SummaryTable[[#This Row],[DiffAmount14]]/SummaryTable[[#This Row],[OriginalBudget14]])</f>
        <v>-3.2927926166360331E-2</v>
      </c>
      <c r="DI45" s="62">
        <f>IF(COUNTIFS(allFYsTable[Code], SummaryTable[[#This Row],[Code]], allFYsTable[year2], DI$3)=0, NotFound, SUMIFS(allFYsTable[OriginalBudget], allFYsTable[Code], SummaryTable[[#This Row],[Code]], allFYsTable[year2], DI$3))</f>
        <v>65182</v>
      </c>
      <c r="DJ45" s="61">
        <f>SummaryTable[[#This Row],[OriginalBudget13]]-SummaryTable[[#This Row],[OriginalBudget12]]</f>
        <v>-54197</v>
      </c>
      <c r="DK45" s="54">
        <f>SummaryTable[[#This Row],[BudgetIncreaseAmount13]]/SummaryTable[[#This Row],[OriginalBudget12]]</f>
        <v>-0.4539910704562779</v>
      </c>
      <c r="DL45" s="61">
        <f>IF(COUNTIFS(allFYsTable[Code], SummaryTable[[#This Row],[Code]], allFYsTable[year2], DI$3)=0, NotFound, SUMIFS(allFYsTable[RevisedBudget], allFYsTable[Code], SummaryTable[[#This Row],[Code]], allFYsTable[year2], DI$3))</f>
        <v>62182</v>
      </c>
      <c r="DM45" s="61">
        <f>IF(COUNTIFS(allFYsTable[Code], SummaryTable[[#This Row],[Code]], allFYsTable[year2], DI$3)=0, NotFound, SUMIFS(allFYsTable[Actual], allFYsTable[Code], SummaryTable[[#This Row],[Code]], allFYsTable[year2], DI$3))</f>
        <v>62043</v>
      </c>
      <c r="DN45" s="61">
        <f>IF(COUNTIFS(allFYsTable[Code], SummaryTable[[#This Row],[Code]], allFYsTable[year2], DI$3)=0, NotFound, SUMIFS(allFYsTable[DiffAmount], allFYsTable[Code], SummaryTable[[#This Row],[Code]], allFYsTable[year2], DI$3))</f>
        <v>-3139</v>
      </c>
      <c r="DO45" s="63">
        <f>IF(SummaryTable[[#This Row],[OriginalBudget13]]=0, IF(SummaryTable[[#This Row],[DiffAmount13]]=0, ZeroBudgetNoSpending, ZeroBudgetWithSpending), SummaryTable[[#This Row],[DiffAmount13]]/SummaryTable[[#This Row],[OriginalBudget13]])</f>
        <v>-4.8157466785308828E-2</v>
      </c>
      <c r="DP45" s="62">
        <f>IF(COUNTIFS(allFYsTable[Code], SummaryTable[[#This Row],[Code]], allFYsTable[year2], DP$3)=0, NotFound, SUMIFS(allFYsTable[OriginalBudget], allFYsTable[Code], SummaryTable[[#This Row],[Code]], allFYsTable[year2], DP$3))</f>
        <v>119379</v>
      </c>
      <c r="DQ45" s="61">
        <f>SummaryTable[[#This Row],[OriginalBudget12]]-SummaryTable[[#This Row],[OriginalBudget11]]</f>
        <v>101439</v>
      </c>
      <c r="DR45" s="54">
        <f>SummaryTable[[#This Row],[BudgetIncreaseAmount12]]/SummaryTable[[#This Row],[OriginalBudget11]]</f>
        <v>5.6543478260869566</v>
      </c>
      <c r="DS45" s="61">
        <f>IF(COUNTIFS(allFYsTable[Code], SummaryTable[[#This Row],[Code]], allFYsTable[year2], DP$3)=0, NotFound, SUMIFS(allFYsTable[RevisedBudget], allFYsTable[Code], SummaryTable[[#This Row],[Code]], allFYsTable[year2], DP$3))</f>
        <v>119657</v>
      </c>
      <c r="DT45" s="61">
        <f>IF(COUNTIFS(allFYsTable[Code], SummaryTable[[#This Row],[Code]], allFYsTable[year2], DP$3)=0, NotFound, SUMIFS(allFYsTable[Actual], allFYsTable[Code], SummaryTable[[#This Row],[Code]], allFYsTable[year2], DP$3))</f>
        <v>119485</v>
      </c>
      <c r="DU45" s="61">
        <f>IF(COUNTIFS(allFYsTable[Code], SummaryTable[[#This Row],[Code]], allFYsTable[year2], DP$3)=0, NotFound, SUMIFS(allFYsTable[DiffAmount], allFYsTable[Code], SummaryTable[[#This Row],[Code]], allFYsTable[year2], DP$3))</f>
        <v>106</v>
      </c>
      <c r="DV45" s="63">
        <f>IF(SummaryTable[[#This Row],[OriginalBudget12]]=0, IF(SummaryTable[[#This Row],[DiffAmount12]]=0, ZeroBudgetNoSpending, ZeroBudgetWithSpending), SummaryTable[[#This Row],[DiffAmount12]]/SummaryTable[[#This Row],[OriginalBudget12]])</f>
        <v>8.8792836260983925E-4</v>
      </c>
      <c r="DW45" s="62">
        <f>IF(COUNTIFS(allFYsTable[Code], SummaryTable[[#This Row],[Code]], allFYsTable[year2], DW$3)=0, NotFound, SUMIFS(allFYsTable[OriginalBudget], allFYsTable[Code], SummaryTable[[#This Row],[Code]], allFYsTable[year2], DW$3))</f>
        <v>17940</v>
      </c>
      <c r="DX45" s="61">
        <f>SummaryTable[[#This Row],[OriginalBudget11]]-SummaryTable[[#This Row],[OriginalBudget10]]</f>
        <v>4897</v>
      </c>
      <c r="DY45" s="54">
        <f>SummaryTable[[#This Row],[BudgetIncreaseAmount11]]/SummaryTable[[#This Row],[OriginalBudget10]]</f>
        <v>0.37545043318255</v>
      </c>
      <c r="DZ45" s="61">
        <f>IF(COUNTIFS(allFYsTable[Code], SummaryTable[[#This Row],[Code]], allFYsTable[year2], DW$3)=0, NotFound, SUMIFS(allFYsTable[RevisedBudget], allFYsTable[Code], SummaryTable[[#This Row],[Code]], allFYsTable[year2], DW$3))</f>
        <v>17940</v>
      </c>
      <c r="EA45" s="61">
        <f>IF(COUNTIFS(allFYsTable[Code], SummaryTable[[#This Row],[Code]], allFYsTable[year2], DW$3)=0, NotFound, SUMIFS(allFYsTable[Actual], allFYsTable[Code], SummaryTable[[#This Row],[Code]], allFYsTable[year2], DW$3))</f>
        <v>17937</v>
      </c>
      <c r="EB45" s="61">
        <f>IF(COUNTIFS(allFYsTable[Code], SummaryTable[[#This Row],[Code]], allFYsTable[year2], DW$3)=0, NotFound, SUMIFS(allFYsTable[DiffAmount], allFYsTable[Code], SummaryTable[[#This Row],[Code]], allFYsTable[year2], DW$3))</f>
        <v>-3</v>
      </c>
      <c r="EC45" s="63">
        <f>IF(SummaryTable[[#This Row],[OriginalBudget11]]=0, IF(SummaryTable[[#This Row],[DiffAmount11]]=0, ZeroBudgetNoSpending, ZeroBudgetWithSpending), SummaryTable[[#This Row],[DiffAmount11]]/SummaryTable[[#This Row],[OriginalBudget11]])</f>
        <v>-1.6722408026755852E-4</v>
      </c>
      <c r="ED45" s="62">
        <f>IF(COUNTIFS(allFYsTable[Code], SummaryTable[[#This Row],[Code]], allFYsTable[year2], ED$3)=0, NotFound, SUMIFS(allFYsTable[OriginalBudget], allFYsTable[Code], SummaryTable[[#This Row],[Code]], allFYsTable[year2], ED$3))</f>
        <v>13043</v>
      </c>
      <c r="EE45" s="61">
        <f>SummaryTable[[#This Row],[OriginalBudget10]]-SummaryTable[[#This Row],[OriginalBudget09]]</f>
        <v>-1763</v>
      </c>
      <c r="EF45" s="54">
        <f>SummaryTable[[#This Row],[BudgetIncreaseAmount10]]/SummaryTable[[#This Row],[OriginalBudget09]]</f>
        <v>-0.11907334864244225</v>
      </c>
      <c r="EG45" s="61">
        <f>IF(COUNTIFS(allFYsTable[Code], SummaryTable[[#This Row],[Code]], allFYsTable[year2], ED$3)=0, NotFound, SUMIFS(allFYsTable[RevisedBudget], allFYsTable[Code], SummaryTable[[#This Row],[Code]], allFYsTable[year2], ED$3))</f>
        <v>18410</v>
      </c>
      <c r="EH45" s="61">
        <f>IF(COUNTIFS(allFYsTable[Code], SummaryTable[[#This Row],[Code]], allFYsTable[year2], ED$3)=0, NotFound, SUMIFS(allFYsTable[Actual], allFYsTable[Code], SummaryTable[[#This Row],[Code]], allFYsTable[year2], ED$3))</f>
        <v>18409</v>
      </c>
      <c r="EI45" s="61">
        <f>IF(COUNTIFS(allFYsTable[Code], SummaryTable[[#This Row],[Code]], allFYsTable[year2], ED$3)=0, NotFound, SUMIFS(allFYsTable[DiffAmount], allFYsTable[Code], SummaryTable[[#This Row],[Code]], allFYsTable[year2], ED$3))</f>
        <v>5366</v>
      </c>
      <c r="EJ45" s="63">
        <f>IF(SummaryTable[[#This Row],[OriginalBudget10]]=0, IF(SummaryTable[[#This Row],[DiffAmount10]]=0, ZeroBudgetNoSpending, ZeroBudgetWithSpending), SummaryTable[[#This Row],[DiffAmount10]]/SummaryTable[[#This Row],[OriginalBudget10]])</f>
        <v>0.41140841830867131</v>
      </c>
      <c r="EK45" s="62">
        <f>IF(COUNTIFS(allFYsTable[Code], SummaryTable[[#This Row],[Code]], allFYsTable[year2], EK$3)=0, NotFound, SUMIFS(allFYsTable[OriginalBudget], allFYsTable[Code], SummaryTable[[#This Row],[Code]], allFYsTable[year2], EK$3))</f>
        <v>14806</v>
      </c>
      <c r="EL45" s="61">
        <f>SummaryTable[[#This Row],[OriginalBudget09]]-SummaryTable[[#This Row],[OriginalBudget08]]</f>
        <v>-2861</v>
      </c>
      <c r="EM45" s="54">
        <f>SummaryTable[[#This Row],[BudgetIncreaseAmount09]]/SummaryTable[[#This Row],[OriginalBudget08]]</f>
        <v>-0.16194034074828778</v>
      </c>
      <c r="EN45" s="61">
        <f>IF(COUNTIFS(allFYsTable[Code], SummaryTable[[#This Row],[Code]], allFYsTable[year2], EK$3)=0, NotFound, SUMIFS(allFYsTable[RevisedBudget], allFYsTable[Code], SummaryTable[[#This Row],[Code]], allFYsTable[year2], EK$3))</f>
        <v>14729</v>
      </c>
      <c r="EO45" s="61">
        <f>IF(COUNTIFS(allFYsTable[Code], SummaryTable[[#This Row],[Code]], allFYsTable[year2], EK$3)=0, NotFound, SUMIFS(allFYsTable[Actual], allFYsTable[Code], SummaryTable[[#This Row],[Code]], allFYsTable[year2], EK$3))</f>
        <v>14729</v>
      </c>
      <c r="EP45" s="61">
        <f>IF(COUNTIFS(allFYsTable[Code], SummaryTable[[#This Row],[Code]], allFYsTable[year2], EK$3)=0, NotFound, SUMIFS(allFYsTable[DiffAmount], allFYsTable[Code], SummaryTable[[#This Row],[Code]], allFYsTable[year2], EK$3))</f>
        <v>-77</v>
      </c>
      <c r="EQ45" s="63">
        <f>IF(SummaryTable[[#This Row],[OriginalBudget09]]=0, IF(SummaryTable[[#This Row],[DiffAmount09]]=0, ZeroBudgetNoSpending, ZeroBudgetWithSpending), SummaryTable[[#This Row],[DiffAmount09]]/SummaryTable[[#This Row],[OriginalBudget09]])</f>
        <v>-5.2005943536404158E-3</v>
      </c>
      <c r="ER45" s="62">
        <f>IF(COUNTIFS(allFYsTable[Code], SummaryTable[[#This Row],[Code]], allFYsTable[year2], ER$3)=0, NotFound, SUMIFS(allFYsTable[OriginalBudget], allFYsTable[Code], SummaryTable[[#This Row],[Code]], allFYsTable[year2], ER$3))</f>
        <v>17667</v>
      </c>
      <c r="ES45" s="61">
        <f>SummaryTable[[#This Row],[OriginalBudget08]]-SummaryTable[[#This Row],[OriginalBudget07]]</f>
        <v>17667</v>
      </c>
      <c r="ET45" s="54" t="e">
        <f>SummaryTable[[#This Row],[BudgetIncreaseAmount08]]/SummaryTable[[#This Row],[OriginalBudget07]]</f>
        <v>#DIV/0!</v>
      </c>
      <c r="EU45" s="61">
        <f>IF(COUNTIFS(allFYsTable[Code], SummaryTable[[#This Row],[Code]], allFYsTable[year2], ER$3)=0, NotFound, SUMIFS(allFYsTable[RevisedBudget], allFYsTable[Code], SummaryTable[[#This Row],[Code]], allFYsTable[year2], ER$3))</f>
        <v>18523</v>
      </c>
      <c r="EV45" s="61">
        <f>IF(COUNTIFS(allFYsTable[Code], SummaryTable[[#This Row],[Code]], allFYsTable[year2], ER$3)=0, NotFound, SUMIFS(allFYsTable[Actual], allFYsTable[Code], SummaryTable[[#This Row],[Code]], allFYsTable[year2], ER$3))</f>
        <v>18450</v>
      </c>
      <c r="EW45" s="61">
        <f>IF(COUNTIFS(allFYsTable[Code], SummaryTable[[#This Row],[Code]], allFYsTable[year2], ER$3)=0, NotFound, SUMIFS(allFYsTable[DiffAmount], allFYsTable[Code], SummaryTable[[#This Row],[Code]], allFYsTable[year2], ER$3))</f>
        <v>783</v>
      </c>
      <c r="EX45" s="63">
        <f>IF(SummaryTable[[#This Row],[OriginalBudget08]]=0, IF(SummaryTable[[#This Row],[DiffAmount08]]=0, ZeroBudgetNoSpending, ZeroBudgetWithSpending), SummaryTable[[#This Row],[DiffAmount08]]/SummaryTable[[#This Row],[OriginalBudget08]])</f>
        <v>4.431991849210392E-2</v>
      </c>
      <c r="EY45" s="62">
        <f>IF(COUNTIFS(allFYsTable[Code], SummaryTable[[#This Row],[Code]], allFYsTable[year2], EY$3)=0, NotFound, SUMIFS(allFYsTable[OriginalBudget], allFYsTable[Code], SummaryTable[[#This Row],[Code]], allFYsTable[year2], EY$3))</f>
        <v>0</v>
      </c>
      <c r="EZ45" s="61">
        <f>SummaryTable[[#This Row],[OriginalBudget07]]-SummaryTable[[#This Row],[OriginalBudget06]]</f>
        <v>0</v>
      </c>
      <c r="FA45" s="54" t="e">
        <f>SummaryTable[[#This Row],[BudgetIncreaseAmount07]]/SummaryTable[[#This Row],[OriginalBudget06]]</f>
        <v>#DIV/0!</v>
      </c>
      <c r="FB45" s="61">
        <f>IF(COUNTIFS(allFYsTable[Code], SummaryTable[[#This Row],[Code]], allFYsTable[year2], EY$3)=0, NotFound, SUMIFS(allFYsTable[RevisedBudget], allFYsTable[Code], SummaryTable[[#This Row],[Code]], allFYsTable[year2], EY$3))</f>
        <v>0</v>
      </c>
      <c r="FC45" s="61">
        <f>IF(COUNTIFS(allFYsTable[Code], SummaryTable[[#This Row],[Code]], allFYsTable[year2], EY$3)=0, NotFound, SUMIFS(allFYsTable[Actual], allFYsTable[Code], SummaryTable[[#This Row],[Code]], allFYsTable[year2], EY$3))</f>
        <v>-6</v>
      </c>
      <c r="FD45" s="61">
        <f>IF(COUNTIFS(allFYsTable[Code], SummaryTable[[#This Row],[Code]], allFYsTable[year2], EY$3)=0, NotFound, SUMIFS(allFYsTable[DiffAmount], allFYsTable[Code], SummaryTable[[#This Row],[Code]], allFYsTable[year2], EY$3))</f>
        <v>-6</v>
      </c>
      <c r="FE45" s="63">
        <f>IF(SummaryTable[[#This Row],[OriginalBudget07]]=0, IF(SummaryTable[[#This Row],[DiffAmount07]]=0, ZeroBudgetNoSpending, ZeroBudgetWithSpending), SummaryTable[[#This Row],[DiffAmount07]]/SummaryTable[[#This Row],[OriginalBudget07]])</f>
        <v>99.99</v>
      </c>
      <c r="FF45" s="62">
        <f>IF(COUNTIFS(allFYsTable[Code], SummaryTable[[#This Row],[Code]], allFYsTable[year2], FF$3)=0, NotFound, SUMIFS(allFYsTable[OriginalBudget], allFYsTable[Code], SummaryTable[[#This Row],[Code]], allFYsTable[year2], FF$3))</f>
        <v>0</v>
      </c>
      <c r="FI45" s="61">
        <f>IF(COUNTIFS(allFYsTable[Code], SummaryTable[[#This Row],[Code]], allFYsTable[year2], FF$3)=0, NotFound, SUMIFS(allFYsTable[RevisedBudget], allFYsTable[Code], SummaryTable[[#This Row],[Code]], allFYsTable[year2], FF$3))</f>
        <v>1805</v>
      </c>
      <c r="FJ45" s="61">
        <f>IF(COUNTIFS(allFYsTable[Code], SummaryTable[[#This Row],[Code]], allFYsTable[year2], FF$3)=0, NotFound, SUMIFS(allFYsTable[Actual], allFYsTable[Code], SummaryTable[[#This Row],[Code]], allFYsTable[year2], FF$3))</f>
        <v>1805</v>
      </c>
      <c r="FK45" s="61">
        <f>IF(COUNTIFS(allFYsTable[Code], SummaryTable[[#This Row],[Code]], allFYsTable[year2], FF$3)=0, NotFound, SUMIFS(allFYsTable[DiffAmount], allFYsTable[Code], SummaryTable[[#This Row],[Code]], allFYsTable[year2], FF$3))</f>
        <v>1805</v>
      </c>
      <c r="FL45" s="63">
        <f>IF(SummaryTable[[#This Row],[OriginalBudget06]]=0, IF(SummaryTable[[#This Row],[DiffAmount06]]=0, ZeroBudgetNoSpending, ZeroBudgetWithSpending), SummaryTable[[#This Row],[DiffAmount06]]/SummaryTable[[#This Row],[OriginalBudget06]])</f>
        <v>99.99</v>
      </c>
    </row>
    <row r="46" spans="1:168" x14ac:dyDescent="0.45">
      <c r="A46" t="s">
        <v>753</v>
      </c>
      <c r="B46">
        <f>_xlfn.MAXIFS(allFYsTable[year2], allFYsTable[Code], SummaryTable[[#This Row],[Code]])</f>
        <v>2025</v>
      </c>
      <c r="C46" t="str">
        <f>_xlfn.XLOOKUP(SummaryTable[[#This Row],[Code]], NameCodingTable[Code], NameCodingTable[Most Recent Category per allFYs])</f>
        <v>Public safety and justice</v>
      </c>
      <c r="D46" t="str">
        <f>_xlfn.XLOOKUP(SummaryTable[[#This Row],[Code]], NameCodingTable[Code], NameCodingTable[Unit Display Name])</f>
        <v>District of Columbia National Guard</v>
      </c>
      <c r="E46" t="str">
        <f>_xlfn.XLOOKUP(SummaryTable[[#This Row],[Code]], NameCodingTable[Code], NameCodingTable[Type])</f>
        <v>agency</v>
      </c>
      <c r="F4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4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46" s="54">
        <f>SummaryTable[[#This Row],['# Over]]/SummaryTable[[#This Row],[Count]]</f>
        <v>0.3</v>
      </c>
      <c r="I4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14</v>
      </c>
      <c r="J46" s="54">
        <f>SummaryTable[[#This Row],['# Under]]/SummaryTable[[#This Row],[Count]]</f>
        <v>0.7</v>
      </c>
      <c r="K4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46" s="54">
        <f>SummaryTable[[#This Row],['# Equal]]/SummaryTable[[#This Row],[Count]]</f>
        <v>0</v>
      </c>
      <c r="M46" s="61">
        <f>SUMIFS(allFYsTable[OriginalBudget],allFYsTable[Code],SummaryTable[[#This Row],[Code]])/SummaryTable[[#This Row],[Count]]</f>
        <v>4268.25</v>
      </c>
      <c r="N46" s="61">
        <f>SUMIFS(allFYsTable[Actual],allFYsTable[Code],SummaryTable[[#This Row],[Code]])/SummaryTable[[#This Row],[Count]]</f>
        <v>4139.3</v>
      </c>
      <c r="O46" s="61">
        <f>SummaryTable[[#This Row],[AvgActAmt]]-SummaryTable[[#This Row],[AvgBudAmt]]</f>
        <v>-128.94999999999982</v>
      </c>
      <c r="P46" s="54">
        <f>IF(SummaryTable[[#This Row],[AvgBudAmt]]=0, IF(SummaryTable[[#This Row],[AvgDiff'#]]=0, 0, NamedFields!$C$3), SummaryTable[[#This Row],[AvgDiff'#]]/SummaryTable[[#This Row],[AvgBudAmt]])</f>
        <v>-3.0211444971592529E-2</v>
      </c>
      <c r="Q46" s="61">
        <f>IFERROR(SUMIFS(allFYsTable[OriginalBudget],allFYsTable[Code],SummaryTable[[#This Row],[Code]],allFYsTable[DiffAmount], "&gt;0")/SummaryTable[[#This Row],['# Over]], 0)</f>
        <v>3447.3333333333335</v>
      </c>
      <c r="R46" s="61">
        <f>IFERROR(SUMIFS(allFYsTable[Actual],allFYsTable[Code],SummaryTable[[#This Row],[Code]],allFYsTable[DiffAmount], "&gt;0")/SummaryTable[[#This Row],['# Over]], 0)</f>
        <v>3810.1666666666665</v>
      </c>
      <c r="S46" s="61">
        <f>SummaryTable[[#This Row],[OverAvgAct]]-SummaryTable[[#This Row],[OverAvgBud]]</f>
        <v>362.83333333333303</v>
      </c>
      <c r="T46" s="54">
        <f>IF(SummaryTable[[#This Row],[OverAvgBud]]=0, IF(SummaryTable[[#This Row],[OverAvgDiff'#]]=0, ZeroBudgetNoSpending, ZeroBudgetWithSpending), SummaryTable[[#This Row],[OverAvgDiff'#]]/SummaryTable[[#This Row],[OverAvgBud]])</f>
        <v>0.10525043511893241</v>
      </c>
      <c r="U46" s="61">
        <f>IFERROR(SUMIFS(allFYsTable[OriginalBudget],allFYsTable[Code],SummaryTable[[#This Row],[Code]],allFYsTable[DiffAmount], "&lt;0")/SummaryTable[[#This Row],['# Under]], 0)</f>
        <v>4620.0714285714284</v>
      </c>
      <c r="V46" s="61">
        <f>IFERROR( SUMIFS(allFYsTable[Actual],allFYsTable[Code],SummaryTable[[#This Row],[Code]],allFYsTable[DiffAmount], "&lt;0")/SummaryTable[[#This Row],['# Under]], 0)</f>
        <v>4280.3571428571431</v>
      </c>
      <c r="W46" s="61">
        <f>SummaryTable[[#This Row],[UnderAvgAct]]-SummaryTable[[#This Row],[UnderAvgBud]]</f>
        <v>-339.71428571428532</v>
      </c>
      <c r="X46" s="54">
        <f>IF(SummaryTable[[#This Row],[UnderAvgBud]]=0, IF(SummaryTable[[#This Row],[UnderAvgDiff'#]]=0, ZeroBudgetNoSpending, NamedFields!$C$3), SummaryTable[[#This Row],[UnderAvgDiff'#]]/SummaryTable[[#This Row],[UnderAvgBud]])</f>
        <v>-7.3530093845178557E-2</v>
      </c>
      <c r="Y4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4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46" s="54">
        <f>IF(SummaryTable[[#This Row],[IncreaseYears]]=0, ZeroBudgetNoSpending, SummaryTable[[#This Row],[OSinIncreaseYear'#]]/SummaryTable[[#This Row],[IncreaseYears]])</f>
        <v>0</v>
      </c>
      <c r="AB46" s="58" t="str">
        <f>SummaryTable[[#This Row],[Code]]</f>
        <v>FK0</v>
      </c>
      <c r="AC46" s="62">
        <f>IF(COUNTIFS(allFYsTable[Code], SummaryTable[[#This Row],[Code]], allFYsTable[year2], AC$3)=0, NotFound, SUMIFS(allFYsTable[OriginalBudget], allFYsTable[Code], SummaryTable[[#This Row],[Code]], allFYsTable[year2], AC$3))</f>
        <v>5860</v>
      </c>
      <c r="AD46" s="61">
        <f>SummaryTable[[#This Row],[OriginalBudget25]]-SummaryTable[[#This Row],[OriginalBudget24]]</f>
        <v>468</v>
      </c>
      <c r="AE46" s="54">
        <f>SummaryTable[[#This Row],[BudgetIncreaseAmount25]]/SummaryTable[[#This Row],[OriginalBudget24]]</f>
        <v>8.6795252225519287E-2</v>
      </c>
      <c r="AF46" s="61">
        <f>IF(COUNTIFS(allFYsTable[Code], SummaryTable[[#This Row],[Code]], allFYsTable[year2], AC$3)=0, NotFound, SUMIFS(allFYsTable[RevisedBudget], allFYsTable[Code], SummaryTable[[#This Row],[Code]], allFYsTable[year2], AC$3))</f>
        <v>5906</v>
      </c>
      <c r="AG46" s="61">
        <f>IF(COUNTIFS(allFYsTable[Code], SummaryTable[[#This Row],[Code]], allFYsTable[year2], AC$3)=0, NotFound, SUMIFS(allFYsTable[Actual], allFYsTable[Code], SummaryTable[[#This Row],[Code]], allFYsTable[year2], AC$3))</f>
        <v>5804</v>
      </c>
      <c r="AH46" s="61">
        <f>IF(COUNTIFS(allFYsTable[Code], SummaryTable[[#This Row],[Code]], allFYsTable[year2], AC$3)=0, NotFound, SUMIFS(allFYsTable[DiffAmount], allFYsTable[Code], SummaryTable[[#This Row],[Code]], allFYsTable[year2], AC$3))</f>
        <v>-56</v>
      </c>
      <c r="AI46" s="63">
        <f>IF(SummaryTable[[#This Row],[OriginalBudget25]]=0, IF(SummaryTable[[#This Row],[DiffAmount25]]=0, ZeroBudgetNoSpending, ZeroBudgetWithSpending), SummaryTable[[#This Row],[DiffAmount25]]/SummaryTable[[#This Row],[OriginalBudget25]])</f>
        <v>-9.5563139931740607E-3</v>
      </c>
      <c r="AJ46" s="62">
        <f>IF(COUNTIFS(allFYsTable[Code], SummaryTable[[#This Row],[Code]], allFYsTable[year2], AJ$3)=0, NotFound, SUMIFS(allFYsTable[OriginalBudget], allFYsTable[Code], SummaryTable[[#This Row],[Code]], allFYsTable[year2], AJ$3))</f>
        <v>5392</v>
      </c>
      <c r="AK46" s="61">
        <f>SummaryTable[[#This Row],[OriginalBudget24]]-SummaryTable[[#This Row],[OriginalBudget23]]</f>
        <v>-438</v>
      </c>
      <c r="AL46" s="54">
        <f>SummaryTable[[#This Row],[BudgetIncreaseAmount24]]/SummaryTable[[#This Row],[OriginalBudget23]]</f>
        <v>-7.5128644939965697E-2</v>
      </c>
      <c r="AM46" s="61">
        <f>IF(COUNTIFS(allFYsTable[Code], SummaryTable[[#This Row],[Code]], allFYsTable[year2], AK$3)=0, NotFound, SUMIFS(allFYsTable[RevisedBudget], allFYsTable[Code], SummaryTable[[#This Row],[Code]], allFYsTable[year2], AJ$3))</f>
        <v>6161</v>
      </c>
      <c r="AN46" s="61">
        <f>IF(COUNTIFS(allFYsTable[Code], SummaryTable[[#This Row],[Code]], allFYsTable[year2], AJ$3)=0, NotFound, SUMIFS(allFYsTable[Actual], allFYsTable[Code], SummaryTable[[#This Row],[Code]], allFYsTable[year2], AJ$3))</f>
        <v>6072</v>
      </c>
      <c r="AO46" s="61">
        <f>IF(COUNTIFS(allFYsTable[Code], SummaryTable[[#This Row],[Code]], allFYsTable[year2], AJ$3)=0, NotFound, SUMIFS(allFYsTable[DiffAmount], allFYsTable[Code], SummaryTable[[#This Row],[Code]], allFYsTable[year2], AJ$3))</f>
        <v>680</v>
      </c>
      <c r="AP46" s="63">
        <f>IF(SummaryTable[[#This Row],[OriginalBudget24]]=0, IF(SummaryTable[[#This Row],[DiffAmount24]]=0, ZeroBudgetNoSpending, ZeroBudgetWithSpending), SummaryTable[[#This Row],[DiffAmount24]]/SummaryTable[[#This Row],[OriginalBudget24]])</f>
        <v>0.12611275964391691</v>
      </c>
      <c r="AQ46" s="62">
        <f>IF(COUNTIFS(allFYsTable[Code], SummaryTable[[#This Row],[Code]], allFYsTable[year2], AQ$3)=0, NotFound, SUMIFS(allFYsTable[OriginalBudget], allFYsTable[Code], SummaryTable[[#This Row],[Code]], allFYsTable[year2], AQ$3))</f>
        <v>5830</v>
      </c>
      <c r="AR46" s="61">
        <f>SummaryTable[[#This Row],[OriginalBudget23]]-SummaryTable[[#This Row],[OriginalBudget22]]</f>
        <v>593</v>
      </c>
      <c r="AS46" s="54">
        <f>SummaryTable[[#This Row],[BudgetIncreaseAmount23]]/SummaryTable[[#This Row],[OriginalBudget22]]</f>
        <v>0.11323276685125072</v>
      </c>
      <c r="AT46" s="61">
        <f>IF(COUNTIFS(allFYsTable[Code], SummaryTable[[#This Row],[Code]], allFYsTable[year2], AQ$3)=0, NotFound, SUMIFS(allFYsTable[RevisedBudget], allFYsTable[Code], SummaryTable[[#This Row],[Code]], allFYsTable[year2], AQ$3))</f>
        <v>5677</v>
      </c>
      <c r="AU46" s="61">
        <f>IF(COUNTIFS(allFYsTable[Code], SummaryTable[[#This Row],[Code]], allFYsTable[year2], AQ$3)=0, NotFound, SUMIFS(allFYsTable[Actual], allFYsTable[Code], SummaryTable[[#This Row],[Code]], allFYsTable[year2], AQ$3))</f>
        <v>5553</v>
      </c>
      <c r="AV46" s="61">
        <f>IF(COUNTIFS(allFYsTable[Code], SummaryTable[[#This Row],[Code]], allFYsTable[year2], AQ$3)=0, NotFound, SUMIFS(allFYsTable[DiffAmount], allFYsTable[Code], SummaryTable[[#This Row],[Code]], allFYsTable[year2], AQ$3))</f>
        <v>-277</v>
      </c>
      <c r="AW46" s="63">
        <f>IF(SummaryTable[[#This Row],[OriginalBudget23]]=0, IF(SummaryTable[[#This Row],[DiffAmount23]]=0, ZeroBudgetNoSpending, ZeroBudgetWithSpending), SummaryTable[[#This Row],[DiffAmount23]]/SummaryTable[[#This Row],[OriginalBudget23]])</f>
        <v>-4.7512864493996568E-2</v>
      </c>
      <c r="AX46" s="62">
        <f>IF(COUNTIFS(allFYsTable[Code], SummaryTable[[#This Row],[Code]], allFYsTable[year2], AX$3)=0, NotFound, SUMIFS(allFYsTable[OriginalBudget], allFYsTable[Code], SummaryTable[[#This Row],[Code]], allFYsTable[year2], AX$3))</f>
        <v>5237</v>
      </c>
      <c r="AY46" s="61">
        <f>SummaryTable[[#This Row],[OriginalBudget22]]-SummaryTable[[#This Row],[OriginalBudget21]]</f>
        <v>149</v>
      </c>
      <c r="AZ46" s="54">
        <f>SummaryTable[[#This Row],[BudgetIncreaseAmount22]]/SummaryTable[[#This Row],[OriginalBudget21]]</f>
        <v>2.9284591194968554E-2</v>
      </c>
      <c r="BA46" s="61">
        <f>IF(COUNTIFS(allFYsTable[Code], SummaryTable[[#This Row],[Code]], allFYsTable[year2], AX$3)=0, NotFound, SUMIFS(allFYsTable[RevisedBudget], allFYsTable[Code], SummaryTable[[#This Row],[Code]], allFYsTable[year2], AX$3))</f>
        <v>5670</v>
      </c>
      <c r="BB46" s="61">
        <f>IF(COUNTIFS(allFYsTable[Code], SummaryTable[[#This Row],[Code]], allFYsTable[year2], AX$3)=0, NotFound, SUMIFS(allFYsTable[Actual], allFYsTable[Code], SummaryTable[[#This Row],[Code]], allFYsTable[year2], AX$3))</f>
        <v>5430</v>
      </c>
      <c r="BC46" s="61">
        <f>IF(COUNTIFS(allFYsTable[Code], SummaryTable[[#This Row],[Code]], allFYsTable[year2], AX$3)=0, NotFound, SUMIFS(allFYsTable[DiffAmount], allFYsTable[Code], SummaryTable[[#This Row],[Code]], allFYsTable[year2], AX$3))</f>
        <v>193</v>
      </c>
      <c r="BD46" s="63">
        <f>IF(SummaryTable[[#This Row],[OriginalBudget22]]=0, IF(SummaryTable[[#This Row],[DiffAmount22]]=0, ZeroBudgetNoSpending, ZeroBudgetWithSpending), SummaryTable[[#This Row],[DiffAmount22]]/SummaryTable[[#This Row],[OriginalBudget22]])</f>
        <v>3.6853160206224936E-2</v>
      </c>
      <c r="BE46" s="62">
        <f>IF(COUNTIFS(allFYsTable[Code], SummaryTable[[#This Row],[Code]], allFYsTable[year2], BE$3)=0, NotFound, SUMIFS(allFYsTable[OriginalBudget], allFYsTable[Code], SummaryTable[[#This Row],[Code]], allFYsTable[year2], BE$3))</f>
        <v>5088</v>
      </c>
      <c r="BF46" s="61">
        <f>SummaryTable[[#This Row],[OriginalBudget21]]-SummaryTable[[#This Row],[OriginalBudget20]]</f>
        <v>150</v>
      </c>
      <c r="BG46" s="54">
        <f>SummaryTable[[#This Row],[BudgetIncreaseAmount21]]/SummaryTable[[#This Row],[OriginalBudget20]]</f>
        <v>3.0376670716889428E-2</v>
      </c>
      <c r="BH46" s="61">
        <f>IF(COUNTIFS(allFYsTable[Code], SummaryTable[[#This Row],[Code]], allFYsTable[year2], BE$3)=0, NotFound, SUMIFS(allFYsTable[RevisedBudget], allFYsTable[Code], SummaryTable[[#This Row],[Code]], allFYsTable[year2], BE$3))</f>
        <v>4846</v>
      </c>
      <c r="BI46" s="61">
        <f>IF(COUNTIFS(allFYsTable[Code], SummaryTable[[#This Row],[Code]], allFYsTable[year2], BE$3)=0, NotFound, SUMIFS(allFYsTable[Actual], allFYsTable[Code], SummaryTable[[#This Row],[Code]], allFYsTable[year2], BE$3))</f>
        <v>4700</v>
      </c>
      <c r="BJ46" s="61">
        <f>IF(COUNTIFS(allFYsTable[Code], SummaryTable[[#This Row],[Code]], allFYsTable[year2], BE$3)=0, NotFound, SUMIFS(allFYsTable[DiffAmount], allFYsTable[Code], SummaryTable[[#This Row],[Code]], allFYsTable[year2], BE$3))</f>
        <v>-388</v>
      </c>
      <c r="BK46" s="63">
        <f>IF(SummaryTable[[#This Row],[OriginalBudget21]]=0, IF(SummaryTable[[#This Row],[DiffAmount21]]=0, ZeroBudgetNoSpending, ZeroBudgetWithSpending), SummaryTable[[#This Row],[DiffAmount21]]/SummaryTable[[#This Row],[OriginalBudget21]])</f>
        <v>-7.6257861635220123E-2</v>
      </c>
      <c r="BL46" s="62">
        <f>IF(COUNTIFS(allFYsTable[Code], SummaryTable[[#This Row],[Code]], allFYsTable[year2], BL$3)=0, NotFound, SUMIFS(allFYsTable[OriginalBudget], allFYsTable[Code], SummaryTable[[#This Row],[Code]], allFYsTable[year2], BL$3))</f>
        <v>4938</v>
      </c>
      <c r="BM46" s="61">
        <f>SummaryTable[[#This Row],[OriginalBudget20]]-SummaryTable[[#This Row],[OriginalBudget19]]</f>
        <v>128</v>
      </c>
      <c r="BN46" s="54">
        <f>SummaryTable[[#This Row],[BudgetIncreaseAmount20]]/SummaryTable[[#This Row],[OriginalBudget19]]</f>
        <v>2.6611226611226613E-2</v>
      </c>
      <c r="BO46" s="61">
        <f>IF(COUNTIFS(allFYsTable[Code], SummaryTable[[#This Row],[Code]], allFYsTable[year2], BL$3)=0, NotFound, SUMIFS(allFYsTable[RevisedBudget], allFYsTable[Code], SummaryTable[[#This Row],[Code]], allFYsTable[year2], BL$3))</f>
        <v>4575</v>
      </c>
      <c r="BP46" s="61">
        <f>IF(COUNTIFS(allFYsTable[Code], SummaryTable[[#This Row],[Code]], allFYsTable[year2], BL$3)=0, NotFound, SUMIFS(allFYsTable[Actual], allFYsTable[Code], SummaryTable[[#This Row],[Code]], allFYsTable[year2], BL$3))</f>
        <v>4348</v>
      </c>
      <c r="BQ46" s="61">
        <f>IF(COUNTIFS(allFYsTable[Code], SummaryTable[[#This Row],[Code]], allFYsTable[year2], BL$3)=0, NotFound, SUMIFS(allFYsTable[DiffAmount], allFYsTable[Code], SummaryTable[[#This Row],[Code]], allFYsTable[year2], BL$3))</f>
        <v>-590</v>
      </c>
      <c r="BR46" s="63">
        <f>IF(SummaryTable[[#This Row],[OriginalBudget20]]=0, IF(SummaryTable[[#This Row],[DiffAmount20]]=0, ZeroBudgetNoSpending, ZeroBudgetWithSpending), SummaryTable[[#This Row],[DiffAmount20]]/SummaryTable[[#This Row],[OriginalBudget20]])</f>
        <v>-0.11948157148643175</v>
      </c>
      <c r="BS46" s="62">
        <f>IF(COUNTIFS(allFYsTable[Code], SummaryTable[[#This Row],[Code]], allFYsTable[year2], BS$3)=0, NotFound, SUMIFS(allFYsTable[OriginalBudget], allFYsTable[Code], SummaryTable[[#This Row],[Code]], allFYsTable[year2], BS$3))</f>
        <v>4810</v>
      </c>
      <c r="BT46" s="61">
        <f>SummaryTable[[#This Row],[OriginalBudget19]]-SummaryTable[[#This Row],[OriginalBudget18]]</f>
        <v>-378</v>
      </c>
      <c r="BU46" s="54">
        <f>SummaryTable[[#This Row],[BudgetIncreaseAmount19]]/SummaryTable[[#This Row],[OriginalBudget18]]</f>
        <v>-7.2860447185813415E-2</v>
      </c>
      <c r="BV46" s="61">
        <f>IF(COUNTIFS(allFYsTable[Code], SummaryTable[[#This Row],[Code]], allFYsTable[year2], BS$3)=0, NotFound, SUMIFS(allFYsTable[RevisedBudget], allFYsTable[Code], SummaryTable[[#This Row],[Code]], allFYsTable[year2], BS$3))</f>
        <v>4704</v>
      </c>
      <c r="BW46" s="61">
        <f>IF(COUNTIFS(allFYsTable[Code], SummaryTable[[#This Row],[Code]], allFYsTable[year2], BS$3)=0, NotFound, SUMIFS(allFYsTable[Actual], allFYsTable[Code], SummaryTable[[#This Row],[Code]], allFYsTable[year2], BS$3))</f>
        <v>4586</v>
      </c>
      <c r="BX46" s="61">
        <f>IF(COUNTIFS(allFYsTable[Code], SummaryTable[[#This Row],[Code]], allFYsTable[year2], BS$3)=0, NotFound, SUMIFS(allFYsTable[DiffAmount], allFYsTable[Code], SummaryTable[[#This Row],[Code]], allFYsTable[year2], BS$3))</f>
        <v>-224</v>
      </c>
      <c r="BY46" s="63">
        <f>IF(SummaryTable[[#This Row],[OriginalBudget19]]=0, IF(SummaryTable[[#This Row],[DiffAmount19]]=0, ZeroBudgetNoSpending, ZeroBudgetWithSpending), SummaryTable[[#This Row],[DiffAmount19]]/SummaryTable[[#This Row],[OriginalBudget19]])</f>
        <v>-4.6569646569646572E-2</v>
      </c>
      <c r="BZ46" s="62">
        <f>IF(COUNTIFS(allFYsTable[Code], SummaryTable[[#This Row],[Code]], allFYsTable[year2], BZ$3)=0, NotFound, SUMIFS(allFYsTable[OriginalBudget], allFYsTable[Code], SummaryTable[[#This Row],[Code]], allFYsTable[year2], BZ$3))</f>
        <v>5188</v>
      </c>
      <c r="CA46" s="61">
        <f>SummaryTable[[#This Row],[OriginalBudget18]]-SummaryTable[[#This Row],[OriginalBudget17]]</f>
        <v>48</v>
      </c>
      <c r="CB46" s="54">
        <f>SummaryTable[[#This Row],[BudgetIncreaseAmount18]]/SummaryTable[[#This Row],[OriginalBudget17]]</f>
        <v>9.3385214007782099E-3</v>
      </c>
      <c r="CC46" s="61">
        <f>IF(COUNTIFS(allFYsTable[Code], SummaryTable[[#This Row],[Code]], allFYsTable[year2], BZ$3)=0, NotFound, SUMIFS(allFYsTable[RevisedBudget], allFYsTable[Code], SummaryTable[[#This Row],[Code]], allFYsTable[year2], BZ$3))</f>
        <v>5257</v>
      </c>
      <c r="CD46" s="61">
        <f>IF(COUNTIFS(allFYsTable[Code], SummaryTable[[#This Row],[Code]], allFYsTable[year2], BZ$3)=0, NotFound, SUMIFS(allFYsTable[Actual], allFYsTable[Code], SummaryTable[[#This Row],[Code]], allFYsTable[year2], BZ$3))</f>
        <v>4790</v>
      </c>
      <c r="CE46" s="61">
        <f>IF(COUNTIFS(allFYsTable[Code], SummaryTable[[#This Row],[Code]], allFYsTable[year2], BZ$3)=0, NotFound, SUMIFS(allFYsTable[DiffAmount], allFYsTable[Code], SummaryTable[[#This Row],[Code]], allFYsTable[year2], BZ$3))</f>
        <v>-398</v>
      </c>
      <c r="CF46" s="63">
        <f>IF(SummaryTable[[#This Row],[OriginalBudget18]]=0, IF(SummaryTable[[#This Row],[DiffAmount18]]=0, ZeroBudgetNoSpending, ZeroBudgetWithSpending), SummaryTable[[#This Row],[DiffAmount18]]/SummaryTable[[#This Row],[OriginalBudget18]])</f>
        <v>-7.6715497301464916E-2</v>
      </c>
      <c r="CG46" s="62">
        <f>IF(COUNTIFS(allFYsTable[Code], SummaryTable[[#This Row],[Code]], allFYsTable[year2], CG$3)=0, NotFound, SUMIFS(allFYsTable[OriginalBudget], allFYsTable[Code], SummaryTable[[#This Row],[Code]], allFYsTable[year2], CG$3))</f>
        <v>5140</v>
      </c>
      <c r="CH46" s="61">
        <f>SummaryTable[[#This Row],[OriginalBudget17]]-SummaryTable[[#This Row],[OriginalBudget16]]</f>
        <v>114</v>
      </c>
      <c r="CI46" s="54">
        <f>SummaryTable[[#This Row],[BudgetIncreaseAmount17]]/SummaryTable[[#This Row],[OriginalBudget16]]</f>
        <v>2.2682053322721846E-2</v>
      </c>
      <c r="CJ46" s="61">
        <f>IF(COUNTIFS(allFYsTable[Code], SummaryTable[[#This Row],[Code]], allFYsTable[year2], CG$3)=0, NotFound, SUMIFS(allFYsTable[RevisedBudget], allFYsTable[Code], SummaryTable[[#This Row],[Code]], allFYsTable[year2], CG$3))</f>
        <v>5140</v>
      </c>
      <c r="CK46" s="61">
        <f>IF(COUNTIFS(allFYsTable[Code], SummaryTable[[#This Row],[Code]], allFYsTable[year2], CG$3)=0, NotFound, SUMIFS(allFYsTable[Actual], allFYsTable[Code], SummaryTable[[#This Row],[Code]], allFYsTable[year2], CG$3))</f>
        <v>5088</v>
      </c>
      <c r="CL46" s="61">
        <f>IF(COUNTIFS(allFYsTable[Code], SummaryTable[[#This Row],[Code]], allFYsTable[year2], CG$3)=0, NotFound, SUMIFS(allFYsTable[DiffAmount], allFYsTable[Code], SummaryTable[[#This Row],[Code]], allFYsTable[year2], CG$3))</f>
        <v>-52</v>
      </c>
      <c r="CM46" s="63">
        <f>IF(SummaryTable[[#This Row],[OriginalBudget17]]=0, IF(SummaryTable[[#This Row],[DiffAmount17]]=0, ZeroBudgetNoSpending, ZeroBudgetWithSpending), SummaryTable[[#This Row],[DiffAmount17]]/SummaryTable[[#This Row],[OriginalBudget17]])</f>
        <v>-1.0116731517509728E-2</v>
      </c>
      <c r="CN46" s="62">
        <f>IF(COUNTIFS(allFYsTable[Code], SummaryTable[[#This Row],[Code]], allFYsTable[year2], CN$3)=0, NotFound, SUMIFS(allFYsTable[OriginalBudget], allFYsTable[Code], SummaryTable[[#This Row],[Code]], allFYsTable[year2], CN$3))</f>
        <v>5026</v>
      </c>
      <c r="CO46" s="61">
        <f>SummaryTable[[#This Row],[OriginalBudget16]]-SummaryTable[[#This Row],[OriginalBudget15]]</f>
        <v>-40</v>
      </c>
      <c r="CP46" s="54">
        <f>SummaryTable[[#This Row],[BudgetIncreaseAmount16]]/SummaryTable[[#This Row],[OriginalBudget15]]</f>
        <v>-7.895775759968417E-3</v>
      </c>
      <c r="CQ46" s="61">
        <f>IF(COUNTIFS(allFYsTable[Code], SummaryTable[[#This Row],[Code]], allFYsTable[year2], CN$3)=0, NotFound, SUMIFS(allFYsTable[RevisedBudget], allFYsTable[Code], SummaryTable[[#This Row],[Code]], allFYsTable[year2], CN$3))</f>
        <v>5026</v>
      </c>
      <c r="CR46" s="61">
        <f>IF(COUNTIFS(allFYsTable[Code], SummaryTable[[#This Row],[Code]], allFYsTable[year2], CN$3)=0, NotFound, SUMIFS(allFYsTable[Actual], allFYsTable[Code], SummaryTable[[#This Row],[Code]], allFYsTable[year2], CN$3))</f>
        <v>4651</v>
      </c>
      <c r="CS46" s="61">
        <f>IF(COUNTIFS(allFYsTable[Code], SummaryTable[[#This Row],[Code]], allFYsTable[year2], CN$3)=0, NotFound, SUMIFS(allFYsTable[DiffAmount], allFYsTable[Code], SummaryTable[[#This Row],[Code]], allFYsTable[year2], CN$3))</f>
        <v>-375</v>
      </c>
      <c r="CT46" s="63">
        <f>IF(SummaryTable[[#This Row],[OriginalBudget16]]=0, IF(SummaryTable[[#This Row],[DiffAmount16]]=0, ZeroBudgetNoSpending, ZeroBudgetWithSpending), SummaryTable[[#This Row],[DiffAmount16]]/SummaryTable[[#This Row],[OriginalBudget16]])</f>
        <v>-7.4612017508953438E-2</v>
      </c>
      <c r="CU46" s="62">
        <f>IF(COUNTIFS(allFYsTable[Code], SummaryTable[[#This Row],[Code]], allFYsTable[year2], CU$3)=0, NotFound, SUMIFS(allFYsTable[OriginalBudget], allFYsTable[Code], SummaryTable[[#This Row],[Code]], allFYsTable[year2], CU$3))</f>
        <v>5066</v>
      </c>
      <c r="CV46" s="61">
        <f>SummaryTable[[#This Row],[OriginalBudget15]]-SummaryTable[[#This Row],[OriginalBudget14]]</f>
        <v>2125</v>
      </c>
      <c r="CW46" s="54">
        <f>SummaryTable[[#This Row],[BudgetIncreaseAmount15]]/SummaryTable[[#This Row],[OriginalBudget14]]</f>
        <v>0.7225433526011561</v>
      </c>
      <c r="CX46" s="61">
        <f>IF(COUNTIFS(allFYsTable[Code], SummaryTable[[#This Row],[Code]], allFYsTable[year2], CU$3)=0, NotFound, SUMIFS(allFYsTable[RevisedBudget], allFYsTable[Code], SummaryTable[[#This Row],[Code]], allFYsTable[year2], CU$3))</f>
        <v>4806</v>
      </c>
      <c r="CY46" s="61">
        <f>IF(COUNTIFS(allFYsTable[Code], SummaryTable[[#This Row],[Code]], allFYsTable[year2], CU$3)=0, NotFound, SUMIFS(allFYsTable[Actual], allFYsTable[Code], SummaryTable[[#This Row],[Code]], allFYsTable[year2], CU$3))</f>
        <v>4273</v>
      </c>
      <c r="CZ46" s="61">
        <f>IF(COUNTIFS(allFYsTable[Code], SummaryTable[[#This Row],[Code]], allFYsTable[year2], CU$3)=0, NotFound, SUMIFS(allFYsTable[DiffAmount], allFYsTable[Code], SummaryTable[[#This Row],[Code]], allFYsTable[year2], CU$3))</f>
        <v>-793</v>
      </c>
      <c r="DA46" s="63">
        <f>IF(SummaryTable[[#This Row],[OriginalBudget15]]=0, IF(SummaryTable[[#This Row],[DiffAmount15]]=0, ZeroBudgetNoSpending, ZeroBudgetWithSpending), SummaryTable[[#This Row],[DiffAmount15]]/SummaryTable[[#This Row],[OriginalBudget15]])</f>
        <v>-0.15653375444137385</v>
      </c>
      <c r="DB46" s="62">
        <f>IF(COUNTIFS(allFYsTable[Code], SummaryTable[[#This Row],[Code]], allFYsTable[year2], DB$3)=0, NotFound, SUMIFS(allFYsTable[OriginalBudget], allFYsTable[Code], SummaryTable[[#This Row],[Code]], allFYsTable[year2], DB$3))</f>
        <v>2941</v>
      </c>
      <c r="DC46" s="61">
        <f>SummaryTable[[#This Row],[OriginalBudget14]]-SummaryTable[[#This Row],[OriginalBudget13]]</f>
        <v>145</v>
      </c>
      <c r="DD46" s="54">
        <f>SummaryTable[[#This Row],[BudgetIncreaseAmount14]]/SummaryTable[[#This Row],[OriginalBudget13]]</f>
        <v>5.185979971387697E-2</v>
      </c>
      <c r="DE46" s="61">
        <f>IF(COUNTIFS(allFYsTable[Code], SummaryTable[[#This Row],[Code]], allFYsTable[year2], DB$3)=0, NotFound, SUMIFS(allFYsTable[RevisedBudget], allFYsTable[Code], SummaryTable[[#This Row],[Code]], allFYsTable[year2], DB$3))</f>
        <v>3994</v>
      </c>
      <c r="DF46" s="61">
        <f>IF(COUNTIFS(allFYsTable[Code], SummaryTable[[#This Row],[Code]], allFYsTable[year2], DB$3)=0, NotFound, SUMIFS(allFYsTable[Actual], allFYsTable[Code], SummaryTable[[#This Row],[Code]], allFYsTable[year2], DB$3))</f>
        <v>3898</v>
      </c>
      <c r="DG46" s="61">
        <f>IF(COUNTIFS(allFYsTable[Code], SummaryTable[[#This Row],[Code]], allFYsTable[year2], DB$3)=0, NotFound, SUMIFS(allFYsTable[DiffAmount], allFYsTable[Code], SummaryTable[[#This Row],[Code]], allFYsTable[year2], DB$3))</f>
        <v>957</v>
      </c>
      <c r="DH46" s="63">
        <f>IF(SummaryTable[[#This Row],[OriginalBudget14]]=0, IF(SummaryTable[[#This Row],[DiffAmount14]]=0, ZeroBudgetNoSpending, ZeroBudgetWithSpending), SummaryTable[[#This Row],[DiffAmount14]]/SummaryTable[[#This Row],[OriginalBudget14]])</f>
        <v>0.32539952397143829</v>
      </c>
      <c r="DI46" s="62">
        <f>IF(COUNTIFS(allFYsTable[Code], SummaryTable[[#This Row],[Code]], allFYsTable[year2], DI$3)=0, NotFound, SUMIFS(allFYsTable[OriginalBudget], allFYsTable[Code], SummaryTable[[#This Row],[Code]], allFYsTable[year2], DI$3))</f>
        <v>2796</v>
      </c>
      <c r="DJ46" s="61">
        <f>SummaryTable[[#This Row],[OriginalBudget13]]-SummaryTable[[#This Row],[OriginalBudget12]]</f>
        <v>526</v>
      </c>
      <c r="DK46" s="54">
        <f>SummaryTable[[#This Row],[BudgetIncreaseAmount13]]/SummaryTable[[#This Row],[OriginalBudget12]]</f>
        <v>0.23171806167400882</v>
      </c>
      <c r="DL46" s="61">
        <f>IF(COUNTIFS(allFYsTable[Code], SummaryTable[[#This Row],[Code]], allFYsTable[year2], DI$3)=0, NotFound, SUMIFS(allFYsTable[RevisedBudget], allFYsTable[Code], SummaryTable[[#This Row],[Code]], allFYsTable[year2], DI$3))</f>
        <v>2796</v>
      </c>
      <c r="DM46" s="61">
        <f>IF(COUNTIFS(allFYsTable[Code], SummaryTable[[#This Row],[Code]], allFYsTable[year2], DI$3)=0, NotFound, SUMIFS(allFYsTable[Actual], allFYsTable[Code], SummaryTable[[#This Row],[Code]], allFYsTable[year2], DI$3))</f>
        <v>2641</v>
      </c>
      <c r="DN46" s="61">
        <f>IF(COUNTIFS(allFYsTable[Code], SummaryTable[[#This Row],[Code]], allFYsTable[year2], DI$3)=0, NotFound, SUMIFS(allFYsTable[DiffAmount], allFYsTable[Code], SummaryTable[[#This Row],[Code]], allFYsTable[year2], DI$3))</f>
        <v>-155</v>
      </c>
      <c r="DO46" s="63">
        <f>IF(SummaryTable[[#This Row],[OriginalBudget13]]=0, IF(SummaryTable[[#This Row],[DiffAmount13]]=0, ZeroBudgetNoSpending, ZeroBudgetWithSpending), SummaryTable[[#This Row],[DiffAmount13]]/SummaryTable[[#This Row],[OriginalBudget13]])</f>
        <v>-5.5436337625178828E-2</v>
      </c>
      <c r="DP46" s="62">
        <f>IF(COUNTIFS(allFYsTable[Code], SummaryTable[[#This Row],[Code]], allFYsTable[year2], DP$3)=0, NotFound, SUMIFS(allFYsTable[OriginalBudget], allFYsTable[Code], SummaryTable[[#This Row],[Code]], allFYsTable[year2], DP$3))</f>
        <v>2270</v>
      </c>
      <c r="DQ46" s="61">
        <f>SummaryTable[[#This Row],[OriginalBudget12]]-SummaryTable[[#This Row],[OriginalBudget11]]</f>
        <v>-8</v>
      </c>
      <c r="DR46" s="54">
        <f>SummaryTable[[#This Row],[BudgetIncreaseAmount12]]/SummaryTable[[#This Row],[OriginalBudget11]]</f>
        <v>-3.5118525021949078E-3</v>
      </c>
      <c r="DS46" s="61">
        <f>IF(COUNTIFS(allFYsTable[Code], SummaryTable[[#This Row],[Code]], allFYsTable[year2], DP$3)=0, NotFound, SUMIFS(allFYsTable[RevisedBudget], allFYsTable[Code], SummaryTable[[#This Row],[Code]], allFYsTable[year2], DP$3))</f>
        <v>2299</v>
      </c>
      <c r="DT46" s="61">
        <f>IF(COUNTIFS(allFYsTable[Code], SummaryTable[[#This Row],[Code]], allFYsTable[year2], DP$3)=0, NotFound, SUMIFS(allFYsTable[Actual], allFYsTable[Code], SummaryTable[[#This Row],[Code]], allFYsTable[year2], DP$3))</f>
        <v>2286</v>
      </c>
      <c r="DU46" s="61">
        <f>IF(COUNTIFS(allFYsTable[Code], SummaryTable[[#This Row],[Code]], allFYsTable[year2], DP$3)=0, NotFound, SUMIFS(allFYsTable[DiffAmount], allFYsTable[Code], SummaryTable[[#This Row],[Code]], allFYsTable[year2], DP$3))</f>
        <v>16</v>
      </c>
      <c r="DV46" s="63">
        <f>IF(SummaryTable[[#This Row],[OriginalBudget12]]=0, IF(SummaryTable[[#This Row],[DiffAmount12]]=0, ZeroBudgetNoSpending, ZeroBudgetWithSpending), SummaryTable[[#This Row],[DiffAmount12]]/SummaryTable[[#This Row],[OriginalBudget12]])</f>
        <v>7.048458149779736E-3</v>
      </c>
      <c r="DW46" s="62">
        <f>IF(COUNTIFS(allFYsTable[Code], SummaryTable[[#This Row],[Code]], allFYsTable[year2], DW$3)=0, NotFound, SUMIFS(allFYsTable[OriginalBudget], allFYsTable[Code], SummaryTable[[#This Row],[Code]], allFYsTable[year2], DW$3))</f>
        <v>2278</v>
      </c>
      <c r="DX46" s="61">
        <f>SummaryTable[[#This Row],[OriginalBudget11]]-SummaryTable[[#This Row],[OriginalBudget10]]</f>
        <v>-1087</v>
      </c>
      <c r="DY46" s="54">
        <f>SummaryTable[[#This Row],[BudgetIncreaseAmount11]]/SummaryTable[[#This Row],[OriginalBudget10]]</f>
        <v>-0.32303120356612186</v>
      </c>
      <c r="DZ46" s="61">
        <f>IF(COUNTIFS(allFYsTable[Code], SummaryTable[[#This Row],[Code]], allFYsTable[year2], DW$3)=0, NotFound, SUMIFS(allFYsTable[RevisedBudget], allFYsTable[Code], SummaryTable[[#This Row],[Code]], allFYsTable[year2], DW$3))</f>
        <v>2278</v>
      </c>
      <c r="EA46" s="61">
        <f>IF(COUNTIFS(allFYsTable[Code], SummaryTable[[#This Row],[Code]], allFYsTable[year2], DW$3)=0, NotFound, SUMIFS(allFYsTable[Actual], allFYsTable[Code], SummaryTable[[#This Row],[Code]], allFYsTable[year2], DW$3))</f>
        <v>2204</v>
      </c>
      <c r="EB46" s="61">
        <f>IF(COUNTIFS(allFYsTable[Code], SummaryTable[[#This Row],[Code]], allFYsTable[year2], DW$3)=0, NotFound, SUMIFS(allFYsTable[DiffAmount], allFYsTable[Code], SummaryTable[[#This Row],[Code]], allFYsTable[year2], DW$3))</f>
        <v>-74</v>
      </c>
      <c r="EC46" s="63">
        <f>IF(SummaryTable[[#This Row],[OriginalBudget11]]=0, IF(SummaryTable[[#This Row],[DiffAmount11]]=0, ZeroBudgetNoSpending, ZeroBudgetWithSpending), SummaryTable[[#This Row],[DiffAmount11]]/SummaryTable[[#This Row],[OriginalBudget11]])</f>
        <v>-3.2484635645302899E-2</v>
      </c>
      <c r="ED46" s="62">
        <f>IF(COUNTIFS(allFYsTable[Code], SummaryTable[[#This Row],[Code]], allFYsTable[year2], ED$3)=0, NotFound, SUMIFS(allFYsTable[OriginalBudget], allFYsTable[Code], SummaryTable[[#This Row],[Code]], allFYsTable[year2], ED$3))</f>
        <v>3365</v>
      </c>
      <c r="EE46" s="61">
        <f>SummaryTable[[#This Row],[OriginalBudget10]]-SummaryTable[[#This Row],[OriginalBudget09]]</f>
        <v>-6</v>
      </c>
      <c r="EF46" s="54">
        <f>SummaryTable[[#This Row],[BudgetIncreaseAmount10]]/SummaryTable[[#This Row],[OriginalBudget09]]</f>
        <v>-1.7798872738059924E-3</v>
      </c>
      <c r="EG46" s="61">
        <f>IF(COUNTIFS(allFYsTable[Code], SummaryTable[[#This Row],[Code]], allFYsTable[year2], ED$3)=0, NotFound, SUMIFS(allFYsTable[RevisedBudget], allFYsTable[Code], SummaryTable[[#This Row],[Code]], allFYsTable[year2], ED$3))</f>
        <v>3442</v>
      </c>
      <c r="EH46" s="61">
        <f>IF(COUNTIFS(allFYsTable[Code], SummaryTable[[#This Row],[Code]], allFYsTable[year2], ED$3)=0, NotFound, SUMIFS(allFYsTable[Actual], allFYsTable[Code], SummaryTable[[#This Row],[Code]], allFYsTable[year2], ED$3))</f>
        <v>3317</v>
      </c>
      <c r="EI46" s="61">
        <f>IF(COUNTIFS(allFYsTable[Code], SummaryTable[[#This Row],[Code]], allFYsTable[year2], ED$3)=0, NotFound, SUMIFS(allFYsTable[DiffAmount], allFYsTable[Code], SummaryTable[[#This Row],[Code]], allFYsTable[year2], ED$3))</f>
        <v>-48</v>
      </c>
      <c r="EJ46" s="63">
        <f>IF(SummaryTable[[#This Row],[OriginalBudget10]]=0, IF(SummaryTable[[#This Row],[DiffAmount10]]=0, ZeroBudgetNoSpending, ZeroBudgetWithSpending), SummaryTable[[#This Row],[DiffAmount10]]/SummaryTable[[#This Row],[OriginalBudget10]])</f>
        <v>-1.4264487369985141E-2</v>
      </c>
      <c r="EK46" s="62">
        <f>IF(COUNTIFS(allFYsTable[Code], SummaryTable[[#This Row],[Code]], allFYsTable[year2], EK$3)=0, NotFound, SUMIFS(allFYsTable[OriginalBudget], allFYsTable[Code], SummaryTable[[#This Row],[Code]], allFYsTable[year2], EK$3))</f>
        <v>3371</v>
      </c>
      <c r="EL46" s="61">
        <f>SummaryTable[[#This Row],[OriginalBudget09]]-SummaryTable[[#This Row],[OriginalBudget08]]</f>
        <v>-453</v>
      </c>
      <c r="EM46" s="54">
        <f>SummaryTable[[#This Row],[BudgetIncreaseAmount09]]/SummaryTable[[#This Row],[OriginalBudget08]]</f>
        <v>-0.11846234309623431</v>
      </c>
      <c r="EN46" s="61">
        <f>IF(COUNTIFS(allFYsTable[Code], SummaryTable[[#This Row],[Code]], allFYsTable[year2], EK$3)=0, NotFound, SUMIFS(allFYsTable[RevisedBudget], allFYsTable[Code], SummaryTable[[#This Row],[Code]], allFYsTable[year2], EK$3))</f>
        <v>3371</v>
      </c>
      <c r="EO46" s="61">
        <f>IF(COUNTIFS(allFYsTable[Code], SummaryTable[[#This Row],[Code]], allFYsTable[year2], EK$3)=0, NotFound, SUMIFS(allFYsTable[Actual], allFYsTable[Code], SummaryTable[[#This Row],[Code]], allFYsTable[year2], EK$3))</f>
        <v>3047</v>
      </c>
      <c r="EP46" s="61">
        <f>IF(COUNTIFS(allFYsTable[Code], SummaryTable[[#This Row],[Code]], allFYsTable[year2], EK$3)=0, NotFound, SUMIFS(allFYsTable[DiffAmount], allFYsTable[Code], SummaryTable[[#This Row],[Code]], allFYsTable[year2], EK$3))</f>
        <v>-324</v>
      </c>
      <c r="EQ46" s="63">
        <f>IF(SummaryTable[[#This Row],[OriginalBudget09]]=0, IF(SummaryTable[[#This Row],[DiffAmount09]]=0, ZeroBudgetNoSpending, ZeroBudgetWithSpending), SummaryTable[[#This Row],[DiffAmount09]]/SummaryTable[[#This Row],[OriginalBudget09]])</f>
        <v>-9.6113912785523586E-2</v>
      </c>
      <c r="ER46" s="62">
        <f>IF(COUNTIFS(allFYsTable[Code], SummaryTable[[#This Row],[Code]], allFYsTable[year2], ER$3)=0, NotFound, SUMIFS(allFYsTable[OriginalBudget], allFYsTable[Code], SummaryTable[[#This Row],[Code]], allFYsTable[year2], ER$3))</f>
        <v>3824</v>
      </c>
      <c r="ES46" s="61">
        <f>SummaryTable[[#This Row],[OriginalBudget08]]-SummaryTable[[#This Row],[OriginalBudget07]]</f>
        <v>1167</v>
      </c>
      <c r="ET46" s="54">
        <f>SummaryTable[[#This Row],[BudgetIncreaseAmount08]]/SummaryTable[[#This Row],[OriginalBudget07]]</f>
        <v>0.43921716221302221</v>
      </c>
      <c r="EU46" s="61">
        <f>IF(COUNTIFS(allFYsTable[Code], SummaryTable[[#This Row],[Code]], allFYsTable[year2], ER$3)=0, NotFound, SUMIFS(allFYsTable[RevisedBudget], allFYsTable[Code], SummaryTable[[#This Row],[Code]], allFYsTable[year2], ER$3))</f>
        <v>2842</v>
      </c>
      <c r="EV46" s="61">
        <f>IF(COUNTIFS(allFYsTable[Code], SummaryTable[[#This Row],[Code]], allFYsTable[year2], ER$3)=0, NotFound, SUMIFS(allFYsTable[Actual], allFYsTable[Code], SummaryTable[[#This Row],[Code]], allFYsTable[year2], ER$3))</f>
        <v>2828</v>
      </c>
      <c r="EW46" s="61">
        <f>IF(COUNTIFS(allFYsTable[Code], SummaryTable[[#This Row],[Code]], allFYsTable[year2], ER$3)=0, NotFound, SUMIFS(allFYsTable[DiffAmount], allFYsTable[Code], SummaryTable[[#This Row],[Code]], allFYsTable[year2], ER$3))</f>
        <v>-996</v>
      </c>
      <c r="EX46" s="63">
        <f>IF(SummaryTable[[#This Row],[OriginalBudget08]]=0, IF(SummaryTable[[#This Row],[DiffAmount08]]=0, ZeroBudgetNoSpending, ZeroBudgetWithSpending), SummaryTable[[#This Row],[DiffAmount08]]/SummaryTable[[#This Row],[OriginalBudget08]])</f>
        <v>-0.2604602510460251</v>
      </c>
      <c r="EY46" s="62">
        <f>IF(COUNTIFS(allFYsTable[Code], SummaryTable[[#This Row],[Code]], allFYsTable[year2], EY$3)=0, NotFound, SUMIFS(allFYsTable[OriginalBudget], allFYsTable[Code], SummaryTable[[#This Row],[Code]], allFYsTable[year2], EY$3))</f>
        <v>2657</v>
      </c>
      <c r="EZ46" s="61">
        <f>SummaryTable[[#This Row],[OriginalBudget07]]-SummaryTable[[#This Row],[OriginalBudget06]]</f>
        <v>470</v>
      </c>
      <c r="FA46" s="54">
        <f>SummaryTable[[#This Row],[BudgetIncreaseAmount07]]/SummaryTable[[#This Row],[OriginalBudget06]]</f>
        <v>0.21490626428898033</v>
      </c>
      <c r="FB46" s="61">
        <f>IF(COUNTIFS(allFYsTable[Code], SummaryTable[[#This Row],[Code]], allFYsTable[year2], EY$3)=0, NotFound, SUMIFS(allFYsTable[RevisedBudget], allFYsTable[Code], SummaryTable[[#This Row],[Code]], allFYsTable[year2], EY$3))</f>
        <v>3244</v>
      </c>
      <c r="FC46" s="61">
        <f>IF(COUNTIFS(allFYsTable[Code], SummaryTable[[#This Row],[Code]], allFYsTable[year2], EY$3)=0, NotFound, SUMIFS(allFYsTable[Actual], allFYsTable[Code], SummaryTable[[#This Row],[Code]], allFYsTable[year2], EY$3))</f>
        <v>2846</v>
      </c>
      <c r="FD46" s="61">
        <f>IF(COUNTIFS(allFYsTable[Code], SummaryTable[[#This Row],[Code]], allFYsTable[year2], EY$3)=0, NotFound, SUMIFS(allFYsTable[DiffAmount], allFYsTable[Code], SummaryTable[[#This Row],[Code]], allFYsTable[year2], EY$3))</f>
        <v>189</v>
      </c>
      <c r="FE46" s="63">
        <f>IF(SummaryTable[[#This Row],[OriginalBudget07]]=0, IF(SummaryTable[[#This Row],[DiffAmount07]]=0, ZeroBudgetNoSpending, ZeroBudgetWithSpending), SummaryTable[[#This Row],[DiffAmount07]]/SummaryTable[[#This Row],[OriginalBudget07]])</f>
        <v>7.1132856605193834E-2</v>
      </c>
      <c r="FF46" s="62">
        <f>IF(COUNTIFS(allFYsTable[Code], SummaryTable[[#This Row],[Code]], allFYsTable[year2], FF$3)=0, NotFound, SUMIFS(allFYsTable[OriginalBudget], allFYsTable[Code], SummaryTable[[#This Row],[Code]], allFYsTable[year2], FF$3))</f>
        <v>2187</v>
      </c>
      <c r="FI46" s="61">
        <f>IF(COUNTIFS(allFYsTable[Code], SummaryTable[[#This Row],[Code]], allFYsTable[year2], FF$3)=0, NotFound, SUMIFS(allFYsTable[RevisedBudget], allFYsTable[Code], SummaryTable[[#This Row],[Code]], allFYsTable[year2], FF$3))</f>
        <v>2488</v>
      </c>
      <c r="FJ46" s="61">
        <f>IF(COUNTIFS(allFYsTable[Code], SummaryTable[[#This Row],[Code]], allFYsTable[year2], FF$3)=0, NotFound, SUMIFS(allFYsTable[Actual], allFYsTable[Code], SummaryTable[[#This Row],[Code]], allFYsTable[year2], FF$3))</f>
        <v>2329</v>
      </c>
      <c r="FK46" s="61">
        <f>IF(COUNTIFS(allFYsTable[Code], SummaryTable[[#This Row],[Code]], allFYsTable[year2], FF$3)=0, NotFound, SUMIFS(allFYsTable[DiffAmount], allFYsTable[Code], SummaryTable[[#This Row],[Code]], allFYsTable[year2], FF$3))</f>
        <v>142</v>
      </c>
      <c r="FL46" s="63">
        <f>IF(SummaryTable[[#This Row],[OriginalBudget06]]=0, IF(SummaryTable[[#This Row],[DiffAmount06]]=0, ZeroBudgetNoSpending, ZeroBudgetWithSpending), SummaryTable[[#This Row],[DiffAmount06]]/SummaryTable[[#This Row],[OriginalBudget06]])</f>
        <v>6.4929126657521721E-2</v>
      </c>
    </row>
    <row r="47" spans="1:168" x14ac:dyDescent="0.45">
      <c r="A47" t="s">
        <v>771</v>
      </c>
      <c r="B47">
        <f>_xlfn.MAXIFS(allFYsTable[year2], allFYsTable[Code], SummaryTable[[#This Row],[Code]])</f>
        <v>2025</v>
      </c>
      <c r="C47" t="str">
        <f>_xlfn.XLOOKUP(SummaryTable[[#This Row],[Code]], NameCodingTable[Code], NameCodingTable[Most Recent Category per allFYs])</f>
        <v>Public education system</v>
      </c>
      <c r="D47" t="str">
        <f>_xlfn.XLOOKUP(SummaryTable[[#This Row],[Code]], NameCodingTable[Code], NameCodingTable[Unit Display Name])</f>
        <v>District of Columbia Public Charter School Board</v>
      </c>
      <c r="E47" t="str">
        <f>_xlfn.XLOOKUP(SummaryTable[[#This Row],[Code]], NameCodingTable[Code], NameCodingTable[Type])</f>
        <v>agency</v>
      </c>
      <c r="F4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18</v>
      </c>
      <c r="G4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47" s="54">
        <f>SummaryTable[[#This Row],['# Over]]/SummaryTable[[#This Row],[Count]]</f>
        <v>0.1111111111111111</v>
      </c>
      <c r="I4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4</v>
      </c>
      <c r="J47" s="54">
        <f>SummaryTable[[#This Row],['# Under]]/SummaryTable[[#This Row],[Count]]</f>
        <v>0.22222222222222221</v>
      </c>
      <c r="K4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12</v>
      </c>
      <c r="L47" s="54">
        <f>SummaryTable[[#This Row],['# Equal]]/SummaryTable[[#This Row],[Count]]</f>
        <v>0.66666666666666663</v>
      </c>
      <c r="M47" s="61">
        <f>SUMIFS(allFYsTable[OriginalBudget],allFYsTable[Code],SummaryTable[[#This Row],[Code]])/SummaryTable[[#This Row],[Count]]</f>
        <v>756.83333333333337</v>
      </c>
      <c r="N47" s="61">
        <f>SUMIFS(allFYsTable[Actual],allFYsTable[Code],SummaryTable[[#This Row],[Code]])/SummaryTable[[#This Row],[Count]]</f>
        <v>921.61111111111109</v>
      </c>
      <c r="O47" s="61">
        <f>SummaryTable[[#This Row],[AvgActAmt]]-SummaryTable[[#This Row],[AvgBudAmt]]</f>
        <v>164.77777777777771</v>
      </c>
      <c r="P47" s="54">
        <f>IF(SummaryTable[[#This Row],[AvgBudAmt]]=0, IF(SummaryTable[[#This Row],[AvgDiff'#]]=0, 0, NamedFields!$C$3), SummaryTable[[#This Row],[AvgDiff'#]]/SummaryTable[[#This Row],[AvgBudAmt]])</f>
        <v>0.21772003229831893</v>
      </c>
      <c r="Q47" s="61">
        <f>IFERROR(SUMIFS(allFYsTable[OriginalBudget],allFYsTable[Code],SummaryTable[[#This Row],[Code]],allFYsTable[DiffAmount], "&gt;0")/SummaryTable[[#This Row],['# Over]], 0)</f>
        <v>0</v>
      </c>
      <c r="R47" s="61">
        <f>IFERROR(SUMIFS(allFYsTable[Actual],allFYsTable[Code],SummaryTable[[#This Row],[Code]],allFYsTable[DiffAmount], "&gt;0")/SummaryTable[[#This Row],['# Over]], 0)</f>
        <v>1525.5</v>
      </c>
      <c r="S47" s="61">
        <f>SummaryTable[[#This Row],[OverAvgAct]]-SummaryTable[[#This Row],[OverAvgBud]]</f>
        <v>1525.5</v>
      </c>
      <c r="T47" s="54">
        <f>IF(SummaryTable[[#This Row],[OverAvgBud]]=0, IF(SummaryTable[[#This Row],[OverAvgDiff'#]]=0, ZeroBudgetNoSpending, ZeroBudgetWithSpending), SummaryTable[[#This Row],[OverAvgDiff'#]]/SummaryTable[[#This Row],[OverAvgBud]])</f>
        <v>99.99</v>
      </c>
      <c r="U47" s="61">
        <f>IFERROR(SUMIFS(allFYsTable[OriginalBudget],allFYsTable[Code],SummaryTable[[#This Row],[Code]],allFYsTable[DiffAmount], "&lt;0")/SummaryTable[[#This Row],['# Under]], 0)</f>
        <v>1304.5</v>
      </c>
      <c r="V47" s="61">
        <f>IFERROR( SUMIFS(allFYsTable[Actual],allFYsTable[Code],SummaryTable[[#This Row],[Code]],allFYsTable[DiffAmount], "&lt;0")/SummaryTable[[#This Row],['# Under]], 0)</f>
        <v>1283.25</v>
      </c>
      <c r="W47" s="61">
        <f>SummaryTable[[#This Row],[UnderAvgAct]]-SummaryTable[[#This Row],[UnderAvgBud]]</f>
        <v>-21.25</v>
      </c>
      <c r="X47" s="54">
        <f>IF(SummaryTable[[#This Row],[UnderAvgBud]]=0, IF(SummaryTable[[#This Row],[UnderAvgDiff'#]]=0, ZeroBudgetNoSpending, NamedFields!$C$3), SummaryTable[[#This Row],[UnderAvgDiff'#]]/SummaryTable[[#This Row],[UnderAvgBud]])</f>
        <v>-1.6289766193944039E-2</v>
      </c>
      <c r="Y4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4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47" s="54">
        <f>IF(SummaryTable[[#This Row],[IncreaseYears]]=0, ZeroBudgetNoSpending, SummaryTable[[#This Row],[OSinIncreaseYear'#]]/SummaryTable[[#This Row],[IncreaseYears]])</f>
        <v>0</v>
      </c>
      <c r="AB47" s="58" t="str">
        <f>SummaryTable[[#This Row],[Code]]</f>
        <v>GB0</v>
      </c>
      <c r="AC47" s="62">
        <f>IF(COUNTIFS(allFYsTable[Code], SummaryTable[[#This Row],[Code]], allFYsTable[year2], AC$3)=0, NotFound, SUMIFS(allFYsTable[OriginalBudget], allFYsTable[Code], SummaryTable[[#This Row],[Code]], allFYsTable[year2], AC$3))</f>
        <v>2150</v>
      </c>
      <c r="AD47" s="61">
        <f>SummaryTable[[#This Row],[OriginalBudget25]]-SummaryTable[[#This Row],[OriginalBudget24]]</f>
        <v>2150</v>
      </c>
      <c r="AE47" s="54" t="e">
        <f>SummaryTable[[#This Row],[BudgetIncreaseAmount25]]/SummaryTable[[#This Row],[OriginalBudget24]]</f>
        <v>#DIV/0!</v>
      </c>
      <c r="AF47" s="61">
        <f>IF(COUNTIFS(allFYsTable[Code], SummaryTable[[#This Row],[Code]], allFYsTable[year2], AC$3)=0, NotFound, SUMIFS(allFYsTable[RevisedBudget], allFYsTable[Code], SummaryTable[[#This Row],[Code]], allFYsTable[year2], AC$3))</f>
        <v>2150</v>
      </c>
      <c r="AG47" s="61">
        <f>IF(COUNTIFS(allFYsTable[Code], SummaryTable[[#This Row],[Code]], allFYsTable[year2], AC$3)=0, NotFound, SUMIFS(allFYsTable[Actual], allFYsTable[Code], SummaryTable[[#This Row],[Code]], allFYsTable[year2], AC$3))</f>
        <v>2150</v>
      </c>
      <c r="AH47" s="61">
        <f>IF(COUNTIFS(allFYsTable[Code], SummaryTable[[#This Row],[Code]], allFYsTable[year2], AC$3)=0, NotFound, SUMIFS(allFYsTable[DiffAmount], allFYsTable[Code], SummaryTable[[#This Row],[Code]], allFYsTable[year2], AC$3))</f>
        <v>0</v>
      </c>
      <c r="AI47" s="63">
        <f>IF(SummaryTable[[#This Row],[OriginalBudget25]]=0, IF(SummaryTable[[#This Row],[DiffAmount25]]=0, ZeroBudgetNoSpending, ZeroBudgetWithSpending), SummaryTable[[#This Row],[DiffAmount25]]/SummaryTable[[#This Row],[OriginalBudget25]])</f>
        <v>0</v>
      </c>
      <c r="AJ47" s="62">
        <f>IF(COUNTIFS(allFYsTable[Code], SummaryTable[[#This Row],[Code]], allFYsTable[year2], AJ$3)=0, NotFound, SUMIFS(allFYsTable[OriginalBudget], allFYsTable[Code], SummaryTable[[#This Row],[Code]], allFYsTable[year2], AJ$3))</f>
        <v>0</v>
      </c>
      <c r="AK47" s="61">
        <f>SummaryTable[[#This Row],[OriginalBudget24]]-SummaryTable[[#This Row],[OriginalBudget23]]</f>
        <v>0</v>
      </c>
      <c r="AL47" s="54" t="e">
        <f>SummaryTable[[#This Row],[BudgetIncreaseAmount24]]/SummaryTable[[#This Row],[OriginalBudget23]]</f>
        <v>#DIV/0!</v>
      </c>
      <c r="AM47" s="61">
        <f>IF(COUNTIFS(allFYsTable[Code], SummaryTable[[#This Row],[Code]], allFYsTable[year2], AK$3)=0, NotFound, SUMIFS(allFYsTable[RevisedBudget], allFYsTable[Code], SummaryTable[[#This Row],[Code]], allFYsTable[year2], AJ$3))</f>
        <v>0</v>
      </c>
      <c r="AN47" s="61">
        <f>IF(COUNTIFS(allFYsTable[Code], SummaryTable[[#This Row],[Code]], allFYsTable[year2], AJ$3)=0, NotFound, SUMIFS(allFYsTable[Actual], allFYsTable[Code], SummaryTable[[#This Row],[Code]], allFYsTable[year2], AJ$3))</f>
        <v>0</v>
      </c>
      <c r="AO47" s="61">
        <f>IF(COUNTIFS(allFYsTable[Code], SummaryTable[[#This Row],[Code]], allFYsTable[year2], AJ$3)=0, NotFound, SUMIFS(allFYsTable[DiffAmount], allFYsTable[Code], SummaryTable[[#This Row],[Code]], allFYsTable[year2], AJ$3))</f>
        <v>0</v>
      </c>
      <c r="AP47" s="63">
        <f>IF(SummaryTable[[#This Row],[OriginalBudget24]]=0, IF(SummaryTable[[#This Row],[DiffAmount24]]=0, ZeroBudgetNoSpending, ZeroBudgetWithSpending), SummaryTable[[#This Row],[DiffAmount24]]/SummaryTable[[#This Row],[OriginalBudget24]])</f>
        <v>0</v>
      </c>
      <c r="AQ47" s="62">
        <f>IF(COUNTIFS(allFYsTable[Code], SummaryTable[[#This Row],[Code]], allFYsTable[year2], AQ$3)=0, NotFound, SUMIFS(allFYsTable[OriginalBudget], allFYsTable[Code], SummaryTable[[#This Row],[Code]], allFYsTable[year2], AQ$3))</f>
        <v>0</v>
      </c>
      <c r="AR47" s="61">
        <f>SummaryTable[[#This Row],[OriginalBudget23]]-SummaryTable[[#This Row],[OriginalBudget22]]</f>
        <v>0</v>
      </c>
      <c r="AS47" s="54" t="e">
        <f>SummaryTable[[#This Row],[BudgetIncreaseAmount23]]/SummaryTable[[#This Row],[OriginalBudget22]]</f>
        <v>#DIV/0!</v>
      </c>
      <c r="AT47" s="61">
        <f>IF(COUNTIFS(allFYsTable[Code], SummaryTable[[#This Row],[Code]], allFYsTable[year2], AQ$3)=0, NotFound, SUMIFS(allFYsTable[RevisedBudget], allFYsTable[Code], SummaryTable[[#This Row],[Code]], allFYsTable[year2], AQ$3))</f>
        <v>0</v>
      </c>
      <c r="AU47" s="61">
        <f>IF(COUNTIFS(allFYsTable[Code], SummaryTable[[#This Row],[Code]], allFYsTable[year2], AQ$3)=0, NotFound, SUMIFS(allFYsTable[Actual], allFYsTable[Code], SummaryTable[[#This Row],[Code]], allFYsTable[year2], AQ$3))</f>
        <v>0</v>
      </c>
      <c r="AV47" s="61">
        <f>IF(COUNTIFS(allFYsTable[Code], SummaryTable[[#This Row],[Code]], allFYsTable[year2], AQ$3)=0, NotFound, SUMIFS(allFYsTable[DiffAmount], allFYsTable[Code], SummaryTable[[#This Row],[Code]], allFYsTable[year2], AQ$3))</f>
        <v>0</v>
      </c>
      <c r="AW47" s="63">
        <f>IF(SummaryTable[[#This Row],[OriginalBudget23]]=0, IF(SummaryTable[[#This Row],[DiffAmount23]]=0, ZeroBudgetNoSpending, ZeroBudgetWithSpending), SummaryTable[[#This Row],[DiffAmount23]]/SummaryTable[[#This Row],[OriginalBudget23]])</f>
        <v>0</v>
      </c>
      <c r="AX47" s="62">
        <f>IF(COUNTIFS(allFYsTable[Code], SummaryTable[[#This Row],[Code]], allFYsTable[year2], AX$3)=0, NotFound, SUMIFS(allFYsTable[OriginalBudget], allFYsTable[Code], SummaryTable[[#This Row],[Code]], allFYsTable[year2], AX$3))</f>
        <v>0</v>
      </c>
      <c r="AY47" s="61">
        <f>SummaryTable[[#This Row],[OriginalBudget22]]-SummaryTable[[#This Row],[OriginalBudget21]]</f>
        <v>0</v>
      </c>
      <c r="AZ47" s="54" t="e">
        <f>SummaryTable[[#This Row],[BudgetIncreaseAmount22]]/SummaryTable[[#This Row],[OriginalBudget21]]</f>
        <v>#DIV/0!</v>
      </c>
      <c r="BA47" s="61">
        <f>IF(COUNTIFS(allFYsTable[Code], SummaryTable[[#This Row],[Code]], allFYsTable[year2], AX$3)=0, NotFound, SUMIFS(allFYsTable[RevisedBudget], allFYsTable[Code], SummaryTable[[#This Row],[Code]], allFYsTable[year2], AX$3))</f>
        <v>0</v>
      </c>
      <c r="BB47" s="61">
        <f>IF(COUNTIFS(allFYsTable[Code], SummaryTable[[#This Row],[Code]], allFYsTable[year2], AX$3)=0, NotFound, SUMIFS(allFYsTable[Actual], allFYsTable[Code], SummaryTable[[#This Row],[Code]], allFYsTable[year2], AX$3))</f>
        <v>0</v>
      </c>
      <c r="BC47" s="61">
        <f>IF(COUNTIFS(allFYsTable[Code], SummaryTable[[#This Row],[Code]], allFYsTable[year2], AX$3)=0, NotFound, SUMIFS(allFYsTable[DiffAmount], allFYsTable[Code], SummaryTable[[#This Row],[Code]], allFYsTable[year2], AX$3))</f>
        <v>0</v>
      </c>
      <c r="BD47" s="63">
        <f>IF(SummaryTable[[#This Row],[OriginalBudget22]]=0, IF(SummaryTable[[#This Row],[DiffAmount22]]=0, ZeroBudgetNoSpending, ZeroBudgetWithSpending), SummaryTable[[#This Row],[DiffAmount22]]/SummaryTable[[#This Row],[OriginalBudget22]])</f>
        <v>0</v>
      </c>
      <c r="BE47" s="62">
        <f>IF(COUNTIFS(allFYsTable[Code], SummaryTable[[#This Row],[Code]], allFYsTable[year2], BE$3)=0, NotFound, SUMIFS(allFYsTable[OriginalBudget], allFYsTable[Code], SummaryTable[[#This Row],[Code]], allFYsTable[year2], BE$3))</f>
        <v>0</v>
      </c>
      <c r="BF47" s="61">
        <f>SummaryTable[[#This Row],[OriginalBudget21]]-SummaryTable[[#This Row],[OriginalBudget20]]</f>
        <v>-1800</v>
      </c>
      <c r="BG47" s="54">
        <f>SummaryTable[[#This Row],[BudgetIncreaseAmount21]]/SummaryTable[[#This Row],[OriginalBudget20]]</f>
        <v>-1</v>
      </c>
      <c r="BH47" s="61">
        <f>IF(COUNTIFS(allFYsTable[Code], SummaryTable[[#This Row],[Code]], allFYsTable[year2], BE$3)=0, NotFound, SUMIFS(allFYsTable[RevisedBudget], allFYsTable[Code], SummaryTable[[#This Row],[Code]], allFYsTable[year2], BE$3))</f>
        <v>2330</v>
      </c>
      <c r="BI47" s="61">
        <f>IF(COUNTIFS(allFYsTable[Code], SummaryTable[[#This Row],[Code]], allFYsTable[year2], BE$3)=0, NotFound, SUMIFS(allFYsTable[Actual], allFYsTable[Code], SummaryTable[[#This Row],[Code]], allFYsTable[year2], BE$3))</f>
        <v>2330</v>
      </c>
      <c r="BJ47" s="61">
        <f>IF(COUNTIFS(allFYsTable[Code], SummaryTable[[#This Row],[Code]], allFYsTable[year2], BE$3)=0, NotFound, SUMIFS(allFYsTable[DiffAmount], allFYsTable[Code], SummaryTable[[#This Row],[Code]], allFYsTable[year2], BE$3))</f>
        <v>2330</v>
      </c>
      <c r="BK47" s="63">
        <f>IF(SummaryTable[[#This Row],[OriginalBudget21]]=0, IF(SummaryTable[[#This Row],[DiffAmount21]]=0, ZeroBudgetNoSpending, ZeroBudgetWithSpending), SummaryTable[[#This Row],[DiffAmount21]]/SummaryTable[[#This Row],[OriginalBudget21]])</f>
        <v>99.99</v>
      </c>
      <c r="BL47" s="62">
        <f>IF(COUNTIFS(allFYsTable[Code], SummaryTable[[#This Row],[Code]], allFYsTable[year2], BL$3)=0, NotFound, SUMIFS(allFYsTable[OriginalBudget], allFYsTable[Code], SummaryTable[[#This Row],[Code]], allFYsTable[year2], BL$3))</f>
        <v>1800</v>
      </c>
      <c r="BM47" s="61">
        <f>SummaryTable[[#This Row],[OriginalBudget20]]-SummaryTable[[#This Row],[OriginalBudget19]]</f>
        <v>1800</v>
      </c>
      <c r="BN47" s="54" t="e">
        <f>SummaryTable[[#This Row],[BudgetIncreaseAmount20]]/SummaryTable[[#This Row],[OriginalBudget19]]</f>
        <v>#DIV/0!</v>
      </c>
      <c r="BO47" s="61">
        <f>IF(COUNTIFS(allFYsTable[Code], SummaryTable[[#This Row],[Code]], allFYsTable[year2], BL$3)=0, NotFound, SUMIFS(allFYsTable[RevisedBudget], allFYsTable[Code], SummaryTable[[#This Row],[Code]], allFYsTable[year2], BL$3))</f>
        <v>1800</v>
      </c>
      <c r="BP47" s="61">
        <f>IF(COUNTIFS(allFYsTable[Code], SummaryTable[[#This Row],[Code]], allFYsTable[year2], BL$3)=0, NotFound, SUMIFS(allFYsTable[Actual], allFYsTable[Code], SummaryTable[[#This Row],[Code]], allFYsTable[year2], BL$3))</f>
        <v>1800</v>
      </c>
      <c r="BQ47" s="61">
        <f>IF(COUNTIFS(allFYsTable[Code], SummaryTable[[#This Row],[Code]], allFYsTable[year2], BL$3)=0, NotFound, SUMIFS(allFYsTable[DiffAmount], allFYsTable[Code], SummaryTable[[#This Row],[Code]], allFYsTable[year2], BL$3))</f>
        <v>0</v>
      </c>
      <c r="BR47" s="63">
        <f>IF(SummaryTable[[#This Row],[OriginalBudget20]]=0, IF(SummaryTable[[#This Row],[DiffAmount20]]=0, ZeroBudgetNoSpending, ZeroBudgetWithSpending), SummaryTable[[#This Row],[DiffAmount20]]/SummaryTable[[#This Row],[OriginalBudget20]])</f>
        <v>0</v>
      </c>
      <c r="BS47" s="62">
        <f>IF(COUNTIFS(allFYsTable[Code], SummaryTable[[#This Row],[Code]], allFYsTable[year2], BS$3)=0, NotFound, SUMIFS(allFYsTable[OriginalBudget], allFYsTable[Code], SummaryTable[[#This Row],[Code]], allFYsTable[year2], BS$3))</f>
        <v>0</v>
      </c>
      <c r="BT47" s="61">
        <f>SummaryTable[[#This Row],[OriginalBudget19]]-SummaryTable[[#This Row],[OriginalBudget18]]</f>
        <v>0</v>
      </c>
      <c r="BU47" s="54" t="e">
        <f>SummaryTable[[#This Row],[BudgetIncreaseAmount19]]/SummaryTable[[#This Row],[OriginalBudget18]]</f>
        <v>#DIV/0!</v>
      </c>
      <c r="BV47" s="61">
        <f>IF(COUNTIFS(allFYsTable[Code], SummaryTable[[#This Row],[Code]], allFYsTable[year2], BS$3)=0, NotFound, SUMIFS(allFYsTable[RevisedBudget], allFYsTable[Code], SummaryTable[[#This Row],[Code]], allFYsTable[year2], BS$3))</f>
        <v>0</v>
      </c>
      <c r="BW47" s="61">
        <f>IF(COUNTIFS(allFYsTable[Code], SummaryTable[[#This Row],[Code]], allFYsTable[year2], BS$3)=0, NotFound, SUMIFS(allFYsTable[Actual], allFYsTable[Code], SummaryTable[[#This Row],[Code]], allFYsTable[year2], BS$3))</f>
        <v>0</v>
      </c>
      <c r="BX47" s="61">
        <f>IF(COUNTIFS(allFYsTable[Code], SummaryTable[[#This Row],[Code]], allFYsTable[year2], BS$3)=0, NotFound, SUMIFS(allFYsTable[DiffAmount], allFYsTable[Code], SummaryTable[[#This Row],[Code]], allFYsTable[year2], BS$3))</f>
        <v>0</v>
      </c>
      <c r="BY47" s="63">
        <f>IF(SummaryTable[[#This Row],[OriginalBudget19]]=0, IF(SummaryTable[[#This Row],[DiffAmount19]]=0, ZeroBudgetNoSpending, ZeroBudgetWithSpending), SummaryTable[[#This Row],[DiffAmount19]]/SummaryTable[[#This Row],[OriginalBudget19]])</f>
        <v>0</v>
      </c>
      <c r="BZ47" s="62">
        <f>IF(COUNTIFS(allFYsTable[Code], SummaryTable[[#This Row],[Code]], allFYsTable[year2], BZ$3)=0, NotFound, SUMIFS(allFYsTable[OriginalBudget], allFYsTable[Code], SummaryTable[[#This Row],[Code]], allFYsTable[year2], BZ$3))</f>
        <v>0</v>
      </c>
      <c r="CA47" s="61">
        <f>SummaryTable[[#This Row],[OriginalBudget18]]-SummaryTable[[#This Row],[OriginalBudget17]]</f>
        <v>0</v>
      </c>
      <c r="CB47" s="54" t="e">
        <f>SummaryTable[[#This Row],[BudgetIncreaseAmount18]]/SummaryTable[[#This Row],[OriginalBudget17]]</f>
        <v>#DIV/0!</v>
      </c>
      <c r="CC47" s="61">
        <f>IF(COUNTIFS(allFYsTable[Code], SummaryTable[[#This Row],[Code]], allFYsTable[year2], BZ$3)=0, NotFound, SUMIFS(allFYsTable[RevisedBudget], allFYsTable[Code], SummaryTable[[#This Row],[Code]], allFYsTable[year2], BZ$3))</f>
        <v>0</v>
      </c>
      <c r="CD47" s="61">
        <f>IF(COUNTIFS(allFYsTable[Code], SummaryTable[[#This Row],[Code]], allFYsTable[year2], BZ$3)=0, NotFound, SUMIFS(allFYsTable[Actual], allFYsTable[Code], SummaryTable[[#This Row],[Code]], allFYsTable[year2], BZ$3))</f>
        <v>0</v>
      </c>
      <c r="CE47" s="61">
        <f>IF(COUNTIFS(allFYsTable[Code], SummaryTable[[#This Row],[Code]], allFYsTable[year2], BZ$3)=0, NotFound, SUMIFS(allFYsTable[DiffAmount], allFYsTable[Code], SummaryTable[[#This Row],[Code]], allFYsTable[year2], BZ$3))</f>
        <v>0</v>
      </c>
      <c r="CF47" s="63">
        <f>IF(SummaryTable[[#This Row],[OriginalBudget18]]=0, IF(SummaryTable[[#This Row],[DiffAmount18]]=0, ZeroBudgetNoSpending, ZeroBudgetWithSpending), SummaryTable[[#This Row],[DiffAmount18]]/SummaryTable[[#This Row],[OriginalBudget18]])</f>
        <v>0</v>
      </c>
      <c r="CG47" s="62">
        <f>IF(COUNTIFS(allFYsTable[Code], SummaryTable[[#This Row],[Code]], allFYsTable[year2], CG$3)=0, NotFound, SUMIFS(allFYsTable[OriginalBudget], allFYsTable[Code], SummaryTable[[#This Row],[Code]], allFYsTable[year2], CG$3))</f>
        <v>0</v>
      </c>
      <c r="CH47" s="61">
        <f>SummaryTable[[#This Row],[OriginalBudget17]]-SummaryTable[[#This Row],[OriginalBudget16]]</f>
        <v>0</v>
      </c>
      <c r="CI47" s="54" t="e">
        <f>SummaryTable[[#This Row],[BudgetIncreaseAmount17]]/SummaryTable[[#This Row],[OriginalBudget16]]</f>
        <v>#DIV/0!</v>
      </c>
      <c r="CJ47" s="61">
        <f>IF(COUNTIFS(allFYsTable[Code], SummaryTable[[#This Row],[Code]], allFYsTable[year2], CG$3)=0, NotFound, SUMIFS(allFYsTable[RevisedBudget], allFYsTable[Code], SummaryTable[[#This Row],[Code]], allFYsTable[year2], CG$3))</f>
        <v>721</v>
      </c>
      <c r="CK47" s="61">
        <f>IF(COUNTIFS(allFYsTable[Code], SummaryTable[[#This Row],[Code]], allFYsTable[year2], CG$3)=0, NotFound, SUMIFS(allFYsTable[Actual], allFYsTable[Code], SummaryTable[[#This Row],[Code]], allFYsTable[year2], CG$3))</f>
        <v>721</v>
      </c>
      <c r="CL47" s="61">
        <f>IF(COUNTIFS(allFYsTable[Code], SummaryTable[[#This Row],[Code]], allFYsTable[year2], CG$3)=0, NotFound, SUMIFS(allFYsTable[DiffAmount], allFYsTable[Code], SummaryTable[[#This Row],[Code]], allFYsTable[year2], CG$3))</f>
        <v>721</v>
      </c>
      <c r="CM47" s="63">
        <f>IF(SummaryTable[[#This Row],[OriginalBudget17]]=0, IF(SummaryTable[[#This Row],[DiffAmount17]]=0, ZeroBudgetNoSpending, ZeroBudgetWithSpending), SummaryTable[[#This Row],[DiffAmount17]]/SummaryTable[[#This Row],[OriginalBudget17]])</f>
        <v>99.99</v>
      </c>
      <c r="CN47" s="62">
        <f>IF(COUNTIFS(allFYsTable[Code], SummaryTable[[#This Row],[Code]], allFYsTable[year2], CN$3)=0, NotFound, SUMIFS(allFYsTable[OriginalBudget], allFYsTable[Code], SummaryTable[[#This Row],[Code]], allFYsTable[year2], CN$3))</f>
        <v>0</v>
      </c>
      <c r="CO47" s="61">
        <f>SummaryTable[[#This Row],[OriginalBudget16]]-SummaryTable[[#This Row],[OriginalBudget15]]</f>
        <v>0</v>
      </c>
      <c r="CP47" s="54" t="e">
        <f>SummaryTable[[#This Row],[BudgetIncreaseAmount16]]/SummaryTable[[#This Row],[OriginalBudget15]]</f>
        <v>#DIV/0!</v>
      </c>
      <c r="CQ47" s="61">
        <f>IF(COUNTIFS(allFYsTable[Code], SummaryTable[[#This Row],[Code]], allFYsTable[year2], CN$3)=0, NotFound, SUMIFS(allFYsTable[RevisedBudget], allFYsTable[Code], SummaryTable[[#This Row],[Code]], allFYsTable[year2], CN$3))</f>
        <v>0</v>
      </c>
      <c r="CR47" s="61">
        <f>IF(COUNTIFS(allFYsTable[Code], SummaryTable[[#This Row],[Code]], allFYsTable[year2], CN$3)=0, NotFound, SUMIFS(allFYsTable[Actual], allFYsTable[Code], SummaryTable[[#This Row],[Code]], allFYsTable[year2], CN$3))</f>
        <v>0</v>
      </c>
      <c r="CS47" s="61">
        <f>IF(COUNTIFS(allFYsTable[Code], SummaryTable[[#This Row],[Code]], allFYsTable[year2], CN$3)=0, NotFound, SUMIFS(allFYsTable[DiffAmount], allFYsTable[Code], SummaryTable[[#This Row],[Code]], allFYsTable[year2], CN$3))</f>
        <v>0</v>
      </c>
      <c r="CT47" s="63">
        <f>IF(SummaryTable[[#This Row],[OriginalBudget16]]=0, IF(SummaryTable[[#This Row],[DiffAmount16]]=0, ZeroBudgetNoSpending, ZeroBudgetWithSpending), SummaryTable[[#This Row],[DiffAmount16]]/SummaryTable[[#This Row],[OriginalBudget16]])</f>
        <v>0</v>
      </c>
      <c r="CU47" s="62">
        <f>IF(COUNTIFS(allFYsTable[Code], SummaryTable[[#This Row],[Code]], allFYsTable[year2], CU$3)=0, NotFound, SUMIFS(allFYsTable[OriginalBudget], allFYsTable[Code], SummaryTable[[#This Row],[Code]], allFYsTable[year2], CU$3))</f>
        <v>0</v>
      </c>
      <c r="CV47" s="61">
        <f>SummaryTable[[#This Row],[OriginalBudget15]]-SummaryTable[[#This Row],[OriginalBudget14]]</f>
        <v>-1161</v>
      </c>
      <c r="CW47" s="54">
        <f>SummaryTable[[#This Row],[BudgetIncreaseAmount15]]/SummaryTable[[#This Row],[OriginalBudget14]]</f>
        <v>-1</v>
      </c>
      <c r="CX47" s="61">
        <f>IF(COUNTIFS(allFYsTable[Code], SummaryTable[[#This Row],[Code]], allFYsTable[year2], CU$3)=0, NotFound, SUMIFS(allFYsTable[RevisedBudget], allFYsTable[Code], SummaryTable[[#This Row],[Code]], allFYsTable[year2], CU$3))</f>
        <v>0</v>
      </c>
      <c r="CY47" s="61">
        <f>IF(COUNTIFS(allFYsTable[Code], SummaryTable[[#This Row],[Code]], allFYsTable[year2], CU$3)=0, NotFound, SUMIFS(allFYsTable[Actual], allFYsTable[Code], SummaryTable[[#This Row],[Code]], allFYsTable[year2], CU$3))</f>
        <v>0</v>
      </c>
      <c r="CZ47" s="61">
        <f>IF(COUNTIFS(allFYsTable[Code], SummaryTable[[#This Row],[Code]], allFYsTable[year2], CU$3)=0, NotFound, SUMIFS(allFYsTable[DiffAmount], allFYsTable[Code], SummaryTable[[#This Row],[Code]], allFYsTable[year2], CU$3))</f>
        <v>0</v>
      </c>
      <c r="DA47" s="63">
        <f>IF(SummaryTable[[#This Row],[OriginalBudget15]]=0, IF(SummaryTable[[#This Row],[DiffAmount15]]=0, ZeroBudgetNoSpending, ZeroBudgetWithSpending), SummaryTable[[#This Row],[DiffAmount15]]/SummaryTable[[#This Row],[OriginalBudget15]])</f>
        <v>0</v>
      </c>
      <c r="DB47" s="62">
        <f>IF(COUNTIFS(allFYsTable[Code], SummaryTable[[#This Row],[Code]], allFYsTable[year2], DB$3)=0, NotFound, SUMIFS(allFYsTable[OriginalBudget], allFYsTable[Code], SummaryTable[[#This Row],[Code]], allFYsTable[year2], DB$3))</f>
        <v>1161</v>
      </c>
      <c r="DC47" s="61">
        <f>SummaryTable[[#This Row],[OriginalBudget14]]-SummaryTable[[#This Row],[OriginalBudget13]]</f>
        <v>85</v>
      </c>
      <c r="DD47" s="54">
        <f>SummaryTable[[#This Row],[BudgetIncreaseAmount14]]/SummaryTable[[#This Row],[OriginalBudget13]]</f>
        <v>7.8996282527881045E-2</v>
      </c>
      <c r="DE47" s="61">
        <f>IF(COUNTIFS(allFYsTable[Code], SummaryTable[[#This Row],[Code]], allFYsTable[year2], DB$3)=0, NotFound, SUMIFS(allFYsTable[RevisedBudget], allFYsTable[Code], SummaryTable[[#This Row],[Code]], allFYsTable[year2], DB$3))</f>
        <v>1161</v>
      </c>
      <c r="DF47" s="61">
        <f>IF(COUNTIFS(allFYsTable[Code], SummaryTable[[#This Row],[Code]], allFYsTable[year2], DB$3)=0, NotFound, SUMIFS(allFYsTable[Actual], allFYsTable[Code], SummaryTable[[#This Row],[Code]], allFYsTable[year2], DB$3))</f>
        <v>1159</v>
      </c>
      <c r="DG47" s="61">
        <f>IF(COUNTIFS(allFYsTable[Code], SummaryTable[[#This Row],[Code]], allFYsTable[year2], DB$3)=0, NotFound, SUMIFS(allFYsTable[DiffAmount], allFYsTable[Code], SummaryTable[[#This Row],[Code]], allFYsTable[year2], DB$3))</f>
        <v>-2</v>
      </c>
      <c r="DH47" s="63">
        <f>IF(SummaryTable[[#This Row],[OriginalBudget14]]=0, IF(SummaryTable[[#This Row],[DiffAmount14]]=0, ZeroBudgetNoSpending, ZeroBudgetWithSpending), SummaryTable[[#This Row],[DiffAmount14]]/SummaryTable[[#This Row],[OriginalBudget14]])</f>
        <v>-1.7226528854435831E-3</v>
      </c>
      <c r="DI47" s="62">
        <f>IF(COUNTIFS(allFYsTable[Code], SummaryTable[[#This Row],[Code]], allFYsTable[year2], DI$3)=0, NotFound, SUMIFS(allFYsTable[OriginalBudget], allFYsTable[Code], SummaryTable[[#This Row],[Code]], allFYsTable[year2], DI$3))</f>
        <v>1076</v>
      </c>
      <c r="DJ47" s="61">
        <f>SummaryTable[[#This Row],[OriginalBudget13]]-SummaryTable[[#This Row],[OriginalBudget12]]</f>
        <v>0</v>
      </c>
      <c r="DK47" s="54">
        <f>SummaryTable[[#This Row],[BudgetIncreaseAmount13]]/SummaryTable[[#This Row],[OriginalBudget12]]</f>
        <v>0</v>
      </c>
      <c r="DL47" s="61">
        <f>IF(COUNTIFS(allFYsTable[Code], SummaryTable[[#This Row],[Code]], allFYsTable[year2], DI$3)=0, NotFound, SUMIFS(allFYsTable[RevisedBudget], allFYsTable[Code], SummaryTable[[#This Row],[Code]], allFYsTable[year2], DI$3))</f>
        <v>1076</v>
      </c>
      <c r="DM47" s="61">
        <f>IF(COUNTIFS(allFYsTable[Code], SummaryTable[[#This Row],[Code]], allFYsTable[year2], DI$3)=0, NotFound, SUMIFS(allFYsTable[Actual], allFYsTable[Code], SummaryTable[[#This Row],[Code]], allFYsTable[year2], DI$3))</f>
        <v>1076</v>
      </c>
      <c r="DN47" s="61">
        <f>IF(COUNTIFS(allFYsTable[Code], SummaryTable[[#This Row],[Code]], allFYsTable[year2], DI$3)=0, NotFound, SUMIFS(allFYsTable[DiffAmount], allFYsTable[Code], SummaryTable[[#This Row],[Code]], allFYsTable[year2], DI$3))</f>
        <v>0</v>
      </c>
      <c r="DO47" s="63">
        <f>IF(SummaryTable[[#This Row],[OriginalBudget13]]=0, IF(SummaryTable[[#This Row],[DiffAmount13]]=0, ZeroBudgetNoSpending, ZeroBudgetWithSpending), SummaryTable[[#This Row],[DiffAmount13]]/SummaryTable[[#This Row],[OriginalBudget13]])</f>
        <v>0</v>
      </c>
      <c r="DP47" s="62">
        <f>IF(COUNTIFS(allFYsTable[Code], SummaryTable[[#This Row],[Code]], allFYsTable[year2], DP$3)=0, NotFound, SUMIFS(allFYsTable[OriginalBudget], allFYsTable[Code], SummaryTable[[#This Row],[Code]], allFYsTable[year2], DP$3))</f>
        <v>1076</v>
      </c>
      <c r="DQ47" s="61">
        <f>SummaryTable[[#This Row],[OriginalBudget12]]-SummaryTable[[#This Row],[OriginalBudget11]]</f>
        <v>-245</v>
      </c>
      <c r="DR47" s="54">
        <f>SummaryTable[[#This Row],[BudgetIncreaseAmount12]]/SummaryTable[[#This Row],[OriginalBudget11]]</f>
        <v>-0.1854655563966692</v>
      </c>
      <c r="DS47" s="61">
        <f>IF(COUNTIFS(allFYsTable[Code], SummaryTable[[#This Row],[Code]], allFYsTable[year2], DP$3)=0, NotFound, SUMIFS(allFYsTable[RevisedBudget], allFYsTable[Code], SummaryTable[[#This Row],[Code]], allFYsTable[year2], DP$3))</f>
        <v>1076</v>
      </c>
      <c r="DT47" s="61">
        <f>IF(COUNTIFS(allFYsTable[Code], SummaryTable[[#This Row],[Code]], allFYsTable[year2], DP$3)=0, NotFound, SUMIFS(allFYsTable[Actual], allFYsTable[Code], SummaryTable[[#This Row],[Code]], allFYsTable[year2], DP$3))</f>
        <v>1065</v>
      </c>
      <c r="DU47" s="61">
        <f>IF(COUNTIFS(allFYsTable[Code], SummaryTable[[#This Row],[Code]], allFYsTable[year2], DP$3)=0, NotFound, SUMIFS(allFYsTable[DiffAmount], allFYsTable[Code], SummaryTable[[#This Row],[Code]], allFYsTable[year2], DP$3))</f>
        <v>-11</v>
      </c>
      <c r="DV47" s="63">
        <f>IF(SummaryTable[[#This Row],[OriginalBudget12]]=0, IF(SummaryTable[[#This Row],[DiffAmount12]]=0, ZeroBudgetNoSpending, ZeroBudgetWithSpending), SummaryTable[[#This Row],[DiffAmount12]]/SummaryTable[[#This Row],[OriginalBudget12]])</f>
        <v>-1.0223048327137546E-2</v>
      </c>
      <c r="DW47" s="62">
        <f>IF(COUNTIFS(allFYsTable[Code], SummaryTable[[#This Row],[Code]], allFYsTable[year2], DW$3)=0, NotFound, SUMIFS(allFYsTable[OriginalBudget], allFYsTable[Code], SummaryTable[[#This Row],[Code]], allFYsTable[year2], DW$3))</f>
        <v>1321</v>
      </c>
      <c r="DX47" s="61">
        <f>SummaryTable[[#This Row],[OriginalBudget11]]-SummaryTable[[#This Row],[OriginalBudget10]]</f>
        <v>-339</v>
      </c>
      <c r="DY47" s="54">
        <f>SummaryTable[[#This Row],[BudgetIncreaseAmount11]]/SummaryTable[[#This Row],[OriginalBudget10]]</f>
        <v>-0.20421686746987952</v>
      </c>
      <c r="DZ47" s="61">
        <f>IF(COUNTIFS(allFYsTable[Code], SummaryTable[[#This Row],[Code]], allFYsTable[year2], DW$3)=0, NotFound, SUMIFS(allFYsTable[RevisedBudget], allFYsTable[Code], SummaryTable[[#This Row],[Code]], allFYsTable[year2], DW$3))</f>
        <v>1321</v>
      </c>
      <c r="EA47" s="61">
        <f>IF(COUNTIFS(allFYsTable[Code], SummaryTable[[#This Row],[Code]], allFYsTable[year2], DW$3)=0, NotFound, SUMIFS(allFYsTable[Actual], allFYsTable[Code], SummaryTable[[#This Row],[Code]], allFYsTable[year2], DW$3))</f>
        <v>1304</v>
      </c>
      <c r="EB47" s="61">
        <f>IF(COUNTIFS(allFYsTable[Code], SummaryTable[[#This Row],[Code]], allFYsTable[year2], DW$3)=0, NotFound, SUMIFS(allFYsTable[DiffAmount], allFYsTable[Code], SummaryTable[[#This Row],[Code]], allFYsTable[year2], DW$3))</f>
        <v>-17</v>
      </c>
      <c r="EC47" s="63">
        <f>IF(SummaryTable[[#This Row],[OriginalBudget11]]=0, IF(SummaryTable[[#This Row],[DiffAmount11]]=0, ZeroBudgetNoSpending, ZeroBudgetWithSpending), SummaryTable[[#This Row],[DiffAmount11]]/SummaryTable[[#This Row],[OriginalBudget11]])</f>
        <v>-1.2869038607115822E-2</v>
      </c>
      <c r="ED47" s="62">
        <f>IF(COUNTIFS(allFYsTable[Code], SummaryTable[[#This Row],[Code]], allFYsTable[year2], ED$3)=0, NotFound, SUMIFS(allFYsTable[OriginalBudget], allFYsTable[Code], SummaryTable[[#This Row],[Code]], allFYsTable[year2], ED$3))</f>
        <v>1660</v>
      </c>
      <c r="EE47" s="61">
        <f>SummaryTable[[#This Row],[OriginalBudget10]]-SummaryTable[[#This Row],[OriginalBudget09]]</f>
        <v>0</v>
      </c>
      <c r="EF47" s="54">
        <f>SummaryTable[[#This Row],[BudgetIncreaseAmount10]]/SummaryTable[[#This Row],[OriginalBudget09]]</f>
        <v>0</v>
      </c>
      <c r="EG47" s="61">
        <f>IF(COUNTIFS(allFYsTable[Code], SummaryTable[[#This Row],[Code]], allFYsTable[year2], ED$3)=0, NotFound, SUMIFS(allFYsTable[RevisedBudget], allFYsTable[Code], SummaryTable[[#This Row],[Code]], allFYsTable[year2], ED$3))</f>
        <v>1660</v>
      </c>
      <c r="EH47" s="61">
        <f>IF(COUNTIFS(allFYsTable[Code], SummaryTable[[#This Row],[Code]], allFYsTable[year2], ED$3)=0, NotFound, SUMIFS(allFYsTable[Actual], allFYsTable[Code], SummaryTable[[#This Row],[Code]], allFYsTable[year2], ED$3))</f>
        <v>1605</v>
      </c>
      <c r="EI47" s="61">
        <f>IF(COUNTIFS(allFYsTable[Code], SummaryTable[[#This Row],[Code]], allFYsTable[year2], ED$3)=0, NotFound, SUMIFS(allFYsTable[DiffAmount], allFYsTable[Code], SummaryTable[[#This Row],[Code]], allFYsTable[year2], ED$3))</f>
        <v>-55</v>
      </c>
      <c r="EJ47" s="63">
        <f>IF(SummaryTable[[#This Row],[OriginalBudget10]]=0, IF(SummaryTable[[#This Row],[DiffAmount10]]=0, ZeroBudgetNoSpending, ZeroBudgetWithSpending), SummaryTable[[#This Row],[DiffAmount10]]/SummaryTable[[#This Row],[OriginalBudget10]])</f>
        <v>-3.313253012048193E-2</v>
      </c>
      <c r="EK47" s="62">
        <f>IF(COUNTIFS(allFYsTable[Code], SummaryTable[[#This Row],[Code]], allFYsTable[year2], EK$3)=0, NotFound, SUMIFS(allFYsTable[OriginalBudget], allFYsTable[Code], SummaryTable[[#This Row],[Code]], allFYsTable[year2], EK$3))</f>
        <v>1660</v>
      </c>
      <c r="EL47" s="61">
        <f>SummaryTable[[#This Row],[OriginalBudget09]]-SummaryTable[[#This Row],[OriginalBudget08]]</f>
        <v>-59</v>
      </c>
      <c r="EM47" s="54">
        <f>SummaryTable[[#This Row],[BudgetIncreaseAmount09]]/SummaryTable[[#This Row],[OriginalBudget08]]</f>
        <v>-3.4322280395578823E-2</v>
      </c>
      <c r="EN47" s="61">
        <f>IF(COUNTIFS(allFYsTable[Code], SummaryTable[[#This Row],[Code]], allFYsTable[year2], EK$3)=0, NotFound, SUMIFS(allFYsTable[RevisedBudget], allFYsTable[Code], SummaryTable[[#This Row],[Code]], allFYsTable[year2], EK$3))</f>
        <v>1660</v>
      </c>
      <c r="EO47" s="61">
        <f>IF(COUNTIFS(allFYsTable[Code], SummaryTable[[#This Row],[Code]], allFYsTable[year2], EK$3)=0, NotFound, SUMIFS(allFYsTable[Actual], allFYsTable[Code], SummaryTable[[#This Row],[Code]], allFYsTable[year2], EK$3))</f>
        <v>1660</v>
      </c>
      <c r="EP47" s="61">
        <f>IF(COUNTIFS(allFYsTable[Code], SummaryTable[[#This Row],[Code]], allFYsTable[year2], EK$3)=0, NotFound, SUMIFS(allFYsTable[DiffAmount], allFYsTable[Code], SummaryTable[[#This Row],[Code]], allFYsTable[year2], EK$3))</f>
        <v>0</v>
      </c>
      <c r="EQ47" s="63">
        <f>IF(SummaryTable[[#This Row],[OriginalBudget09]]=0, IF(SummaryTable[[#This Row],[DiffAmount09]]=0, ZeroBudgetNoSpending, ZeroBudgetWithSpending), SummaryTable[[#This Row],[DiffAmount09]]/SummaryTable[[#This Row],[OriginalBudget09]])</f>
        <v>0</v>
      </c>
      <c r="ER47" s="62">
        <f>IF(COUNTIFS(allFYsTable[Code], SummaryTable[[#This Row],[Code]], allFYsTable[year2], ER$3)=0, NotFound, SUMIFS(allFYsTable[OriginalBudget], allFYsTable[Code], SummaryTable[[#This Row],[Code]], allFYsTable[year2], ER$3))</f>
        <v>1719</v>
      </c>
      <c r="ES47" s="61" t="e">
        <f>SummaryTable[[#This Row],[OriginalBudget08]]-SummaryTable[[#This Row],[OriginalBudget07]]</f>
        <v>#N/A</v>
      </c>
      <c r="ET47" s="54" t="e">
        <f>SummaryTable[[#This Row],[BudgetIncreaseAmount08]]/SummaryTable[[#This Row],[OriginalBudget07]]</f>
        <v>#N/A</v>
      </c>
      <c r="EU47" s="61">
        <f>IF(COUNTIFS(allFYsTable[Code], SummaryTable[[#This Row],[Code]], allFYsTable[year2], ER$3)=0, NotFound, SUMIFS(allFYsTable[RevisedBudget], allFYsTable[Code], SummaryTable[[#This Row],[Code]], allFYsTable[year2], ER$3))</f>
        <v>1719</v>
      </c>
      <c r="EV47" s="61">
        <f>IF(COUNTIFS(allFYsTable[Code], SummaryTable[[#This Row],[Code]], allFYsTable[year2], ER$3)=0, NotFound, SUMIFS(allFYsTable[Actual], allFYsTable[Code], SummaryTable[[#This Row],[Code]], allFYsTable[year2], ER$3))</f>
        <v>1719</v>
      </c>
      <c r="EW47" s="61">
        <f>IF(COUNTIFS(allFYsTable[Code], SummaryTable[[#This Row],[Code]], allFYsTable[year2], ER$3)=0, NotFound, SUMIFS(allFYsTable[DiffAmount], allFYsTable[Code], SummaryTable[[#This Row],[Code]], allFYsTable[year2], ER$3))</f>
        <v>0</v>
      </c>
      <c r="EX47" s="63">
        <f>IF(SummaryTable[[#This Row],[OriginalBudget08]]=0, IF(SummaryTable[[#This Row],[DiffAmount08]]=0, ZeroBudgetNoSpending, ZeroBudgetWithSpending), SummaryTable[[#This Row],[DiffAmount08]]/SummaryTable[[#This Row],[OriginalBudget08]])</f>
        <v>0</v>
      </c>
      <c r="EY47" s="62" t="e">
        <f>IF(COUNTIFS(allFYsTable[Code], SummaryTable[[#This Row],[Code]], allFYsTable[year2], EY$3)=0, NotFound, SUMIFS(allFYsTable[OriginalBudget], allFYsTable[Code], SummaryTable[[#This Row],[Code]], allFYsTable[year2], EY$3))</f>
        <v>#N/A</v>
      </c>
      <c r="EZ47" s="61" t="e">
        <f>SummaryTable[[#This Row],[OriginalBudget07]]-SummaryTable[[#This Row],[OriginalBudget06]]</f>
        <v>#N/A</v>
      </c>
      <c r="FA47" s="54" t="e">
        <f>SummaryTable[[#This Row],[BudgetIncreaseAmount07]]/SummaryTable[[#This Row],[OriginalBudget06]]</f>
        <v>#N/A</v>
      </c>
      <c r="FB47" s="61" t="e">
        <f>IF(COUNTIFS(allFYsTable[Code], SummaryTable[[#This Row],[Code]], allFYsTable[year2], EY$3)=0, NotFound, SUMIFS(allFYsTable[RevisedBudget], allFYsTable[Code], SummaryTable[[#This Row],[Code]], allFYsTable[year2], EY$3))</f>
        <v>#N/A</v>
      </c>
      <c r="FC47" s="61" t="e">
        <f>IF(COUNTIFS(allFYsTable[Code], SummaryTable[[#This Row],[Code]], allFYsTable[year2], EY$3)=0, NotFound, SUMIFS(allFYsTable[Actual], allFYsTable[Code], SummaryTable[[#This Row],[Code]], allFYsTable[year2], EY$3))</f>
        <v>#N/A</v>
      </c>
      <c r="FD47" s="61" t="e">
        <f>IF(COUNTIFS(allFYsTable[Code], SummaryTable[[#This Row],[Code]], allFYsTable[year2], EY$3)=0, NotFound, SUMIFS(allFYsTable[DiffAmount], allFYsTable[Code], SummaryTable[[#This Row],[Code]], allFYsTable[year2], EY$3))</f>
        <v>#N/A</v>
      </c>
      <c r="FE47" s="63" t="e">
        <f>IF(SummaryTable[[#This Row],[OriginalBudget07]]=0, IF(SummaryTable[[#This Row],[DiffAmount07]]=0, ZeroBudgetNoSpending, ZeroBudgetWithSpending), SummaryTable[[#This Row],[DiffAmount07]]/SummaryTable[[#This Row],[OriginalBudget07]])</f>
        <v>#N/A</v>
      </c>
      <c r="FF47" s="62" t="e">
        <f>IF(COUNTIFS(allFYsTable[Code], SummaryTable[[#This Row],[Code]], allFYsTable[year2], FF$3)=0, NotFound, SUMIFS(allFYsTable[OriginalBudget], allFYsTable[Code], SummaryTable[[#This Row],[Code]], allFYsTable[year2], FF$3))</f>
        <v>#N/A</v>
      </c>
      <c r="FI47" s="61" t="e">
        <f>IF(COUNTIFS(allFYsTable[Code], SummaryTable[[#This Row],[Code]], allFYsTable[year2], FF$3)=0, NotFound, SUMIFS(allFYsTable[RevisedBudget], allFYsTable[Code], SummaryTable[[#This Row],[Code]], allFYsTable[year2], FF$3))</f>
        <v>#N/A</v>
      </c>
      <c r="FJ47" s="61" t="e">
        <f>IF(COUNTIFS(allFYsTable[Code], SummaryTable[[#This Row],[Code]], allFYsTable[year2], FF$3)=0, NotFound, SUMIFS(allFYsTable[Actual], allFYsTable[Code], SummaryTable[[#This Row],[Code]], allFYsTable[year2], FF$3))</f>
        <v>#N/A</v>
      </c>
      <c r="FK47" s="61" t="e">
        <f>IF(COUNTIFS(allFYsTable[Code], SummaryTable[[#This Row],[Code]], allFYsTable[year2], FF$3)=0, NotFound, SUMIFS(allFYsTable[DiffAmount], allFYsTable[Code], SummaryTable[[#This Row],[Code]], allFYsTable[year2], FF$3))</f>
        <v>#N/A</v>
      </c>
      <c r="FL47" s="63" t="e">
        <f>IF(SummaryTable[[#This Row],[OriginalBudget06]]=0, IF(SummaryTable[[#This Row],[DiffAmount06]]=0, ZeroBudgetNoSpending, ZeroBudgetWithSpending), SummaryTable[[#This Row],[DiffAmount06]]/SummaryTable[[#This Row],[OriginalBudget06]])</f>
        <v>#N/A</v>
      </c>
    </row>
    <row r="48" spans="1:168" x14ac:dyDescent="0.45">
      <c r="A48" t="s">
        <v>772</v>
      </c>
      <c r="B48">
        <f>_xlfn.MAXIFS(allFYsTable[year2], allFYsTable[Code], SummaryTable[[#This Row],[Code]])</f>
        <v>2025</v>
      </c>
      <c r="C48" t="str">
        <f>_xlfn.XLOOKUP(SummaryTable[[#This Row],[Code]], NameCodingTable[Code], NameCodingTable[Most Recent Category per allFYs])</f>
        <v>Public education system</v>
      </c>
      <c r="D48" t="str">
        <f>_xlfn.XLOOKUP(SummaryTable[[#This Row],[Code]], NameCodingTable[Code], NameCodingTable[Unit Display Name])</f>
        <v>District of Columbia Public Charter Schools</v>
      </c>
      <c r="E48" t="str">
        <f>_xlfn.XLOOKUP(SummaryTable[[#This Row],[Code]], NameCodingTable[Code], NameCodingTable[Type])</f>
        <v>agency</v>
      </c>
      <c r="F4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4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48" s="54">
        <f>SummaryTable[[#This Row],['# Over]]/SummaryTable[[#This Row],[Count]]</f>
        <v>0</v>
      </c>
      <c r="I4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20</v>
      </c>
      <c r="J48" s="54">
        <f>SummaryTable[[#This Row],['# Under]]/SummaryTable[[#This Row],[Count]]</f>
        <v>1</v>
      </c>
      <c r="K4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48" s="54">
        <f>SummaryTable[[#This Row],['# Equal]]/SummaryTable[[#This Row],[Count]]</f>
        <v>0</v>
      </c>
      <c r="M48" s="61">
        <f>SUMIFS(allFYsTable[OriginalBudget],allFYsTable[Code],SummaryTable[[#This Row],[Code]])/SummaryTable[[#This Row],[Count]]</f>
        <v>705174.05</v>
      </c>
      <c r="N48" s="61">
        <f>SUMIFS(allFYsTable[Actual],allFYsTable[Code],SummaryTable[[#This Row],[Code]])/SummaryTable[[#This Row],[Count]]</f>
        <v>480819</v>
      </c>
      <c r="O48" s="61">
        <f>SummaryTable[[#This Row],[AvgActAmt]]-SummaryTable[[#This Row],[AvgBudAmt]]</f>
        <v>-224355.05000000005</v>
      </c>
      <c r="P48" s="54">
        <f>IF(SummaryTable[[#This Row],[AvgBudAmt]]=0, IF(SummaryTable[[#This Row],[AvgDiff'#]]=0, 0, NamedFields!$C$3), SummaryTable[[#This Row],[AvgDiff'#]]/SummaryTable[[#This Row],[AvgBudAmt]])</f>
        <v>-0.31815556740920914</v>
      </c>
      <c r="Q48" s="61">
        <f>IFERROR(SUMIFS(allFYsTable[OriginalBudget],allFYsTable[Code],SummaryTable[[#This Row],[Code]],allFYsTable[DiffAmount], "&gt;0")/SummaryTable[[#This Row],['# Over]], 0)</f>
        <v>0</v>
      </c>
      <c r="R48" s="61">
        <f>IFERROR(SUMIFS(allFYsTable[Actual],allFYsTable[Code],SummaryTable[[#This Row],[Code]],allFYsTable[DiffAmount], "&gt;0")/SummaryTable[[#This Row],['# Over]], 0)</f>
        <v>0</v>
      </c>
      <c r="S48" s="61">
        <f>SummaryTable[[#This Row],[OverAvgAct]]-SummaryTable[[#This Row],[OverAvgBud]]</f>
        <v>0</v>
      </c>
      <c r="T48" s="54">
        <f>IF(SummaryTable[[#This Row],[OverAvgBud]]=0, IF(SummaryTable[[#This Row],[OverAvgDiff'#]]=0, ZeroBudgetNoSpending, ZeroBudgetWithSpending), SummaryTable[[#This Row],[OverAvgDiff'#]]/SummaryTable[[#This Row],[OverAvgBud]])</f>
        <v>0</v>
      </c>
      <c r="U48" s="61">
        <f>IFERROR(SUMIFS(allFYsTable[OriginalBudget],allFYsTable[Code],SummaryTable[[#This Row],[Code]],allFYsTable[DiffAmount], "&lt;0")/SummaryTable[[#This Row],['# Under]], 0)</f>
        <v>705174.05</v>
      </c>
      <c r="V48" s="61">
        <f>IFERROR( SUMIFS(allFYsTable[Actual],allFYsTable[Code],SummaryTable[[#This Row],[Code]],allFYsTable[DiffAmount], "&lt;0")/SummaryTable[[#This Row],['# Under]], 0)</f>
        <v>480819</v>
      </c>
      <c r="W48" s="61">
        <f>SummaryTable[[#This Row],[UnderAvgAct]]-SummaryTable[[#This Row],[UnderAvgBud]]</f>
        <v>-224355.05000000005</v>
      </c>
      <c r="X48" s="54">
        <f>IF(SummaryTable[[#This Row],[UnderAvgBud]]=0, IF(SummaryTable[[#This Row],[UnderAvgDiff'#]]=0, ZeroBudgetNoSpending, NamedFields!$C$3), SummaryTable[[#This Row],[UnderAvgDiff'#]]/SummaryTable[[#This Row],[UnderAvgBud]])</f>
        <v>-0.31815556740920914</v>
      </c>
      <c r="Y4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10</v>
      </c>
      <c r="Z4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48" s="54">
        <f>IF(SummaryTable[[#This Row],[IncreaseYears]]=0, ZeroBudgetNoSpending, SummaryTable[[#This Row],[OSinIncreaseYear'#]]/SummaryTable[[#This Row],[IncreaseYears]])</f>
        <v>0</v>
      </c>
      <c r="AB48" s="58" t="str">
        <f>SummaryTable[[#This Row],[Code]]</f>
        <v>GC0</v>
      </c>
      <c r="AC48" s="62">
        <f>IF(COUNTIFS(allFYsTable[Code], SummaryTable[[#This Row],[Code]], allFYsTable[year2], AC$3)=0, NotFound, SUMIFS(allFYsTable[OriginalBudget], allFYsTable[Code], SummaryTable[[#This Row],[Code]], allFYsTable[year2], AC$3))</f>
        <v>1354438</v>
      </c>
      <c r="AD48" s="61">
        <f>SummaryTable[[#This Row],[OriginalBudget25]]-SummaryTable[[#This Row],[OriginalBudget24]]</f>
        <v>165732</v>
      </c>
      <c r="AE48" s="54">
        <f>SummaryTable[[#This Row],[BudgetIncreaseAmount25]]/SummaryTable[[#This Row],[OriginalBudget24]]</f>
        <v>0.13942219522741536</v>
      </c>
      <c r="AF48" s="61">
        <f>IF(COUNTIFS(allFYsTable[Code], SummaryTable[[#This Row],[Code]], allFYsTable[year2], AC$3)=0, NotFound, SUMIFS(allFYsTable[RevisedBudget], allFYsTable[Code], SummaryTable[[#This Row],[Code]], allFYsTable[year2], AC$3))</f>
        <v>904579</v>
      </c>
      <c r="AG48" s="61">
        <f>IF(COUNTIFS(allFYsTable[Code], SummaryTable[[#This Row],[Code]], allFYsTable[year2], AC$3)=0, NotFound, SUMIFS(allFYsTable[Actual], allFYsTable[Code], SummaryTable[[#This Row],[Code]], allFYsTable[year2], AC$3))</f>
        <v>904416</v>
      </c>
      <c r="AH48" s="61">
        <f>IF(COUNTIFS(allFYsTable[Code], SummaryTable[[#This Row],[Code]], allFYsTable[year2], AC$3)=0, NotFound, SUMIFS(allFYsTable[DiffAmount], allFYsTable[Code], SummaryTable[[#This Row],[Code]], allFYsTable[year2], AC$3))</f>
        <v>-450022</v>
      </c>
      <c r="AI48" s="63">
        <f>IF(SummaryTable[[#This Row],[OriginalBudget25]]=0, IF(SummaryTable[[#This Row],[DiffAmount25]]=0, ZeroBudgetNoSpending, ZeroBudgetWithSpending), SummaryTable[[#This Row],[DiffAmount25]]/SummaryTable[[#This Row],[OriginalBudget25]])</f>
        <v>-0.33225736430903446</v>
      </c>
      <c r="AJ48" s="62">
        <f>IF(COUNTIFS(allFYsTable[Code], SummaryTable[[#This Row],[Code]], allFYsTable[year2], AJ$3)=0, NotFound, SUMIFS(allFYsTable[OriginalBudget], allFYsTable[Code], SummaryTable[[#This Row],[Code]], allFYsTable[year2], AJ$3))</f>
        <v>1188706</v>
      </c>
      <c r="AK48" s="61">
        <f>SummaryTable[[#This Row],[OriginalBudget24]]-SummaryTable[[#This Row],[OriginalBudget23]]</f>
        <v>80432</v>
      </c>
      <c r="AL48" s="54">
        <f>SummaryTable[[#This Row],[BudgetIncreaseAmount24]]/SummaryTable[[#This Row],[OriginalBudget23]]</f>
        <v>7.2574110734349093E-2</v>
      </c>
      <c r="AM48" s="61">
        <f>IF(COUNTIFS(allFYsTable[Code], SummaryTable[[#This Row],[Code]], allFYsTable[year2], AK$3)=0, NotFound, SUMIFS(allFYsTable[RevisedBudget], allFYsTable[Code], SummaryTable[[#This Row],[Code]], allFYsTable[year2], AJ$3))</f>
        <v>781382</v>
      </c>
      <c r="AN48" s="61">
        <f>IF(COUNTIFS(allFYsTable[Code], SummaryTable[[#This Row],[Code]], allFYsTable[year2], AJ$3)=0, NotFound, SUMIFS(allFYsTable[Actual], allFYsTable[Code], SummaryTable[[#This Row],[Code]], allFYsTable[year2], AJ$3))</f>
        <v>779003</v>
      </c>
      <c r="AO48" s="61">
        <f>IF(COUNTIFS(allFYsTable[Code], SummaryTable[[#This Row],[Code]], allFYsTable[year2], AJ$3)=0, NotFound, SUMIFS(allFYsTable[DiffAmount], allFYsTable[Code], SummaryTable[[#This Row],[Code]], allFYsTable[year2], AJ$3))</f>
        <v>-409703</v>
      </c>
      <c r="AP48" s="63">
        <f>IF(SummaryTable[[#This Row],[OriginalBudget24]]=0, IF(SummaryTable[[#This Row],[DiffAmount24]]=0, ZeroBudgetNoSpending, ZeroBudgetWithSpending), SummaryTable[[#This Row],[DiffAmount24]]/SummaryTable[[#This Row],[OriginalBudget24]])</f>
        <v>-0.3446630201244042</v>
      </c>
      <c r="AQ48" s="62">
        <f>IF(COUNTIFS(allFYsTable[Code], SummaryTable[[#This Row],[Code]], allFYsTable[year2], AQ$3)=0, NotFound, SUMIFS(allFYsTable[OriginalBudget], allFYsTable[Code], SummaryTable[[#This Row],[Code]], allFYsTable[year2], AQ$3))</f>
        <v>1108274</v>
      </c>
      <c r="AR48" s="61">
        <f>SummaryTable[[#This Row],[OriginalBudget23]]-SummaryTable[[#This Row],[OriginalBudget22]]</f>
        <v>101776</v>
      </c>
      <c r="AS48" s="54">
        <f>SummaryTable[[#This Row],[BudgetIncreaseAmount23]]/SummaryTable[[#This Row],[OriginalBudget22]]</f>
        <v>0.10111892919807093</v>
      </c>
      <c r="AT48" s="61">
        <f>IF(COUNTIFS(allFYsTable[Code], SummaryTable[[#This Row],[Code]], allFYsTable[year2], AQ$3)=0, NotFound, SUMIFS(allFYsTable[RevisedBudget], allFYsTable[Code], SummaryTable[[#This Row],[Code]], allFYsTable[year2], AQ$3))</f>
        <v>724839</v>
      </c>
      <c r="AU48" s="61">
        <f>IF(COUNTIFS(allFYsTable[Code], SummaryTable[[#This Row],[Code]], allFYsTable[year2], AQ$3)=0, NotFound, SUMIFS(allFYsTable[Actual], allFYsTable[Code], SummaryTable[[#This Row],[Code]], allFYsTable[year2], AQ$3))</f>
        <v>724839</v>
      </c>
      <c r="AV48" s="61">
        <f>IF(COUNTIFS(allFYsTable[Code], SummaryTable[[#This Row],[Code]], allFYsTable[year2], AQ$3)=0, NotFound, SUMIFS(allFYsTable[DiffAmount], allFYsTable[Code], SummaryTable[[#This Row],[Code]], allFYsTable[year2], AQ$3))</f>
        <v>-383435</v>
      </c>
      <c r="AW48" s="63">
        <f>IF(SummaryTable[[#This Row],[OriginalBudget23]]=0, IF(SummaryTable[[#This Row],[DiffAmount23]]=0, ZeroBudgetNoSpending, ZeroBudgetWithSpending), SummaryTable[[#This Row],[DiffAmount23]]/SummaryTable[[#This Row],[OriginalBudget23]])</f>
        <v>-0.34597491234117195</v>
      </c>
      <c r="AX48" s="62">
        <f>IF(COUNTIFS(allFYsTable[Code], SummaryTable[[#This Row],[Code]], allFYsTable[year2], AX$3)=0, NotFound, SUMIFS(allFYsTable[OriginalBudget], allFYsTable[Code], SummaryTable[[#This Row],[Code]], allFYsTable[year2], AX$3))</f>
        <v>1006498</v>
      </c>
      <c r="AY48" s="61">
        <f>SummaryTable[[#This Row],[OriginalBudget22]]-SummaryTable[[#This Row],[OriginalBudget21]]</f>
        <v>71598</v>
      </c>
      <c r="AZ48" s="54">
        <f>SummaryTable[[#This Row],[BudgetIncreaseAmount22]]/SummaryTable[[#This Row],[OriginalBudget21]]</f>
        <v>7.6583591828002992E-2</v>
      </c>
      <c r="BA48" s="61">
        <f>IF(COUNTIFS(allFYsTable[Code], SummaryTable[[#This Row],[Code]], allFYsTable[year2], AX$3)=0, NotFound, SUMIFS(allFYsTable[RevisedBudget], allFYsTable[Code], SummaryTable[[#This Row],[Code]], allFYsTable[year2], AX$3))</f>
        <v>615105</v>
      </c>
      <c r="BB48" s="61">
        <f>IF(COUNTIFS(allFYsTable[Code], SummaryTable[[#This Row],[Code]], allFYsTable[year2], AX$3)=0, NotFound, SUMIFS(allFYsTable[Actual], allFYsTable[Code], SummaryTable[[#This Row],[Code]], allFYsTable[year2], AX$3))</f>
        <v>593810</v>
      </c>
      <c r="BC48" s="61">
        <f>IF(COUNTIFS(allFYsTable[Code], SummaryTable[[#This Row],[Code]], allFYsTable[year2], AX$3)=0, NotFound, SUMIFS(allFYsTable[DiffAmount], allFYsTable[Code], SummaryTable[[#This Row],[Code]], allFYsTable[year2], AX$3))</f>
        <v>-412688</v>
      </c>
      <c r="BD48" s="63">
        <f>IF(SummaryTable[[#This Row],[OriginalBudget22]]=0, IF(SummaryTable[[#This Row],[DiffAmount22]]=0, ZeroBudgetNoSpending, ZeroBudgetWithSpending), SummaryTable[[#This Row],[DiffAmount22]]/SummaryTable[[#This Row],[OriginalBudget22]])</f>
        <v>-0.41002366621692243</v>
      </c>
      <c r="BE48" s="62">
        <f>IF(COUNTIFS(allFYsTable[Code], SummaryTable[[#This Row],[Code]], allFYsTable[year2], BE$3)=0, NotFound, SUMIFS(allFYsTable[OriginalBudget], allFYsTable[Code], SummaryTable[[#This Row],[Code]], allFYsTable[year2], BE$3))</f>
        <v>934900</v>
      </c>
      <c r="BF48" s="61">
        <f>SummaryTable[[#This Row],[OriginalBudget21]]-SummaryTable[[#This Row],[OriginalBudget20]]</f>
        <v>30131</v>
      </c>
      <c r="BG48" s="54">
        <f>SummaryTable[[#This Row],[BudgetIncreaseAmount21]]/SummaryTable[[#This Row],[OriginalBudget20]]</f>
        <v>3.3302423049419244E-2</v>
      </c>
      <c r="BH48" s="61">
        <f>IF(COUNTIFS(allFYsTable[Code], SummaryTable[[#This Row],[Code]], allFYsTable[year2], BE$3)=0, NotFound, SUMIFS(allFYsTable[RevisedBudget], allFYsTable[Code], SummaryTable[[#This Row],[Code]], allFYsTable[year2], BE$3))</f>
        <v>624184</v>
      </c>
      <c r="BI48" s="61">
        <f>IF(COUNTIFS(allFYsTable[Code], SummaryTable[[#This Row],[Code]], allFYsTable[year2], BE$3)=0, NotFound, SUMIFS(allFYsTable[Actual], allFYsTable[Code], SummaryTable[[#This Row],[Code]], allFYsTable[year2], BE$3))</f>
        <v>624184</v>
      </c>
      <c r="BJ48" s="61">
        <f>IF(COUNTIFS(allFYsTable[Code], SummaryTable[[#This Row],[Code]], allFYsTable[year2], BE$3)=0, NotFound, SUMIFS(allFYsTable[DiffAmount], allFYsTable[Code], SummaryTable[[#This Row],[Code]], allFYsTable[year2], BE$3))</f>
        <v>-310716</v>
      </c>
      <c r="BK48" s="63">
        <f>IF(SummaryTable[[#This Row],[OriginalBudget21]]=0, IF(SummaryTable[[#This Row],[DiffAmount21]]=0, ZeroBudgetNoSpending, ZeroBudgetWithSpending), SummaryTable[[#This Row],[DiffAmount21]]/SummaryTable[[#This Row],[OriginalBudget21]])</f>
        <v>-0.33235212322173496</v>
      </c>
      <c r="BL48" s="62">
        <f>IF(COUNTIFS(allFYsTable[Code], SummaryTable[[#This Row],[Code]], allFYsTable[year2], BL$3)=0, NotFound, SUMIFS(allFYsTable[OriginalBudget], allFYsTable[Code], SummaryTable[[#This Row],[Code]], allFYsTable[year2], BL$3))</f>
        <v>904769</v>
      </c>
      <c r="BM48" s="61">
        <f>SummaryTable[[#This Row],[OriginalBudget20]]-SummaryTable[[#This Row],[OriginalBudget19]]</f>
        <v>15390</v>
      </c>
      <c r="BN48" s="54">
        <f>SummaryTable[[#This Row],[BudgetIncreaseAmount20]]/SummaryTable[[#This Row],[OriginalBudget19]]</f>
        <v>1.730420889182227E-2</v>
      </c>
      <c r="BO48" s="61">
        <f>IF(COUNTIFS(allFYsTable[Code], SummaryTable[[#This Row],[Code]], allFYsTable[year2], BL$3)=0, NotFound, SUMIFS(allFYsTable[RevisedBudget], allFYsTable[Code], SummaryTable[[#This Row],[Code]], allFYsTable[year2], BL$3))</f>
        <v>595887</v>
      </c>
      <c r="BP48" s="61">
        <f>IF(COUNTIFS(allFYsTable[Code], SummaryTable[[#This Row],[Code]], allFYsTable[year2], BL$3)=0, NotFound, SUMIFS(allFYsTable[Actual], allFYsTable[Code], SummaryTable[[#This Row],[Code]], allFYsTable[year2], BL$3))</f>
        <v>595887</v>
      </c>
      <c r="BQ48" s="61">
        <f>IF(COUNTIFS(allFYsTable[Code], SummaryTable[[#This Row],[Code]], allFYsTable[year2], BL$3)=0, NotFound, SUMIFS(allFYsTable[DiffAmount], allFYsTable[Code], SummaryTable[[#This Row],[Code]], allFYsTable[year2], BL$3))</f>
        <v>-308882</v>
      </c>
      <c r="BR48" s="63">
        <f>IF(SummaryTable[[#This Row],[OriginalBudget20]]=0, IF(SummaryTable[[#This Row],[DiffAmount20]]=0, ZeroBudgetNoSpending, ZeroBudgetWithSpending), SummaryTable[[#This Row],[DiffAmount20]]/SummaryTable[[#This Row],[OriginalBudget20]])</f>
        <v>-0.34139321749529439</v>
      </c>
      <c r="BS48" s="62">
        <f>IF(COUNTIFS(allFYsTable[Code], SummaryTable[[#This Row],[Code]], allFYsTable[year2], BS$3)=0, NotFound, SUMIFS(allFYsTable[OriginalBudget], allFYsTable[Code], SummaryTable[[#This Row],[Code]], allFYsTable[year2], BS$3))</f>
        <v>889379</v>
      </c>
      <c r="BT48" s="61">
        <f>SummaryTable[[#This Row],[OriginalBudget19]]-SummaryTable[[#This Row],[OriginalBudget18]]</f>
        <v>75640</v>
      </c>
      <c r="BU48" s="54">
        <f>SummaryTable[[#This Row],[BudgetIncreaseAmount19]]/SummaryTable[[#This Row],[OriginalBudget18]]</f>
        <v>9.2953637468524919E-2</v>
      </c>
      <c r="BV48" s="61">
        <f>IF(COUNTIFS(allFYsTable[Code], SummaryTable[[#This Row],[Code]], allFYsTable[year2], BS$3)=0, NotFound, SUMIFS(allFYsTable[RevisedBudget], allFYsTable[Code], SummaryTable[[#This Row],[Code]], allFYsTable[year2], BS$3))</f>
        <v>573107</v>
      </c>
      <c r="BW48" s="61">
        <f>IF(COUNTIFS(allFYsTable[Code], SummaryTable[[#This Row],[Code]], allFYsTable[year2], BS$3)=0, NotFound, SUMIFS(allFYsTable[Actual], allFYsTable[Code], SummaryTable[[#This Row],[Code]], allFYsTable[year2], BS$3))</f>
        <v>572921</v>
      </c>
      <c r="BX48" s="61">
        <f>IF(COUNTIFS(allFYsTable[Code], SummaryTable[[#This Row],[Code]], allFYsTable[year2], BS$3)=0, NotFound, SUMIFS(allFYsTable[DiffAmount], allFYsTable[Code], SummaryTable[[#This Row],[Code]], allFYsTable[year2], BS$3))</f>
        <v>-316458</v>
      </c>
      <c r="BY48" s="63">
        <f>IF(SummaryTable[[#This Row],[OriginalBudget19]]=0, IF(SummaryTable[[#This Row],[DiffAmount19]]=0, ZeroBudgetNoSpending, ZeroBudgetWithSpending), SummaryTable[[#This Row],[DiffAmount19]]/SummaryTable[[#This Row],[OriginalBudget19]])</f>
        <v>-0.35581906026564603</v>
      </c>
      <c r="BZ48" s="62">
        <f>IF(COUNTIFS(allFYsTable[Code], SummaryTable[[#This Row],[Code]], allFYsTable[year2], BZ$3)=0, NotFound, SUMIFS(allFYsTable[OriginalBudget], allFYsTable[Code], SummaryTable[[#This Row],[Code]], allFYsTable[year2], BZ$3))</f>
        <v>813739</v>
      </c>
      <c r="CA48" s="61">
        <f>SummaryTable[[#This Row],[OriginalBudget18]]-SummaryTable[[#This Row],[OriginalBudget17]]</f>
        <v>90022</v>
      </c>
      <c r="CB48" s="54">
        <f>SummaryTable[[#This Row],[BudgetIncreaseAmount18]]/SummaryTable[[#This Row],[OriginalBudget17]]</f>
        <v>0.12438840043829287</v>
      </c>
      <c r="CC48" s="61">
        <f>IF(COUNTIFS(allFYsTable[Code], SummaryTable[[#This Row],[Code]], allFYsTable[year2], BZ$3)=0, NotFound, SUMIFS(allFYsTable[RevisedBudget], allFYsTable[Code], SummaryTable[[#This Row],[Code]], allFYsTable[year2], BZ$3))</f>
        <v>562775</v>
      </c>
      <c r="CD48" s="61">
        <f>IF(COUNTIFS(allFYsTable[Code], SummaryTable[[#This Row],[Code]], allFYsTable[year2], BZ$3)=0, NotFound, SUMIFS(allFYsTable[Actual], allFYsTable[Code], SummaryTable[[#This Row],[Code]], allFYsTable[year2], BZ$3))</f>
        <v>562717</v>
      </c>
      <c r="CE48" s="61">
        <f>IF(COUNTIFS(allFYsTable[Code], SummaryTable[[#This Row],[Code]], allFYsTable[year2], BZ$3)=0, NotFound, SUMIFS(allFYsTable[DiffAmount], allFYsTable[Code], SummaryTable[[#This Row],[Code]], allFYsTable[year2], BZ$3))</f>
        <v>-251022</v>
      </c>
      <c r="CF48" s="63">
        <f>IF(SummaryTable[[#This Row],[OriginalBudget18]]=0, IF(SummaryTable[[#This Row],[DiffAmount18]]=0, ZeroBudgetNoSpending, ZeroBudgetWithSpending), SummaryTable[[#This Row],[DiffAmount18]]/SummaryTable[[#This Row],[OriginalBudget18]])</f>
        <v>-0.30847974596277183</v>
      </c>
      <c r="CG48" s="62">
        <f>IF(COUNTIFS(allFYsTable[Code], SummaryTable[[#This Row],[Code]], allFYsTable[year2], CG$3)=0, NotFound, SUMIFS(allFYsTable[OriginalBudget], allFYsTable[Code], SummaryTable[[#This Row],[Code]], allFYsTable[year2], CG$3))</f>
        <v>723717</v>
      </c>
      <c r="CH48" s="61">
        <f>SummaryTable[[#This Row],[OriginalBudget17]]-SummaryTable[[#This Row],[OriginalBudget16]]</f>
        <v>45973</v>
      </c>
      <c r="CI48" s="54">
        <f>SummaryTable[[#This Row],[BudgetIncreaseAmount17]]/SummaryTable[[#This Row],[OriginalBudget16]]</f>
        <v>6.7832396893222222E-2</v>
      </c>
      <c r="CJ48" s="61">
        <f>IF(COUNTIFS(allFYsTable[Code], SummaryTable[[#This Row],[Code]], allFYsTable[year2], CG$3)=0, NotFound, SUMIFS(allFYsTable[RevisedBudget], allFYsTable[Code], SummaryTable[[#This Row],[Code]], allFYsTable[year2], CG$3))</f>
        <v>496750</v>
      </c>
      <c r="CK48" s="61">
        <f>IF(COUNTIFS(allFYsTable[Code], SummaryTable[[#This Row],[Code]], allFYsTable[year2], CG$3)=0, NotFound, SUMIFS(allFYsTable[Actual], allFYsTable[Code], SummaryTable[[#This Row],[Code]], allFYsTable[year2], CG$3))</f>
        <v>496750</v>
      </c>
      <c r="CL48" s="61">
        <f>IF(COUNTIFS(allFYsTable[Code], SummaryTable[[#This Row],[Code]], allFYsTable[year2], CG$3)=0, NotFound, SUMIFS(allFYsTable[DiffAmount], allFYsTable[Code], SummaryTable[[#This Row],[Code]], allFYsTable[year2], CG$3))</f>
        <v>-226967</v>
      </c>
      <c r="CM48" s="63">
        <f>IF(SummaryTable[[#This Row],[OriginalBudget17]]=0, IF(SummaryTable[[#This Row],[DiffAmount17]]=0, ZeroBudgetNoSpending, ZeroBudgetWithSpending), SummaryTable[[#This Row],[DiffAmount17]]/SummaryTable[[#This Row],[OriginalBudget17]])</f>
        <v>-0.31361291775652639</v>
      </c>
      <c r="CN48" s="62">
        <f>IF(COUNTIFS(allFYsTable[Code], SummaryTable[[#This Row],[Code]], allFYsTable[year2], CN$3)=0, NotFound, SUMIFS(allFYsTable[OriginalBudget], allFYsTable[Code], SummaryTable[[#This Row],[Code]], allFYsTable[year2], CN$3))</f>
        <v>677744</v>
      </c>
      <c r="CO48" s="61">
        <f>SummaryTable[[#This Row],[OriginalBudget16]]-SummaryTable[[#This Row],[OriginalBudget15]]</f>
        <v>2336</v>
      </c>
      <c r="CP48" s="54">
        <f>SummaryTable[[#This Row],[BudgetIncreaseAmount16]]/SummaryTable[[#This Row],[OriginalBudget15]]</f>
        <v>3.4586501788548552E-3</v>
      </c>
      <c r="CQ48" s="61">
        <f>IF(COUNTIFS(allFYsTable[Code], SummaryTable[[#This Row],[Code]], allFYsTable[year2], CN$3)=0, NotFound, SUMIFS(allFYsTable[RevisedBudget], allFYsTable[Code], SummaryTable[[#This Row],[Code]], allFYsTable[year2], CN$3))</f>
        <v>485705</v>
      </c>
      <c r="CR48" s="61">
        <f>IF(COUNTIFS(allFYsTable[Code], SummaryTable[[#This Row],[Code]], allFYsTable[year2], CN$3)=0, NotFound, SUMIFS(allFYsTable[Actual], allFYsTable[Code], SummaryTable[[#This Row],[Code]], allFYsTable[year2], CN$3))</f>
        <v>485700</v>
      </c>
      <c r="CS48" s="61">
        <f>IF(COUNTIFS(allFYsTable[Code], SummaryTable[[#This Row],[Code]], allFYsTable[year2], CN$3)=0, NotFound, SUMIFS(allFYsTable[DiffAmount], allFYsTable[Code], SummaryTable[[#This Row],[Code]], allFYsTable[year2], CN$3))</f>
        <v>-192044</v>
      </c>
      <c r="CT48" s="63">
        <f>IF(SummaryTable[[#This Row],[OriginalBudget16]]=0, IF(SummaryTable[[#This Row],[DiffAmount16]]=0, ZeroBudgetNoSpending, ZeroBudgetWithSpending), SummaryTable[[#This Row],[DiffAmount16]]/SummaryTable[[#This Row],[OriginalBudget16]])</f>
        <v>-0.28335772799169007</v>
      </c>
      <c r="CU48" s="62">
        <f>IF(COUNTIFS(allFYsTable[Code], SummaryTable[[#This Row],[Code]], allFYsTable[year2], CU$3)=0, NotFound, SUMIFS(allFYsTable[OriginalBudget], allFYsTable[Code], SummaryTable[[#This Row],[Code]], allFYsTable[year2], CU$3))</f>
        <v>675408</v>
      </c>
      <c r="CV48" s="61">
        <f>SummaryTable[[#This Row],[OriginalBudget15]]-SummaryTable[[#This Row],[OriginalBudget14]]</f>
        <v>58909</v>
      </c>
      <c r="CW48" s="54">
        <f>SummaryTable[[#This Row],[BudgetIncreaseAmount15]]/SummaryTable[[#This Row],[OriginalBudget14]]</f>
        <v>9.5554088490005656E-2</v>
      </c>
      <c r="CX48" s="61">
        <f>IF(COUNTIFS(allFYsTable[Code], SummaryTable[[#This Row],[Code]], allFYsTable[year2], CU$3)=0, NotFound, SUMIFS(allFYsTable[RevisedBudget], allFYsTable[Code], SummaryTable[[#This Row],[Code]], allFYsTable[year2], CU$3))</f>
        <v>458690</v>
      </c>
      <c r="CY48" s="61">
        <f>IF(COUNTIFS(allFYsTable[Code], SummaryTable[[#This Row],[Code]], allFYsTable[year2], CU$3)=0, NotFound, SUMIFS(allFYsTable[Actual], allFYsTable[Code], SummaryTable[[#This Row],[Code]], allFYsTable[year2], CU$3))</f>
        <v>458690</v>
      </c>
      <c r="CZ48" s="61">
        <f>IF(COUNTIFS(allFYsTable[Code], SummaryTable[[#This Row],[Code]], allFYsTable[year2], CU$3)=0, NotFound, SUMIFS(allFYsTable[DiffAmount], allFYsTable[Code], SummaryTable[[#This Row],[Code]], allFYsTable[year2], CU$3))</f>
        <v>-216718</v>
      </c>
      <c r="DA48" s="63">
        <f>IF(SummaryTable[[#This Row],[OriginalBudget15]]=0, IF(SummaryTable[[#This Row],[DiffAmount15]]=0, ZeroBudgetNoSpending, ZeroBudgetWithSpending), SummaryTable[[#This Row],[DiffAmount15]]/SummaryTable[[#This Row],[OriginalBudget15]])</f>
        <v>-0.32086975576244287</v>
      </c>
      <c r="DB48" s="62">
        <f>IF(COUNTIFS(allFYsTable[Code], SummaryTable[[#This Row],[Code]], allFYsTable[year2], DB$3)=0, NotFound, SUMIFS(allFYsTable[OriginalBudget], allFYsTable[Code], SummaryTable[[#This Row],[Code]], allFYsTable[year2], DB$3))</f>
        <v>616499</v>
      </c>
      <c r="DC48" s="61">
        <f>SummaryTable[[#This Row],[OriginalBudget14]]-SummaryTable[[#This Row],[OriginalBudget13]]</f>
        <v>81135</v>
      </c>
      <c r="DD48" s="54">
        <f>SummaryTable[[#This Row],[BudgetIncreaseAmount14]]/SummaryTable[[#This Row],[OriginalBudget13]]</f>
        <v>0.1515510942088</v>
      </c>
      <c r="DE48" s="61">
        <f>IF(COUNTIFS(allFYsTable[Code], SummaryTable[[#This Row],[Code]], allFYsTable[year2], DB$3)=0, NotFound, SUMIFS(allFYsTable[RevisedBudget], allFYsTable[Code], SummaryTable[[#This Row],[Code]], allFYsTable[year2], DB$3))</f>
        <v>426696</v>
      </c>
      <c r="DF48" s="61">
        <f>IF(COUNTIFS(allFYsTable[Code], SummaryTable[[#This Row],[Code]], allFYsTable[year2], DB$3)=0, NotFound, SUMIFS(allFYsTable[Actual], allFYsTable[Code], SummaryTable[[#This Row],[Code]], allFYsTable[year2], DB$3))</f>
        <v>426696</v>
      </c>
      <c r="DG48" s="61">
        <f>IF(COUNTIFS(allFYsTable[Code], SummaryTable[[#This Row],[Code]], allFYsTable[year2], DB$3)=0, NotFound, SUMIFS(allFYsTable[DiffAmount], allFYsTable[Code], SummaryTable[[#This Row],[Code]], allFYsTable[year2], DB$3))</f>
        <v>-189803</v>
      </c>
      <c r="DH48" s="63">
        <f>IF(SummaryTable[[#This Row],[OriginalBudget14]]=0, IF(SummaryTable[[#This Row],[DiffAmount14]]=0, ZeroBudgetNoSpending, ZeroBudgetWithSpending), SummaryTable[[#This Row],[DiffAmount14]]/SummaryTable[[#This Row],[OriginalBudget14]])</f>
        <v>-0.30787235664615836</v>
      </c>
      <c r="DI48" s="62">
        <f>IF(COUNTIFS(allFYsTable[Code], SummaryTable[[#This Row],[Code]], allFYsTable[year2], DI$3)=0, NotFound, SUMIFS(allFYsTable[OriginalBudget], allFYsTable[Code], SummaryTable[[#This Row],[Code]], allFYsTable[year2], DI$3))</f>
        <v>535364</v>
      </c>
      <c r="DJ48" s="61">
        <f>SummaryTable[[#This Row],[OriginalBudget13]]-SummaryTable[[#This Row],[OriginalBudget12]]</f>
        <v>51697</v>
      </c>
      <c r="DK48" s="54">
        <f>SummaryTable[[#This Row],[BudgetIncreaseAmount13]]/SummaryTable[[#This Row],[OriginalBudget12]]</f>
        <v>0.10688552247724158</v>
      </c>
      <c r="DL48" s="61">
        <f>IF(COUNTIFS(allFYsTable[Code], SummaryTable[[#This Row],[Code]], allFYsTable[year2], DI$3)=0, NotFound, SUMIFS(allFYsTable[RevisedBudget], allFYsTable[Code], SummaryTable[[#This Row],[Code]], allFYsTable[year2], DI$3))</f>
        <v>423055</v>
      </c>
      <c r="DM48" s="61">
        <f>IF(COUNTIFS(allFYsTable[Code], SummaryTable[[#This Row],[Code]], allFYsTable[year2], DI$3)=0, NotFound, SUMIFS(allFYsTable[Actual], allFYsTable[Code], SummaryTable[[#This Row],[Code]], allFYsTable[year2], DI$3))</f>
        <v>422525</v>
      </c>
      <c r="DN48" s="61">
        <f>IF(COUNTIFS(allFYsTable[Code], SummaryTable[[#This Row],[Code]], allFYsTable[year2], DI$3)=0, NotFound, SUMIFS(allFYsTable[DiffAmount], allFYsTable[Code], SummaryTable[[#This Row],[Code]], allFYsTable[year2], DI$3))</f>
        <v>-112839</v>
      </c>
      <c r="DO48" s="63">
        <f>IF(SummaryTable[[#This Row],[OriginalBudget13]]=0, IF(SummaryTable[[#This Row],[DiffAmount13]]=0, ZeroBudgetNoSpending, ZeroBudgetWithSpending), SummaryTable[[#This Row],[DiffAmount13]]/SummaryTable[[#This Row],[OriginalBudget13]])</f>
        <v>-0.21077061588003676</v>
      </c>
      <c r="DP48" s="62">
        <f>IF(COUNTIFS(allFYsTable[Code], SummaryTable[[#This Row],[Code]], allFYsTable[year2], DP$3)=0, NotFound, SUMIFS(allFYsTable[OriginalBudget], allFYsTable[Code], SummaryTable[[#This Row],[Code]], allFYsTable[year2], DP$3))</f>
        <v>483667</v>
      </c>
      <c r="DQ48" s="61">
        <f>SummaryTable[[#This Row],[OriginalBudget12]]-SummaryTable[[#This Row],[OriginalBudget11]]</f>
        <v>55828</v>
      </c>
      <c r="DR48" s="54">
        <f>SummaryTable[[#This Row],[BudgetIncreaseAmount12]]/SummaryTable[[#This Row],[OriginalBudget11]]</f>
        <v>0.13048833790280923</v>
      </c>
      <c r="DS48" s="61">
        <f>IF(COUNTIFS(allFYsTable[Code], SummaryTable[[#This Row],[Code]], allFYsTable[year2], DP$3)=0, NotFound, SUMIFS(allFYsTable[RevisedBudget], allFYsTable[Code], SummaryTable[[#This Row],[Code]], allFYsTable[year2], DP$3))</f>
        <v>374805</v>
      </c>
      <c r="DT48" s="61">
        <f>IF(COUNTIFS(allFYsTable[Code], SummaryTable[[#This Row],[Code]], allFYsTable[year2], DP$3)=0, NotFound, SUMIFS(allFYsTable[Actual], allFYsTable[Code], SummaryTable[[#This Row],[Code]], allFYsTable[year2], DP$3))</f>
        <v>374804</v>
      </c>
      <c r="DU48" s="61">
        <f>IF(COUNTIFS(allFYsTable[Code], SummaryTable[[#This Row],[Code]], allFYsTable[year2], DP$3)=0, NotFound, SUMIFS(allFYsTable[DiffAmount], allFYsTable[Code], SummaryTable[[#This Row],[Code]], allFYsTable[year2], DP$3))</f>
        <v>-108863</v>
      </c>
      <c r="DV48" s="63">
        <f>IF(SummaryTable[[#This Row],[OriginalBudget12]]=0, IF(SummaryTable[[#This Row],[DiffAmount12]]=0, ZeroBudgetNoSpending, ZeroBudgetWithSpending), SummaryTable[[#This Row],[DiffAmount12]]/SummaryTable[[#This Row],[OriginalBudget12]])</f>
        <v>-0.22507841138634638</v>
      </c>
      <c r="DW48" s="62">
        <f>IF(COUNTIFS(allFYsTable[Code], SummaryTable[[#This Row],[Code]], allFYsTable[year2], DW$3)=0, NotFound, SUMIFS(allFYsTable[OriginalBudget], allFYsTable[Code], SummaryTable[[#This Row],[Code]], allFYsTable[year2], DW$3))</f>
        <v>427839</v>
      </c>
      <c r="DX48" s="61">
        <f>SummaryTable[[#This Row],[OriginalBudget11]]-SummaryTable[[#This Row],[OriginalBudget10]]</f>
        <v>53870</v>
      </c>
      <c r="DY48" s="54">
        <f>SummaryTable[[#This Row],[BudgetIncreaseAmount11]]/SummaryTable[[#This Row],[OriginalBudget10]]</f>
        <v>0.144049373076378</v>
      </c>
      <c r="DZ48" s="61">
        <f>IF(COUNTIFS(allFYsTable[Code], SummaryTable[[#This Row],[Code]], allFYsTable[year2], DW$3)=0, NotFound, SUMIFS(allFYsTable[RevisedBudget], allFYsTable[Code], SummaryTable[[#This Row],[Code]], allFYsTable[year2], DW$3))</f>
        <v>319629</v>
      </c>
      <c r="EA48" s="61">
        <f>IF(COUNTIFS(allFYsTable[Code], SummaryTable[[#This Row],[Code]], allFYsTable[year2], DW$3)=0, NotFound, SUMIFS(allFYsTable[Actual], allFYsTable[Code], SummaryTable[[#This Row],[Code]], allFYsTable[year2], DW$3))</f>
        <v>319472</v>
      </c>
      <c r="EB48" s="61">
        <f>IF(COUNTIFS(allFYsTable[Code], SummaryTable[[#This Row],[Code]], allFYsTable[year2], DW$3)=0, NotFound, SUMIFS(allFYsTable[DiffAmount], allFYsTable[Code], SummaryTable[[#This Row],[Code]], allFYsTable[year2], DW$3))</f>
        <v>-108367</v>
      </c>
      <c r="EC48" s="63">
        <f>IF(SummaryTable[[#This Row],[OriginalBudget11]]=0, IF(SummaryTable[[#This Row],[DiffAmount11]]=0, ZeroBudgetNoSpending, ZeroBudgetWithSpending), SummaryTable[[#This Row],[DiffAmount11]]/SummaryTable[[#This Row],[OriginalBudget11]])</f>
        <v>-0.25328920458396731</v>
      </c>
      <c r="ED48" s="62">
        <f>IF(COUNTIFS(allFYsTable[Code], SummaryTable[[#This Row],[Code]], allFYsTable[year2], ED$3)=0, NotFound, SUMIFS(allFYsTable[OriginalBudget], allFYsTable[Code], SummaryTable[[#This Row],[Code]], allFYsTable[year2], ED$3))</f>
        <v>373969</v>
      </c>
      <c r="EE48" s="61">
        <f>SummaryTable[[#This Row],[OriginalBudget10]]-SummaryTable[[#This Row],[OriginalBudget09]]</f>
        <v>7916</v>
      </c>
      <c r="EF48" s="54">
        <f>SummaryTable[[#This Row],[BudgetIncreaseAmount10]]/SummaryTable[[#This Row],[OriginalBudget09]]</f>
        <v>2.1625283770382978E-2</v>
      </c>
      <c r="EG48" s="61">
        <f>IF(COUNTIFS(allFYsTable[Code], SummaryTable[[#This Row],[Code]], allFYsTable[year2], ED$3)=0, NotFound, SUMIFS(allFYsTable[RevisedBudget], allFYsTable[Code], SummaryTable[[#This Row],[Code]], allFYsTable[year2], ED$3))</f>
        <v>267679</v>
      </c>
      <c r="EH48" s="61">
        <f>IF(COUNTIFS(allFYsTable[Code], SummaryTable[[#This Row],[Code]], allFYsTable[year2], ED$3)=0, NotFound, SUMIFS(allFYsTable[Actual], allFYsTable[Code], SummaryTable[[#This Row],[Code]], allFYsTable[year2], ED$3))</f>
        <v>267635</v>
      </c>
      <c r="EI48" s="61">
        <f>IF(COUNTIFS(allFYsTable[Code], SummaryTable[[#This Row],[Code]], allFYsTable[year2], ED$3)=0, NotFound, SUMIFS(allFYsTable[DiffAmount], allFYsTable[Code], SummaryTable[[#This Row],[Code]], allFYsTable[year2], ED$3))</f>
        <v>-106334</v>
      </c>
      <c r="EJ48" s="63">
        <f>IF(SummaryTable[[#This Row],[OriginalBudget10]]=0, IF(SummaryTable[[#This Row],[DiffAmount10]]=0, ZeroBudgetNoSpending, ZeroBudgetWithSpending), SummaryTable[[#This Row],[DiffAmount10]]/SummaryTable[[#This Row],[OriginalBudget10]])</f>
        <v>-0.28433907623359156</v>
      </c>
      <c r="EK48" s="62">
        <f>IF(COUNTIFS(allFYsTable[Code], SummaryTable[[#This Row],[Code]], allFYsTable[year2], EK$3)=0, NotFound, SUMIFS(allFYsTable[OriginalBudget], allFYsTable[Code], SummaryTable[[#This Row],[Code]], allFYsTable[year2], EK$3))</f>
        <v>366053</v>
      </c>
      <c r="EL48" s="61">
        <f>SummaryTable[[#This Row],[OriginalBudget09]]-SummaryTable[[#This Row],[OriginalBudget08]]</f>
        <v>45687</v>
      </c>
      <c r="EM48" s="54">
        <f>SummaryTable[[#This Row],[BudgetIncreaseAmount09]]/SummaryTable[[#This Row],[OriginalBudget08]]</f>
        <v>0.14260876622363172</v>
      </c>
      <c r="EN48" s="61">
        <f>IF(COUNTIFS(allFYsTable[Code], SummaryTable[[#This Row],[Code]], allFYsTable[year2], EK$3)=0, NotFound, SUMIFS(allFYsTable[RevisedBudget], allFYsTable[Code], SummaryTable[[#This Row],[Code]], allFYsTable[year2], EK$3))</f>
        <v>292926</v>
      </c>
      <c r="EO48" s="61">
        <f>IF(COUNTIFS(allFYsTable[Code], SummaryTable[[#This Row],[Code]], allFYsTable[year2], EK$3)=0, NotFound, SUMIFS(allFYsTable[Actual], allFYsTable[Code], SummaryTable[[#This Row],[Code]], allFYsTable[year2], EK$3))</f>
        <v>292926</v>
      </c>
      <c r="EP48" s="61">
        <f>IF(COUNTIFS(allFYsTable[Code], SummaryTable[[#This Row],[Code]], allFYsTable[year2], EK$3)=0, NotFound, SUMIFS(allFYsTable[DiffAmount], allFYsTable[Code], SummaryTable[[#This Row],[Code]], allFYsTable[year2], EK$3))</f>
        <v>-73127</v>
      </c>
      <c r="EQ48" s="63">
        <f>IF(SummaryTable[[#This Row],[OriginalBudget09]]=0, IF(SummaryTable[[#This Row],[DiffAmount09]]=0, ZeroBudgetNoSpending, ZeroBudgetWithSpending), SummaryTable[[#This Row],[DiffAmount09]]/SummaryTable[[#This Row],[OriginalBudget09]])</f>
        <v>-0.19977161777119706</v>
      </c>
      <c r="ER48" s="62">
        <f>IF(COUNTIFS(allFYsTable[Code], SummaryTable[[#This Row],[Code]], allFYsTable[year2], ER$3)=0, NotFound, SUMIFS(allFYsTable[OriginalBudget], allFYsTable[Code], SummaryTable[[#This Row],[Code]], allFYsTable[year2], ER$3))</f>
        <v>320366</v>
      </c>
      <c r="ES48" s="61">
        <f>SummaryTable[[#This Row],[OriginalBudget08]]-SummaryTable[[#This Row],[OriginalBudget07]]</f>
        <v>54300</v>
      </c>
      <c r="ET48" s="54">
        <f>SummaryTable[[#This Row],[BudgetIncreaseAmount08]]/SummaryTable[[#This Row],[OriginalBudget07]]</f>
        <v>0.20408470078852617</v>
      </c>
      <c r="EU48" s="61">
        <f>IF(COUNTIFS(allFYsTable[Code], SummaryTable[[#This Row],[Code]], allFYsTable[year2], ER$3)=0, NotFound, SUMIFS(allFYsTable[RevisedBudget], allFYsTable[Code], SummaryTable[[#This Row],[Code]], allFYsTable[year2], ER$3))</f>
        <v>232274</v>
      </c>
      <c r="EV48" s="61">
        <f>IF(COUNTIFS(allFYsTable[Code], SummaryTable[[#This Row],[Code]], allFYsTable[year2], ER$3)=0, NotFound, SUMIFS(allFYsTable[Actual], allFYsTable[Code], SummaryTable[[#This Row],[Code]], allFYsTable[year2], ER$3))</f>
        <v>225363</v>
      </c>
      <c r="EW48" s="61">
        <f>IF(COUNTIFS(allFYsTable[Code], SummaryTable[[#This Row],[Code]], allFYsTable[year2], ER$3)=0, NotFound, SUMIFS(allFYsTable[DiffAmount], allFYsTable[Code], SummaryTable[[#This Row],[Code]], allFYsTable[year2], ER$3))</f>
        <v>-95003</v>
      </c>
      <c r="EX48" s="63">
        <f>IF(SummaryTable[[#This Row],[OriginalBudget08]]=0, IF(SummaryTable[[#This Row],[DiffAmount08]]=0, ZeroBudgetNoSpending, ZeroBudgetWithSpending), SummaryTable[[#This Row],[DiffAmount08]]/SummaryTable[[#This Row],[OriginalBudget08]])</f>
        <v>-0.29654520142586915</v>
      </c>
      <c r="EY48" s="62">
        <f>IF(COUNTIFS(allFYsTable[Code], SummaryTable[[#This Row],[Code]], allFYsTable[year2], EY$3)=0, NotFound, SUMIFS(allFYsTable[OriginalBudget], allFYsTable[Code], SummaryTable[[#This Row],[Code]], allFYsTable[year2], EY$3))</f>
        <v>266066</v>
      </c>
      <c r="EZ48" s="61">
        <f>SummaryTable[[#This Row],[OriginalBudget07]]-SummaryTable[[#This Row],[OriginalBudget06]]</f>
        <v>26782</v>
      </c>
      <c r="FA48" s="54">
        <f>SummaryTable[[#This Row],[BudgetIncreaseAmount07]]/SummaryTable[[#This Row],[OriginalBudget06]]</f>
        <v>0.11192557797428997</v>
      </c>
      <c r="FB48" s="61">
        <f>IF(COUNTIFS(allFYsTable[Code], SummaryTable[[#This Row],[Code]], allFYsTable[year2], EY$3)=0, NotFound, SUMIFS(allFYsTable[RevisedBudget], allFYsTable[Code], SummaryTable[[#This Row],[Code]], allFYsTable[year2], EY$3))</f>
        <v>199645</v>
      </c>
      <c r="FC48" s="61">
        <f>IF(COUNTIFS(allFYsTable[Code], SummaryTable[[#This Row],[Code]], allFYsTable[year2], EY$3)=0, NotFound, SUMIFS(allFYsTable[Actual], allFYsTable[Code], SummaryTable[[#This Row],[Code]], allFYsTable[year2], EY$3))</f>
        <v>197068</v>
      </c>
      <c r="FD48" s="61">
        <f>IF(COUNTIFS(allFYsTable[Code], SummaryTable[[#This Row],[Code]], allFYsTable[year2], EY$3)=0, NotFound, SUMIFS(allFYsTable[DiffAmount], allFYsTable[Code], SummaryTable[[#This Row],[Code]], allFYsTable[year2], EY$3))</f>
        <v>-68998</v>
      </c>
      <c r="FE48" s="63">
        <f>IF(SummaryTable[[#This Row],[OriginalBudget07]]=0, IF(SummaryTable[[#This Row],[DiffAmount07]]=0, ZeroBudgetNoSpending, ZeroBudgetWithSpending), SummaryTable[[#This Row],[DiffAmount07]]/SummaryTable[[#This Row],[OriginalBudget07]])</f>
        <v>-0.25932663324137623</v>
      </c>
      <c r="FF48" s="62">
        <f>IF(COUNTIFS(allFYsTable[Code], SummaryTable[[#This Row],[Code]], allFYsTable[year2], FF$3)=0, NotFound, SUMIFS(allFYsTable[OriginalBudget], allFYsTable[Code], SummaryTable[[#This Row],[Code]], allFYsTable[year2], FF$3))</f>
        <v>239284</v>
      </c>
      <c r="FI48" s="61">
        <f>IF(COUNTIFS(allFYsTable[Code], SummaryTable[[#This Row],[Code]], allFYsTable[year2], FF$3)=0, NotFound, SUMIFS(allFYsTable[RevisedBudget], allFYsTable[Code], SummaryTable[[#This Row],[Code]], allFYsTable[year2], FF$3))</f>
        <v>167076</v>
      </c>
      <c r="FJ48" s="61">
        <f>IF(COUNTIFS(allFYsTable[Code], SummaryTable[[#This Row],[Code]], allFYsTable[year2], FF$3)=0, NotFound, SUMIFS(allFYsTable[Actual], allFYsTable[Code], SummaryTable[[#This Row],[Code]], allFYsTable[year2], FF$3))</f>
        <v>161069</v>
      </c>
      <c r="FK48" s="61">
        <f>IF(COUNTIFS(allFYsTable[Code], SummaryTable[[#This Row],[Code]], allFYsTable[year2], FF$3)=0, NotFound, SUMIFS(allFYsTable[DiffAmount], allFYsTable[Code], SummaryTable[[#This Row],[Code]], allFYsTable[year2], FF$3))</f>
        <v>-78215</v>
      </c>
      <c r="FL48" s="63">
        <f>IF(SummaryTable[[#This Row],[OriginalBudget06]]=0, IF(SummaryTable[[#This Row],[DiffAmount06]]=0, ZeroBudgetNoSpending, ZeroBudgetWithSpending), SummaryTable[[#This Row],[DiffAmount06]]/SummaryTable[[#This Row],[OriginalBudget06]])</f>
        <v>-0.32687099847879508</v>
      </c>
    </row>
    <row r="49" spans="1:168" x14ac:dyDescent="0.45">
      <c r="A49" t="s">
        <v>774</v>
      </c>
      <c r="B49">
        <f>_xlfn.MAXIFS(allFYsTable[year2], allFYsTable[Code], SummaryTable[[#This Row],[Code]])</f>
        <v>2025</v>
      </c>
      <c r="C49" t="str">
        <f>_xlfn.XLOOKUP(SummaryTable[[#This Row],[Code]], NameCodingTable[Code], NameCodingTable[Most Recent Category per allFYs])</f>
        <v>Public education system</v>
      </c>
      <c r="D49" t="str">
        <f>_xlfn.XLOOKUP(SummaryTable[[#This Row],[Code]], NameCodingTable[Code], NameCodingTable[Unit Display Name])</f>
        <v>District of Columbia Public Library (DCPL)</v>
      </c>
      <c r="E49" t="str">
        <f>_xlfn.XLOOKUP(SummaryTable[[#This Row],[Code]], NameCodingTable[Code], NameCodingTable[Type])</f>
        <v>agency</v>
      </c>
      <c r="F4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4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7</v>
      </c>
      <c r="H49" s="54">
        <f>SummaryTable[[#This Row],['# Over]]/SummaryTable[[#This Row],[Count]]</f>
        <v>0.35</v>
      </c>
      <c r="I4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13</v>
      </c>
      <c r="J49" s="54">
        <f>SummaryTable[[#This Row],['# Under]]/SummaryTable[[#This Row],[Count]]</f>
        <v>0.65</v>
      </c>
      <c r="K4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49" s="54">
        <f>SummaryTable[[#This Row],['# Equal]]/SummaryTable[[#This Row],[Count]]</f>
        <v>0</v>
      </c>
      <c r="M49" s="61">
        <f>SUMIFS(allFYsTable[OriginalBudget],allFYsTable[Code],SummaryTable[[#This Row],[Code]])/SummaryTable[[#This Row],[Count]]</f>
        <v>55937.3</v>
      </c>
      <c r="N49" s="61">
        <f>SUMIFS(allFYsTable[Actual],allFYsTable[Code],SummaryTable[[#This Row],[Code]])/SummaryTable[[#This Row],[Count]]</f>
        <v>55315.3</v>
      </c>
      <c r="O49" s="61">
        <f>SummaryTable[[#This Row],[AvgActAmt]]-SummaryTable[[#This Row],[AvgBudAmt]]</f>
        <v>-622</v>
      </c>
      <c r="P49" s="54">
        <f>IF(SummaryTable[[#This Row],[AvgBudAmt]]=0, IF(SummaryTable[[#This Row],[AvgDiff'#]]=0, 0, NamedFields!$C$3), SummaryTable[[#This Row],[AvgDiff'#]]/SummaryTable[[#This Row],[AvgBudAmt]])</f>
        <v>-1.1119592829829111E-2</v>
      </c>
      <c r="Q49" s="61">
        <f>IFERROR(SUMIFS(allFYsTable[OriginalBudget],allFYsTable[Code],SummaryTable[[#This Row],[Code]],allFYsTable[DiffAmount], "&gt;0")/SummaryTable[[#This Row],['# Over]], 0)</f>
        <v>54545.571428571428</v>
      </c>
      <c r="R49" s="61">
        <f>IFERROR(SUMIFS(allFYsTable[Actual],allFYsTable[Code],SummaryTable[[#This Row],[Code]],allFYsTable[DiffAmount], "&gt;0")/SummaryTable[[#This Row],['# Over]], 0)</f>
        <v>55563</v>
      </c>
      <c r="S49" s="61">
        <f>SummaryTable[[#This Row],[OverAvgAct]]-SummaryTable[[#This Row],[OverAvgBud]]</f>
        <v>1017.4285714285725</v>
      </c>
      <c r="T49" s="54">
        <f>IF(SummaryTable[[#This Row],[OverAvgBud]]=0, IF(SummaryTable[[#This Row],[OverAvgDiff'#]]=0, ZeroBudgetNoSpending, ZeroBudgetWithSpending), SummaryTable[[#This Row],[OverAvgDiff'#]]/SummaryTable[[#This Row],[OverAvgBud]])</f>
        <v>1.8652817172534648E-2</v>
      </c>
      <c r="U49" s="61">
        <f>IFERROR(SUMIFS(allFYsTable[OriginalBudget],allFYsTable[Code],SummaryTable[[#This Row],[Code]],allFYsTable[DiffAmount], "&lt;0")/SummaryTable[[#This Row],['# Under]], 0)</f>
        <v>56686.692307692305</v>
      </c>
      <c r="V49" s="61">
        <f>IFERROR( SUMIFS(allFYsTable[Actual],allFYsTable[Code],SummaryTable[[#This Row],[Code]],allFYsTable[DiffAmount], "&lt;0")/SummaryTable[[#This Row],['# Under]], 0)</f>
        <v>55181.923076923078</v>
      </c>
      <c r="W49" s="61">
        <f>SummaryTable[[#This Row],[UnderAvgAct]]-SummaryTable[[#This Row],[UnderAvgBud]]</f>
        <v>-1504.7692307692269</v>
      </c>
      <c r="X49" s="54">
        <f>IF(SummaryTable[[#This Row],[UnderAvgBud]]=0, IF(SummaryTable[[#This Row],[UnderAvgDiff'#]]=0, ZeroBudgetNoSpending, NamedFields!$C$3), SummaryTable[[#This Row],[UnderAvgDiff'#]]/SummaryTable[[#This Row],[UnderAvgBud]])</f>
        <v>-2.6545370165565858E-2</v>
      </c>
      <c r="Y4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4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49" s="54">
        <f>IF(SummaryTable[[#This Row],[IncreaseYears]]=0, ZeroBudgetNoSpending, SummaryTable[[#This Row],[OSinIncreaseYear'#]]/SummaryTable[[#This Row],[IncreaseYears]])</f>
        <v>0</v>
      </c>
      <c r="AB49" s="58" t="str">
        <f>SummaryTable[[#This Row],[Code]]</f>
        <v>CE0</v>
      </c>
      <c r="AC49" s="62">
        <f>IF(COUNTIFS(allFYsTable[Code], SummaryTable[[#This Row],[Code]], allFYsTable[year2], AC$3)=0, NotFound, SUMIFS(allFYsTable[OriginalBudget], allFYsTable[Code], SummaryTable[[#This Row],[Code]], allFYsTable[year2], AC$3))</f>
        <v>75842</v>
      </c>
      <c r="AD49" s="61">
        <f>SummaryTable[[#This Row],[OriginalBudget25]]-SummaryTable[[#This Row],[OriginalBudget24]]</f>
        <v>1650</v>
      </c>
      <c r="AE49" s="54">
        <f>SummaryTable[[#This Row],[BudgetIncreaseAmount25]]/SummaryTable[[#This Row],[OriginalBudget24]]</f>
        <v>2.2239594565451801E-2</v>
      </c>
      <c r="AF49" s="61">
        <f>IF(COUNTIFS(allFYsTable[Code], SummaryTable[[#This Row],[Code]], allFYsTable[year2], AC$3)=0, NotFound, SUMIFS(allFYsTable[RevisedBudget], allFYsTable[Code], SummaryTable[[#This Row],[Code]], allFYsTable[year2], AC$3))</f>
        <v>75148</v>
      </c>
      <c r="AG49" s="61">
        <f>IF(COUNTIFS(allFYsTable[Code], SummaryTable[[#This Row],[Code]], allFYsTable[year2], AC$3)=0, NotFound, SUMIFS(allFYsTable[Actual], allFYsTable[Code], SummaryTable[[#This Row],[Code]], allFYsTable[year2], AC$3))</f>
        <v>73955</v>
      </c>
      <c r="AH49" s="61">
        <f>IF(COUNTIFS(allFYsTable[Code], SummaryTable[[#This Row],[Code]], allFYsTable[year2], AC$3)=0, NotFound, SUMIFS(allFYsTable[DiffAmount], allFYsTable[Code], SummaryTable[[#This Row],[Code]], allFYsTable[year2], AC$3))</f>
        <v>-1887</v>
      </c>
      <c r="AI49" s="63">
        <f>IF(SummaryTable[[#This Row],[OriginalBudget25]]=0, IF(SummaryTable[[#This Row],[DiffAmount25]]=0, ZeroBudgetNoSpending, ZeroBudgetWithSpending), SummaryTable[[#This Row],[DiffAmount25]]/SummaryTable[[#This Row],[OriginalBudget25]])</f>
        <v>-2.4880672978033279E-2</v>
      </c>
      <c r="AJ49" s="62">
        <f>IF(COUNTIFS(allFYsTable[Code], SummaryTable[[#This Row],[Code]], allFYsTable[year2], AJ$3)=0, NotFound, SUMIFS(allFYsTable[OriginalBudget], allFYsTable[Code], SummaryTable[[#This Row],[Code]], allFYsTable[year2], AJ$3))</f>
        <v>74192</v>
      </c>
      <c r="AK49" s="61">
        <f>SummaryTable[[#This Row],[OriginalBudget24]]-SummaryTable[[#This Row],[OriginalBudget23]]</f>
        <v>-313</v>
      </c>
      <c r="AL49" s="54">
        <f>SummaryTable[[#This Row],[BudgetIncreaseAmount24]]/SummaryTable[[#This Row],[OriginalBudget23]]</f>
        <v>-4.2010603315213741E-3</v>
      </c>
      <c r="AM49" s="61">
        <f>IF(COUNTIFS(allFYsTable[Code], SummaryTable[[#This Row],[Code]], allFYsTable[year2], AK$3)=0, NotFound, SUMIFS(allFYsTable[RevisedBudget], allFYsTable[Code], SummaryTable[[#This Row],[Code]], allFYsTable[year2], AJ$3))</f>
        <v>75061</v>
      </c>
      <c r="AN49" s="61">
        <f>IF(COUNTIFS(allFYsTable[Code], SummaryTable[[#This Row],[Code]], allFYsTable[year2], AJ$3)=0, NotFound, SUMIFS(allFYsTable[Actual], allFYsTable[Code], SummaryTable[[#This Row],[Code]], allFYsTable[year2], AJ$3))</f>
        <v>74640</v>
      </c>
      <c r="AO49" s="61">
        <f>IF(COUNTIFS(allFYsTable[Code], SummaryTable[[#This Row],[Code]], allFYsTable[year2], AJ$3)=0, NotFound, SUMIFS(allFYsTable[DiffAmount], allFYsTable[Code], SummaryTable[[#This Row],[Code]], allFYsTable[year2], AJ$3))</f>
        <v>448</v>
      </c>
      <c r="AP49" s="63">
        <f>IF(SummaryTable[[#This Row],[OriginalBudget24]]=0, IF(SummaryTable[[#This Row],[DiffAmount24]]=0, ZeroBudgetNoSpending, ZeroBudgetWithSpending), SummaryTable[[#This Row],[DiffAmount24]]/SummaryTable[[#This Row],[OriginalBudget24]])</f>
        <v>6.038386888074186E-3</v>
      </c>
      <c r="AQ49" s="62">
        <f>IF(COUNTIFS(allFYsTable[Code], SummaryTable[[#This Row],[Code]], allFYsTable[year2], AQ$3)=0, NotFound, SUMIFS(allFYsTable[OriginalBudget], allFYsTable[Code], SummaryTable[[#This Row],[Code]], allFYsTable[year2], AQ$3))</f>
        <v>74505</v>
      </c>
      <c r="AR49" s="61">
        <f>SummaryTable[[#This Row],[OriginalBudget23]]-SummaryTable[[#This Row],[OriginalBudget22]]</f>
        <v>2779</v>
      </c>
      <c r="AS49" s="54">
        <f>SummaryTable[[#This Row],[BudgetIncreaseAmount23]]/SummaryTable[[#This Row],[OriginalBudget22]]</f>
        <v>3.8744667205755236E-2</v>
      </c>
      <c r="AT49" s="61">
        <f>IF(COUNTIFS(allFYsTable[Code], SummaryTable[[#This Row],[Code]], allFYsTable[year2], AQ$3)=0, NotFound, SUMIFS(allFYsTable[RevisedBudget], allFYsTable[Code], SummaryTable[[#This Row],[Code]], allFYsTable[year2], AQ$3))</f>
        <v>75133</v>
      </c>
      <c r="AU49" s="61">
        <f>IF(COUNTIFS(allFYsTable[Code], SummaryTable[[#This Row],[Code]], allFYsTable[year2], AQ$3)=0, NotFound, SUMIFS(allFYsTable[Actual], allFYsTable[Code], SummaryTable[[#This Row],[Code]], allFYsTable[year2], AQ$3))</f>
        <v>74717</v>
      </c>
      <c r="AV49" s="61">
        <f>IF(COUNTIFS(allFYsTable[Code], SummaryTable[[#This Row],[Code]], allFYsTable[year2], AQ$3)=0, NotFound, SUMIFS(allFYsTable[DiffAmount], allFYsTable[Code], SummaryTable[[#This Row],[Code]], allFYsTable[year2], AQ$3))</f>
        <v>212</v>
      </c>
      <c r="AW49" s="63">
        <f>IF(SummaryTable[[#This Row],[OriginalBudget23]]=0, IF(SummaryTable[[#This Row],[DiffAmount23]]=0, ZeroBudgetNoSpending, ZeroBudgetWithSpending), SummaryTable[[#This Row],[DiffAmount23]]/SummaryTable[[#This Row],[OriginalBudget23]])</f>
        <v>2.8454466143211865E-3</v>
      </c>
      <c r="AX49" s="62">
        <f>IF(COUNTIFS(allFYsTable[Code], SummaryTable[[#This Row],[Code]], allFYsTable[year2], AX$3)=0, NotFound, SUMIFS(allFYsTable[OriginalBudget], allFYsTable[Code], SummaryTable[[#This Row],[Code]], allFYsTable[year2], AX$3))</f>
        <v>71726</v>
      </c>
      <c r="AY49" s="61">
        <f>SummaryTable[[#This Row],[OriginalBudget22]]-SummaryTable[[#This Row],[OriginalBudget21]]</f>
        <v>1054</v>
      </c>
      <c r="AZ49" s="54">
        <f>SummaryTable[[#This Row],[BudgetIncreaseAmount22]]/SummaryTable[[#This Row],[OriginalBudget21]]</f>
        <v>1.4913968757074937E-2</v>
      </c>
      <c r="BA49" s="61">
        <f>IF(COUNTIFS(allFYsTable[Code], SummaryTable[[#This Row],[Code]], allFYsTable[year2], AX$3)=0, NotFound, SUMIFS(allFYsTable[RevisedBudget], allFYsTable[Code], SummaryTable[[#This Row],[Code]], allFYsTable[year2], AX$3))</f>
        <v>72565</v>
      </c>
      <c r="BB49" s="61">
        <f>IF(COUNTIFS(allFYsTable[Code], SummaryTable[[#This Row],[Code]], allFYsTable[year2], AX$3)=0, NotFound, SUMIFS(allFYsTable[Actual], allFYsTable[Code], SummaryTable[[#This Row],[Code]], allFYsTable[year2], AX$3))</f>
        <v>71326</v>
      </c>
      <c r="BC49" s="61">
        <f>IF(COUNTIFS(allFYsTable[Code], SummaryTable[[#This Row],[Code]], allFYsTable[year2], AX$3)=0, NotFound, SUMIFS(allFYsTable[DiffAmount], allFYsTable[Code], SummaryTable[[#This Row],[Code]], allFYsTable[year2], AX$3))</f>
        <v>-400</v>
      </c>
      <c r="BD49" s="63">
        <f>IF(SummaryTable[[#This Row],[OriginalBudget22]]=0, IF(SummaryTable[[#This Row],[DiffAmount22]]=0, ZeroBudgetNoSpending, ZeroBudgetWithSpending), SummaryTable[[#This Row],[DiffAmount22]]/SummaryTable[[#This Row],[OriginalBudget22]])</f>
        <v>-5.5767782951788754E-3</v>
      </c>
      <c r="BE49" s="62">
        <f>IF(COUNTIFS(allFYsTable[Code], SummaryTable[[#This Row],[Code]], allFYsTable[year2], BE$3)=0, NotFound, SUMIFS(allFYsTable[OriginalBudget], allFYsTable[Code], SummaryTable[[#This Row],[Code]], allFYsTable[year2], BE$3))</f>
        <v>70672</v>
      </c>
      <c r="BF49" s="61">
        <f>SummaryTable[[#This Row],[OriginalBudget21]]-SummaryTable[[#This Row],[OriginalBudget20]]</f>
        <v>5696</v>
      </c>
      <c r="BG49" s="54">
        <f>SummaryTable[[#This Row],[BudgetIncreaseAmount21]]/SummaryTable[[#This Row],[OriginalBudget20]]</f>
        <v>8.7663137158335389E-2</v>
      </c>
      <c r="BH49" s="61">
        <f>IF(COUNTIFS(allFYsTable[Code], SummaryTable[[#This Row],[Code]], allFYsTable[year2], BE$3)=0, NotFound, SUMIFS(allFYsTable[RevisedBudget], allFYsTable[Code], SummaryTable[[#This Row],[Code]], allFYsTable[year2], BE$3))</f>
        <v>66976</v>
      </c>
      <c r="BI49" s="61">
        <f>IF(COUNTIFS(allFYsTable[Code], SummaryTable[[#This Row],[Code]], allFYsTable[year2], BE$3)=0, NotFound, SUMIFS(allFYsTable[Actual], allFYsTable[Code], SummaryTable[[#This Row],[Code]], allFYsTable[year2], BE$3))</f>
        <v>63688</v>
      </c>
      <c r="BJ49" s="61">
        <f>IF(COUNTIFS(allFYsTable[Code], SummaryTable[[#This Row],[Code]], allFYsTable[year2], BE$3)=0, NotFound, SUMIFS(allFYsTable[DiffAmount], allFYsTable[Code], SummaryTable[[#This Row],[Code]], allFYsTable[year2], BE$3))</f>
        <v>-6984</v>
      </c>
      <c r="BK49" s="63">
        <f>IF(SummaryTable[[#This Row],[OriginalBudget21]]=0, IF(SummaryTable[[#This Row],[DiffAmount21]]=0, ZeroBudgetNoSpending, ZeroBudgetWithSpending), SummaryTable[[#This Row],[DiffAmount21]]/SummaryTable[[#This Row],[OriginalBudget21]])</f>
        <v>-9.8822730359972827E-2</v>
      </c>
      <c r="BL49" s="62">
        <f>IF(COUNTIFS(allFYsTable[Code], SummaryTable[[#This Row],[Code]], allFYsTable[year2], BL$3)=0, NotFound, SUMIFS(allFYsTable[OriginalBudget], allFYsTable[Code], SummaryTable[[#This Row],[Code]], allFYsTable[year2], BL$3))</f>
        <v>64976</v>
      </c>
      <c r="BM49" s="61">
        <f>SummaryTable[[#This Row],[OriginalBudget20]]-SummaryTable[[#This Row],[OriginalBudget19]]</f>
        <v>3160</v>
      </c>
      <c r="BN49" s="54">
        <f>SummaryTable[[#This Row],[BudgetIncreaseAmount20]]/SummaryTable[[#This Row],[OriginalBudget19]]</f>
        <v>5.1119451274750871E-2</v>
      </c>
      <c r="BO49" s="61">
        <f>IF(COUNTIFS(allFYsTable[Code], SummaryTable[[#This Row],[Code]], allFYsTable[year2], BL$3)=0, NotFound, SUMIFS(allFYsTable[RevisedBudget], allFYsTable[Code], SummaryTable[[#This Row],[Code]], allFYsTable[year2], BL$3))</f>
        <v>64623</v>
      </c>
      <c r="BP49" s="61">
        <f>IF(COUNTIFS(allFYsTable[Code], SummaryTable[[#This Row],[Code]], allFYsTable[year2], BL$3)=0, NotFound, SUMIFS(allFYsTable[Actual], allFYsTable[Code], SummaryTable[[#This Row],[Code]], allFYsTable[year2], BL$3))</f>
        <v>62518</v>
      </c>
      <c r="BQ49" s="61">
        <f>IF(COUNTIFS(allFYsTable[Code], SummaryTable[[#This Row],[Code]], allFYsTable[year2], BL$3)=0, NotFound, SUMIFS(allFYsTable[DiffAmount], allFYsTable[Code], SummaryTable[[#This Row],[Code]], allFYsTable[year2], BL$3))</f>
        <v>-2458</v>
      </c>
      <c r="BR49" s="63">
        <f>IF(SummaryTable[[#This Row],[OriginalBudget20]]=0, IF(SummaryTable[[#This Row],[DiffAmount20]]=0, ZeroBudgetNoSpending, ZeroBudgetWithSpending), SummaryTable[[#This Row],[DiffAmount20]]/SummaryTable[[#This Row],[OriginalBudget20]])</f>
        <v>-3.7829352376262004E-2</v>
      </c>
      <c r="BS49" s="62">
        <f>IF(COUNTIFS(allFYsTable[Code], SummaryTable[[#This Row],[Code]], allFYsTable[year2], BS$3)=0, NotFound, SUMIFS(allFYsTable[OriginalBudget], allFYsTable[Code], SummaryTable[[#This Row],[Code]], allFYsTable[year2], BS$3))</f>
        <v>61816</v>
      </c>
      <c r="BT49" s="61">
        <f>SummaryTable[[#This Row],[OriginalBudget19]]-SummaryTable[[#This Row],[OriginalBudget18]]</f>
        <v>2493</v>
      </c>
      <c r="BU49" s="54">
        <f>SummaryTable[[#This Row],[BudgetIncreaseAmount19]]/SummaryTable[[#This Row],[OriginalBudget18]]</f>
        <v>4.2024172749186656E-2</v>
      </c>
      <c r="BV49" s="61">
        <f>IF(COUNTIFS(allFYsTable[Code], SummaryTable[[#This Row],[Code]], allFYsTable[year2], BS$3)=0, NotFound, SUMIFS(allFYsTable[RevisedBudget], allFYsTable[Code], SummaryTable[[#This Row],[Code]], allFYsTable[year2], BS$3))</f>
        <v>62265</v>
      </c>
      <c r="BW49" s="61">
        <f>IF(COUNTIFS(allFYsTable[Code], SummaryTable[[#This Row],[Code]], allFYsTable[year2], BS$3)=0, NotFound, SUMIFS(allFYsTable[Actual], allFYsTable[Code], SummaryTable[[#This Row],[Code]], allFYsTable[year2], BS$3))</f>
        <v>59661</v>
      </c>
      <c r="BX49" s="61">
        <f>IF(COUNTIFS(allFYsTable[Code], SummaryTable[[#This Row],[Code]], allFYsTable[year2], BS$3)=0, NotFound, SUMIFS(allFYsTable[DiffAmount], allFYsTable[Code], SummaryTable[[#This Row],[Code]], allFYsTable[year2], BS$3))</f>
        <v>-2155</v>
      </c>
      <c r="BY49" s="63">
        <f>IF(SummaryTable[[#This Row],[OriginalBudget19]]=0, IF(SummaryTable[[#This Row],[DiffAmount19]]=0, ZeroBudgetNoSpending, ZeroBudgetWithSpending), SummaryTable[[#This Row],[DiffAmount19]]/SummaryTable[[#This Row],[OriginalBudget19]])</f>
        <v>-3.4861524524394977E-2</v>
      </c>
      <c r="BZ49" s="62">
        <f>IF(COUNTIFS(allFYsTable[Code], SummaryTable[[#This Row],[Code]], allFYsTable[year2], BZ$3)=0, NotFound, SUMIFS(allFYsTable[OriginalBudget], allFYsTable[Code], SummaryTable[[#This Row],[Code]], allFYsTable[year2], BZ$3))</f>
        <v>59323</v>
      </c>
      <c r="CA49" s="61">
        <f>SummaryTable[[#This Row],[OriginalBudget18]]-SummaryTable[[#This Row],[OriginalBudget17]]</f>
        <v>1299</v>
      </c>
      <c r="CB49" s="54">
        <f>SummaryTable[[#This Row],[BudgetIncreaseAmount18]]/SummaryTable[[#This Row],[OriginalBudget17]]</f>
        <v>2.238728801875086E-2</v>
      </c>
      <c r="CC49" s="61">
        <f>IF(COUNTIFS(allFYsTable[Code], SummaryTable[[#This Row],[Code]], allFYsTable[year2], BZ$3)=0, NotFound, SUMIFS(allFYsTable[RevisedBudget], allFYsTable[Code], SummaryTable[[#This Row],[Code]], allFYsTable[year2], BZ$3))</f>
        <v>59908</v>
      </c>
      <c r="CD49" s="61">
        <f>IF(COUNTIFS(allFYsTable[Code], SummaryTable[[#This Row],[Code]], allFYsTable[year2], BZ$3)=0, NotFound, SUMIFS(allFYsTable[Actual], allFYsTable[Code], SummaryTable[[#This Row],[Code]], allFYsTable[year2], BZ$3))</f>
        <v>58629</v>
      </c>
      <c r="CE49" s="61">
        <f>IF(COUNTIFS(allFYsTable[Code], SummaryTable[[#This Row],[Code]], allFYsTable[year2], BZ$3)=0, NotFound, SUMIFS(allFYsTable[DiffAmount], allFYsTable[Code], SummaryTable[[#This Row],[Code]], allFYsTable[year2], BZ$3))</f>
        <v>-694</v>
      </c>
      <c r="CF49" s="63">
        <f>IF(SummaryTable[[#This Row],[OriginalBudget18]]=0, IF(SummaryTable[[#This Row],[DiffAmount18]]=0, ZeroBudgetNoSpending, ZeroBudgetWithSpending), SummaryTable[[#This Row],[DiffAmount18]]/SummaryTable[[#This Row],[OriginalBudget18]])</f>
        <v>-1.1698666621715018E-2</v>
      </c>
      <c r="CG49" s="62">
        <f>IF(COUNTIFS(allFYsTable[Code], SummaryTable[[#This Row],[Code]], allFYsTable[year2], CG$3)=0, NotFound, SUMIFS(allFYsTable[OriginalBudget], allFYsTable[Code], SummaryTable[[#This Row],[Code]], allFYsTable[year2], CG$3))</f>
        <v>58024</v>
      </c>
      <c r="CH49" s="61">
        <f>SummaryTable[[#This Row],[OriginalBudget17]]-SummaryTable[[#This Row],[OriginalBudget16]]</f>
        <v>2097</v>
      </c>
      <c r="CI49" s="54">
        <f>SummaryTable[[#This Row],[BudgetIncreaseAmount17]]/SummaryTable[[#This Row],[OriginalBudget16]]</f>
        <v>3.7495306381533068E-2</v>
      </c>
      <c r="CJ49" s="61">
        <f>IF(COUNTIFS(allFYsTable[Code], SummaryTable[[#This Row],[Code]], allFYsTable[year2], CG$3)=0, NotFound, SUMIFS(allFYsTable[RevisedBudget], allFYsTable[Code], SummaryTable[[#This Row],[Code]], allFYsTable[year2], CG$3))</f>
        <v>56432</v>
      </c>
      <c r="CK49" s="61">
        <f>IF(COUNTIFS(allFYsTable[Code], SummaryTable[[#This Row],[Code]], allFYsTable[year2], CG$3)=0, NotFound, SUMIFS(allFYsTable[Actual], allFYsTable[Code], SummaryTable[[#This Row],[Code]], allFYsTable[year2], CG$3))</f>
        <v>55887</v>
      </c>
      <c r="CL49" s="61">
        <f>IF(COUNTIFS(allFYsTable[Code], SummaryTable[[#This Row],[Code]], allFYsTable[year2], CG$3)=0, NotFound, SUMIFS(allFYsTable[DiffAmount], allFYsTable[Code], SummaryTable[[#This Row],[Code]], allFYsTable[year2], CG$3))</f>
        <v>-2137</v>
      </c>
      <c r="CM49" s="63">
        <f>IF(SummaryTable[[#This Row],[OriginalBudget17]]=0, IF(SummaryTable[[#This Row],[DiffAmount17]]=0, ZeroBudgetNoSpending, ZeroBudgetWithSpending), SummaryTable[[#This Row],[DiffAmount17]]/SummaryTable[[#This Row],[OriginalBudget17]])</f>
        <v>-3.6829587756790294E-2</v>
      </c>
      <c r="CN49" s="62">
        <f>IF(COUNTIFS(allFYsTable[Code], SummaryTable[[#This Row],[Code]], allFYsTable[year2], CN$3)=0, NotFound, SUMIFS(allFYsTable[OriginalBudget], allFYsTable[Code], SummaryTable[[#This Row],[Code]], allFYsTable[year2], CN$3))</f>
        <v>55927</v>
      </c>
      <c r="CO49" s="61">
        <f>SummaryTable[[#This Row],[OriginalBudget16]]-SummaryTable[[#This Row],[OriginalBudget15]]</f>
        <v>-358</v>
      </c>
      <c r="CP49" s="54">
        <f>SummaryTable[[#This Row],[BudgetIncreaseAmount16]]/SummaryTable[[#This Row],[OriginalBudget15]]</f>
        <v>-6.3604868082082263E-3</v>
      </c>
      <c r="CQ49" s="61">
        <f>IF(COUNTIFS(allFYsTable[Code], SummaryTable[[#This Row],[Code]], allFYsTable[year2], CN$3)=0, NotFound, SUMIFS(allFYsTable[RevisedBudget], allFYsTable[Code], SummaryTable[[#This Row],[Code]], allFYsTable[year2], CN$3))</f>
        <v>55404</v>
      </c>
      <c r="CR49" s="61">
        <f>IF(COUNTIFS(allFYsTable[Code], SummaryTable[[#This Row],[Code]], allFYsTable[year2], CN$3)=0, NotFound, SUMIFS(allFYsTable[Actual], allFYsTable[Code], SummaryTable[[#This Row],[Code]], allFYsTable[year2], CN$3))</f>
        <v>55074</v>
      </c>
      <c r="CS49" s="61">
        <f>IF(COUNTIFS(allFYsTable[Code], SummaryTable[[#This Row],[Code]], allFYsTable[year2], CN$3)=0, NotFound, SUMIFS(allFYsTable[DiffAmount], allFYsTable[Code], SummaryTable[[#This Row],[Code]], allFYsTable[year2], CN$3))</f>
        <v>-853</v>
      </c>
      <c r="CT49" s="63">
        <f>IF(SummaryTable[[#This Row],[OriginalBudget16]]=0, IF(SummaryTable[[#This Row],[DiffAmount16]]=0, ZeroBudgetNoSpending, ZeroBudgetWithSpending), SummaryTable[[#This Row],[DiffAmount16]]/SummaryTable[[#This Row],[OriginalBudget16]])</f>
        <v>-1.5252024961110019E-2</v>
      </c>
      <c r="CU49" s="62">
        <f>IF(COUNTIFS(allFYsTable[Code], SummaryTable[[#This Row],[Code]], allFYsTable[year2], CU$3)=0, NotFound, SUMIFS(allFYsTable[OriginalBudget], allFYsTable[Code], SummaryTable[[#This Row],[Code]], allFYsTable[year2], CU$3))</f>
        <v>56285</v>
      </c>
      <c r="CV49" s="61">
        <f>SummaryTable[[#This Row],[OriginalBudget15]]-SummaryTable[[#This Row],[OriginalBudget14]]</f>
        <v>4185</v>
      </c>
      <c r="CW49" s="54">
        <f>SummaryTable[[#This Row],[BudgetIncreaseAmount15]]/SummaryTable[[#This Row],[OriginalBudget14]]</f>
        <v>8.0326295585412669E-2</v>
      </c>
      <c r="CX49" s="61">
        <f>IF(COUNTIFS(allFYsTable[Code], SummaryTable[[#This Row],[Code]], allFYsTable[year2], CU$3)=0, NotFound, SUMIFS(allFYsTable[RevisedBudget], allFYsTable[Code], SummaryTable[[#This Row],[Code]], allFYsTable[year2], CU$3))</f>
        <v>56792</v>
      </c>
      <c r="CY49" s="61">
        <f>IF(COUNTIFS(allFYsTable[Code], SummaryTable[[#This Row],[Code]], allFYsTable[year2], CU$3)=0, NotFound, SUMIFS(allFYsTable[Actual], allFYsTable[Code], SummaryTable[[#This Row],[Code]], allFYsTable[year2], CU$3))</f>
        <v>56206</v>
      </c>
      <c r="CZ49" s="61">
        <f>IF(COUNTIFS(allFYsTable[Code], SummaryTable[[#This Row],[Code]], allFYsTable[year2], CU$3)=0, NotFound, SUMIFS(allFYsTable[DiffAmount], allFYsTable[Code], SummaryTable[[#This Row],[Code]], allFYsTable[year2], CU$3))</f>
        <v>-79</v>
      </c>
      <c r="DA49" s="63">
        <f>IF(SummaryTable[[#This Row],[OriginalBudget15]]=0, IF(SummaryTable[[#This Row],[DiffAmount15]]=0, ZeroBudgetNoSpending, ZeroBudgetWithSpending), SummaryTable[[#This Row],[DiffAmount15]]/SummaryTable[[#This Row],[OriginalBudget15]])</f>
        <v>-1.4035711113085192E-3</v>
      </c>
      <c r="DB49" s="62">
        <f>IF(COUNTIFS(allFYsTable[Code], SummaryTable[[#This Row],[Code]], allFYsTable[year2], DB$3)=0, NotFound, SUMIFS(allFYsTable[OriginalBudget], allFYsTable[Code], SummaryTable[[#This Row],[Code]], allFYsTable[year2], DB$3))</f>
        <v>52100</v>
      </c>
      <c r="DC49" s="61">
        <f>SummaryTable[[#This Row],[OriginalBudget14]]-SummaryTable[[#This Row],[OriginalBudget13]]</f>
        <v>10073</v>
      </c>
      <c r="DD49" s="54">
        <f>SummaryTable[[#This Row],[BudgetIncreaseAmount14]]/SummaryTable[[#This Row],[OriginalBudget13]]</f>
        <v>0.23967925381302496</v>
      </c>
      <c r="DE49" s="61">
        <f>IF(COUNTIFS(allFYsTable[Code], SummaryTable[[#This Row],[Code]], allFYsTable[year2], DB$3)=0, NotFound, SUMIFS(allFYsTable[RevisedBudget], allFYsTable[Code], SummaryTable[[#This Row],[Code]], allFYsTable[year2], DB$3))</f>
        <v>53466</v>
      </c>
      <c r="DF49" s="61">
        <f>IF(COUNTIFS(allFYsTable[Code], SummaryTable[[#This Row],[Code]], allFYsTable[year2], DB$3)=0, NotFound, SUMIFS(allFYsTable[Actual], allFYsTable[Code], SummaryTable[[#This Row],[Code]], allFYsTable[year2], DB$3))</f>
        <v>53095</v>
      </c>
      <c r="DG49" s="61">
        <f>IF(COUNTIFS(allFYsTable[Code], SummaryTable[[#This Row],[Code]], allFYsTable[year2], DB$3)=0, NotFound, SUMIFS(allFYsTable[DiffAmount], allFYsTable[Code], SummaryTable[[#This Row],[Code]], allFYsTable[year2], DB$3))</f>
        <v>995</v>
      </c>
      <c r="DH49" s="63">
        <f>IF(SummaryTable[[#This Row],[OriginalBudget14]]=0, IF(SummaryTable[[#This Row],[DiffAmount14]]=0, ZeroBudgetNoSpending, ZeroBudgetWithSpending), SummaryTable[[#This Row],[DiffAmount14]]/SummaryTable[[#This Row],[OriginalBudget14]])</f>
        <v>1.90978886756238E-2</v>
      </c>
      <c r="DI49" s="62">
        <f>IF(COUNTIFS(allFYsTable[Code], SummaryTable[[#This Row],[Code]], allFYsTable[year2], DI$3)=0, NotFound, SUMIFS(allFYsTable[OriginalBudget], allFYsTable[Code], SummaryTable[[#This Row],[Code]], allFYsTable[year2], DI$3))</f>
        <v>42027</v>
      </c>
      <c r="DJ49" s="61">
        <f>SummaryTable[[#This Row],[OriginalBudget13]]-SummaryTable[[#This Row],[OriginalBudget12]]</f>
        <v>7562</v>
      </c>
      <c r="DK49" s="54">
        <f>SummaryTable[[#This Row],[BudgetIncreaseAmount13]]/SummaryTable[[#This Row],[OriginalBudget12]]</f>
        <v>0.21941099666328159</v>
      </c>
      <c r="DL49" s="61">
        <f>IF(COUNTIFS(allFYsTable[Code], SummaryTable[[#This Row],[Code]], allFYsTable[year2], DI$3)=0, NotFound, SUMIFS(allFYsTable[RevisedBudget], allFYsTable[Code], SummaryTable[[#This Row],[Code]], allFYsTable[year2], DI$3))</f>
        <v>42101</v>
      </c>
      <c r="DM49" s="61">
        <f>IF(COUNTIFS(allFYsTable[Code], SummaryTable[[#This Row],[Code]], allFYsTable[year2], DI$3)=0, NotFound, SUMIFS(allFYsTable[Actual], allFYsTable[Code], SummaryTable[[#This Row],[Code]], allFYsTable[year2], DI$3))</f>
        <v>41583</v>
      </c>
      <c r="DN49" s="61">
        <f>IF(COUNTIFS(allFYsTable[Code], SummaryTable[[#This Row],[Code]], allFYsTable[year2], DI$3)=0, NotFound, SUMIFS(allFYsTable[DiffAmount], allFYsTable[Code], SummaryTable[[#This Row],[Code]], allFYsTable[year2], DI$3))</f>
        <v>-444</v>
      </c>
      <c r="DO49" s="63">
        <f>IF(SummaryTable[[#This Row],[OriginalBudget13]]=0, IF(SummaryTable[[#This Row],[DiffAmount13]]=0, ZeroBudgetNoSpending, ZeroBudgetWithSpending), SummaryTable[[#This Row],[DiffAmount13]]/SummaryTable[[#This Row],[OriginalBudget13]])</f>
        <v>-1.0564637019059176E-2</v>
      </c>
      <c r="DP49" s="62">
        <f>IF(COUNTIFS(allFYsTable[Code], SummaryTable[[#This Row],[Code]], allFYsTable[year2], DP$3)=0, NotFound, SUMIFS(allFYsTable[OriginalBudget], allFYsTable[Code], SummaryTable[[#This Row],[Code]], allFYsTable[year2], DP$3))</f>
        <v>34465</v>
      </c>
      <c r="DQ49" s="61">
        <f>SummaryTable[[#This Row],[OriginalBudget12]]-SummaryTable[[#This Row],[OriginalBudget11]]</f>
        <v>-701</v>
      </c>
      <c r="DR49" s="54">
        <f>SummaryTable[[#This Row],[BudgetIncreaseAmount12]]/SummaryTable[[#This Row],[OriginalBudget11]]</f>
        <v>-1.9934027185349486E-2</v>
      </c>
      <c r="DS49" s="61">
        <f>IF(COUNTIFS(allFYsTable[Code], SummaryTable[[#This Row],[Code]], allFYsTable[year2], DP$3)=0, NotFound, SUMIFS(allFYsTable[RevisedBudget], allFYsTable[Code], SummaryTable[[#This Row],[Code]], allFYsTable[year2], DP$3))</f>
        <v>35348</v>
      </c>
      <c r="DT49" s="61">
        <f>IF(COUNTIFS(allFYsTable[Code], SummaryTable[[#This Row],[Code]], allFYsTable[year2], DP$3)=0, NotFound, SUMIFS(allFYsTable[Actual], allFYsTable[Code], SummaryTable[[#This Row],[Code]], allFYsTable[year2], DP$3))</f>
        <v>35309</v>
      </c>
      <c r="DU49" s="61">
        <f>IF(COUNTIFS(allFYsTable[Code], SummaryTable[[#This Row],[Code]], allFYsTable[year2], DP$3)=0, NotFound, SUMIFS(allFYsTable[DiffAmount], allFYsTable[Code], SummaryTable[[#This Row],[Code]], allFYsTable[year2], DP$3))</f>
        <v>844</v>
      </c>
      <c r="DV49" s="63">
        <f>IF(SummaryTable[[#This Row],[OriginalBudget12]]=0, IF(SummaryTable[[#This Row],[DiffAmount12]]=0, ZeroBudgetNoSpending, ZeroBudgetWithSpending), SummaryTable[[#This Row],[DiffAmount12]]/SummaryTable[[#This Row],[OriginalBudget12]])</f>
        <v>2.4488611634992021E-2</v>
      </c>
      <c r="DW49" s="62">
        <f>IF(COUNTIFS(allFYsTable[Code], SummaryTable[[#This Row],[Code]], allFYsTable[year2], DW$3)=0, NotFound, SUMIFS(allFYsTable[OriginalBudget], allFYsTable[Code], SummaryTable[[#This Row],[Code]], allFYsTable[year2], DW$3))</f>
        <v>35166</v>
      </c>
      <c r="DX49" s="61">
        <f>SummaryTable[[#This Row],[OriginalBudget11]]-SummaryTable[[#This Row],[OriginalBudget10]]</f>
        <v>-4738</v>
      </c>
      <c r="DY49" s="54">
        <f>SummaryTable[[#This Row],[BudgetIncreaseAmount11]]/SummaryTable[[#This Row],[OriginalBudget10]]</f>
        <v>-0.11873496391339214</v>
      </c>
      <c r="DZ49" s="61">
        <f>IF(COUNTIFS(allFYsTable[Code], SummaryTable[[#This Row],[Code]], allFYsTable[year2], DW$3)=0, NotFound, SUMIFS(allFYsTable[RevisedBudget], allFYsTable[Code], SummaryTable[[#This Row],[Code]], allFYsTable[year2], DW$3))</f>
        <v>35166</v>
      </c>
      <c r="EA49" s="61">
        <f>IF(COUNTIFS(allFYsTable[Code], SummaryTable[[#This Row],[Code]], allFYsTable[year2], DW$3)=0, NotFound, SUMIFS(allFYsTable[Actual], allFYsTable[Code], SummaryTable[[#This Row],[Code]], allFYsTable[year2], DW$3))</f>
        <v>35089</v>
      </c>
      <c r="EB49" s="61">
        <f>IF(COUNTIFS(allFYsTable[Code], SummaryTable[[#This Row],[Code]], allFYsTable[year2], DW$3)=0, NotFound, SUMIFS(allFYsTable[DiffAmount], allFYsTable[Code], SummaryTable[[#This Row],[Code]], allFYsTable[year2], DW$3))</f>
        <v>-77</v>
      </c>
      <c r="EC49" s="63">
        <f>IF(SummaryTable[[#This Row],[OriginalBudget11]]=0, IF(SummaryTable[[#This Row],[DiffAmount11]]=0, ZeroBudgetNoSpending, ZeroBudgetWithSpending), SummaryTable[[#This Row],[DiffAmount11]]/SummaryTable[[#This Row],[OriginalBudget11]])</f>
        <v>-2.1896149690041515E-3</v>
      </c>
      <c r="ED49" s="62">
        <f>IF(COUNTIFS(allFYsTable[Code], SummaryTable[[#This Row],[Code]], allFYsTable[year2], ED$3)=0, NotFound, SUMIFS(allFYsTable[OriginalBudget], allFYsTable[Code], SummaryTable[[#This Row],[Code]], allFYsTable[year2], ED$3))</f>
        <v>39904</v>
      </c>
      <c r="EE49" s="61">
        <f>SummaryTable[[#This Row],[OriginalBudget10]]-SummaryTable[[#This Row],[OriginalBudget09]]</f>
        <v>-4821</v>
      </c>
      <c r="EF49" s="54">
        <f>SummaryTable[[#This Row],[BudgetIncreaseAmount10]]/SummaryTable[[#This Row],[OriginalBudget09]]</f>
        <v>-0.10779206260480716</v>
      </c>
      <c r="EG49" s="61">
        <f>IF(COUNTIFS(allFYsTable[Code], SummaryTable[[#This Row],[Code]], allFYsTable[year2], ED$3)=0, NotFound, SUMIFS(allFYsTable[RevisedBudget], allFYsTable[Code], SummaryTable[[#This Row],[Code]], allFYsTable[year2], ED$3))</f>
        <v>39554</v>
      </c>
      <c r="EH49" s="61">
        <f>IF(COUNTIFS(allFYsTable[Code], SummaryTable[[#This Row],[Code]], allFYsTable[year2], ED$3)=0, NotFound, SUMIFS(allFYsTable[Actual], allFYsTable[Code], SummaryTable[[#This Row],[Code]], allFYsTable[year2], ED$3))</f>
        <v>39186</v>
      </c>
      <c r="EI49" s="61">
        <f>IF(COUNTIFS(allFYsTable[Code], SummaryTable[[#This Row],[Code]], allFYsTable[year2], ED$3)=0, NotFound, SUMIFS(allFYsTable[DiffAmount], allFYsTable[Code], SummaryTable[[#This Row],[Code]], allFYsTable[year2], ED$3))</f>
        <v>-718</v>
      </c>
      <c r="EJ49" s="63">
        <f>IF(SummaryTable[[#This Row],[OriginalBudget10]]=0, IF(SummaryTable[[#This Row],[DiffAmount10]]=0, ZeroBudgetNoSpending, ZeroBudgetWithSpending), SummaryTable[[#This Row],[DiffAmount10]]/SummaryTable[[#This Row],[OriginalBudget10]])</f>
        <v>-1.7993183640737771E-2</v>
      </c>
      <c r="EK49" s="62">
        <f>IF(COUNTIFS(allFYsTable[Code], SummaryTable[[#This Row],[Code]], allFYsTable[year2], EK$3)=0, NotFound, SUMIFS(allFYsTable[OriginalBudget], allFYsTable[Code], SummaryTable[[#This Row],[Code]], allFYsTable[year2], EK$3))</f>
        <v>44725</v>
      </c>
      <c r="EL49" s="61">
        <f>SummaryTable[[#This Row],[OriginalBudget09]]-SummaryTable[[#This Row],[OriginalBudget08]]</f>
        <v>-514</v>
      </c>
      <c r="EM49" s="54">
        <f>SummaryTable[[#This Row],[BudgetIncreaseAmount09]]/SummaryTable[[#This Row],[OriginalBudget08]]</f>
        <v>-1.1361878025597382E-2</v>
      </c>
      <c r="EN49" s="61">
        <f>IF(COUNTIFS(allFYsTable[Code], SummaryTable[[#This Row],[Code]], allFYsTable[year2], EK$3)=0, NotFound, SUMIFS(allFYsTable[RevisedBudget], allFYsTable[Code], SummaryTable[[#This Row],[Code]], allFYsTable[year2], EK$3))</f>
        <v>44865</v>
      </c>
      <c r="EO49" s="61">
        <f>IF(COUNTIFS(allFYsTable[Code], SummaryTable[[#This Row],[Code]], allFYsTable[year2], EK$3)=0, NotFound, SUMIFS(allFYsTable[Actual], allFYsTable[Code], SummaryTable[[#This Row],[Code]], allFYsTable[year2], EK$3))</f>
        <v>44760</v>
      </c>
      <c r="EP49" s="61">
        <f>IF(COUNTIFS(allFYsTable[Code], SummaryTable[[#This Row],[Code]], allFYsTable[year2], EK$3)=0, NotFound, SUMIFS(allFYsTable[DiffAmount], allFYsTable[Code], SummaryTable[[#This Row],[Code]], allFYsTable[year2], EK$3))</f>
        <v>35</v>
      </c>
      <c r="EQ49" s="63">
        <f>IF(SummaryTable[[#This Row],[OriginalBudget09]]=0, IF(SummaryTable[[#This Row],[DiffAmount09]]=0, ZeroBudgetNoSpending, ZeroBudgetWithSpending), SummaryTable[[#This Row],[DiffAmount09]]/SummaryTable[[#This Row],[OriginalBudget09]])</f>
        <v>7.8256008943543883E-4</v>
      </c>
      <c r="ER49" s="62">
        <f>IF(COUNTIFS(allFYsTable[Code], SummaryTable[[#This Row],[Code]], allFYsTable[year2], ER$3)=0, NotFound, SUMIFS(allFYsTable[OriginalBudget], allFYsTable[Code], SummaryTable[[#This Row],[Code]], allFYsTable[year2], ER$3))</f>
        <v>45239</v>
      </c>
      <c r="ES49" s="61">
        <f>SummaryTable[[#This Row],[OriginalBudget08]]-SummaryTable[[#This Row],[OriginalBudget07]]</f>
        <v>4797</v>
      </c>
      <c r="ET49" s="54">
        <f>SummaryTable[[#This Row],[BudgetIncreaseAmount08]]/SummaryTable[[#This Row],[OriginalBudget07]]</f>
        <v>0.11861431185401315</v>
      </c>
      <c r="EU49" s="61">
        <f>IF(COUNTIFS(allFYsTable[Code], SummaryTable[[#This Row],[Code]], allFYsTable[year2], ER$3)=0, NotFound, SUMIFS(allFYsTable[RevisedBudget], allFYsTable[Code], SummaryTable[[#This Row],[Code]], allFYsTable[year2], ER$3))</f>
        <v>45239</v>
      </c>
      <c r="EV49" s="61">
        <f>IF(COUNTIFS(allFYsTable[Code], SummaryTable[[#This Row],[Code]], allFYsTable[year2], ER$3)=0, NotFound, SUMIFS(allFYsTable[Actual], allFYsTable[Code], SummaryTable[[#This Row],[Code]], allFYsTable[year2], ER$3))</f>
        <v>44563</v>
      </c>
      <c r="EW49" s="61">
        <f>IF(COUNTIFS(allFYsTable[Code], SummaryTable[[#This Row],[Code]], allFYsTable[year2], ER$3)=0, NotFound, SUMIFS(allFYsTable[DiffAmount], allFYsTable[Code], SummaryTable[[#This Row],[Code]], allFYsTable[year2], ER$3))</f>
        <v>-676</v>
      </c>
      <c r="EX49" s="63">
        <f>IF(SummaryTable[[#This Row],[OriginalBudget08]]=0, IF(SummaryTable[[#This Row],[DiffAmount08]]=0, ZeroBudgetNoSpending, ZeroBudgetWithSpending), SummaryTable[[#This Row],[DiffAmount08]]/SummaryTable[[#This Row],[OriginalBudget08]])</f>
        <v>-1.4942859037556091E-2</v>
      </c>
      <c r="EY49" s="62">
        <f>IF(COUNTIFS(allFYsTable[Code], SummaryTable[[#This Row],[Code]], allFYsTable[year2], EY$3)=0, NotFound, SUMIFS(allFYsTable[OriginalBudget], allFYsTable[Code], SummaryTable[[#This Row],[Code]], allFYsTable[year2], EY$3))</f>
        <v>40442</v>
      </c>
      <c r="EZ49" s="61">
        <f>SummaryTable[[#This Row],[OriginalBudget07]]-SummaryTable[[#This Row],[OriginalBudget06]]</f>
        <v>8030</v>
      </c>
      <c r="FA49" s="54">
        <f>SummaryTable[[#This Row],[BudgetIncreaseAmount07]]/SummaryTable[[#This Row],[OriginalBudget06]]</f>
        <v>0.24774774774774774</v>
      </c>
      <c r="FB49" s="61">
        <f>IF(COUNTIFS(allFYsTable[Code], SummaryTable[[#This Row],[Code]], allFYsTable[year2], EY$3)=0, NotFound, SUMIFS(allFYsTable[RevisedBudget], allFYsTable[Code], SummaryTable[[#This Row],[Code]], allFYsTable[year2], EY$3))</f>
        <v>42829</v>
      </c>
      <c r="FC49" s="61">
        <f>IF(COUNTIFS(allFYsTable[Code], SummaryTable[[#This Row],[Code]], allFYsTable[year2], EY$3)=0, NotFound, SUMIFS(allFYsTable[Actual], allFYsTable[Code], SummaryTable[[#This Row],[Code]], allFYsTable[year2], EY$3))</f>
        <v>42135</v>
      </c>
      <c r="FD49" s="61">
        <f>IF(COUNTIFS(allFYsTable[Code], SummaryTable[[#This Row],[Code]], allFYsTable[year2], EY$3)=0, NotFound, SUMIFS(allFYsTable[DiffAmount], allFYsTable[Code], SummaryTable[[#This Row],[Code]], allFYsTable[year2], EY$3))</f>
        <v>1693</v>
      </c>
      <c r="FE49" s="63">
        <f>IF(SummaryTable[[#This Row],[OriginalBudget07]]=0, IF(SummaryTable[[#This Row],[DiffAmount07]]=0, ZeroBudgetNoSpending, ZeroBudgetWithSpending), SummaryTable[[#This Row],[DiffAmount07]]/SummaryTable[[#This Row],[OriginalBudget07]])</f>
        <v>4.1862420256169326E-2</v>
      </c>
      <c r="FF49" s="62">
        <f>IF(COUNTIFS(allFYsTable[Code], SummaryTable[[#This Row],[Code]], allFYsTable[year2], FF$3)=0, NotFound, SUMIFS(allFYsTable[OriginalBudget], allFYsTable[Code], SummaryTable[[#This Row],[Code]], allFYsTable[year2], FF$3))</f>
        <v>32412</v>
      </c>
      <c r="FI49" s="61">
        <f>IF(COUNTIFS(allFYsTable[Code], SummaryTable[[#This Row],[Code]], allFYsTable[year2], FF$3)=0, NotFound, SUMIFS(allFYsTable[RevisedBudget], allFYsTable[Code], SummaryTable[[#This Row],[Code]], allFYsTable[year2], FF$3))</f>
        <v>34502</v>
      </c>
      <c r="FJ49" s="61">
        <f>IF(COUNTIFS(allFYsTable[Code], SummaryTable[[#This Row],[Code]], allFYsTable[year2], FF$3)=0, NotFound, SUMIFS(allFYsTable[Actual], allFYsTable[Code], SummaryTable[[#This Row],[Code]], allFYsTable[year2], FF$3))</f>
        <v>34465</v>
      </c>
      <c r="FK49" s="61">
        <f>IF(COUNTIFS(allFYsTable[Code], SummaryTable[[#This Row],[Code]], allFYsTable[year2], FF$3)=0, NotFound, SUMIFS(allFYsTable[DiffAmount], allFYsTable[Code], SummaryTable[[#This Row],[Code]], allFYsTable[year2], FF$3))</f>
        <v>2053</v>
      </c>
      <c r="FL49" s="63">
        <f>IF(SummaryTable[[#This Row],[OriginalBudget06]]=0, IF(SummaryTable[[#This Row],[DiffAmount06]]=0, ZeroBudgetNoSpending, ZeroBudgetWithSpending), SummaryTable[[#This Row],[DiffAmount06]]/SummaryTable[[#This Row],[OriginalBudget06]])</f>
        <v>6.3340737998272251E-2</v>
      </c>
    </row>
    <row r="50" spans="1:168" x14ac:dyDescent="0.45">
      <c r="A50" t="s">
        <v>773</v>
      </c>
      <c r="B50">
        <f>_xlfn.MAXIFS(allFYsTable[year2], allFYsTable[Code], SummaryTable[[#This Row],[Code]])</f>
        <v>2025</v>
      </c>
      <c r="C50" t="str">
        <f>_xlfn.XLOOKUP(SummaryTable[[#This Row],[Code]], NameCodingTable[Code], NameCodingTable[Most Recent Category per allFYs])</f>
        <v>Public education system</v>
      </c>
      <c r="D50" t="str">
        <f>_xlfn.XLOOKUP(SummaryTable[[#This Row],[Code]], NameCodingTable[Code], NameCodingTable[Unit Display Name])</f>
        <v>District of Columbia Public Schools (DCPS)</v>
      </c>
      <c r="E50" t="str">
        <f>_xlfn.XLOOKUP(SummaryTable[[#This Row],[Code]], NameCodingTable[Code], NameCodingTable[Type])</f>
        <v>agency</v>
      </c>
      <c r="F5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5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14</v>
      </c>
      <c r="H50" s="54">
        <f>SummaryTable[[#This Row],['# Over]]/SummaryTable[[#This Row],[Count]]</f>
        <v>0.7</v>
      </c>
      <c r="I5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6</v>
      </c>
      <c r="J50" s="54">
        <f>SummaryTable[[#This Row],['# Under]]/SummaryTable[[#This Row],[Count]]</f>
        <v>0.3</v>
      </c>
      <c r="K5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50" s="54">
        <f>SummaryTable[[#This Row],['# Equal]]/SummaryTable[[#This Row],[Count]]</f>
        <v>0</v>
      </c>
      <c r="M50" s="61">
        <f>SUMIFS(allFYsTable[OriginalBudget],allFYsTable[Code],SummaryTable[[#This Row],[Code]])/SummaryTable[[#This Row],[Count]]</f>
        <v>850862.2</v>
      </c>
      <c r="N50" s="61">
        <f>SUMIFS(allFYsTable[Actual],allFYsTable[Code],SummaryTable[[#This Row],[Code]])/SummaryTable[[#This Row],[Count]]</f>
        <v>867449.6</v>
      </c>
      <c r="O50" s="61">
        <f>SummaryTable[[#This Row],[AvgActAmt]]-SummaryTable[[#This Row],[AvgBudAmt]]</f>
        <v>16587.400000000023</v>
      </c>
      <c r="P50" s="54">
        <f>IF(SummaryTable[[#This Row],[AvgBudAmt]]=0, IF(SummaryTable[[#This Row],[AvgDiff'#]]=0, 0, NamedFields!$C$3), SummaryTable[[#This Row],[AvgDiff'#]]/SummaryTable[[#This Row],[AvgBudAmt]])</f>
        <v>1.9494813613767335E-2</v>
      </c>
      <c r="Q50" s="61">
        <f>IFERROR(SUMIFS(allFYsTable[OriginalBudget],allFYsTable[Code],SummaryTable[[#This Row],[Code]],allFYsTable[DiffAmount], "&gt;0")/SummaryTable[[#This Row],['# Over]], 0)</f>
        <v>900057.5</v>
      </c>
      <c r="R50" s="61">
        <f>IFERROR(SUMIFS(allFYsTable[Actual],allFYsTable[Code],SummaryTable[[#This Row],[Code]],allFYsTable[DiffAmount], "&gt;0")/SummaryTable[[#This Row],['# Over]], 0)</f>
        <v>928974.5</v>
      </c>
      <c r="S50" s="61">
        <f>SummaryTable[[#This Row],[OverAvgAct]]-SummaryTable[[#This Row],[OverAvgBud]]</f>
        <v>28917</v>
      </c>
      <c r="T50" s="54">
        <f>IF(SummaryTable[[#This Row],[OverAvgBud]]=0, IF(SummaryTable[[#This Row],[OverAvgDiff'#]]=0, ZeroBudgetNoSpending, ZeroBudgetWithSpending), SummaryTable[[#This Row],[OverAvgDiff'#]]/SummaryTable[[#This Row],[OverAvgBud]])</f>
        <v>3.2127947381139541E-2</v>
      </c>
      <c r="U50" s="61">
        <f>IFERROR(SUMIFS(allFYsTable[OriginalBudget],allFYsTable[Code],SummaryTable[[#This Row],[Code]],allFYsTable[DiffAmount], "&lt;0")/SummaryTable[[#This Row],['# Under]], 0)</f>
        <v>736073.16666666663</v>
      </c>
      <c r="V50" s="61">
        <f>IFERROR( SUMIFS(allFYsTable[Actual],allFYsTable[Code],SummaryTable[[#This Row],[Code]],allFYsTable[DiffAmount], "&lt;0")/SummaryTable[[#This Row],['# Under]], 0)</f>
        <v>723891.5</v>
      </c>
      <c r="W50" s="61">
        <f>SummaryTable[[#This Row],[UnderAvgAct]]-SummaryTable[[#This Row],[UnderAvgBud]]</f>
        <v>-12181.666666666628</v>
      </c>
      <c r="X50" s="54">
        <f>IF(SummaryTable[[#This Row],[UnderAvgBud]]=0, IF(SummaryTable[[#This Row],[UnderAvgDiff'#]]=0, ZeroBudgetNoSpending, NamedFields!$C$3), SummaryTable[[#This Row],[UnderAvgDiff'#]]/SummaryTable[[#This Row],[UnderAvgBud]])</f>
        <v>-1.6549532326836116E-2</v>
      </c>
      <c r="Y5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5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0" s="54">
        <f>IF(SummaryTable[[#This Row],[IncreaseYears]]=0, ZeroBudgetNoSpending, SummaryTable[[#This Row],[OSinIncreaseYear'#]]/SummaryTable[[#This Row],[IncreaseYears]])</f>
        <v>0</v>
      </c>
      <c r="AB50" s="58" t="str">
        <f>SummaryTable[[#This Row],[Code]]</f>
        <v>GA0</v>
      </c>
      <c r="AC50" s="62">
        <f>IF(COUNTIFS(allFYsTable[Code], SummaryTable[[#This Row],[Code]], allFYsTable[year2], AC$3)=0, NotFound, SUMIFS(allFYsTable[OriginalBudget], allFYsTable[Code], SummaryTable[[#This Row],[Code]], allFYsTable[year2], AC$3))</f>
        <v>1358413</v>
      </c>
      <c r="AD50" s="61">
        <f>SummaryTable[[#This Row],[OriginalBudget25]]-SummaryTable[[#This Row],[OriginalBudget24]]</f>
        <v>183545</v>
      </c>
      <c r="AE50" s="54">
        <f>SummaryTable[[#This Row],[BudgetIncreaseAmount25]]/SummaryTable[[#This Row],[OriginalBudget24]]</f>
        <v>0.15622606114048557</v>
      </c>
      <c r="AF50" s="61">
        <f>IF(COUNTIFS(allFYsTable[Code], SummaryTable[[#This Row],[Code]], allFYsTable[year2], AC$3)=0, NotFound, SUMIFS(allFYsTable[RevisedBudget], allFYsTable[Code], SummaryTable[[#This Row],[Code]], allFYsTable[year2], AC$3))</f>
        <v>1382809</v>
      </c>
      <c r="AG50" s="61">
        <f>IF(COUNTIFS(allFYsTable[Code], SummaryTable[[#This Row],[Code]], allFYsTable[year2], AC$3)=0, NotFound, SUMIFS(allFYsTable[Actual], allFYsTable[Code], SummaryTable[[#This Row],[Code]], allFYsTable[year2], AC$3))</f>
        <v>1358675</v>
      </c>
      <c r="AH50" s="61">
        <f>IF(COUNTIFS(allFYsTable[Code], SummaryTable[[#This Row],[Code]], allFYsTable[year2], AC$3)=0, NotFound, SUMIFS(allFYsTable[DiffAmount], allFYsTable[Code], SummaryTable[[#This Row],[Code]], allFYsTable[year2], AC$3))</f>
        <v>262</v>
      </c>
      <c r="AI50" s="63">
        <f>IF(SummaryTable[[#This Row],[OriginalBudget25]]=0, IF(SummaryTable[[#This Row],[DiffAmount25]]=0, ZeroBudgetNoSpending, ZeroBudgetWithSpending), SummaryTable[[#This Row],[DiffAmount25]]/SummaryTable[[#This Row],[OriginalBudget25]])</f>
        <v>1.9287212357361127E-4</v>
      </c>
      <c r="AJ50" s="62">
        <f>IF(COUNTIFS(allFYsTable[Code], SummaryTable[[#This Row],[Code]], allFYsTable[year2], AJ$3)=0, NotFound, SUMIFS(allFYsTable[OriginalBudget], allFYsTable[Code], SummaryTable[[#This Row],[Code]], allFYsTable[year2], AJ$3))</f>
        <v>1174868</v>
      </c>
      <c r="AK50" s="61">
        <f>SummaryTable[[#This Row],[OriginalBudget24]]-SummaryTable[[#This Row],[OriginalBudget23]]</f>
        <v>71475</v>
      </c>
      <c r="AL50" s="54">
        <f>SummaryTable[[#This Row],[BudgetIncreaseAmount24]]/SummaryTable[[#This Row],[OriginalBudget23]]</f>
        <v>6.4777463696072027E-2</v>
      </c>
      <c r="AM50" s="61">
        <f>IF(COUNTIFS(allFYsTable[Code], SummaryTable[[#This Row],[Code]], allFYsTable[year2], AK$3)=0, NotFound, SUMIFS(allFYsTable[RevisedBudget], allFYsTable[Code], SummaryTable[[#This Row],[Code]], allFYsTable[year2], AJ$3))</f>
        <v>1225910</v>
      </c>
      <c r="AN50" s="61">
        <f>IF(COUNTIFS(allFYsTable[Code], SummaryTable[[#This Row],[Code]], allFYsTable[year2], AJ$3)=0, NotFound, SUMIFS(allFYsTable[Actual], allFYsTable[Code], SummaryTable[[#This Row],[Code]], allFYsTable[year2], AJ$3))</f>
        <v>1210043</v>
      </c>
      <c r="AO50" s="61">
        <f>IF(COUNTIFS(allFYsTable[Code], SummaryTable[[#This Row],[Code]], allFYsTable[year2], AJ$3)=0, NotFound, SUMIFS(allFYsTable[DiffAmount], allFYsTable[Code], SummaryTable[[#This Row],[Code]], allFYsTable[year2], AJ$3))</f>
        <v>35175</v>
      </c>
      <c r="AP50" s="63">
        <f>IF(SummaryTable[[#This Row],[OriginalBudget24]]=0, IF(SummaryTable[[#This Row],[DiffAmount24]]=0, ZeroBudgetNoSpending, ZeroBudgetWithSpending), SummaryTable[[#This Row],[DiffAmount24]]/SummaryTable[[#This Row],[OriginalBudget24]])</f>
        <v>2.9939533632714482E-2</v>
      </c>
      <c r="AQ50" s="62">
        <f>IF(COUNTIFS(allFYsTable[Code], SummaryTable[[#This Row],[Code]], allFYsTable[year2], AQ$3)=0, NotFound, SUMIFS(allFYsTable[OriginalBudget], allFYsTable[Code], SummaryTable[[#This Row],[Code]], allFYsTable[year2], AQ$3))</f>
        <v>1103393</v>
      </c>
      <c r="AR50" s="61">
        <f>SummaryTable[[#This Row],[OriginalBudget23]]-SummaryTable[[#This Row],[OriginalBudget22]]</f>
        <v>92059</v>
      </c>
      <c r="AS50" s="54">
        <f>SummaryTable[[#This Row],[BudgetIncreaseAmount23]]/SummaryTable[[#This Row],[OriginalBudget22]]</f>
        <v>9.1027296620107695E-2</v>
      </c>
      <c r="AT50" s="61">
        <f>IF(COUNTIFS(allFYsTable[Code], SummaryTable[[#This Row],[Code]], allFYsTable[year2], AQ$3)=0, NotFound, SUMIFS(allFYsTable[RevisedBudget], allFYsTable[Code], SummaryTable[[#This Row],[Code]], allFYsTable[year2], AQ$3))</f>
        <v>1231048</v>
      </c>
      <c r="AU50" s="61">
        <f>IF(COUNTIFS(allFYsTable[Code], SummaryTable[[#This Row],[Code]], allFYsTable[year2], AQ$3)=0, NotFound, SUMIFS(allFYsTable[Actual], allFYsTable[Code], SummaryTable[[#This Row],[Code]], allFYsTable[year2], AQ$3))</f>
        <v>1231041</v>
      </c>
      <c r="AV50" s="61">
        <f>IF(COUNTIFS(allFYsTable[Code], SummaryTable[[#This Row],[Code]], allFYsTable[year2], AQ$3)=0, NotFound, SUMIFS(allFYsTable[DiffAmount], allFYsTable[Code], SummaryTable[[#This Row],[Code]], allFYsTable[year2], AQ$3))</f>
        <v>127648</v>
      </c>
      <c r="AW50" s="63">
        <f>IF(SummaryTable[[#This Row],[OriginalBudget23]]=0, IF(SummaryTable[[#This Row],[DiffAmount23]]=0, ZeroBudgetNoSpending, ZeroBudgetWithSpending), SummaryTable[[#This Row],[DiffAmount23]]/SummaryTable[[#This Row],[OriginalBudget23]])</f>
        <v>0.11568679518539632</v>
      </c>
      <c r="AX50" s="62">
        <f>IF(COUNTIFS(allFYsTable[Code], SummaryTable[[#This Row],[Code]], allFYsTable[year2], AX$3)=0, NotFound, SUMIFS(allFYsTable[OriginalBudget], allFYsTable[Code], SummaryTable[[#This Row],[Code]], allFYsTable[year2], AX$3))</f>
        <v>1011334</v>
      </c>
      <c r="AY50" s="61">
        <f>SummaryTable[[#This Row],[OriginalBudget22]]-SummaryTable[[#This Row],[OriginalBudget21]]</f>
        <v>29325</v>
      </c>
      <c r="AZ50" s="54">
        <f>SummaryTable[[#This Row],[BudgetIncreaseAmount22]]/SummaryTable[[#This Row],[OriginalBudget21]]</f>
        <v>2.9862251771623275E-2</v>
      </c>
      <c r="BA50" s="61">
        <f>IF(COUNTIFS(allFYsTable[Code], SummaryTable[[#This Row],[Code]], allFYsTable[year2], AX$3)=0, NotFound, SUMIFS(allFYsTable[RevisedBudget], allFYsTable[Code], SummaryTable[[#This Row],[Code]], allFYsTable[year2], AX$3))</f>
        <v>1018224</v>
      </c>
      <c r="BB50" s="61">
        <f>IF(COUNTIFS(allFYsTable[Code], SummaryTable[[#This Row],[Code]], allFYsTable[year2], AX$3)=0, NotFound, SUMIFS(allFYsTable[Actual], allFYsTable[Code], SummaryTable[[#This Row],[Code]], allFYsTable[year2], AX$3))</f>
        <v>1018224</v>
      </c>
      <c r="BC50" s="61">
        <f>IF(COUNTIFS(allFYsTable[Code], SummaryTable[[#This Row],[Code]], allFYsTable[year2], AX$3)=0, NotFound, SUMIFS(allFYsTable[DiffAmount], allFYsTable[Code], SummaryTable[[#This Row],[Code]], allFYsTable[year2], AX$3))</f>
        <v>6890</v>
      </c>
      <c r="BD50" s="63">
        <f>IF(SummaryTable[[#This Row],[OriginalBudget22]]=0, IF(SummaryTable[[#This Row],[DiffAmount22]]=0, ZeroBudgetNoSpending, ZeroBudgetWithSpending), SummaryTable[[#This Row],[DiffAmount22]]/SummaryTable[[#This Row],[OriginalBudget22]])</f>
        <v>6.8127839071958421E-3</v>
      </c>
      <c r="BE50" s="62">
        <f>IF(COUNTIFS(allFYsTable[Code], SummaryTable[[#This Row],[Code]], allFYsTable[year2], BE$3)=0, NotFound, SUMIFS(allFYsTable[OriginalBudget], allFYsTable[Code], SummaryTable[[#This Row],[Code]], allFYsTable[year2], BE$3))</f>
        <v>982009</v>
      </c>
      <c r="BF50" s="61">
        <f>SummaryTable[[#This Row],[OriginalBudget21]]-SummaryTable[[#This Row],[OriginalBudget20]]</f>
        <v>79486</v>
      </c>
      <c r="BG50" s="54">
        <f>SummaryTable[[#This Row],[BudgetIncreaseAmount21]]/SummaryTable[[#This Row],[OriginalBudget20]]</f>
        <v>8.8070885728119955E-2</v>
      </c>
      <c r="BH50" s="61">
        <f>IF(COUNTIFS(allFYsTable[Code], SummaryTable[[#This Row],[Code]], allFYsTable[year2], BE$3)=0, NotFound, SUMIFS(allFYsTable[RevisedBudget], allFYsTable[Code], SummaryTable[[#This Row],[Code]], allFYsTable[year2], BE$3))</f>
        <v>970165</v>
      </c>
      <c r="BI50" s="61">
        <f>IF(COUNTIFS(allFYsTable[Code], SummaryTable[[#This Row],[Code]], allFYsTable[year2], BE$3)=0, NotFound, SUMIFS(allFYsTable[Actual], allFYsTable[Code], SummaryTable[[#This Row],[Code]], allFYsTable[year2], BE$3))</f>
        <v>952159</v>
      </c>
      <c r="BJ50" s="61">
        <f>IF(COUNTIFS(allFYsTable[Code], SummaryTable[[#This Row],[Code]], allFYsTable[year2], BE$3)=0, NotFound, SUMIFS(allFYsTable[DiffAmount], allFYsTable[Code], SummaryTable[[#This Row],[Code]], allFYsTable[year2], BE$3))</f>
        <v>-29850</v>
      </c>
      <c r="BK50" s="63">
        <f>IF(SummaryTable[[#This Row],[OriginalBudget21]]=0, IF(SummaryTable[[#This Row],[DiffAmount21]]=0, ZeroBudgetNoSpending, ZeroBudgetWithSpending), SummaryTable[[#This Row],[DiffAmount21]]/SummaryTable[[#This Row],[OriginalBudget21]])</f>
        <v>-3.0396870089785328E-2</v>
      </c>
      <c r="BL50" s="62">
        <f>IF(COUNTIFS(allFYsTable[Code], SummaryTable[[#This Row],[Code]], allFYsTable[year2], BL$3)=0, NotFound, SUMIFS(allFYsTable[OriginalBudget], allFYsTable[Code], SummaryTable[[#This Row],[Code]], allFYsTable[year2], BL$3))</f>
        <v>902523</v>
      </c>
      <c r="BM50" s="61">
        <f>SummaryTable[[#This Row],[OriginalBudget20]]-SummaryTable[[#This Row],[OriginalBudget19]]</f>
        <v>54787</v>
      </c>
      <c r="BN50" s="54">
        <f>SummaryTable[[#This Row],[BudgetIncreaseAmount20]]/SummaryTable[[#This Row],[OriginalBudget19]]</f>
        <v>6.4627431181405529E-2</v>
      </c>
      <c r="BO50" s="61">
        <f>IF(COUNTIFS(allFYsTable[Code], SummaryTable[[#This Row],[Code]], allFYsTable[year2], BL$3)=0, NotFound, SUMIFS(allFYsTable[RevisedBudget], allFYsTable[Code], SummaryTable[[#This Row],[Code]], allFYsTable[year2], BL$3))</f>
        <v>913577</v>
      </c>
      <c r="BP50" s="61">
        <f>IF(COUNTIFS(allFYsTable[Code], SummaryTable[[#This Row],[Code]], allFYsTable[year2], BL$3)=0, NotFound, SUMIFS(allFYsTable[Actual], allFYsTable[Code], SummaryTable[[#This Row],[Code]], allFYsTable[year2], BL$3))</f>
        <v>912452</v>
      </c>
      <c r="BQ50" s="61">
        <f>IF(COUNTIFS(allFYsTable[Code], SummaryTable[[#This Row],[Code]], allFYsTable[year2], BL$3)=0, NotFound, SUMIFS(allFYsTable[DiffAmount], allFYsTable[Code], SummaryTable[[#This Row],[Code]], allFYsTable[year2], BL$3))</f>
        <v>9929</v>
      </c>
      <c r="BR50" s="63">
        <f>IF(SummaryTable[[#This Row],[OriginalBudget20]]=0, IF(SummaryTable[[#This Row],[DiffAmount20]]=0, ZeroBudgetNoSpending, ZeroBudgetWithSpending), SummaryTable[[#This Row],[DiffAmount20]]/SummaryTable[[#This Row],[OriginalBudget20]])</f>
        <v>1.1001381682239677E-2</v>
      </c>
      <c r="BS50" s="62">
        <f>IF(COUNTIFS(allFYsTable[Code], SummaryTable[[#This Row],[Code]], allFYsTable[year2], BS$3)=0, NotFound, SUMIFS(allFYsTable[OriginalBudget], allFYsTable[Code], SummaryTable[[#This Row],[Code]], allFYsTable[year2], BS$3))</f>
        <v>847736</v>
      </c>
      <c r="BT50" s="61">
        <f>SummaryTable[[#This Row],[OriginalBudget19]]-SummaryTable[[#This Row],[OriginalBudget18]]</f>
        <v>58170</v>
      </c>
      <c r="BU50" s="54">
        <f>SummaryTable[[#This Row],[BudgetIncreaseAmount19]]/SummaryTable[[#This Row],[OriginalBudget18]]</f>
        <v>7.3673385125499327E-2</v>
      </c>
      <c r="BV50" s="61">
        <f>IF(COUNTIFS(allFYsTable[Code], SummaryTable[[#This Row],[Code]], allFYsTable[year2], BS$3)=0, NotFound, SUMIFS(allFYsTable[RevisedBudget], allFYsTable[Code], SummaryTable[[#This Row],[Code]], allFYsTable[year2], BS$3))</f>
        <v>847044</v>
      </c>
      <c r="BW50" s="61">
        <f>IF(COUNTIFS(allFYsTable[Code], SummaryTable[[#This Row],[Code]], allFYsTable[year2], BS$3)=0, NotFound, SUMIFS(allFYsTable[Actual], allFYsTable[Code], SummaryTable[[#This Row],[Code]], allFYsTable[year2], BS$3))</f>
        <v>846928</v>
      </c>
      <c r="BX50" s="61">
        <f>IF(COUNTIFS(allFYsTable[Code], SummaryTable[[#This Row],[Code]], allFYsTable[year2], BS$3)=0, NotFound, SUMIFS(allFYsTable[DiffAmount], allFYsTable[Code], SummaryTable[[#This Row],[Code]], allFYsTable[year2], BS$3))</f>
        <v>-808</v>
      </c>
      <c r="BY50" s="63">
        <f>IF(SummaryTable[[#This Row],[OriginalBudget19]]=0, IF(SummaryTable[[#This Row],[DiffAmount19]]=0, ZeroBudgetNoSpending, ZeroBudgetWithSpending), SummaryTable[[#This Row],[DiffAmount19]]/SummaryTable[[#This Row],[OriginalBudget19]])</f>
        <v>-9.5312691687034646E-4</v>
      </c>
      <c r="BZ50" s="62">
        <f>IF(COUNTIFS(allFYsTable[Code], SummaryTable[[#This Row],[Code]], allFYsTable[year2], BZ$3)=0, NotFound, SUMIFS(allFYsTable[OriginalBudget], allFYsTable[Code], SummaryTable[[#This Row],[Code]], allFYsTable[year2], BZ$3))</f>
        <v>789566</v>
      </c>
      <c r="CA50" s="61">
        <f>SummaryTable[[#This Row],[OriginalBudget18]]-SummaryTable[[#This Row],[OriginalBudget17]]</f>
        <v>33177</v>
      </c>
      <c r="CB50" s="54">
        <f>SummaryTable[[#This Row],[BudgetIncreaseAmount18]]/SummaryTable[[#This Row],[OriginalBudget17]]</f>
        <v>4.3862351250480901E-2</v>
      </c>
      <c r="CC50" s="61">
        <f>IF(COUNTIFS(allFYsTable[Code], SummaryTable[[#This Row],[Code]], allFYsTable[year2], BZ$3)=0, NotFound, SUMIFS(allFYsTable[RevisedBudget], allFYsTable[Code], SummaryTable[[#This Row],[Code]], allFYsTable[year2], BZ$3))</f>
        <v>832949</v>
      </c>
      <c r="CD50" s="61">
        <f>IF(COUNTIFS(allFYsTable[Code], SummaryTable[[#This Row],[Code]], allFYsTable[year2], BZ$3)=0, NotFound, SUMIFS(allFYsTable[Actual], allFYsTable[Code], SummaryTable[[#This Row],[Code]], allFYsTable[year2], BZ$3))</f>
        <v>832778</v>
      </c>
      <c r="CE50" s="61">
        <f>IF(COUNTIFS(allFYsTable[Code], SummaryTable[[#This Row],[Code]], allFYsTable[year2], BZ$3)=0, NotFound, SUMIFS(allFYsTable[DiffAmount], allFYsTable[Code], SummaryTable[[#This Row],[Code]], allFYsTable[year2], BZ$3))</f>
        <v>43212</v>
      </c>
      <c r="CF50" s="63">
        <f>IF(SummaryTable[[#This Row],[OriginalBudget18]]=0, IF(SummaryTable[[#This Row],[DiffAmount18]]=0, ZeroBudgetNoSpending, ZeroBudgetWithSpending), SummaryTable[[#This Row],[DiffAmount18]]/SummaryTable[[#This Row],[OriginalBudget18]])</f>
        <v>5.4728800378942358E-2</v>
      </c>
      <c r="CG50" s="62">
        <f>IF(COUNTIFS(allFYsTable[Code], SummaryTable[[#This Row],[Code]], allFYsTable[year2], CG$3)=0, NotFound, SUMIFS(allFYsTable[OriginalBudget], allFYsTable[Code], SummaryTable[[#This Row],[Code]], allFYsTable[year2], CG$3))</f>
        <v>756389</v>
      </c>
      <c r="CH50" s="61">
        <f>SummaryTable[[#This Row],[OriginalBudget17]]-SummaryTable[[#This Row],[OriginalBudget16]]</f>
        <v>28897</v>
      </c>
      <c r="CI50" s="54">
        <f>SummaryTable[[#This Row],[BudgetIncreaseAmount17]]/SummaryTable[[#This Row],[OriginalBudget16]]</f>
        <v>3.972139899820204E-2</v>
      </c>
      <c r="CJ50" s="61">
        <f>IF(COUNTIFS(allFYsTable[Code], SummaryTable[[#This Row],[Code]], allFYsTable[year2], CG$3)=0, NotFound, SUMIFS(allFYsTable[RevisedBudget], allFYsTable[Code], SummaryTable[[#This Row],[Code]], allFYsTable[year2], CG$3))</f>
        <v>777582</v>
      </c>
      <c r="CK50" s="61">
        <f>IF(COUNTIFS(allFYsTable[Code], SummaryTable[[#This Row],[Code]], allFYsTable[year2], CG$3)=0, NotFound, SUMIFS(allFYsTable[Actual], allFYsTable[Code], SummaryTable[[#This Row],[Code]], allFYsTable[year2], CG$3))</f>
        <v>777577</v>
      </c>
      <c r="CL50" s="61">
        <f>IF(COUNTIFS(allFYsTable[Code], SummaryTable[[#This Row],[Code]], allFYsTable[year2], CG$3)=0, NotFound, SUMIFS(allFYsTable[DiffAmount], allFYsTable[Code], SummaryTable[[#This Row],[Code]], allFYsTable[year2], CG$3))</f>
        <v>21188</v>
      </c>
      <c r="CM50" s="63">
        <f>IF(SummaryTable[[#This Row],[OriginalBudget17]]=0, IF(SummaryTable[[#This Row],[DiffAmount17]]=0, ZeroBudgetNoSpending, ZeroBudgetWithSpending), SummaryTable[[#This Row],[DiffAmount17]]/SummaryTable[[#This Row],[OriginalBudget17]])</f>
        <v>2.8012041423130161E-2</v>
      </c>
      <c r="CN50" s="62">
        <f>IF(COUNTIFS(allFYsTable[Code], SummaryTable[[#This Row],[Code]], allFYsTable[year2], CN$3)=0, NotFound, SUMIFS(allFYsTable[OriginalBudget], allFYsTable[Code], SummaryTable[[#This Row],[Code]], allFYsTable[year2], CN$3))</f>
        <v>727492</v>
      </c>
      <c r="CO50" s="61">
        <f>SummaryTable[[#This Row],[OriginalBudget16]]-SummaryTable[[#This Row],[OriginalBudget15]]</f>
        <v>25347</v>
      </c>
      <c r="CP50" s="54">
        <f>SummaryTable[[#This Row],[BudgetIncreaseAmount16]]/SummaryTable[[#This Row],[OriginalBudget15]]</f>
        <v>3.6099381181949594E-2</v>
      </c>
      <c r="CQ50" s="61">
        <f>IF(COUNTIFS(allFYsTable[Code], SummaryTable[[#This Row],[Code]], allFYsTable[year2], CN$3)=0, NotFound, SUMIFS(allFYsTable[RevisedBudget], allFYsTable[Code], SummaryTable[[#This Row],[Code]], allFYsTable[year2], CN$3))</f>
        <v>717715</v>
      </c>
      <c r="CR50" s="61">
        <f>IF(COUNTIFS(allFYsTable[Code], SummaryTable[[#This Row],[Code]], allFYsTable[year2], CN$3)=0, NotFound, SUMIFS(allFYsTable[Actual], allFYsTable[Code], SummaryTable[[#This Row],[Code]], allFYsTable[year2], CN$3))</f>
        <v>717674</v>
      </c>
      <c r="CS50" s="61">
        <f>IF(COUNTIFS(allFYsTable[Code], SummaryTable[[#This Row],[Code]], allFYsTable[year2], CN$3)=0, NotFound, SUMIFS(allFYsTable[DiffAmount], allFYsTable[Code], SummaryTable[[#This Row],[Code]], allFYsTable[year2], CN$3))</f>
        <v>-9818</v>
      </c>
      <c r="CT50" s="63">
        <f>IF(SummaryTable[[#This Row],[OriginalBudget16]]=0, IF(SummaryTable[[#This Row],[DiffAmount16]]=0, ZeroBudgetNoSpending, ZeroBudgetWithSpending), SummaryTable[[#This Row],[DiffAmount16]]/SummaryTable[[#This Row],[OriginalBudget16]])</f>
        <v>-1.3495681052162773E-2</v>
      </c>
      <c r="CU50" s="62">
        <f>IF(COUNTIFS(allFYsTable[Code], SummaryTable[[#This Row],[Code]], allFYsTable[year2], CU$3)=0, NotFound, SUMIFS(allFYsTable[OriginalBudget], allFYsTable[Code], SummaryTable[[#This Row],[Code]], allFYsTable[year2], CU$3))</f>
        <v>702145</v>
      </c>
      <c r="CV50" s="61">
        <f>SummaryTable[[#This Row],[OriginalBudget15]]-SummaryTable[[#This Row],[OriginalBudget14]]</f>
        <v>57708</v>
      </c>
      <c r="CW50" s="54">
        <f>SummaryTable[[#This Row],[BudgetIncreaseAmount15]]/SummaryTable[[#This Row],[OriginalBudget14]]</f>
        <v>8.9547930984719998E-2</v>
      </c>
      <c r="CX50" s="61">
        <f>IF(COUNTIFS(allFYsTable[Code], SummaryTable[[#This Row],[Code]], allFYsTable[year2], CU$3)=0, NotFound, SUMIFS(allFYsTable[RevisedBudget], allFYsTable[Code], SummaryTable[[#This Row],[Code]], allFYsTable[year2], CU$3))</f>
        <v>695398</v>
      </c>
      <c r="CY50" s="61">
        <f>IF(COUNTIFS(allFYsTable[Code], SummaryTable[[#This Row],[Code]], allFYsTable[year2], CU$3)=0, NotFound, SUMIFS(allFYsTable[Actual], allFYsTable[Code], SummaryTable[[#This Row],[Code]], allFYsTable[year2], CU$3))</f>
        <v>695390</v>
      </c>
      <c r="CZ50" s="61">
        <f>IF(COUNTIFS(allFYsTable[Code], SummaryTable[[#This Row],[Code]], allFYsTable[year2], CU$3)=0, NotFound, SUMIFS(allFYsTable[DiffAmount], allFYsTable[Code], SummaryTable[[#This Row],[Code]], allFYsTable[year2], CU$3))</f>
        <v>-6755</v>
      </c>
      <c r="DA50" s="63">
        <f>IF(SummaryTable[[#This Row],[OriginalBudget15]]=0, IF(SummaryTable[[#This Row],[DiffAmount15]]=0, ZeroBudgetNoSpending, ZeroBudgetWithSpending), SummaryTable[[#This Row],[DiffAmount15]]/SummaryTable[[#This Row],[OriginalBudget15]])</f>
        <v>-9.6205199780672081E-3</v>
      </c>
      <c r="DB50" s="62">
        <f>IF(COUNTIFS(allFYsTable[Code], SummaryTable[[#This Row],[Code]], allFYsTable[year2], DB$3)=0, NotFound, SUMIFS(allFYsTable[OriginalBudget], allFYsTable[Code], SummaryTable[[#This Row],[Code]], allFYsTable[year2], DB$3))</f>
        <v>644437</v>
      </c>
      <c r="DC50" s="61">
        <f>SummaryTable[[#This Row],[OriginalBudget14]]-SummaryTable[[#This Row],[OriginalBudget13]]</f>
        <v>-1739</v>
      </c>
      <c r="DD50" s="54">
        <f>SummaryTable[[#This Row],[BudgetIncreaseAmount14]]/SummaryTable[[#This Row],[OriginalBudget13]]</f>
        <v>-2.6912172535036895E-3</v>
      </c>
      <c r="DE50" s="61">
        <f>IF(COUNTIFS(allFYsTable[Code], SummaryTable[[#This Row],[Code]], allFYsTable[year2], DB$3)=0, NotFound, SUMIFS(allFYsTable[RevisedBudget], allFYsTable[Code], SummaryTable[[#This Row],[Code]], allFYsTable[year2], DB$3))</f>
        <v>644580</v>
      </c>
      <c r="DF50" s="61">
        <f>IF(COUNTIFS(allFYsTable[Code], SummaryTable[[#This Row],[Code]], allFYsTable[year2], DB$3)=0, NotFound, SUMIFS(allFYsTable[Actual], allFYsTable[Code], SummaryTable[[#This Row],[Code]], allFYsTable[year2], DB$3))</f>
        <v>644563</v>
      </c>
      <c r="DG50" s="61">
        <f>IF(COUNTIFS(allFYsTable[Code], SummaryTable[[#This Row],[Code]], allFYsTable[year2], DB$3)=0, NotFound, SUMIFS(allFYsTable[DiffAmount], allFYsTable[Code], SummaryTable[[#This Row],[Code]], allFYsTable[year2], DB$3))</f>
        <v>126</v>
      </c>
      <c r="DH50" s="63">
        <f>IF(SummaryTable[[#This Row],[OriginalBudget14]]=0, IF(SummaryTable[[#This Row],[DiffAmount14]]=0, ZeroBudgetNoSpending, ZeroBudgetWithSpending), SummaryTable[[#This Row],[DiffAmount14]]/SummaryTable[[#This Row],[OriginalBudget14]])</f>
        <v>1.9551949996663754E-4</v>
      </c>
      <c r="DI50" s="62">
        <f>IF(COUNTIFS(allFYsTable[Code], SummaryTable[[#This Row],[Code]], allFYsTable[year2], DI$3)=0, NotFound, SUMIFS(allFYsTable[OriginalBudget], allFYsTable[Code], SummaryTable[[#This Row],[Code]], allFYsTable[year2], DI$3))</f>
        <v>646176</v>
      </c>
      <c r="DJ50" s="61">
        <f>SummaryTable[[#This Row],[OriginalBudget13]]-SummaryTable[[#This Row],[OriginalBudget12]]</f>
        <v>34359</v>
      </c>
      <c r="DK50" s="54">
        <f>SummaryTable[[#This Row],[BudgetIncreaseAmount13]]/SummaryTable[[#This Row],[OriginalBudget12]]</f>
        <v>5.6158949489798417E-2</v>
      </c>
      <c r="DL50" s="61">
        <f>IF(COUNTIFS(allFYsTable[Code], SummaryTable[[#This Row],[Code]], allFYsTable[year2], DI$3)=0, NotFound, SUMIFS(allFYsTable[RevisedBudget], allFYsTable[Code], SummaryTable[[#This Row],[Code]], allFYsTable[year2], DI$3))</f>
        <v>640742</v>
      </c>
      <c r="DM50" s="61">
        <f>IF(COUNTIFS(allFYsTable[Code], SummaryTable[[#This Row],[Code]], allFYsTable[year2], DI$3)=0, NotFound, SUMIFS(allFYsTable[Actual], allFYsTable[Code], SummaryTable[[#This Row],[Code]], allFYsTable[year2], DI$3))</f>
        <v>640642</v>
      </c>
      <c r="DN50" s="61">
        <f>IF(COUNTIFS(allFYsTable[Code], SummaryTable[[#This Row],[Code]], allFYsTable[year2], DI$3)=0, NotFound, SUMIFS(allFYsTable[DiffAmount], allFYsTable[Code], SummaryTable[[#This Row],[Code]], allFYsTable[year2], DI$3))</f>
        <v>-5534</v>
      </c>
      <c r="DO50" s="63">
        <f>IF(SummaryTable[[#This Row],[OriginalBudget13]]=0, IF(SummaryTable[[#This Row],[DiffAmount13]]=0, ZeroBudgetNoSpending, ZeroBudgetWithSpending), SummaryTable[[#This Row],[DiffAmount13]]/SummaryTable[[#This Row],[OriginalBudget13]])</f>
        <v>-8.5642301787748221E-3</v>
      </c>
      <c r="DP50" s="62">
        <f>IF(COUNTIFS(allFYsTable[Code], SummaryTable[[#This Row],[Code]], allFYsTable[year2], DP$3)=0, NotFound, SUMIFS(allFYsTable[OriginalBudget], allFYsTable[Code], SummaryTable[[#This Row],[Code]], allFYsTable[year2], DP$3))</f>
        <v>611817</v>
      </c>
      <c r="DQ50" s="61">
        <f>SummaryTable[[#This Row],[OriginalBudget12]]-SummaryTable[[#This Row],[OriginalBudget11]]</f>
        <v>66998</v>
      </c>
      <c r="DR50" s="54">
        <f>SummaryTable[[#This Row],[BudgetIncreaseAmount12]]/SummaryTable[[#This Row],[OriginalBudget11]]</f>
        <v>0.12297295064966531</v>
      </c>
      <c r="DS50" s="61">
        <f>IF(COUNTIFS(allFYsTable[Code], SummaryTable[[#This Row],[Code]], allFYsTable[year2], DP$3)=0, NotFound, SUMIFS(allFYsTable[RevisedBudget], allFYsTable[Code], SummaryTable[[#This Row],[Code]], allFYsTable[year2], DP$3))</f>
        <v>634821</v>
      </c>
      <c r="DT50" s="61">
        <f>IF(COUNTIFS(allFYsTable[Code], SummaryTable[[#This Row],[Code]], allFYsTable[year2], DP$3)=0, NotFound, SUMIFS(allFYsTable[Actual], allFYsTable[Code], SummaryTable[[#This Row],[Code]], allFYsTable[year2], DP$3))</f>
        <v>634445</v>
      </c>
      <c r="DU50" s="61">
        <f>IF(COUNTIFS(allFYsTable[Code], SummaryTable[[#This Row],[Code]], allFYsTable[year2], DP$3)=0, NotFound, SUMIFS(allFYsTable[DiffAmount], allFYsTable[Code], SummaryTable[[#This Row],[Code]], allFYsTable[year2], DP$3))</f>
        <v>22628</v>
      </c>
      <c r="DV50" s="63">
        <f>IF(SummaryTable[[#This Row],[OriginalBudget12]]=0, IF(SummaryTable[[#This Row],[DiffAmount12]]=0, ZeroBudgetNoSpending, ZeroBudgetWithSpending), SummaryTable[[#This Row],[DiffAmount12]]/SummaryTable[[#This Row],[OriginalBudget12]])</f>
        <v>3.698491542405654E-2</v>
      </c>
      <c r="DW50" s="62">
        <f>IF(COUNTIFS(allFYsTable[Code], SummaryTable[[#This Row],[Code]], allFYsTable[year2], DW$3)=0, NotFound, SUMIFS(allFYsTable[OriginalBudget], allFYsTable[Code], SummaryTable[[#This Row],[Code]], allFYsTable[year2], DW$3))</f>
        <v>544819</v>
      </c>
      <c r="DX50" s="61">
        <f>SummaryTable[[#This Row],[OriginalBudget11]]-SummaryTable[[#This Row],[OriginalBudget10]]</f>
        <v>33938</v>
      </c>
      <c r="DY50" s="54">
        <f>SummaryTable[[#This Row],[BudgetIncreaseAmount11]]/SummaryTable[[#This Row],[OriginalBudget10]]</f>
        <v>6.6430342878282811E-2</v>
      </c>
      <c r="DZ50" s="61">
        <f>IF(COUNTIFS(allFYsTable[Code], SummaryTable[[#This Row],[Code]], allFYsTable[year2], DW$3)=0, NotFound, SUMIFS(allFYsTable[RevisedBudget], allFYsTable[Code], SummaryTable[[#This Row],[Code]], allFYsTable[year2], DW$3))</f>
        <v>580176</v>
      </c>
      <c r="EA50" s="61">
        <f>IF(COUNTIFS(allFYsTable[Code], SummaryTable[[#This Row],[Code]], allFYsTable[year2], DW$3)=0, NotFound, SUMIFS(allFYsTable[Actual], allFYsTable[Code], SummaryTable[[#This Row],[Code]], allFYsTable[year2], DW$3))</f>
        <v>580176</v>
      </c>
      <c r="EB50" s="61">
        <f>IF(COUNTIFS(allFYsTable[Code], SummaryTable[[#This Row],[Code]], allFYsTable[year2], DW$3)=0, NotFound, SUMIFS(allFYsTable[DiffAmount], allFYsTable[Code], SummaryTable[[#This Row],[Code]], allFYsTable[year2], DW$3))</f>
        <v>35357</v>
      </c>
      <c r="EC50" s="63">
        <f>IF(SummaryTable[[#This Row],[OriginalBudget11]]=0, IF(SummaryTable[[#This Row],[DiffAmount11]]=0, ZeroBudgetNoSpending, ZeroBudgetWithSpending), SummaryTable[[#This Row],[DiffAmount11]]/SummaryTable[[#This Row],[OriginalBudget11]])</f>
        <v>6.4896782234099767E-2</v>
      </c>
      <c r="ED50" s="62">
        <f>IF(COUNTIFS(allFYsTable[Code], SummaryTable[[#This Row],[Code]], allFYsTable[year2], ED$3)=0, NotFound, SUMIFS(allFYsTable[OriginalBudget], allFYsTable[Code], SummaryTable[[#This Row],[Code]], allFYsTable[year2], ED$3))</f>
        <v>510881</v>
      </c>
      <c r="EE50" s="61">
        <f>SummaryTable[[#This Row],[OriginalBudget10]]-SummaryTable[[#This Row],[OriginalBudget09]]</f>
        <v>-51228</v>
      </c>
      <c r="EF50" s="54">
        <f>SummaryTable[[#This Row],[BudgetIncreaseAmount10]]/SummaryTable[[#This Row],[OriginalBudget09]]</f>
        <v>-9.1135349193839629E-2</v>
      </c>
      <c r="EG50" s="61">
        <f>IF(COUNTIFS(allFYsTable[Code], SummaryTable[[#This Row],[Code]], allFYsTable[year2], ED$3)=0, NotFound, SUMIFS(allFYsTable[RevisedBudget], allFYsTable[Code], SummaryTable[[#This Row],[Code]], allFYsTable[year2], ED$3))</f>
        <v>490557</v>
      </c>
      <c r="EH50" s="61">
        <f>IF(COUNTIFS(allFYsTable[Code], SummaryTable[[#This Row],[Code]], allFYsTable[year2], ED$3)=0, NotFound, SUMIFS(allFYsTable[Actual], allFYsTable[Code], SummaryTable[[#This Row],[Code]], allFYsTable[year2], ED$3))</f>
        <v>490556</v>
      </c>
      <c r="EI50" s="61">
        <f>IF(COUNTIFS(allFYsTable[Code], SummaryTable[[#This Row],[Code]], allFYsTable[year2], ED$3)=0, NotFound, SUMIFS(allFYsTable[DiffAmount], allFYsTable[Code], SummaryTable[[#This Row],[Code]], allFYsTable[year2], ED$3))</f>
        <v>-20325</v>
      </c>
      <c r="EJ50" s="63">
        <f>IF(SummaryTable[[#This Row],[OriginalBudget10]]=0, IF(SummaryTable[[#This Row],[DiffAmount10]]=0, ZeroBudgetNoSpending, ZeroBudgetWithSpending), SummaryTable[[#This Row],[DiffAmount10]]/SummaryTable[[#This Row],[OriginalBudget10]])</f>
        <v>-3.9784215893720845E-2</v>
      </c>
      <c r="EK50" s="62">
        <f>IF(COUNTIFS(allFYsTable[Code], SummaryTable[[#This Row],[Code]], allFYsTable[year2], EK$3)=0, NotFound, SUMIFS(allFYsTable[OriginalBudget], allFYsTable[Code], SummaryTable[[#This Row],[Code]], allFYsTable[year2], EK$3))</f>
        <v>562109</v>
      </c>
      <c r="EL50" s="61">
        <f>SummaryTable[[#This Row],[OriginalBudget09]]-SummaryTable[[#This Row],[OriginalBudget08]]</f>
        <v>-215958</v>
      </c>
      <c r="EM50" s="54">
        <f>SummaryTable[[#This Row],[BudgetIncreaseAmount09]]/SummaryTable[[#This Row],[OriginalBudget08]]</f>
        <v>-0.27755707413371855</v>
      </c>
      <c r="EN50" s="61">
        <f>IF(COUNTIFS(allFYsTable[Code], SummaryTable[[#This Row],[Code]], allFYsTable[year2], EK$3)=0, NotFound, SUMIFS(allFYsTable[RevisedBudget], allFYsTable[Code], SummaryTable[[#This Row],[Code]], allFYsTable[year2], EK$3))</f>
        <v>566294</v>
      </c>
      <c r="EO50" s="61">
        <f>IF(COUNTIFS(allFYsTable[Code], SummaryTable[[#This Row],[Code]], allFYsTable[year2], EK$3)=0, NotFound, SUMIFS(allFYsTable[Actual], allFYsTable[Code], SummaryTable[[#This Row],[Code]], allFYsTable[year2], EK$3))</f>
        <v>566292</v>
      </c>
      <c r="EP50" s="61">
        <f>IF(COUNTIFS(allFYsTable[Code], SummaryTable[[#This Row],[Code]], allFYsTable[year2], EK$3)=0, NotFound, SUMIFS(allFYsTable[DiffAmount], allFYsTable[Code], SummaryTable[[#This Row],[Code]], allFYsTable[year2], EK$3))</f>
        <v>4183</v>
      </c>
      <c r="EQ50" s="63">
        <f>IF(SummaryTable[[#This Row],[OriginalBudget09]]=0, IF(SummaryTable[[#This Row],[DiffAmount09]]=0, ZeroBudgetNoSpending, ZeroBudgetWithSpending), SummaryTable[[#This Row],[DiffAmount09]]/SummaryTable[[#This Row],[OriginalBudget09]])</f>
        <v>7.4416171952414924E-3</v>
      </c>
      <c r="ER50" s="62">
        <f>IF(COUNTIFS(allFYsTable[Code], SummaryTable[[#This Row],[Code]], allFYsTable[year2], ER$3)=0, NotFound, SUMIFS(allFYsTable[OriginalBudget], allFYsTable[Code], SummaryTable[[#This Row],[Code]], allFYsTable[year2], ER$3))</f>
        <v>778067</v>
      </c>
      <c r="ES50" s="61">
        <f>SummaryTable[[#This Row],[OriginalBudget08]]-SummaryTable[[#This Row],[OriginalBudget07]]</f>
        <v>-30264</v>
      </c>
      <c r="ET50" s="54">
        <f>SummaryTable[[#This Row],[BudgetIncreaseAmount08]]/SummaryTable[[#This Row],[OriginalBudget07]]</f>
        <v>-3.7440108074538771E-2</v>
      </c>
      <c r="EU50" s="61">
        <f>IF(COUNTIFS(allFYsTable[Code], SummaryTable[[#This Row],[Code]], allFYsTable[year2], ER$3)=0, NotFound, SUMIFS(allFYsTable[RevisedBudget], allFYsTable[Code], SummaryTable[[#This Row],[Code]], allFYsTable[year2], ER$3))</f>
        <v>847582</v>
      </c>
      <c r="EV50" s="61">
        <f>IF(COUNTIFS(allFYsTable[Code], SummaryTable[[#This Row],[Code]], allFYsTable[year2], ER$3)=0, NotFound, SUMIFS(allFYsTable[Actual], allFYsTable[Code], SummaryTable[[#This Row],[Code]], allFYsTable[year2], ER$3))</f>
        <v>841023</v>
      </c>
      <c r="EW50" s="61">
        <f>IF(COUNTIFS(allFYsTable[Code], SummaryTable[[#This Row],[Code]], allFYsTable[year2], ER$3)=0, NotFound, SUMIFS(allFYsTable[DiffAmount], allFYsTable[Code], SummaryTable[[#This Row],[Code]], allFYsTable[year2], ER$3))</f>
        <v>62956</v>
      </c>
      <c r="EX50" s="63">
        <f>IF(SummaryTable[[#This Row],[OriginalBudget08]]=0, IF(SummaryTable[[#This Row],[DiffAmount08]]=0, ZeroBudgetNoSpending, ZeroBudgetWithSpending), SummaryTable[[#This Row],[DiffAmount08]]/SummaryTable[[#This Row],[OriginalBudget08]])</f>
        <v>8.0913340367860354E-2</v>
      </c>
      <c r="EY50" s="62">
        <f>IF(COUNTIFS(allFYsTable[Code], SummaryTable[[#This Row],[Code]], allFYsTable[year2], EY$3)=0, NotFound, SUMIFS(allFYsTable[OriginalBudget], allFYsTable[Code], SummaryTable[[#This Row],[Code]], allFYsTable[year2], EY$3))</f>
        <v>808331</v>
      </c>
      <c r="EZ50" s="61">
        <f>SummaryTable[[#This Row],[OriginalBudget07]]-SummaryTable[[#This Row],[OriginalBudget06]]</f>
        <v>14086</v>
      </c>
      <c r="FA50" s="54">
        <f>SummaryTable[[#This Row],[BudgetIncreaseAmount07]]/SummaryTable[[#This Row],[OriginalBudget06]]</f>
        <v>1.7735081744298043E-2</v>
      </c>
      <c r="FB50" s="61">
        <f>IF(COUNTIFS(allFYsTable[Code], SummaryTable[[#This Row],[Code]], allFYsTable[year2], EY$3)=0, NotFound, SUMIFS(allFYsTable[RevisedBudget], allFYsTable[Code], SummaryTable[[#This Row],[Code]], allFYsTable[year2], EY$3))</f>
        <v>809752</v>
      </c>
      <c r="FC50" s="61">
        <f>IF(COUNTIFS(allFYsTable[Code], SummaryTable[[#This Row],[Code]], allFYsTable[year2], EY$3)=0, NotFound, SUMIFS(allFYsTable[Actual], allFYsTable[Code], SummaryTable[[#This Row],[Code]], allFYsTable[year2], EY$3))</f>
        <v>808946</v>
      </c>
      <c r="FD50" s="61">
        <f>IF(COUNTIFS(allFYsTable[Code], SummaryTable[[#This Row],[Code]], allFYsTable[year2], EY$3)=0, NotFound, SUMIFS(allFYsTable[DiffAmount], allFYsTable[Code], SummaryTable[[#This Row],[Code]], allFYsTable[year2], EY$3))</f>
        <v>615</v>
      </c>
      <c r="FE50" s="63">
        <f>IF(SummaryTable[[#This Row],[OriginalBudget07]]=0, IF(SummaryTable[[#This Row],[DiffAmount07]]=0, ZeroBudgetNoSpending, ZeroBudgetWithSpending), SummaryTable[[#This Row],[DiffAmount07]]/SummaryTable[[#This Row],[OriginalBudget07]])</f>
        <v>7.6082693846951308E-4</v>
      </c>
      <c r="FF50" s="62">
        <f>IF(COUNTIFS(allFYsTable[Code], SummaryTable[[#This Row],[Code]], allFYsTable[year2], FF$3)=0, NotFound, SUMIFS(allFYsTable[OriginalBudget], allFYsTable[Code], SummaryTable[[#This Row],[Code]], allFYsTable[year2], FF$3))</f>
        <v>794245</v>
      </c>
      <c r="FI50" s="61">
        <f>IF(COUNTIFS(allFYsTable[Code], SummaryTable[[#This Row],[Code]], allFYsTable[year2], FF$3)=0, NotFound, SUMIFS(allFYsTable[RevisedBudget], allFYsTable[Code], SummaryTable[[#This Row],[Code]], allFYsTable[year2], FF$3))</f>
        <v>816346</v>
      </c>
      <c r="FJ50" s="61">
        <f>IF(COUNTIFS(allFYsTable[Code], SummaryTable[[#This Row],[Code]], allFYsTable[year2], FF$3)=0, NotFound, SUMIFS(allFYsTable[Actual], allFYsTable[Code], SummaryTable[[#This Row],[Code]], allFYsTable[year2], FF$3))</f>
        <v>812830</v>
      </c>
      <c r="FK50" s="61">
        <f>IF(COUNTIFS(allFYsTable[Code], SummaryTable[[#This Row],[Code]], allFYsTable[year2], FF$3)=0, NotFound, SUMIFS(allFYsTable[DiffAmount], allFYsTable[Code], SummaryTable[[#This Row],[Code]], allFYsTable[year2], FF$3))</f>
        <v>18585</v>
      </c>
      <c r="FL50" s="63">
        <f>IF(SummaryTable[[#This Row],[OriginalBudget06]]=0, IF(SummaryTable[[#This Row],[DiffAmount06]]=0, ZeroBudgetNoSpending, ZeroBudgetWithSpending), SummaryTable[[#This Row],[DiffAmount06]]/SummaryTable[[#This Row],[OriginalBudget06]])</f>
        <v>2.3399580733904527E-2</v>
      </c>
    </row>
    <row r="51" spans="1:168" x14ac:dyDescent="0.45">
      <c r="A51" t="s">
        <v>754</v>
      </c>
      <c r="B51">
        <f>_xlfn.MAXIFS(allFYsTable[year2], allFYsTable[Code], SummaryTable[[#This Row],[Code]])</f>
        <v>2025</v>
      </c>
      <c r="C51" t="str">
        <f>_xlfn.XLOOKUP(SummaryTable[[#This Row],[Code]], NameCodingTable[Code], NameCodingTable[Most Recent Category per allFYs])</f>
        <v>Public safety and justice</v>
      </c>
      <c r="D51" t="str">
        <f>_xlfn.XLOOKUP(SummaryTable[[#This Row],[Code]], NameCodingTable[Code], NameCodingTable[Unit Display Name])</f>
        <v>District of Columbia Sentencing Commission</v>
      </c>
      <c r="E51" t="str">
        <f>_xlfn.XLOOKUP(SummaryTable[[#This Row],[Code]], NameCodingTable[Code], NameCodingTable[Type])</f>
        <v>agency</v>
      </c>
      <c r="F5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5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51" s="54">
        <f>SummaryTable[[#This Row],['# Over]]/SummaryTable[[#This Row],[Count]]</f>
        <v>0.1</v>
      </c>
      <c r="I5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51" s="54">
        <f>SummaryTable[[#This Row],['# Under]]/SummaryTable[[#This Row],[Count]]</f>
        <v>0.85</v>
      </c>
      <c r="K5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51" s="54">
        <f>SummaryTable[[#This Row],['# Equal]]/SummaryTable[[#This Row],[Count]]</f>
        <v>0.05</v>
      </c>
      <c r="M51" s="61">
        <f>SUMIFS(allFYsTable[OriginalBudget],allFYsTable[Code],SummaryTable[[#This Row],[Code]])/SummaryTable[[#This Row],[Count]]</f>
        <v>1217.5999999999999</v>
      </c>
      <c r="N51" s="61">
        <f>SUMIFS(allFYsTable[Actual],allFYsTable[Code],SummaryTable[[#This Row],[Code]])/SummaryTable[[#This Row],[Count]]</f>
        <v>1110.8499999999999</v>
      </c>
      <c r="O51" s="61">
        <f>SummaryTable[[#This Row],[AvgActAmt]]-SummaryTable[[#This Row],[AvgBudAmt]]</f>
        <v>-106.75</v>
      </c>
      <c r="P51" s="54">
        <f>IF(SummaryTable[[#This Row],[AvgBudAmt]]=0, IF(SummaryTable[[#This Row],[AvgDiff'#]]=0, 0, NamedFields!$C$3), SummaryTable[[#This Row],[AvgDiff'#]]/SummaryTable[[#This Row],[AvgBudAmt]])</f>
        <v>-8.767247043363996E-2</v>
      </c>
      <c r="Q51" s="61">
        <f>IFERROR(SUMIFS(allFYsTable[OriginalBudget],allFYsTable[Code],SummaryTable[[#This Row],[Code]],allFYsTable[DiffAmount], "&gt;0")/SummaryTable[[#This Row],['# Over]], 0)</f>
        <v>1514.5</v>
      </c>
      <c r="R51" s="61">
        <f>IFERROR(SUMIFS(allFYsTable[Actual],allFYsTable[Code],SummaryTable[[#This Row],[Code]],allFYsTable[DiffAmount], "&gt;0")/SummaryTable[[#This Row],['# Over]], 0)</f>
        <v>1520.5</v>
      </c>
      <c r="S51" s="61">
        <f>SummaryTable[[#This Row],[OverAvgAct]]-SummaryTable[[#This Row],[OverAvgBud]]</f>
        <v>6</v>
      </c>
      <c r="T51" s="54">
        <f>IF(SummaryTable[[#This Row],[OverAvgBud]]=0, IF(SummaryTable[[#This Row],[OverAvgDiff'#]]=0, ZeroBudgetNoSpending, ZeroBudgetWithSpending), SummaryTable[[#This Row],[OverAvgDiff'#]]/SummaryTable[[#This Row],[OverAvgBud]])</f>
        <v>3.9617035325189833E-3</v>
      </c>
      <c r="U51" s="61">
        <f>IFERROR(SUMIFS(allFYsTable[OriginalBudget],allFYsTable[Code],SummaryTable[[#This Row],[Code]],allFYsTable[DiffAmount], "&lt;0")/SummaryTable[[#This Row],['# Under]], 0)</f>
        <v>1202.0588235294117</v>
      </c>
      <c r="V51" s="61">
        <f>IFERROR( SUMIFS(allFYsTable[Actual],allFYsTable[Code],SummaryTable[[#This Row],[Code]],allFYsTable[DiffAmount], "&lt;0")/SummaryTable[[#This Row],['# Under]], 0)</f>
        <v>1075.7647058823529</v>
      </c>
      <c r="W51" s="61">
        <f>SummaryTable[[#This Row],[UnderAvgAct]]-SummaryTable[[#This Row],[UnderAvgBud]]</f>
        <v>-126.29411764705878</v>
      </c>
      <c r="X51" s="54">
        <f>IF(SummaryTable[[#This Row],[UnderAvgBud]]=0, IF(SummaryTable[[#This Row],[UnderAvgDiff'#]]=0, ZeroBudgetNoSpending, NamedFields!$C$3), SummaryTable[[#This Row],[UnderAvgDiff'#]]/SummaryTable[[#This Row],[UnderAvgBud]])</f>
        <v>-0.10506483973574747</v>
      </c>
      <c r="Y5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5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1" s="54">
        <f>IF(SummaryTable[[#This Row],[IncreaseYears]]=0, ZeroBudgetNoSpending, SummaryTable[[#This Row],[OSinIncreaseYear'#]]/SummaryTable[[#This Row],[IncreaseYears]])</f>
        <v>0</v>
      </c>
      <c r="AB51" s="58" t="str">
        <f>SummaryTable[[#This Row],[Code]]</f>
        <v>FZ0</v>
      </c>
      <c r="AC51" s="62">
        <f>IF(COUNTIFS(allFYsTable[Code], SummaryTable[[#This Row],[Code]], allFYsTable[year2], AC$3)=0, NotFound, SUMIFS(allFYsTable[OriginalBudget], allFYsTable[Code], SummaryTable[[#This Row],[Code]], allFYsTable[year2], AC$3))</f>
        <v>1793</v>
      </c>
      <c r="AD51" s="61">
        <f>SummaryTable[[#This Row],[OriginalBudget25]]-SummaryTable[[#This Row],[OriginalBudget24]]</f>
        <v>181</v>
      </c>
      <c r="AE51" s="54">
        <f>SummaryTable[[#This Row],[BudgetIncreaseAmount25]]/SummaryTable[[#This Row],[OriginalBudget24]]</f>
        <v>0.11228287841191067</v>
      </c>
      <c r="AF51" s="61">
        <f>IF(COUNTIFS(allFYsTable[Code], SummaryTable[[#This Row],[Code]], allFYsTable[year2], AC$3)=0, NotFound, SUMIFS(allFYsTable[RevisedBudget], allFYsTable[Code], SummaryTable[[#This Row],[Code]], allFYsTable[year2], AC$3))</f>
        <v>1592</v>
      </c>
      <c r="AG51" s="61">
        <f>IF(COUNTIFS(allFYsTable[Code], SummaryTable[[#This Row],[Code]], allFYsTable[year2], AC$3)=0, NotFound, SUMIFS(allFYsTable[Actual], allFYsTable[Code], SummaryTable[[#This Row],[Code]], allFYsTable[year2], AC$3))</f>
        <v>1445</v>
      </c>
      <c r="AH51" s="61">
        <f>IF(COUNTIFS(allFYsTable[Code], SummaryTable[[#This Row],[Code]], allFYsTable[year2], AC$3)=0, NotFound, SUMIFS(allFYsTable[DiffAmount], allFYsTable[Code], SummaryTable[[#This Row],[Code]], allFYsTable[year2], AC$3))</f>
        <v>-348</v>
      </c>
      <c r="AI51" s="63">
        <f>IF(SummaryTable[[#This Row],[OriginalBudget25]]=0, IF(SummaryTable[[#This Row],[DiffAmount25]]=0, ZeroBudgetNoSpending, ZeroBudgetWithSpending), SummaryTable[[#This Row],[DiffAmount25]]/SummaryTable[[#This Row],[OriginalBudget25]])</f>
        <v>-0.19408812046848856</v>
      </c>
      <c r="AJ51" s="62">
        <f>IF(COUNTIFS(allFYsTable[Code], SummaryTable[[#This Row],[Code]], allFYsTable[year2], AJ$3)=0, NotFound, SUMIFS(allFYsTable[OriginalBudget], allFYsTable[Code], SummaryTable[[#This Row],[Code]], allFYsTable[year2], AJ$3))</f>
        <v>1612</v>
      </c>
      <c r="AK51" s="61">
        <f>SummaryTable[[#This Row],[OriginalBudget24]]-SummaryTable[[#This Row],[OriginalBudget23]]</f>
        <v>-6</v>
      </c>
      <c r="AL51" s="54">
        <f>SummaryTable[[#This Row],[BudgetIncreaseAmount24]]/SummaryTable[[#This Row],[OriginalBudget23]]</f>
        <v>-3.708281829419036E-3</v>
      </c>
      <c r="AM51" s="61">
        <f>IF(COUNTIFS(allFYsTable[Code], SummaryTable[[#This Row],[Code]], allFYsTable[year2], AK$3)=0, NotFound, SUMIFS(allFYsTable[RevisedBudget], allFYsTable[Code], SummaryTable[[#This Row],[Code]], allFYsTable[year2], AJ$3))</f>
        <v>1542</v>
      </c>
      <c r="AN51" s="61">
        <f>IF(COUNTIFS(allFYsTable[Code], SummaryTable[[#This Row],[Code]], allFYsTable[year2], AJ$3)=0, NotFound, SUMIFS(allFYsTable[Actual], allFYsTable[Code], SummaryTable[[#This Row],[Code]], allFYsTable[year2], AJ$3))</f>
        <v>1539</v>
      </c>
      <c r="AO51" s="61">
        <f>IF(COUNTIFS(allFYsTable[Code], SummaryTable[[#This Row],[Code]], allFYsTable[year2], AJ$3)=0, NotFound, SUMIFS(allFYsTable[DiffAmount], allFYsTable[Code], SummaryTable[[#This Row],[Code]], allFYsTable[year2], AJ$3))</f>
        <v>-73</v>
      </c>
      <c r="AP51" s="63">
        <f>IF(SummaryTable[[#This Row],[OriginalBudget24]]=0, IF(SummaryTable[[#This Row],[DiffAmount24]]=0, ZeroBudgetNoSpending, ZeroBudgetWithSpending), SummaryTable[[#This Row],[DiffAmount24]]/SummaryTable[[#This Row],[OriginalBudget24]])</f>
        <v>-4.5285359801488831E-2</v>
      </c>
      <c r="AQ51" s="62">
        <f>IF(COUNTIFS(allFYsTable[Code], SummaryTable[[#This Row],[Code]], allFYsTable[year2], AQ$3)=0, NotFound, SUMIFS(allFYsTable[OriginalBudget], allFYsTable[Code], SummaryTable[[#This Row],[Code]], allFYsTable[year2], AQ$3))</f>
        <v>1618</v>
      </c>
      <c r="AR51" s="61">
        <f>SummaryTable[[#This Row],[OriginalBudget23]]-SummaryTable[[#This Row],[OriginalBudget22]]</f>
        <v>-10</v>
      </c>
      <c r="AS51" s="54">
        <f>SummaryTable[[#This Row],[BudgetIncreaseAmount23]]/SummaryTable[[#This Row],[OriginalBudget22]]</f>
        <v>-6.1425061425061421E-3</v>
      </c>
      <c r="AT51" s="61">
        <f>IF(COUNTIFS(allFYsTable[Code], SummaryTable[[#This Row],[Code]], allFYsTable[year2], AQ$3)=0, NotFound, SUMIFS(allFYsTable[RevisedBudget], allFYsTable[Code], SummaryTable[[#This Row],[Code]], allFYsTable[year2], AQ$3))</f>
        <v>1580</v>
      </c>
      <c r="AU51" s="61">
        <f>IF(COUNTIFS(allFYsTable[Code], SummaryTable[[#This Row],[Code]], allFYsTable[year2], AQ$3)=0, NotFound, SUMIFS(allFYsTable[Actual], allFYsTable[Code], SummaryTable[[#This Row],[Code]], allFYsTable[year2], AQ$3))</f>
        <v>1579</v>
      </c>
      <c r="AV51" s="61">
        <f>IF(COUNTIFS(allFYsTable[Code], SummaryTable[[#This Row],[Code]], allFYsTable[year2], AQ$3)=0, NotFound, SUMIFS(allFYsTable[DiffAmount], allFYsTable[Code], SummaryTable[[#This Row],[Code]], allFYsTable[year2], AQ$3))</f>
        <v>-39</v>
      </c>
      <c r="AW51" s="63">
        <f>IF(SummaryTable[[#This Row],[OriginalBudget23]]=0, IF(SummaryTable[[#This Row],[DiffAmount23]]=0, ZeroBudgetNoSpending, ZeroBudgetWithSpending), SummaryTable[[#This Row],[DiffAmount23]]/SummaryTable[[#This Row],[OriginalBudget23]])</f>
        <v>-2.4103831891223733E-2</v>
      </c>
      <c r="AX51" s="62">
        <f>IF(COUNTIFS(allFYsTable[Code], SummaryTable[[#This Row],[Code]], allFYsTable[year2], AX$3)=0, NotFound, SUMIFS(allFYsTable[OriginalBudget], allFYsTable[Code], SummaryTable[[#This Row],[Code]], allFYsTable[year2], AX$3))</f>
        <v>1628</v>
      </c>
      <c r="AY51" s="61">
        <f>SummaryTable[[#This Row],[OriginalBudget22]]-SummaryTable[[#This Row],[OriginalBudget21]]</f>
        <v>370</v>
      </c>
      <c r="AZ51" s="54">
        <f>SummaryTable[[#This Row],[BudgetIncreaseAmount22]]/SummaryTable[[#This Row],[OriginalBudget21]]</f>
        <v>0.29411764705882354</v>
      </c>
      <c r="BA51" s="61">
        <f>IF(COUNTIFS(allFYsTable[Code], SummaryTable[[#This Row],[Code]], allFYsTable[year2], AX$3)=0, NotFound, SUMIFS(allFYsTable[RevisedBudget], allFYsTable[Code], SummaryTable[[#This Row],[Code]], allFYsTable[year2], AX$3))</f>
        <v>1631</v>
      </c>
      <c r="BB51" s="61">
        <f>IF(COUNTIFS(allFYsTable[Code], SummaryTable[[#This Row],[Code]], allFYsTable[year2], AX$3)=0, NotFound, SUMIFS(allFYsTable[Actual], allFYsTable[Code], SummaryTable[[#This Row],[Code]], allFYsTable[year2], AX$3))</f>
        <v>1629</v>
      </c>
      <c r="BC51" s="61">
        <f>IF(COUNTIFS(allFYsTable[Code], SummaryTable[[#This Row],[Code]], allFYsTable[year2], AX$3)=0, NotFound, SUMIFS(allFYsTable[DiffAmount], allFYsTable[Code], SummaryTable[[#This Row],[Code]], allFYsTable[year2], AX$3))</f>
        <v>1</v>
      </c>
      <c r="BD51" s="63">
        <f>IF(SummaryTable[[#This Row],[OriginalBudget22]]=0, IF(SummaryTable[[#This Row],[DiffAmount22]]=0, ZeroBudgetNoSpending, ZeroBudgetWithSpending), SummaryTable[[#This Row],[DiffAmount22]]/SummaryTable[[#This Row],[OriginalBudget22]])</f>
        <v>6.1425061425061424E-4</v>
      </c>
      <c r="BE51" s="62">
        <f>IF(COUNTIFS(allFYsTable[Code], SummaryTable[[#This Row],[Code]], allFYsTable[year2], BE$3)=0, NotFound, SUMIFS(allFYsTable[OriginalBudget], allFYsTable[Code], SummaryTable[[#This Row],[Code]], allFYsTable[year2], BE$3))</f>
        <v>1258</v>
      </c>
      <c r="BF51" s="61">
        <f>SummaryTable[[#This Row],[OriginalBudget21]]-SummaryTable[[#This Row],[OriginalBudget20]]</f>
        <v>-9</v>
      </c>
      <c r="BG51" s="54">
        <f>SummaryTable[[#This Row],[BudgetIncreaseAmount21]]/SummaryTable[[#This Row],[OriginalBudget20]]</f>
        <v>-7.1033938437253356E-3</v>
      </c>
      <c r="BH51" s="61">
        <f>IF(COUNTIFS(allFYsTable[Code], SummaryTable[[#This Row],[Code]], allFYsTable[year2], BE$3)=0, NotFound, SUMIFS(allFYsTable[RevisedBudget], allFYsTable[Code], SummaryTable[[#This Row],[Code]], allFYsTable[year2], BE$3))</f>
        <v>1139</v>
      </c>
      <c r="BI51" s="61">
        <f>IF(COUNTIFS(allFYsTable[Code], SummaryTable[[#This Row],[Code]], allFYsTable[year2], BE$3)=0, NotFound, SUMIFS(allFYsTable[Actual], allFYsTable[Code], SummaryTable[[#This Row],[Code]], allFYsTable[year2], BE$3))</f>
        <v>1113</v>
      </c>
      <c r="BJ51" s="61">
        <f>IF(COUNTIFS(allFYsTable[Code], SummaryTable[[#This Row],[Code]], allFYsTable[year2], BE$3)=0, NotFound, SUMIFS(allFYsTable[DiffAmount], allFYsTable[Code], SummaryTable[[#This Row],[Code]], allFYsTable[year2], BE$3))</f>
        <v>-145</v>
      </c>
      <c r="BK51" s="63">
        <f>IF(SummaryTable[[#This Row],[OriginalBudget21]]=0, IF(SummaryTable[[#This Row],[DiffAmount21]]=0, ZeroBudgetNoSpending, ZeroBudgetWithSpending), SummaryTable[[#This Row],[DiffAmount21]]/SummaryTable[[#This Row],[OriginalBudget21]])</f>
        <v>-0.11526232114467408</v>
      </c>
      <c r="BL51" s="62">
        <f>IF(COUNTIFS(allFYsTable[Code], SummaryTable[[#This Row],[Code]], allFYsTable[year2], BL$3)=0, NotFound, SUMIFS(allFYsTable[OriginalBudget], allFYsTable[Code], SummaryTable[[#This Row],[Code]], allFYsTable[year2], BL$3))</f>
        <v>1267</v>
      </c>
      <c r="BM51" s="61">
        <f>SummaryTable[[#This Row],[OriginalBudget20]]-SummaryTable[[#This Row],[OriginalBudget19]]</f>
        <v>81</v>
      </c>
      <c r="BN51" s="54">
        <f>SummaryTable[[#This Row],[BudgetIncreaseAmount20]]/SummaryTable[[#This Row],[OriginalBudget19]]</f>
        <v>6.8296795952782458E-2</v>
      </c>
      <c r="BO51" s="61">
        <f>IF(COUNTIFS(allFYsTable[Code], SummaryTable[[#This Row],[Code]], allFYsTable[year2], BL$3)=0, NotFound, SUMIFS(allFYsTable[RevisedBudget], allFYsTable[Code], SummaryTable[[#This Row],[Code]], allFYsTable[year2], BL$3))</f>
        <v>1119</v>
      </c>
      <c r="BP51" s="61">
        <f>IF(COUNTIFS(allFYsTable[Code], SummaryTable[[#This Row],[Code]], allFYsTable[year2], BL$3)=0, NotFound, SUMIFS(allFYsTable[Actual], allFYsTable[Code], SummaryTable[[#This Row],[Code]], allFYsTable[year2], BL$3))</f>
        <v>1106</v>
      </c>
      <c r="BQ51" s="61">
        <f>IF(COUNTIFS(allFYsTable[Code], SummaryTable[[#This Row],[Code]], allFYsTable[year2], BL$3)=0, NotFound, SUMIFS(allFYsTable[DiffAmount], allFYsTable[Code], SummaryTable[[#This Row],[Code]], allFYsTable[year2], BL$3))</f>
        <v>-161</v>
      </c>
      <c r="BR51" s="63">
        <f>IF(SummaryTable[[#This Row],[OriginalBudget20]]=0, IF(SummaryTable[[#This Row],[DiffAmount20]]=0, ZeroBudgetNoSpending, ZeroBudgetWithSpending), SummaryTable[[#This Row],[DiffAmount20]]/SummaryTable[[#This Row],[OriginalBudget20]])</f>
        <v>-0.1270718232044199</v>
      </c>
      <c r="BS51" s="62">
        <f>IF(COUNTIFS(allFYsTable[Code], SummaryTable[[#This Row],[Code]], allFYsTable[year2], BS$3)=0, NotFound, SUMIFS(allFYsTable[OriginalBudget], allFYsTable[Code], SummaryTable[[#This Row],[Code]], allFYsTable[year2], BS$3))</f>
        <v>1186</v>
      </c>
      <c r="BT51" s="61">
        <f>SummaryTable[[#This Row],[OriginalBudget19]]-SummaryTable[[#This Row],[OriginalBudget18]]</f>
        <v>7</v>
      </c>
      <c r="BU51" s="54">
        <f>SummaryTable[[#This Row],[BudgetIncreaseAmount19]]/SummaryTable[[#This Row],[OriginalBudget18]]</f>
        <v>5.9372349448685328E-3</v>
      </c>
      <c r="BV51" s="61">
        <f>IF(COUNTIFS(allFYsTable[Code], SummaryTable[[#This Row],[Code]], allFYsTable[year2], BS$3)=0, NotFound, SUMIFS(allFYsTable[RevisedBudget], allFYsTable[Code], SummaryTable[[#This Row],[Code]], allFYsTable[year2], BS$3))</f>
        <v>1180</v>
      </c>
      <c r="BW51" s="61">
        <f>IF(COUNTIFS(allFYsTable[Code], SummaryTable[[#This Row],[Code]], allFYsTable[year2], BS$3)=0, NotFound, SUMIFS(allFYsTable[Actual], allFYsTable[Code], SummaryTable[[#This Row],[Code]], allFYsTable[year2], BS$3))</f>
        <v>1178</v>
      </c>
      <c r="BX51" s="61">
        <f>IF(COUNTIFS(allFYsTable[Code], SummaryTable[[#This Row],[Code]], allFYsTable[year2], BS$3)=0, NotFound, SUMIFS(allFYsTable[DiffAmount], allFYsTable[Code], SummaryTable[[#This Row],[Code]], allFYsTable[year2], BS$3))</f>
        <v>-8</v>
      </c>
      <c r="BY51" s="63">
        <f>IF(SummaryTable[[#This Row],[OriginalBudget19]]=0, IF(SummaryTable[[#This Row],[DiffAmount19]]=0, ZeroBudgetNoSpending, ZeroBudgetWithSpending), SummaryTable[[#This Row],[DiffAmount19]]/SummaryTable[[#This Row],[OriginalBudget19]])</f>
        <v>-6.7453625632377737E-3</v>
      </c>
      <c r="BZ51" s="62">
        <f>IF(COUNTIFS(allFYsTable[Code], SummaryTable[[#This Row],[Code]], allFYsTable[year2], BZ$3)=0, NotFound, SUMIFS(allFYsTable[OriginalBudget], allFYsTable[Code], SummaryTable[[#This Row],[Code]], allFYsTable[year2], BZ$3))</f>
        <v>1179</v>
      </c>
      <c r="CA51" s="61">
        <f>SummaryTable[[#This Row],[OriginalBudget18]]-SummaryTable[[#This Row],[OriginalBudget17]]</f>
        <v>92</v>
      </c>
      <c r="CB51" s="54">
        <f>SummaryTable[[#This Row],[BudgetIncreaseAmount18]]/SummaryTable[[#This Row],[OriginalBudget17]]</f>
        <v>8.4636614535418583E-2</v>
      </c>
      <c r="CC51" s="61">
        <f>IF(COUNTIFS(allFYsTable[Code], SummaryTable[[#This Row],[Code]], allFYsTable[year2], BZ$3)=0, NotFound, SUMIFS(allFYsTable[RevisedBudget], allFYsTable[Code], SummaryTable[[#This Row],[Code]], allFYsTable[year2], BZ$3))</f>
        <v>1179</v>
      </c>
      <c r="CD51" s="61">
        <f>IF(COUNTIFS(allFYsTable[Code], SummaryTable[[#This Row],[Code]], allFYsTable[year2], BZ$3)=0, NotFound, SUMIFS(allFYsTable[Actual], allFYsTable[Code], SummaryTable[[#This Row],[Code]], allFYsTable[year2], BZ$3))</f>
        <v>1067</v>
      </c>
      <c r="CE51" s="61">
        <f>IF(COUNTIFS(allFYsTable[Code], SummaryTable[[#This Row],[Code]], allFYsTable[year2], BZ$3)=0, NotFound, SUMIFS(allFYsTable[DiffAmount], allFYsTable[Code], SummaryTable[[#This Row],[Code]], allFYsTable[year2], BZ$3))</f>
        <v>-112</v>
      </c>
      <c r="CF51" s="63">
        <f>IF(SummaryTable[[#This Row],[OriginalBudget18]]=0, IF(SummaryTable[[#This Row],[DiffAmount18]]=0, ZeroBudgetNoSpending, ZeroBudgetWithSpending), SummaryTable[[#This Row],[DiffAmount18]]/SummaryTable[[#This Row],[OriginalBudget18]])</f>
        <v>-9.4995759117896525E-2</v>
      </c>
      <c r="CG51" s="62">
        <f>IF(COUNTIFS(allFYsTable[Code], SummaryTable[[#This Row],[Code]], allFYsTable[year2], CG$3)=0, NotFound, SUMIFS(allFYsTable[OriginalBudget], allFYsTable[Code], SummaryTable[[#This Row],[Code]], allFYsTable[year2], CG$3))</f>
        <v>1087</v>
      </c>
      <c r="CH51" s="61">
        <f>SummaryTable[[#This Row],[OriginalBudget17]]-SummaryTable[[#This Row],[OriginalBudget16]]</f>
        <v>-523</v>
      </c>
      <c r="CI51" s="54">
        <f>SummaryTable[[#This Row],[BudgetIncreaseAmount17]]/SummaryTable[[#This Row],[OriginalBudget16]]</f>
        <v>-0.32484472049689439</v>
      </c>
      <c r="CJ51" s="61">
        <f>IF(COUNTIFS(allFYsTable[Code], SummaryTable[[#This Row],[Code]], allFYsTable[year2], CG$3)=0, NotFound, SUMIFS(allFYsTable[RevisedBudget], allFYsTable[Code], SummaryTable[[#This Row],[Code]], allFYsTable[year2], CG$3))</f>
        <v>1087</v>
      </c>
      <c r="CK51" s="61">
        <f>IF(COUNTIFS(allFYsTable[Code], SummaryTable[[#This Row],[Code]], allFYsTable[year2], CG$3)=0, NotFound, SUMIFS(allFYsTable[Actual], allFYsTable[Code], SummaryTable[[#This Row],[Code]], allFYsTable[year2], CG$3))</f>
        <v>948</v>
      </c>
      <c r="CL51" s="61">
        <f>IF(COUNTIFS(allFYsTable[Code], SummaryTable[[#This Row],[Code]], allFYsTable[year2], CG$3)=0, NotFound, SUMIFS(allFYsTable[DiffAmount], allFYsTable[Code], SummaryTable[[#This Row],[Code]], allFYsTable[year2], CG$3))</f>
        <v>-139</v>
      </c>
      <c r="CM51" s="63">
        <f>IF(SummaryTable[[#This Row],[OriginalBudget17]]=0, IF(SummaryTable[[#This Row],[DiffAmount17]]=0, ZeroBudgetNoSpending, ZeroBudgetWithSpending), SummaryTable[[#This Row],[DiffAmount17]]/SummaryTable[[#This Row],[OriginalBudget17]])</f>
        <v>-0.12787488500459981</v>
      </c>
      <c r="CN51" s="62">
        <f>IF(COUNTIFS(allFYsTable[Code], SummaryTable[[#This Row],[Code]], allFYsTable[year2], CN$3)=0, NotFound, SUMIFS(allFYsTable[OriginalBudget], allFYsTable[Code], SummaryTable[[#This Row],[Code]], allFYsTable[year2], CN$3))</f>
        <v>1610</v>
      </c>
      <c r="CO51" s="61">
        <f>SummaryTable[[#This Row],[OriginalBudget16]]-SummaryTable[[#This Row],[OriginalBudget15]]</f>
        <v>209</v>
      </c>
      <c r="CP51" s="54">
        <f>SummaryTable[[#This Row],[BudgetIncreaseAmount16]]/SummaryTable[[#This Row],[OriginalBudget15]]</f>
        <v>0.14917915774446824</v>
      </c>
      <c r="CQ51" s="61">
        <f>IF(COUNTIFS(allFYsTable[Code], SummaryTable[[#This Row],[Code]], allFYsTable[year2], CN$3)=0, NotFound, SUMIFS(allFYsTable[RevisedBudget], allFYsTable[Code], SummaryTable[[#This Row],[Code]], allFYsTable[year2], CN$3))</f>
        <v>1610</v>
      </c>
      <c r="CR51" s="61">
        <f>IF(COUNTIFS(allFYsTable[Code], SummaryTable[[#This Row],[Code]], allFYsTable[year2], CN$3)=0, NotFound, SUMIFS(allFYsTable[Actual], allFYsTable[Code], SummaryTable[[#This Row],[Code]], allFYsTable[year2], CN$3))</f>
        <v>1498</v>
      </c>
      <c r="CS51" s="61">
        <f>IF(COUNTIFS(allFYsTable[Code], SummaryTable[[#This Row],[Code]], allFYsTable[year2], CN$3)=0, NotFound, SUMIFS(allFYsTable[DiffAmount], allFYsTable[Code], SummaryTable[[#This Row],[Code]], allFYsTable[year2], CN$3))</f>
        <v>-112</v>
      </c>
      <c r="CT51" s="63">
        <f>IF(SummaryTable[[#This Row],[OriginalBudget16]]=0, IF(SummaryTable[[#This Row],[DiffAmount16]]=0, ZeroBudgetNoSpending, ZeroBudgetWithSpending), SummaryTable[[#This Row],[DiffAmount16]]/SummaryTable[[#This Row],[OriginalBudget16]])</f>
        <v>-6.9565217391304349E-2</v>
      </c>
      <c r="CU51" s="62">
        <f>IF(COUNTIFS(allFYsTable[Code], SummaryTable[[#This Row],[Code]], allFYsTable[year2], CU$3)=0, NotFound, SUMIFS(allFYsTable[OriginalBudget], allFYsTable[Code], SummaryTable[[#This Row],[Code]], allFYsTable[year2], CU$3))</f>
        <v>1401</v>
      </c>
      <c r="CV51" s="61">
        <f>SummaryTable[[#This Row],[OriginalBudget15]]-SummaryTable[[#This Row],[OriginalBudget14]]</f>
        <v>-6</v>
      </c>
      <c r="CW51" s="54">
        <f>SummaryTable[[#This Row],[BudgetIncreaseAmount15]]/SummaryTable[[#This Row],[OriginalBudget14]]</f>
        <v>-4.2643923240938165E-3</v>
      </c>
      <c r="CX51" s="61">
        <f>IF(COUNTIFS(allFYsTable[Code], SummaryTable[[#This Row],[Code]], allFYsTable[year2], CU$3)=0, NotFound, SUMIFS(allFYsTable[RevisedBudget], allFYsTable[Code], SummaryTable[[#This Row],[Code]], allFYsTable[year2], CU$3))</f>
        <v>1466</v>
      </c>
      <c r="CY51" s="61">
        <f>IF(COUNTIFS(allFYsTable[Code], SummaryTable[[#This Row],[Code]], allFYsTable[year2], CU$3)=0, NotFound, SUMIFS(allFYsTable[Actual], allFYsTable[Code], SummaryTable[[#This Row],[Code]], allFYsTable[year2], CU$3))</f>
        <v>1412</v>
      </c>
      <c r="CZ51" s="61">
        <f>IF(COUNTIFS(allFYsTable[Code], SummaryTable[[#This Row],[Code]], allFYsTable[year2], CU$3)=0, NotFound, SUMIFS(allFYsTable[DiffAmount], allFYsTable[Code], SummaryTable[[#This Row],[Code]], allFYsTable[year2], CU$3))</f>
        <v>11</v>
      </c>
      <c r="DA51" s="63">
        <f>IF(SummaryTable[[#This Row],[OriginalBudget15]]=0, IF(SummaryTable[[#This Row],[DiffAmount15]]=0, ZeroBudgetNoSpending, ZeroBudgetWithSpending), SummaryTable[[#This Row],[DiffAmount15]]/SummaryTable[[#This Row],[OriginalBudget15]])</f>
        <v>7.8515346181299069E-3</v>
      </c>
      <c r="DB51" s="62">
        <f>IF(COUNTIFS(allFYsTable[Code], SummaryTable[[#This Row],[Code]], allFYsTable[year2], DB$3)=0, NotFound, SUMIFS(allFYsTable[OriginalBudget], allFYsTable[Code], SummaryTable[[#This Row],[Code]], allFYsTable[year2], DB$3))</f>
        <v>1407</v>
      </c>
      <c r="DC51" s="61">
        <f>SummaryTable[[#This Row],[OriginalBudget14]]-SummaryTable[[#This Row],[OriginalBudget13]]</f>
        <v>18</v>
      </c>
      <c r="DD51" s="54">
        <f>SummaryTable[[#This Row],[BudgetIncreaseAmount14]]/SummaryTable[[#This Row],[OriginalBudget13]]</f>
        <v>1.2958963282937365E-2</v>
      </c>
      <c r="DE51" s="61">
        <f>IF(COUNTIFS(allFYsTable[Code], SummaryTable[[#This Row],[Code]], allFYsTable[year2], DB$3)=0, NotFound, SUMIFS(allFYsTable[RevisedBudget], allFYsTable[Code], SummaryTable[[#This Row],[Code]], allFYsTable[year2], DB$3))</f>
        <v>1439</v>
      </c>
      <c r="DF51" s="61">
        <f>IF(COUNTIFS(allFYsTable[Code], SummaryTable[[#This Row],[Code]], allFYsTable[year2], DB$3)=0, NotFound, SUMIFS(allFYsTable[Actual], allFYsTable[Code], SummaryTable[[#This Row],[Code]], allFYsTable[year2], DB$3))</f>
        <v>1267</v>
      </c>
      <c r="DG51" s="61">
        <f>IF(COUNTIFS(allFYsTable[Code], SummaryTable[[#This Row],[Code]], allFYsTable[year2], DB$3)=0, NotFound, SUMIFS(allFYsTable[DiffAmount], allFYsTable[Code], SummaryTable[[#This Row],[Code]], allFYsTable[year2], DB$3))</f>
        <v>-140</v>
      </c>
      <c r="DH51" s="63">
        <f>IF(SummaryTable[[#This Row],[OriginalBudget14]]=0, IF(SummaryTable[[#This Row],[DiffAmount14]]=0, ZeroBudgetNoSpending, ZeroBudgetWithSpending), SummaryTable[[#This Row],[DiffAmount14]]/SummaryTable[[#This Row],[OriginalBudget14]])</f>
        <v>-9.950248756218906E-2</v>
      </c>
      <c r="DI51" s="62">
        <f>IF(COUNTIFS(allFYsTable[Code], SummaryTable[[#This Row],[Code]], allFYsTable[year2], DI$3)=0, NotFound, SUMIFS(allFYsTable[OriginalBudget], allFYsTable[Code], SummaryTable[[#This Row],[Code]], allFYsTable[year2], DI$3))</f>
        <v>1389</v>
      </c>
      <c r="DJ51" s="61">
        <f>SummaryTable[[#This Row],[OriginalBudget13]]-SummaryTable[[#This Row],[OriginalBudget12]]</f>
        <v>501</v>
      </c>
      <c r="DK51" s="54">
        <f>SummaryTable[[#This Row],[BudgetIncreaseAmount13]]/SummaryTable[[#This Row],[OriginalBudget12]]</f>
        <v>0.56418918918918914</v>
      </c>
      <c r="DL51" s="61">
        <f>IF(COUNTIFS(allFYsTable[Code], SummaryTable[[#This Row],[Code]], allFYsTable[year2], DI$3)=0, NotFound, SUMIFS(allFYsTable[RevisedBudget], allFYsTable[Code], SummaryTable[[#This Row],[Code]], allFYsTable[year2], DI$3))</f>
        <v>1139</v>
      </c>
      <c r="DM51" s="61">
        <f>IF(COUNTIFS(allFYsTable[Code], SummaryTable[[#This Row],[Code]], allFYsTable[year2], DI$3)=0, NotFound, SUMIFS(allFYsTable[Actual], allFYsTable[Code], SummaryTable[[#This Row],[Code]], allFYsTable[year2], DI$3))</f>
        <v>1128</v>
      </c>
      <c r="DN51" s="61">
        <f>IF(COUNTIFS(allFYsTable[Code], SummaryTable[[#This Row],[Code]], allFYsTable[year2], DI$3)=0, NotFound, SUMIFS(allFYsTable[DiffAmount], allFYsTable[Code], SummaryTable[[#This Row],[Code]], allFYsTable[year2], DI$3))</f>
        <v>-261</v>
      </c>
      <c r="DO51" s="63">
        <f>IF(SummaryTable[[#This Row],[OriginalBudget13]]=0, IF(SummaryTable[[#This Row],[DiffAmount13]]=0, ZeroBudgetNoSpending, ZeroBudgetWithSpending), SummaryTable[[#This Row],[DiffAmount13]]/SummaryTable[[#This Row],[OriginalBudget13]])</f>
        <v>-0.18790496760259179</v>
      </c>
      <c r="DP51" s="62">
        <f>IF(COUNTIFS(allFYsTable[Code], SummaryTable[[#This Row],[Code]], allFYsTable[year2], DP$3)=0, NotFound, SUMIFS(allFYsTable[OriginalBudget], allFYsTable[Code], SummaryTable[[#This Row],[Code]], allFYsTable[year2], DP$3))</f>
        <v>888</v>
      </c>
      <c r="DQ51" s="61">
        <f>SummaryTable[[#This Row],[OriginalBudget12]]-SummaryTable[[#This Row],[OriginalBudget11]]</f>
        <v>120</v>
      </c>
      <c r="DR51" s="54">
        <f>SummaryTable[[#This Row],[BudgetIncreaseAmount12]]/SummaryTable[[#This Row],[OriginalBudget11]]</f>
        <v>0.15625</v>
      </c>
      <c r="DS51" s="61">
        <f>IF(COUNTIFS(allFYsTable[Code], SummaryTable[[#This Row],[Code]], allFYsTable[year2], DP$3)=0, NotFound, SUMIFS(allFYsTable[RevisedBudget], allFYsTable[Code], SummaryTable[[#This Row],[Code]], allFYsTable[year2], DP$3))</f>
        <v>888</v>
      </c>
      <c r="DT51" s="61">
        <f>IF(COUNTIFS(allFYsTable[Code], SummaryTable[[#This Row],[Code]], allFYsTable[year2], DP$3)=0, NotFound, SUMIFS(allFYsTable[Actual], allFYsTable[Code], SummaryTable[[#This Row],[Code]], allFYsTable[year2], DP$3))</f>
        <v>888</v>
      </c>
      <c r="DU51" s="61">
        <f>IF(COUNTIFS(allFYsTable[Code], SummaryTable[[#This Row],[Code]], allFYsTable[year2], DP$3)=0, NotFound, SUMIFS(allFYsTable[DiffAmount], allFYsTable[Code], SummaryTable[[#This Row],[Code]], allFYsTable[year2], DP$3))</f>
        <v>0</v>
      </c>
      <c r="DV51" s="63">
        <f>IF(SummaryTable[[#This Row],[OriginalBudget12]]=0, IF(SummaryTable[[#This Row],[DiffAmount12]]=0, ZeroBudgetNoSpending, ZeroBudgetWithSpending), SummaryTable[[#This Row],[DiffAmount12]]/SummaryTable[[#This Row],[OriginalBudget12]])</f>
        <v>0</v>
      </c>
      <c r="DW51" s="62">
        <f>IF(COUNTIFS(allFYsTable[Code], SummaryTable[[#This Row],[Code]], allFYsTable[year2], DW$3)=0, NotFound, SUMIFS(allFYsTable[OriginalBudget], allFYsTable[Code], SummaryTable[[#This Row],[Code]], allFYsTable[year2], DW$3))</f>
        <v>768</v>
      </c>
      <c r="DX51" s="61">
        <f>SummaryTable[[#This Row],[OriginalBudget11]]-SummaryTable[[#This Row],[OriginalBudget10]]</f>
        <v>-48</v>
      </c>
      <c r="DY51" s="54">
        <f>SummaryTable[[#This Row],[BudgetIncreaseAmount11]]/SummaryTable[[#This Row],[OriginalBudget10]]</f>
        <v>-5.8823529411764705E-2</v>
      </c>
      <c r="DZ51" s="61">
        <f>IF(COUNTIFS(allFYsTable[Code], SummaryTable[[#This Row],[Code]], allFYsTable[year2], DW$3)=0, NotFound, SUMIFS(allFYsTable[RevisedBudget], allFYsTable[Code], SummaryTable[[#This Row],[Code]], allFYsTable[year2], DW$3))</f>
        <v>768</v>
      </c>
      <c r="EA51" s="61">
        <f>IF(COUNTIFS(allFYsTable[Code], SummaryTable[[#This Row],[Code]], allFYsTable[year2], DW$3)=0, NotFound, SUMIFS(allFYsTable[Actual], allFYsTable[Code], SummaryTable[[#This Row],[Code]], allFYsTable[year2], DW$3))</f>
        <v>630</v>
      </c>
      <c r="EB51" s="61">
        <f>IF(COUNTIFS(allFYsTable[Code], SummaryTable[[#This Row],[Code]], allFYsTable[year2], DW$3)=0, NotFound, SUMIFS(allFYsTable[DiffAmount], allFYsTable[Code], SummaryTable[[#This Row],[Code]], allFYsTable[year2], DW$3))</f>
        <v>-138</v>
      </c>
      <c r="EC51" s="63">
        <f>IF(SummaryTable[[#This Row],[OriginalBudget11]]=0, IF(SummaryTable[[#This Row],[DiffAmount11]]=0, ZeroBudgetNoSpending, ZeroBudgetWithSpending), SummaryTable[[#This Row],[DiffAmount11]]/SummaryTable[[#This Row],[OriginalBudget11]])</f>
        <v>-0.1796875</v>
      </c>
      <c r="ED51" s="62">
        <f>IF(COUNTIFS(allFYsTable[Code], SummaryTable[[#This Row],[Code]], allFYsTable[year2], ED$3)=0, NotFound, SUMIFS(allFYsTable[OriginalBudget], allFYsTable[Code], SummaryTable[[#This Row],[Code]], allFYsTable[year2], ED$3))</f>
        <v>816</v>
      </c>
      <c r="EE51" s="61">
        <f>SummaryTable[[#This Row],[OriginalBudget10]]-SummaryTable[[#This Row],[OriginalBudget09]]</f>
        <v>37</v>
      </c>
      <c r="EF51" s="54">
        <f>SummaryTable[[#This Row],[BudgetIncreaseAmount10]]/SummaryTable[[#This Row],[OriginalBudget09]]</f>
        <v>4.7496790757381259E-2</v>
      </c>
      <c r="EG51" s="61">
        <f>IF(COUNTIFS(allFYsTable[Code], SummaryTable[[#This Row],[Code]], allFYsTable[year2], ED$3)=0, NotFound, SUMIFS(allFYsTable[RevisedBudget], allFYsTable[Code], SummaryTable[[#This Row],[Code]], allFYsTable[year2], ED$3))</f>
        <v>816</v>
      </c>
      <c r="EH51" s="61">
        <f>IF(COUNTIFS(allFYsTable[Code], SummaryTable[[#This Row],[Code]], allFYsTable[year2], ED$3)=0, NotFound, SUMIFS(allFYsTable[Actual], allFYsTable[Code], SummaryTable[[#This Row],[Code]], allFYsTable[year2], ED$3))</f>
        <v>794</v>
      </c>
      <c r="EI51" s="61">
        <f>IF(COUNTIFS(allFYsTable[Code], SummaryTable[[#This Row],[Code]], allFYsTable[year2], ED$3)=0, NotFound, SUMIFS(allFYsTable[DiffAmount], allFYsTable[Code], SummaryTable[[#This Row],[Code]], allFYsTable[year2], ED$3))</f>
        <v>-22</v>
      </c>
      <c r="EJ51" s="63">
        <f>IF(SummaryTable[[#This Row],[OriginalBudget10]]=0, IF(SummaryTable[[#This Row],[DiffAmount10]]=0, ZeroBudgetNoSpending, ZeroBudgetWithSpending), SummaryTable[[#This Row],[DiffAmount10]]/SummaryTable[[#This Row],[OriginalBudget10]])</f>
        <v>-2.6960784313725492E-2</v>
      </c>
      <c r="EK51" s="62">
        <f>IF(COUNTIFS(allFYsTable[Code], SummaryTable[[#This Row],[Code]], allFYsTable[year2], EK$3)=0, NotFound, SUMIFS(allFYsTable[OriginalBudget], allFYsTable[Code], SummaryTable[[#This Row],[Code]], allFYsTable[year2], EK$3))</f>
        <v>779</v>
      </c>
      <c r="EL51" s="61">
        <f>SummaryTable[[#This Row],[OriginalBudget09]]-SummaryTable[[#This Row],[OriginalBudget08]]</f>
        <v>56</v>
      </c>
      <c r="EM51" s="54">
        <f>SummaryTable[[#This Row],[BudgetIncreaseAmount09]]/SummaryTable[[#This Row],[OriginalBudget08]]</f>
        <v>7.7455048409405258E-2</v>
      </c>
      <c r="EN51" s="61">
        <f>IF(COUNTIFS(allFYsTable[Code], SummaryTable[[#This Row],[Code]], allFYsTable[year2], EK$3)=0, NotFound, SUMIFS(allFYsTable[RevisedBudget], allFYsTable[Code], SummaryTable[[#This Row],[Code]], allFYsTable[year2], EK$3))</f>
        <v>779</v>
      </c>
      <c r="EO51" s="61">
        <f>IF(COUNTIFS(allFYsTable[Code], SummaryTable[[#This Row],[Code]], allFYsTable[year2], EK$3)=0, NotFound, SUMIFS(allFYsTable[Actual], allFYsTable[Code], SummaryTable[[#This Row],[Code]], allFYsTable[year2], EK$3))</f>
        <v>582</v>
      </c>
      <c r="EP51" s="61">
        <f>IF(COUNTIFS(allFYsTable[Code], SummaryTable[[#This Row],[Code]], allFYsTable[year2], EK$3)=0, NotFound, SUMIFS(allFYsTable[DiffAmount], allFYsTable[Code], SummaryTable[[#This Row],[Code]], allFYsTable[year2], EK$3))</f>
        <v>-197</v>
      </c>
      <c r="EQ51" s="63">
        <f>IF(SummaryTable[[#This Row],[OriginalBudget09]]=0, IF(SummaryTable[[#This Row],[DiffAmount09]]=0, ZeroBudgetNoSpending, ZeroBudgetWithSpending), SummaryTable[[#This Row],[DiffAmount09]]/SummaryTable[[#This Row],[OriginalBudget09]])</f>
        <v>-0.25288831835686776</v>
      </c>
      <c r="ER51" s="62">
        <f>IF(COUNTIFS(allFYsTable[Code], SummaryTable[[#This Row],[Code]], allFYsTable[year2], ER$3)=0, NotFound, SUMIFS(allFYsTable[OriginalBudget], allFYsTable[Code], SummaryTable[[#This Row],[Code]], allFYsTable[year2], ER$3))</f>
        <v>723</v>
      </c>
      <c r="ES51" s="61">
        <f>SummaryTable[[#This Row],[OriginalBudget08]]-SummaryTable[[#This Row],[OriginalBudget07]]</f>
        <v>23</v>
      </c>
      <c r="ET51" s="54">
        <f>SummaryTable[[#This Row],[BudgetIncreaseAmount08]]/SummaryTable[[#This Row],[OriginalBudget07]]</f>
        <v>3.2857142857142856E-2</v>
      </c>
      <c r="EU51" s="61">
        <f>IF(COUNTIFS(allFYsTable[Code], SummaryTable[[#This Row],[Code]], allFYsTable[year2], ER$3)=0, NotFound, SUMIFS(allFYsTable[RevisedBudget], allFYsTable[Code], SummaryTable[[#This Row],[Code]], allFYsTable[year2], ER$3))</f>
        <v>623</v>
      </c>
      <c r="EV51" s="61">
        <f>IF(COUNTIFS(allFYsTable[Code], SummaryTable[[#This Row],[Code]], allFYsTable[year2], ER$3)=0, NotFound, SUMIFS(allFYsTable[Actual], allFYsTable[Code], SummaryTable[[#This Row],[Code]], allFYsTable[year2], ER$3))</f>
        <v>583</v>
      </c>
      <c r="EW51" s="61">
        <f>IF(COUNTIFS(allFYsTable[Code], SummaryTable[[#This Row],[Code]], allFYsTable[year2], ER$3)=0, NotFound, SUMIFS(allFYsTable[DiffAmount], allFYsTable[Code], SummaryTable[[#This Row],[Code]], allFYsTable[year2], ER$3))</f>
        <v>-140</v>
      </c>
      <c r="EX51" s="63">
        <f>IF(SummaryTable[[#This Row],[OriginalBudget08]]=0, IF(SummaryTable[[#This Row],[DiffAmount08]]=0, ZeroBudgetNoSpending, ZeroBudgetWithSpending), SummaryTable[[#This Row],[DiffAmount08]]/SummaryTable[[#This Row],[OriginalBudget08]])</f>
        <v>-0.19363762102351315</v>
      </c>
      <c r="EY51" s="62">
        <f>IF(COUNTIFS(allFYsTable[Code], SummaryTable[[#This Row],[Code]], allFYsTable[year2], EY$3)=0, NotFound, SUMIFS(allFYsTable[OriginalBudget], allFYsTable[Code], SummaryTable[[#This Row],[Code]], allFYsTable[year2], EY$3))</f>
        <v>700</v>
      </c>
      <c r="EZ51" s="61">
        <f>SummaryTable[[#This Row],[OriginalBudget07]]-SummaryTable[[#This Row],[OriginalBudget06]]</f>
        <v>38</v>
      </c>
      <c r="FA51" s="54">
        <f>SummaryTable[[#This Row],[BudgetIncreaseAmount07]]/SummaryTable[[#This Row],[OriginalBudget06]]</f>
        <v>5.7401812688821753E-2</v>
      </c>
      <c r="FB51" s="61">
        <f>IF(COUNTIFS(allFYsTable[Code], SummaryTable[[#This Row],[Code]], allFYsTable[year2], EY$3)=0, NotFound, SUMIFS(allFYsTable[RevisedBudget], allFYsTable[Code], SummaryTable[[#This Row],[Code]], allFYsTable[year2], EY$3))</f>
        <v>716</v>
      </c>
      <c r="FC51" s="61">
        <f>IF(COUNTIFS(allFYsTable[Code], SummaryTable[[#This Row],[Code]], allFYsTable[year2], EY$3)=0, NotFound, SUMIFS(allFYsTable[Actual], allFYsTable[Code], SummaryTable[[#This Row],[Code]], allFYsTable[year2], EY$3))</f>
        <v>643</v>
      </c>
      <c r="FD51" s="61">
        <f>IF(COUNTIFS(allFYsTable[Code], SummaryTable[[#This Row],[Code]], allFYsTable[year2], EY$3)=0, NotFound, SUMIFS(allFYsTable[DiffAmount], allFYsTable[Code], SummaryTable[[#This Row],[Code]], allFYsTable[year2], EY$3))</f>
        <v>-57</v>
      </c>
      <c r="FE51" s="63">
        <f>IF(SummaryTable[[#This Row],[OriginalBudget07]]=0, IF(SummaryTable[[#This Row],[DiffAmount07]]=0, ZeroBudgetNoSpending, ZeroBudgetWithSpending), SummaryTable[[#This Row],[DiffAmount07]]/SummaryTable[[#This Row],[OriginalBudget07]])</f>
        <v>-8.1428571428571433E-2</v>
      </c>
      <c r="FF51" s="62">
        <f>IF(COUNTIFS(allFYsTable[Code], SummaryTable[[#This Row],[Code]], allFYsTable[year2], FF$3)=0, NotFound, SUMIFS(allFYsTable[OriginalBudget], allFYsTable[Code], SummaryTable[[#This Row],[Code]], allFYsTable[year2], FF$3))</f>
        <v>662</v>
      </c>
      <c r="FI51" s="61">
        <f>IF(COUNTIFS(allFYsTable[Code], SummaryTable[[#This Row],[Code]], allFYsTable[year2], FF$3)=0, NotFound, SUMIFS(allFYsTable[RevisedBudget], allFYsTable[Code], SummaryTable[[#This Row],[Code]], allFYsTable[year2], FF$3))</f>
        <v>662</v>
      </c>
      <c r="FJ51" s="61">
        <f>IF(COUNTIFS(allFYsTable[Code], SummaryTable[[#This Row],[Code]], allFYsTable[year2], FF$3)=0, NotFound, SUMIFS(allFYsTable[Actual], allFYsTable[Code], SummaryTable[[#This Row],[Code]], allFYsTable[year2], FF$3))</f>
        <v>651</v>
      </c>
      <c r="FK51" s="61">
        <f>IF(COUNTIFS(allFYsTable[Code], SummaryTable[[#This Row],[Code]], allFYsTable[year2], FF$3)=0, NotFound, SUMIFS(allFYsTable[DiffAmount], allFYsTable[Code], SummaryTable[[#This Row],[Code]], allFYsTable[year2], FF$3))</f>
        <v>-11</v>
      </c>
      <c r="FL51" s="63">
        <f>IF(SummaryTable[[#This Row],[OriginalBudget06]]=0, IF(SummaryTable[[#This Row],[DiffAmount06]]=0, ZeroBudgetNoSpending, ZeroBudgetWithSpending), SummaryTable[[#This Row],[DiffAmount06]]/SummaryTable[[#This Row],[OriginalBudget06]])</f>
        <v>-1.6616314199395771E-2</v>
      </c>
    </row>
    <row r="52" spans="1:168" x14ac:dyDescent="0.45">
      <c r="A52" t="s">
        <v>776</v>
      </c>
      <c r="B52">
        <f>_xlfn.MAXIFS(allFYsTable[year2], allFYsTable[Code], SummaryTable[[#This Row],[Code]])</f>
        <v>2025</v>
      </c>
      <c r="C52" t="str">
        <f>_xlfn.XLOOKUP(SummaryTable[[#This Row],[Code]], NameCodingTable[Code], NameCodingTable[Most Recent Category per allFYs])</f>
        <v>Public education system</v>
      </c>
      <c r="D52" t="str">
        <f>_xlfn.XLOOKUP(SummaryTable[[#This Row],[Code]], NameCodingTable[Code], NameCodingTable[Unit Display Name])</f>
        <v>District of Columbia State Athletics Commission</v>
      </c>
      <c r="E52" t="str">
        <f>_xlfn.XLOOKUP(SummaryTable[[#This Row],[Code]], NameCodingTable[Code], NameCodingTable[Type])</f>
        <v>agency</v>
      </c>
      <c r="F5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7</v>
      </c>
      <c r="G5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52" s="54">
        <f>SummaryTable[[#This Row],['# Over]]/SummaryTable[[#This Row],[Count]]</f>
        <v>0</v>
      </c>
      <c r="I5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6</v>
      </c>
      <c r="J52" s="54">
        <f>SummaryTable[[#This Row],['# Under]]/SummaryTable[[#This Row],[Count]]</f>
        <v>0.8571428571428571</v>
      </c>
      <c r="K5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52" s="54">
        <f>SummaryTable[[#This Row],['# Equal]]/SummaryTable[[#This Row],[Count]]</f>
        <v>0.14285714285714285</v>
      </c>
      <c r="M52" s="61">
        <f>SUMIFS(allFYsTable[OriginalBudget],allFYsTable[Code],SummaryTable[[#This Row],[Code]])/SummaryTable[[#This Row],[Count]]</f>
        <v>1271</v>
      </c>
      <c r="N52" s="61">
        <f>SUMIFS(allFYsTable[Actual],allFYsTable[Code],SummaryTable[[#This Row],[Code]])/SummaryTable[[#This Row],[Count]]</f>
        <v>1226.4285714285713</v>
      </c>
      <c r="O52" s="61">
        <f>SummaryTable[[#This Row],[AvgActAmt]]-SummaryTable[[#This Row],[AvgBudAmt]]</f>
        <v>-44.571428571428669</v>
      </c>
      <c r="P52" s="54">
        <f>IF(SummaryTable[[#This Row],[AvgBudAmt]]=0, IF(SummaryTable[[#This Row],[AvgDiff'#]]=0, 0, NamedFields!$C$3), SummaryTable[[#This Row],[AvgDiff'#]]/SummaryTable[[#This Row],[AvgBudAmt]])</f>
        <v>-3.5068000449589826E-2</v>
      </c>
      <c r="Q52" s="61">
        <f>IFERROR(SUMIFS(allFYsTable[OriginalBudget],allFYsTable[Code],SummaryTable[[#This Row],[Code]],allFYsTable[DiffAmount], "&gt;0")/SummaryTable[[#This Row],['# Over]], 0)</f>
        <v>0</v>
      </c>
      <c r="R52" s="61">
        <f>IFERROR(SUMIFS(allFYsTable[Actual],allFYsTable[Code],SummaryTable[[#This Row],[Code]],allFYsTable[DiffAmount], "&gt;0")/SummaryTable[[#This Row],['# Over]], 0)</f>
        <v>0</v>
      </c>
      <c r="S52" s="61">
        <f>SummaryTable[[#This Row],[OverAvgAct]]-SummaryTable[[#This Row],[OverAvgBud]]</f>
        <v>0</v>
      </c>
      <c r="T52" s="54">
        <f>IF(SummaryTable[[#This Row],[OverAvgBud]]=0, IF(SummaryTable[[#This Row],[OverAvgDiff'#]]=0, ZeroBudgetNoSpending, ZeroBudgetWithSpending), SummaryTable[[#This Row],[OverAvgDiff'#]]/SummaryTable[[#This Row],[OverAvgBud]])</f>
        <v>0</v>
      </c>
      <c r="U52" s="61">
        <f>IFERROR(SUMIFS(allFYsTable[OriginalBudget],allFYsTable[Code],SummaryTable[[#This Row],[Code]],allFYsTable[DiffAmount], "&lt;0")/SummaryTable[[#This Row],['# Under]], 0)</f>
        <v>1284.6666666666667</v>
      </c>
      <c r="V52" s="61">
        <f>IFERROR( SUMIFS(allFYsTable[Actual],allFYsTable[Code],SummaryTable[[#This Row],[Code]],allFYsTable[DiffAmount], "&lt;0")/SummaryTable[[#This Row],['# Under]], 0)</f>
        <v>1232.6666666666667</v>
      </c>
      <c r="W52" s="61">
        <f>SummaryTable[[#This Row],[UnderAvgAct]]-SummaryTable[[#This Row],[UnderAvgBud]]</f>
        <v>-52</v>
      </c>
      <c r="X52" s="54">
        <f>IF(SummaryTable[[#This Row],[UnderAvgBud]]=0, IF(SummaryTable[[#This Row],[UnderAvgDiff'#]]=0, ZeroBudgetNoSpending, NamedFields!$C$3), SummaryTable[[#This Row],[UnderAvgDiff'#]]/SummaryTable[[#This Row],[UnderAvgBud]])</f>
        <v>-4.0477426050856254E-2</v>
      </c>
      <c r="Y5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5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2" s="54">
        <f>IF(SummaryTable[[#This Row],[IncreaseYears]]=0, ZeroBudgetNoSpending, SummaryTable[[#This Row],[OSinIncreaseYear'#]]/SummaryTable[[#This Row],[IncreaseYears]])</f>
        <v>0</v>
      </c>
      <c r="AB52" s="58" t="str">
        <f>SummaryTable[[#This Row],[Code]]</f>
        <v>GL0</v>
      </c>
      <c r="AC52" s="62">
        <f>IF(COUNTIFS(allFYsTable[Code], SummaryTable[[#This Row],[Code]], allFYsTable[year2], AC$3)=0, NotFound, SUMIFS(allFYsTable[OriginalBudget], allFYsTable[Code], SummaryTable[[#This Row],[Code]], allFYsTable[year2], AC$3))</f>
        <v>1488</v>
      </c>
      <c r="AD52" s="61">
        <f>SummaryTable[[#This Row],[OriginalBudget25]]-SummaryTable[[#This Row],[OriginalBudget24]]</f>
        <v>66</v>
      </c>
      <c r="AE52" s="54">
        <f>SummaryTable[[#This Row],[BudgetIncreaseAmount25]]/SummaryTable[[#This Row],[OriginalBudget24]]</f>
        <v>4.6413502109704644E-2</v>
      </c>
      <c r="AF52" s="61">
        <f>IF(COUNTIFS(allFYsTable[Code], SummaryTable[[#This Row],[Code]], allFYsTable[year2], AC$3)=0, NotFound, SUMIFS(allFYsTable[RevisedBudget], allFYsTable[Code], SummaryTable[[#This Row],[Code]], allFYsTable[year2], AC$3))</f>
        <v>1488</v>
      </c>
      <c r="AG52" s="61">
        <f>IF(COUNTIFS(allFYsTable[Code], SummaryTable[[#This Row],[Code]], allFYsTable[year2], AC$3)=0, NotFound, SUMIFS(allFYsTable[Actual], allFYsTable[Code], SummaryTable[[#This Row],[Code]], allFYsTable[year2], AC$3))</f>
        <v>1486</v>
      </c>
      <c r="AH52" s="61">
        <f>IF(COUNTIFS(allFYsTable[Code], SummaryTable[[#This Row],[Code]], allFYsTable[year2], AC$3)=0, NotFound, SUMIFS(allFYsTable[DiffAmount], allFYsTable[Code], SummaryTable[[#This Row],[Code]], allFYsTable[year2], AC$3))</f>
        <v>-2</v>
      </c>
      <c r="AI52" s="63">
        <f>IF(SummaryTable[[#This Row],[OriginalBudget25]]=0, IF(SummaryTable[[#This Row],[DiffAmount25]]=0, ZeroBudgetNoSpending, ZeroBudgetWithSpending), SummaryTable[[#This Row],[DiffAmount25]]/SummaryTable[[#This Row],[OriginalBudget25]])</f>
        <v>-1.3440860215053765E-3</v>
      </c>
      <c r="AJ52" s="62">
        <f>IF(COUNTIFS(allFYsTable[Code], SummaryTable[[#This Row],[Code]], allFYsTable[year2], AJ$3)=0, NotFound, SUMIFS(allFYsTable[OriginalBudget], allFYsTable[Code], SummaryTable[[#This Row],[Code]], allFYsTable[year2], AJ$3))</f>
        <v>1422</v>
      </c>
      <c r="AK52" s="61">
        <f>SummaryTable[[#This Row],[OriginalBudget24]]-SummaryTable[[#This Row],[OriginalBudget23]]</f>
        <v>180</v>
      </c>
      <c r="AL52" s="54">
        <f>SummaryTable[[#This Row],[BudgetIncreaseAmount24]]/SummaryTable[[#This Row],[OriginalBudget23]]</f>
        <v>0.14492753623188406</v>
      </c>
      <c r="AM52" s="61">
        <f>IF(COUNTIFS(allFYsTable[Code], SummaryTable[[#This Row],[Code]], allFYsTable[year2], AK$3)=0, NotFound, SUMIFS(allFYsTable[RevisedBudget], allFYsTable[Code], SummaryTable[[#This Row],[Code]], allFYsTable[year2], AJ$3))</f>
        <v>1342</v>
      </c>
      <c r="AN52" s="61">
        <f>IF(COUNTIFS(allFYsTable[Code], SummaryTable[[#This Row],[Code]], allFYsTable[year2], AJ$3)=0, NotFound, SUMIFS(allFYsTable[Actual], allFYsTable[Code], SummaryTable[[#This Row],[Code]], allFYsTable[year2], AJ$3))</f>
        <v>1339</v>
      </c>
      <c r="AO52" s="61">
        <f>IF(COUNTIFS(allFYsTable[Code], SummaryTable[[#This Row],[Code]], allFYsTable[year2], AJ$3)=0, NotFound, SUMIFS(allFYsTable[DiffAmount], allFYsTable[Code], SummaryTable[[#This Row],[Code]], allFYsTable[year2], AJ$3))</f>
        <v>-83</v>
      </c>
      <c r="AP52" s="63">
        <f>IF(SummaryTable[[#This Row],[OriginalBudget24]]=0, IF(SummaryTable[[#This Row],[DiffAmount24]]=0, ZeroBudgetNoSpending, ZeroBudgetWithSpending), SummaryTable[[#This Row],[DiffAmount24]]/SummaryTable[[#This Row],[OriginalBudget24]])</f>
        <v>-5.8368495077355836E-2</v>
      </c>
      <c r="AQ52" s="62">
        <f>IF(COUNTIFS(allFYsTable[Code], SummaryTable[[#This Row],[Code]], allFYsTable[year2], AQ$3)=0, NotFound, SUMIFS(allFYsTable[OriginalBudget], allFYsTable[Code], SummaryTable[[#This Row],[Code]], allFYsTable[year2], AQ$3))</f>
        <v>1242</v>
      </c>
      <c r="AR52" s="61">
        <f>SummaryTable[[#This Row],[OriginalBudget23]]-SummaryTable[[#This Row],[OriginalBudget22]]</f>
        <v>72</v>
      </c>
      <c r="AS52" s="54">
        <f>SummaryTable[[#This Row],[BudgetIncreaseAmount23]]/SummaryTable[[#This Row],[OriginalBudget22]]</f>
        <v>6.1538461538461542E-2</v>
      </c>
      <c r="AT52" s="61">
        <f>IF(COUNTIFS(allFYsTable[Code], SummaryTable[[#This Row],[Code]], allFYsTable[year2], AQ$3)=0, NotFound, SUMIFS(allFYsTable[RevisedBudget], allFYsTable[Code], SummaryTable[[#This Row],[Code]], allFYsTable[year2], AQ$3))</f>
        <v>1242</v>
      </c>
      <c r="AU52" s="61">
        <f>IF(COUNTIFS(allFYsTable[Code], SummaryTable[[#This Row],[Code]], allFYsTable[year2], AQ$3)=0, NotFound, SUMIFS(allFYsTable[Actual], allFYsTable[Code], SummaryTable[[#This Row],[Code]], allFYsTable[year2], AQ$3))</f>
        <v>1227</v>
      </c>
      <c r="AV52" s="61">
        <f>IF(COUNTIFS(allFYsTable[Code], SummaryTable[[#This Row],[Code]], allFYsTable[year2], AQ$3)=0, NotFound, SUMIFS(allFYsTable[DiffAmount], allFYsTable[Code], SummaryTable[[#This Row],[Code]], allFYsTable[year2], AQ$3))</f>
        <v>-15</v>
      </c>
      <c r="AW52" s="63">
        <f>IF(SummaryTable[[#This Row],[OriginalBudget23]]=0, IF(SummaryTable[[#This Row],[DiffAmount23]]=0, ZeroBudgetNoSpending, ZeroBudgetWithSpending), SummaryTable[[#This Row],[DiffAmount23]]/SummaryTable[[#This Row],[OriginalBudget23]])</f>
        <v>-1.2077294685990338E-2</v>
      </c>
      <c r="AX52" s="62">
        <f>IF(COUNTIFS(allFYsTable[Code], SummaryTable[[#This Row],[Code]], allFYsTable[year2], AX$3)=0, NotFound, SUMIFS(allFYsTable[OriginalBudget], allFYsTable[Code], SummaryTable[[#This Row],[Code]], allFYsTable[year2], AX$3))</f>
        <v>1170</v>
      </c>
      <c r="AY52" s="61">
        <f>SummaryTable[[#This Row],[OriginalBudget22]]-SummaryTable[[#This Row],[OriginalBudget21]]</f>
        <v>-16</v>
      </c>
      <c r="AZ52" s="54">
        <f>SummaryTable[[#This Row],[BudgetIncreaseAmount22]]/SummaryTable[[#This Row],[OriginalBudget21]]</f>
        <v>-1.3490725126475547E-2</v>
      </c>
      <c r="BA52" s="61">
        <f>IF(COUNTIFS(allFYsTable[Code], SummaryTable[[#This Row],[Code]], allFYsTable[year2], AX$3)=0, NotFound, SUMIFS(allFYsTable[RevisedBudget], allFYsTable[Code], SummaryTable[[#This Row],[Code]], allFYsTable[year2], AX$3))</f>
        <v>1090</v>
      </c>
      <c r="BB52" s="61">
        <f>IF(COUNTIFS(allFYsTable[Code], SummaryTable[[#This Row],[Code]], allFYsTable[year2], AX$3)=0, NotFound, SUMIFS(allFYsTable[Actual], allFYsTable[Code], SummaryTable[[#This Row],[Code]], allFYsTable[year2], AX$3))</f>
        <v>1090</v>
      </c>
      <c r="BC52" s="61">
        <f>IF(COUNTIFS(allFYsTable[Code], SummaryTable[[#This Row],[Code]], allFYsTable[year2], AX$3)=0, NotFound, SUMIFS(allFYsTable[DiffAmount], allFYsTable[Code], SummaryTable[[#This Row],[Code]], allFYsTable[year2], AX$3))</f>
        <v>-80</v>
      </c>
      <c r="BD52" s="63">
        <f>IF(SummaryTable[[#This Row],[OriginalBudget22]]=0, IF(SummaryTable[[#This Row],[DiffAmount22]]=0, ZeroBudgetNoSpending, ZeroBudgetWithSpending), SummaryTable[[#This Row],[DiffAmount22]]/SummaryTable[[#This Row],[OriginalBudget22]])</f>
        <v>-6.8376068376068383E-2</v>
      </c>
      <c r="BE52" s="62">
        <f>IF(COUNTIFS(allFYsTable[Code], SummaryTable[[#This Row],[Code]], allFYsTable[year2], BE$3)=0, NotFound, SUMIFS(allFYsTable[OriginalBudget], allFYsTable[Code], SummaryTable[[#This Row],[Code]], allFYsTable[year2], BE$3))</f>
        <v>1186</v>
      </c>
      <c r="BF52" s="61">
        <f>SummaryTable[[#This Row],[OriginalBudget21]]-SummaryTable[[#This Row],[OriginalBudget20]]</f>
        <v>-14</v>
      </c>
      <c r="BG52" s="54">
        <f>SummaryTable[[#This Row],[BudgetIncreaseAmount21]]/SummaryTable[[#This Row],[OriginalBudget20]]</f>
        <v>-1.1666666666666667E-2</v>
      </c>
      <c r="BH52" s="61">
        <f>IF(COUNTIFS(allFYsTable[Code], SummaryTable[[#This Row],[Code]], allFYsTable[year2], BE$3)=0, NotFound, SUMIFS(allFYsTable[RevisedBudget], allFYsTable[Code], SummaryTable[[#This Row],[Code]], allFYsTable[year2], BE$3))</f>
        <v>1106</v>
      </c>
      <c r="BI52" s="61">
        <f>IF(COUNTIFS(allFYsTable[Code], SummaryTable[[#This Row],[Code]], allFYsTable[year2], BE$3)=0, NotFound, SUMIFS(allFYsTable[Actual], allFYsTable[Code], SummaryTable[[#This Row],[Code]], allFYsTable[year2], BE$3))</f>
        <v>1079</v>
      </c>
      <c r="BJ52" s="61">
        <f>IF(COUNTIFS(allFYsTable[Code], SummaryTable[[#This Row],[Code]], allFYsTable[year2], BE$3)=0, NotFound, SUMIFS(allFYsTable[DiffAmount], allFYsTable[Code], SummaryTable[[#This Row],[Code]], allFYsTable[year2], BE$3))</f>
        <v>-107</v>
      </c>
      <c r="BK52" s="63">
        <f>IF(SummaryTable[[#This Row],[OriginalBudget21]]=0, IF(SummaryTable[[#This Row],[DiffAmount21]]=0, ZeroBudgetNoSpending, ZeroBudgetWithSpending), SummaryTable[[#This Row],[DiffAmount21]]/SummaryTable[[#This Row],[OriginalBudget21]])</f>
        <v>-9.0219224283305227E-2</v>
      </c>
      <c r="BL52" s="62">
        <f>IF(COUNTIFS(allFYsTable[Code], SummaryTable[[#This Row],[Code]], allFYsTable[year2], BL$3)=0, NotFound, SUMIFS(allFYsTable[OriginalBudget], allFYsTable[Code], SummaryTable[[#This Row],[Code]], allFYsTable[year2], BL$3))</f>
        <v>1200</v>
      </c>
      <c r="BM52" s="61">
        <f>SummaryTable[[#This Row],[OriginalBudget20]]-SummaryTable[[#This Row],[OriginalBudget19]]</f>
        <v>11</v>
      </c>
      <c r="BN52" s="54">
        <f>SummaryTable[[#This Row],[BudgetIncreaseAmount20]]/SummaryTable[[#This Row],[OriginalBudget19]]</f>
        <v>9.2514718250630776E-3</v>
      </c>
      <c r="BO52" s="61">
        <f>IF(COUNTIFS(allFYsTable[Code], SummaryTable[[#This Row],[Code]], allFYsTable[year2], BL$3)=0, NotFound, SUMIFS(allFYsTable[RevisedBudget], allFYsTable[Code], SummaryTable[[#This Row],[Code]], allFYsTable[year2], BL$3))</f>
        <v>1181</v>
      </c>
      <c r="BP52" s="61">
        <f>IF(COUNTIFS(allFYsTable[Code], SummaryTable[[#This Row],[Code]], allFYsTable[year2], BL$3)=0, NotFound, SUMIFS(allFYsTable[Actual], allFYsTable[Code], SummaryTable[[#This Row],[Code]], allFYsTable[year2], BL$3))</f>
        <v>1175</v>
      </c>
      <c r="BQ52" s="61">
        <f>IF(COUNTIFS(allFYsTable[Code], SummaryTable[[#This Row],[Code]], allFYsTable[year2], BL$3)=0, NotFound, SUMIFS(allFYsTable[DiffAmount], allFYsTable[Code], SummaryTable[[#This Row],[Code]], allFYsTable[year2], BL$3))</f>
        <v>-25</v>
      </c>
      <c r="BR52" s="63">
        <f>IF(SummaryTable[[#This Row],[OriginalBudget20]]=0, IF(SummaryTable[[#This Row],[DiffAmount20]]=0, ZeroBudgetNoSpending, ZeroBudgetWithSpending), SummaryTable[[#This Row],[DiffAmount20]]/SummaryTable[[#This Row],[OriginalBudget20]])</f>
        <v>-2.0833333333333332E-2</v>
      </c>
      <c r="BS52" s="62">
        <f>IF(COUNTIFS(allFYsTable[Code], SummaryTable[[#This Row],[Code]], allFYsTable[year2], BS$3)=0, NotFound, SUMIFS(allFYsTable[OriginalBudget], allFYsTable[Code], SummaryTable[[#This Row],[Code]], allFYsTable[year2], BS$3))</f>
        <v>1189</v>
      </c>
      <c r="BT52" s="61" t="e">
        <f>SummaryTable[[#This Row],[OriginalBudget19]]-SummaryTable[[#This Row],[OriginalBudget18]]</f>
        <v>#N/A</v>
      </c>
      <c r="BU52" s="54" t="e">
        <f>SummaryTable[[#This Row],[BudgetIncreaseAmount19]]/SummaryTable[[#This Row],[OriginalBudget18]]</f>
        <v>#N/A</v>
      </c>
      <c r="BV52" s="61">
        <f>IF(COUNTIFS(allFYsTable[Code], SummaryTable[[#This Row],[Code]], allFYsTable[year2], BS$3)=0, NotFound, SUMIFS(allFYsTable[RevisedBudget], allFYsTable[Code], SummaryTable[[#This Row],[Code]], allFYsTable[year2], BS$3))</f>
        <v>1189</v>
      </c>
      <c r="BW52" s="61">
        <f>IF(COUNTIFS(allFYsTable[Code], SummaryTable[[#This Row],[Code]], allFYsTable[year2], BS$3)=0, NotFound, SUMIFS(allFYsTable[Actual], allFYsTable[Code], SummaryTable[[#This Row],[Code]], allFYsTable[year2], BS$3))</f>
        <v>1189</v>
      </c>
      <c r="BX52" s="61">
        <f>IF(COUNTIFS(allFYsTable[Code], SummaryTable[[#This Row],[Code]], allFYsTable[year2], BS$3)=0, NotFound, SUMIFS(allFYsTable[DiffAmount], allFYsTable[Code], SummaryTable[[#This Row],[Code]], allFYsTable[year2], BS$3))</f>
        <v>0</v>
      </c>
      <c r="BY52" s="63">
        <f>IF(SummaryTable[[#This Row],[OriginalBudget19]]=0, IF(SummaryTable[[#This Row],[DiffAmount19]]=0, ZeroBudgetNoSpending, ZeroBudgetWithSpending), SummaryTable[[#This Row],[DiffAmount19]]/SummaryTable[[#This Row],[OriginalBudget19]])</f>
        <v>0</v>
      </c>
      <c r="BZ52" s="62" t="e">
        <f>IF(COUNTIFS(allFYsTable[Code], SummaryTable[[#This Row],[Code]], allFYsTable[year2], BZ$3)=0, NotFound, SUMIFS(allFYsTable[OriginalBudget], allFYsTable[Code], SummaryTable[[#This Row],[Code]], allFYsTable[year2], BZ$3))</f>
        <v>#N/A</v>
      </c>
      <c r="CA52" s="61" t="e">
        <f>SummaryTable[[#This Row],[OriginalBudget18]]-SummaryTable[[#This Row],[OriginalBudget17]]</f>
        <v>#N/A</v>
      </c>
      <c r="CB52" s="54" t="e">
        <f>SummaryTable[[#This Row],[BudgetIncreaseAmount18]]/SummaryTable[[#This Row],[OriginalBudget17]]</f>
        <v>#N/A</v>
      </c>
      <c r="CC52" s="61" t="e">
        <f>IF(COUNTIFS(allFYsTable[Code], SummaryTable[[#This Row],[Code]], allFYsTable[year2], BZ$3)=0, NotFound, SUMIFS(allFYsTable[RevisedBudget], allFYsTable[Code], SummaryTable[[#This Row],[Code]], allFYsTable[year2], BZ$3))</f>
        <v>#N/A</v>
      </c>
      <c r="CD52" s="61" t="e">
        <f>IF(COUNTIFS(allFYsTable[Code], SummaryTable[[#This Row],[Code]], allFYsTable[year2], BZ$3)=0, NotFound, SUMIFS(allFYsTable[Actual], allFYsTable[Code], SummaryTable[[#This Row],[Code]], allFYsTable[year2], BZ$3))</f>
        <v>#N/A</v>
      </c>
      <c r="CE52" s="61" t="e">
        <f>IF(COUNTIFS(allFYsTable[Code], SummaryTable[[#This Row],[Code]], allFYsTable[year2], BZ$3)=0, NotFound, SUMIFS(allFYsTable[DiffAmount], allFYsTable[Code], SummaryTable[[#This Row],[Code]], allFYsTable[year2], BZ$3))</f>
        <v>#N/A</v>
      </c>
      <c r="CF52" s="63" t="e">
        <f>IF(SummaryTable[[#This Row],[OriginalBudget18]]=0, IF(SummaryTable[[#This Row],[DiffAmount18]]=0, ZeroBudgetNoSpending, ZeroBudgetWithSpending), SummaryTable[[#This Row],[DiffAmount18]]/SummaryTable[[#This Row],[OriginalBudget18]])</f>
        <v>#N/A</v>
      </c>
      <c r="CG52" s="62" t="e">
        <f>IF(COUNTIFS(allFYsTable[Code], SummaryTable[[#This Row],[Code]], allFYsTable[year2], CG$3)=0, NotFound, SUMIFS(allFYsTable[OriginalBudget], allFYsTable[Code], SummaryTable[[#This Row],[Code]], allFYsTable[year2], CG$3))</f>
        <v>#N/A</v>
      </c>
      <c r="CH52" s="61" t="e">
        <f>SummaryTable[[#This Row],[OriginalBudget17]]-SummaryTable[[#This Row],[OriginalBudget16]]</f>
        <v>#N/A</v>
      </c>
      <c r="CI52" s="54" t="e">
        <f>SummaryTable[[#This Row],[BudgetIncreaseAmount17]]/SummaryTable[[#This Row],[OriginalBudget16]]</f>
        <v>#N/A</v>
      </c>
      <c r="CJ52" s="61" t="e">
        <f>IF(COUNTIFS(allFYsTable[Code], SummaryTable[[#This Row],[Code]], allFYsTable[year2], CG$3)=0, NotFound, SUMIFS(allFYsTable[RevisedBudget], allFYsTable[Code], SummaryTable[[#This Row],[Code]], allFYsTable[year2], CG$3))</f>
        <v>#N/A</v>
      </c>
      <c r="CK52" s="61" t="e">
        <f>IF(COUNTIFS(allFYsTable[Code], SummaryTable[[#This Row],[Code]], allFYsTable[year2], CG$3)=0, NotFound, SUMIFS(allFYsTable[Actual], allFYsTable[Code], SummaryTable[[#This Row],[Code]], allFYsTable[year2], CG$3))</f>
        <v>#N/A</v>
      </c>
      <c r="CL52" s="61" t="e">
        <f>IF(COUNTIFS(allFYsTable[Code], SummaryTable[[#This Row],[Code]], allFYsTable[year2], CG$3)=0, NotFound, SUMIFS(allFYsTable[DiffAmount], allFYsTable[Code], SummaryTable[[#This Row],[Code]], allFYsTable[year2], CG$3))</f>
        <v>#N/A</v>
      </c>
      <c r="CM52" s="63" t="e">
        <f>IF(SummaryTable[[#This Row],[OriginalBudget17]]=0, IF(SummaryTable[[#This Row],[DiffAmount17]]=0, ZeroBudgetNoSpending, ZeroBudgetWithSpending), SummaryTable[[#This Row],[DiffAmount17]]/SummaryTable[[#This Row],[OriginalBudget17]])</f>
        <v>#N/A</v>
      </c>
      <c r="CN52" s="62" t="e">
        <f>IF(COUNTIFS(allFYsTable[Code], SummaryTable[[#This Row],[Code]], allFYsTable[year2], CN$3)=0, NotFound, SUMIFS(allFYsTable[OriginalBudget], allFYsTable[Code], SummaryTable[[#This Row],[Code]], allFYsTable[year2], CN$3))</f>
        <v>#N/A</v>
      </c>
      <c r="CO52" s="61" t="e">
        <f>SummaryTable[[#This Row],[OriginalBudget16]]-SummaryTable[[#This Row],[OriginalBudget15]]</f>
        <v>#N/A</v>
      </c>
      <c r="CP52" s="54" t="e">
        <f>SummaryTable[[#This Row],[BudgetIncreaseAmount16]]/SummaryTable[[#This Row],[OriginalBudget15]]</f>
        <v>#N/A</v>
      </c>
      <c r="CQ52" s="61" t="e">
        <f>IF(COUNTIFS(allFYsTable[Code], SummaryTable[[#This Row],[Code]], allFYsTable[year2], CN$3)=0, NotFound, SUMIFS(allFYsTable[RevisedBudget], allFYsTable[Code], SummaryTable[[#This Row],[Code]], allFYsTable[year2], CN$3))</f>
        <v>#N/A</v>
      </c>
      <c r="CR52" s="61" t="e">
        <f>IF(COUNTIFS(allFYsTable[Code], SummaryTable[[#This Row],[Code]], allFYsTable[year2], CN$3)=0, NotFound, SUMIFS(allFYsTable[Actual], allFYsTable[Code], SummaryTable[[#This Row],[Code]], allFYsTable[year2], CN$3))</f>
        <v>#N/A</v>
      </c>
      <c r="CS52" s="61" t="e">
        <f>IF(COUNTIFS(allFYsTable[Code], SummaryTable[[#This Row],[Code]], allFYsTable[year2], CN$3)=0, NotFound, SUMIFS(allFYsTable[DiffAmount], allFYsTable[Code], SummaryTable[[#This Row],[Code]], allFYsTable[year2], CN$3))</f>
        <v>#N/A</v>
      </c>
      <c r="CT52" s="63" t="e">
        <f>IF(SummaryTable[[#This Row],[OriginalBudget16]]=0, IF(SummaryTable[[#This Row],[DiffAmount16]]=0, ZeroBudgetNoSpending, ZeroBudgetWithSpending), SummaryTable[[#This Row],[DiffAmount16]]/SummaryTable[[#This Row],[OriginalBudget16]])</f>
        <v>#N/A</v>
      </c>
      <c r="CU52" s="62" t="e">
        <f>IF(COUNTIFS(allFYsTable[Code], SummaryTable[[#This Row],[Code]], allFYsTable[year2], CU$3)=0, NotFound, SUMIFS(allFYsTable[OriginalBudget], allFYsTable[Code], SummaryTable[[#This Row],[Code]], allFYsTable[year2], CU$3))</f>
        <v>#N/A</v>
      </c>
      <c r="CV52" s="61" t="e">
        <f>SummaryTable[[#This Row],[OriginalBudget15]]-SummaryTable[[#This Row],[OriginalBudget14]]</f>
        <v>#N/A</v>
      </c>
      <c r="CW52" s="54" t="e">
        <f>SummaryTable[[#This Row],[BudgetIncreaseAmount15]]/SummaryTable[[#This Row],[OriginalBudget14]]</f>
        <v>#N/A</v>
      </c>
      <c r="CX52" s="61" t="e">
        <f>IF(COUNTIFS(allFYsTable[Code], SummaryTable[[#This Row],[Code]], allFYsTable[year2], CU$3)=0, NotFound, SUMIFS(allFYsTable[RevisedBudget], allFYsTable[Code], SummaryTable[[#This Row],[Code]], allFYsTable[year2], CU$3))</f>
        <v>#N/A</v>
      </c>
      <c r="CY52" s="61" t="e">
        <f>IF(COUNTIFS(allFYsTable[Code], SummaryTable[[#This Row],[Code]], allFYsTable[year2], CU$3)=0, NotFound, SUMIFS(allFYsTable[Actual], allFYsTable[Code], SummaryTable[[#This Row],[Code]], allFYsTable[year2], CU$3))</f>
        <v>#N/A</v>
      </c>
      <c r="CZ52" s="61" t="e">
        <f>IF(COUNTIFS(allFYsTable[Code], SummaryTable[[#This Row],[Code]], allFYsTable[year2], CU$3)=0, NotFound, SUMIFS(allFYsTable[DiffAmount], allFYsTable[Code], SummaryTable[[#This Row],[Code]], allFYsTable[year2], CU$3))</f>
        <v>#N/A</v>
      </c>
      <c r="DA52" s="63" t="e">
        <f>IF(SummaryTable[[#This Row],[OriginalBudget15]]=0, IF(SummaryTable[[#This Row],[DiffAmount15]]=0, ZeroBudgetNoSpending, ZeroBudgetWithSpending), SummaryTable[[#This Row],[DiffAmount15]]/SummaryTable[[#This Row],[OriginalBudget15]])</f>
        <v>#N/A</v>
      </c>
      <c r="DB52" s="62" t="e">
        <f>IF(COUNTIFS(allFYsTable[Code], SummaryTable[[#This Row],[Code]], allFYsTable[year2], DB$3)=0, NotFound, SUMIFS(allFYsTable[OriginalBudget], allFYsTable[Code], SummaryTable[[#This Row],[Code]], allFYsTable[year2], DB$3))</f>
        <v>#N/A</v>
      </c>
      <c r="DC52" s="61" t="e">
        <f>SummaryTable[[#This Row],[OriginalBudget14]]-SummaryTable[[#This Row],[OriginalBudget13]]</f>
        <v>#N/A</v>
      </c>
      <c r="DD52" s="54" t="e">
        <f>SummaryTable[[#This Row],[BudgetIncreaseAmount14]]/SummaryTable[[#This Row],[OriginalBudget13]]</f>
        <v>#N/A</v>
      </c>
      <c r="DE52" s="61" t="e">
        <f>IF(COUNTIFS(allFYsTable[Code], SummaryTable[[#This Row],[Code]], allFYsTable[year2], DB$3)=0, NotFound, SUMIFS(allFYsTable[RevisedBudget], allFYsTable[Code], SummaryTable[[#This Row],[Code]], allFYsTable[year2], DB$3))</f>
        <v>#N/A</v>
      </c>
      <c r="DF52" s="61" t="e">
        <f>IF(COUNTIFS(allFYsTable[Code], SummaryTable[[#This Row],[Code]], allFYsTable[year2], DB$3)=0, NotFound, SUMIFS(allFYsTable[Actual], allFYsTable[Code], SummaryTable[[#This Row],[Code]], allFYsTable[year2], DB$3))</f>
        <v>#N/A</v>
      </c>
      <c r="DG52" s="61" t="e">
        <f>IF(COUNTIFS(allFYsTable[Code], SummaryTable[[#This Row],[Code]], allFYsTable[year2], DB$3)=0, NotFound, SUMIFS(allFYsTable[DiffAmount], allFYsTable[Code], SummaryTable[[#This Row],[Code]], allFYsTable[year2], DB$3))</f>
        <v>#N/A</v>
      </c>
      <c r="DH52" s="63" t="e">
        <f>IF(SummaryTable[[#This Row],[OriginalBudget14]]=0, IF(SummaryTable[[#This Row],[DiffAmount14]]=0, ZeroBudgetNoSpending, ZeroBudgetWithSpending), SummaryTable[[#This Row],[DiffAmount14]]/SummaryTable[[#This Row],[OriginalBudget14]])</f>
        <v>#N/A</v>
      </c>
      <c r="DI52" s="62" t="e">
        <f>IF(COUNTIFS(allFYsTable[Code], SummaryTable[[#This Row],[Code]], allFYsTable[year2], DI$3)=0, NotFound, SUMIFS(allFYsTable[OriginalBudget], allFYsTable[Code], SummaryTable[[#This Row],[Code]], allFYsTable[year2], DI$3))</f>
        <v>#N/A</v>
      </c>
      <c r="DJ52" s="61" t="e">
        <f>SummaryTable[[#This Row],[OriginalBudget13]]-SummaryTable[[#This Row],[OriginalBudget12]]</f>
        <v>#N/A</v>
      </c>
      <c r="DK52" s="54" t="e">
        <f>SummaryTable[[#This Row],[BudgetIncreaseAmount13]]/SummaryTable[[#This Row],[OriginalBudget12]]</f>
        <v>#N/A</v>
      </c>
      <c r="DL52" s="61" t="e">
        <f>IF(COUNTIFS(allFYsTable[Code], SummaryTable[[#This Row],[Code]], allFYsTable[year2], DI$3)=0, NotFound, SUMIFS(allFYsTable[RevisedBudget], allFYsTable[Code], SummaryTable[[#This Row],[Code]], allFYsTable[year2], DI$3))</f>
        <v>#N/A</v>
      </c>
      <c r="DM52" s="61" t="e">
        <f>IF(COUNTIFS(allFYsTable[Code], SummaryTable[[#This Row],[Code]], allFYsTable[year2], DI$3)=0, NotFound, SUMIFS(allFYsTable[Actual], allFYsTable[Code], SummaryTable[[#This Row],[Code]], allFYsTable[year2], DI$3))</f>
        <v>#N/A</v>
      </c>
      <c r="DN52" s="61" t="e">
        <f>IF(COUNTIFS(allFYsTable[Code], SummaryTable[[#This Row],[Code]], allFYsTable[year2], DI$3)=0, NotFound, SUMIFS(allFYsTable[DiffAmount], allFYsTable[Code], SummaryTable[[#This Row],[Code]], allFYsTable[year2], DI$3))</f>
        <v>#N/A</v>
      </c>
      <c r="DO52" s="63" t="e">
        <f>IF(SummaryTable[[#This Row],[OriginalBudget13]]=0, IF(SummaryTable[[#This Row],[DiffAmount13]]=0, ZeroBudgetNoSpending, ZeroBudgetWithSpending), SummaryTable[[#This Row],[DiffAmount13]]/SummaryTable[[#This Row],[OriginalBudget13]])</f>
        <v>#N/A</v>
      </c>
      <c r="DP52" s="62" t="e">
        <f>IF(COUNTIFS(allFYsTable[Code], SummaryTable[[#This Row],[Code]], allFYsTable[year2], DP$3)=0, NotFound, SUMIFS(allFYsTable[OriginalBudget], allFYsTable[Code], SummaryTable[[#This Row],[Code]], allFYsTable[year2], DP$3))</f>
        <v>#N/A</v>
      </c>
      <c r="DQ52" s="61" t="e">
        <f>SummaryTable[[#This Row],[OriginalBudget12]]-SummaryTable[[#This Row],[OriginalBudget11]]</f>
        <v>#N/A</v>
      </c>
      <c r="DR52" s="54" t="e">
        <f>SummaryTable[[#This Row],[BudgetIncreaseAmount12]]/SummaryTable[[#This Row],[OriginalBudget11]]</f>
        <v>#N/A</v>
      </c>
      <c r="DS52" s="61" t="e">
        <f>IF(COUNTIFS(allFYsTable[Code], SummaryTable[[#This Row],[Code]], allFYsTable[year2], DP$3)=0, NotFound, SUMIFS(allFYsTable[RevisedBudget], allFYsTable[Code], SummaryTable[[#This Row],[Code]], allFYsTable[year2], DP$3))</f>
        <v>#N/A</v>
      </c>
      <c r="DT52" s="61" t="e">
        <f>IF(COUNTIFS(allFYsTable[Code], SummaryTable[[#This Row],[Code]], allFYsTable[year2], DP$3)=0, NotFound, SUMIFS(allFYsTable[Actual], allFYsTable[Code], SummaryTable[[#This Row],[Code]], allFYsTable[year2], DP$3))</f>
        <v>#N/A</v>
      </c>
      <c r="DU52" s="61" t="e">
        <f>IF(COUNTIFS(allFYsTable[Code], SummaryTable[[#This Row],[Code]], allFYsTable[year2], DP$3)=0, NotFound, SUMIFS(allFYsTable[DiffAmount], allFYsTable[Code], SummaryTable[[#This Row],[Code]], allFYsTable[year2], DP$3))</f>
        <v>#N/A</v>
      </c>
      <c r="DV52" s="63" t="e">
        <f>IF(SummaryTable[[#This Row],[OriginalBudget12]]=0, IF(SummaryTable[[#This Row],[DiffAmount12]]=0, ZeroBudgetNoSpending, ZeroBudgetWithSpending), SummaryTable[[#This Row],[DiffAmount12]]/SummaryTable[[#This Row],[OriginalBudget12]])</f>
        <v>#N/A</v>
      </c>
      <c r="DW52" s="62" t="e">
        <f>IF(COUNTIFS(allFYsTable[Code], SummaryTable[[#This Row],[Code]], allFYsTable[year2], DW$3)=0, NotFound, SUMIFS(allFYsTable[OriginalBudget], allFYsTable[Code], SummaryTable[[#This Row],[Code]], allFYsTable[year2], DW$3))</f>
        <v>#N/A</v>
      </c>
      <c r="DX52" s="61" t="e">
        <f>SummaryTable[[#This Row],[OriginalBudget11]]-SummaryTable[[#This Row],[OriginalBudget10]]</f>
        <v>#N/A</v>
      </c>
      <c r="DY52" s="54" t="e">
        <f>SummaryTable[[#This Row],[BudgetIncreaseAmount11]]/SummaryTable[[#This Row],[OriginalBudget10]]</f>
        <v>#N/A</v>
      </c>
      <c r="DZ52" s="61" t="e">
        <f>IF(COUNTIFS(allFYsTable[Code], SummaryTable[[#This Row],[Code]], allFYsTable[year2], DW$3)=0, NotFound, SUMIFS(allFYsTable[RevisedBudget], allFYsTable[Code], SummaryTable[[#This Row],[Code]], allFYsTable[year2], DW$3))</f>
        <v>#N/A</v>
      </c>
      <c r="EA52" s="61" t="e">
        <f>IF(COUNTIFS(allFYsTable[Code], SummaryTable[[#This Row],[Code]], allFYsTable[year2], DW$3)=0, NotFound, SUMIFS(allFYsTable[Actual], allFYsTable[Code], SummaryTable[[#This Row],[Code]], allFYsTable[year2], DW$3))</f>
        <v>#N/A</v>
      </c>
      <c r="EB52" s="61" t="e">
        <f>IF(COUNTIFS(allFYsTable[Code], SummaryTable[[#This Row],[Code]], allFYsTable[year2], DW$3)=0, NotFound, SUMIFS(allFYsTable[DiffAmount], allFYsTable[Code], SummaryTable[[#This Row],[Code]], allFYsTable[year2], DW$3))</f>
        <v>#N/A</v>
      </c>
      <c r="EC52" s="63" t="e">
        <f>IF(SummaryTable[[#This Row],[OriginalBudget11]]=0, IF(SummaryTable[[#This Row],[DiffAmount11]]=0, ZeroBudgetNoSpending, ZeroBudgetWithSpending), SummaryTable[[#This Row],[DiffAmount11]]/SummaryTable[[#This Row],[OriginalBudget11]])</f>
        <v>#N/A</v>
      </c>
      <c r="ED52" s="62" t="e">
        <f>IF(COUNTIFS(allFYsTable[Code], SummaryTable[[#This Row],[Code]], allFYsTable[year2], ED$3)=0, NotFound, SUMIFS(allFYsTable[OriginalBudget], allFYsTable[Code], SummaryTable[[#This Row],[Code]], allFYsTable[year2], ED$3))</f>
        <v>#N/A</v>
      </c>
      <c r="EE52" s="61" t="e">
        <f>SummaryTable[[#This Row],[OriginalBudget10]]-SummaryTable[[#This Row],[OriginalBudget09]]</f>
        <v>#N/A</v>
      </c>
      <c r="EF52" s="54" t="e">
        <f>SummaryTable[[#This Row],[BudgetIncreaseAmount10]]/SummaryTable[[#This Row],[OriginalBudget09]]</f>
        <v>#N/A</v>
      </c>
      <c r="EG52" s="61" t="e">
        <f>IF(COUNTIFS(allFYsTable[Code], SummaryTable[[#This Row],[Code]], allFYsTable[year2], ED$3)=0, NotFound, SUMIFS(allFYsTable[RevisedBudget], allFYsTable[Code], SummaryTable[[#This Row],[Code]], allFYsTable[year2], ED$3))</f>
        <v>#N/A</v>
      </c>
      <c r="EH52" s="61" t="e">
        <f>IF(COUNTIFS(allFYsTable[Code], SummaryTable[[#This Row],[Code]], allFYsTable[year2], ED$3)=0, NotFound, SUMIFS(allFYsTable[Actual], allFYsTable[Code], SummaryTable[[#This Row],[Code]], allFYsTable[year2], ED$3))</f>
        <v>#N/A</v>
      </c>
      <c r="EI52" s="61" t="e">
        <f>IF(COUNTIFS(allFYsTable[Code], SummaryTable[[#This Row],[Code]], allFYsTable[year2], ED$3)=0, NotFound, SUMIFS(allFYsTable[DiffAmount], allFYsTable[Code], SummaryTable[[#This Row],[Code]], allFYsTable[year2], ED$3))</f>
        <v>#N/A</v>
      </c>
      <c r="EJ52" s="63" t="e">
        <f>IF(SummaryTable[[#This Row],[OriginalBudget10]]=0, IF(SummaryTable[[#This Row],[DiffAmount10]]=0, ZeroBudgetNoSpending, ZeroBudgetWithSpending), SummaryTable[[#This Row],[DiffAmount10]]/SummaryTable[[#This Row],[OriginalBudget10]])</f>
        <v>#N/A</v>
      </c>
      <c r="EK52" s="62" t="e">
        <f>IF(COUNTIFS(allFYsTable[Code], SummaryTable[[#This Row],[Code]], allFYsTable[year2], EK$3)=0, NotFound, SUMIFS(allFYsTable[OriginalBudget], allFYsTable[Code], SummaryTable[[#This Row],[Code]], allFYsTable[year2], EK$3))</f>
        <v>#N/A</v>
      </c>
      <c r="EL52" s="61" t="e">
        <f>SummaryTable[[#This Row],[OriginalBudget09]]-SummaryTable[[#This Row],[OriginalBudget08]]</f>
        <v>#N/A</v>
      </c>
      <c r="EM52" s="54" t="e">
        <f>SummaryTable[[#This Row],[BudgetIncreaseAmount09]]/SummaryTable[[#This Row],[OriginalBudget08]]</f>
        <v>#N/A</v>
      </c>
      <c r="EN52" s="61" t="e">
        <f>IF(COUNTIFS(allFYsTable[Code], SummaryTable[[#This Row],[Code]], allFYsTable[year2], EK$3)=0, NotFound, SUMIFS(allFYsTable[RevisedBudget], allFYsTable[Code], SummaryTable[[#This Row],[Code]], allFYsTable[year2], EK$3))</f>
        <v>#N/A</v>
      </c>
      <c r="EO52" s="61" t="e">
        <f>IF(COUNTIFS(allFYsTable[Code], SummaryTable[[#This Row],[Code]], allFYsTable[year2], EK$3)=0, NotFound, SUMIFS(allFYsTable[Actual], allFYsTable[Code], SummaryTable[[#This Row],[Code]], allFYsTable[year2], EK$3))</f>
        <v>#N/A</v>
      </c>
      <c r="EP52" s="61" t="e">
        <f>IF(COUNTIFS(allFYsTable[Code], SummaryTable[[#This Row],[Code]], allFYsTable[year2], EK$3)=0, NotFound, SUMIFS(allFYsTable[DiffAmount], allFYsTable[Code], SummaryTable[[#This Row],[Code]], allFYsTable[year2], EK$3))</f>
        <v>#N/A</v>
      </c>
      <c r="EQ52" s="63" t="e">
        <f>IF(SummaryTable[[#This Row],[OriginalBudget09]]=0, IF(SummaryTable[[#This Row],[DiffAmount09]]=0, ZeroBudgetNoSpending, ZeroBudgetWithSpending), SummaryTable[[#This Row],[DiffAmount09]]/SummaryTable[[#This Row],[OriginalBudget09]])</f>
        <v>#N/A</v>
      </c>
      <c r="ER52" s="62" t="e">
        <f>IF(COUNTIFS(allFYsTable[Code], SummaryTable[[#This Row],[Code]], allFYsTable[year2], ER$3)=0, NotFound, SUMIFS(allFYsTable[OriginalBudget], allFYsTable[Code], SummaryTable[[#This Row],[Code]], allFYsTable[year2], ER$3))</f>
        <v>#N/A</v>
      </c>
      <c r="ES52" s="61" t="e">
        <f>SummaryTable[[#This Row],[OriginalBudget08]]-SummaryTable[[#This Row],[OriginalBudget07]]</f>
        <v>#N/A</v>
      </c>
      <c r="ET52" s="54" t="e">
        <f>SummaryTable[[#This Row],[BudgetIncreaseAmount08]]/SummaryTable[[#This Row],[OriginalBudget07]]</f>
        <v>#N/A</v>
      </c>
      <c r="EU52" s="61" t="e">
        <f>IF(COUNTIFS(allFYsTable[Code], SummaryTable[[#This Row],[Code]], allFYsTable[year2], ER$3)=0, NotFound, SUMIFS(allFYsTable[RevisedBudget], allFYsTable[Code], SummaryTable[[#This Row],[Code]], allFYsTable[year2], ER$3))</f>
        <v>#N/A</v>
      </c>
      <c r="EV52" s="61" t="e">
        <f>IF(COUNTIFS(allFYsTable[Code], SummaryTable[[#This Row],[Code]], allFYsTable[year2], ER$3)=0, NotFound, SUMIFS(allFYsTable[Actual], allFYsTable[Code], SummaryTable[[#This Row],[Code]], allFYsTable[year2], ER$3))</f>
        <v>#N/A</v>
      </c>
      <c r="EW52" s="61" t="e">
        <f>IF(COUNTIFS(allFYsTable[Code], SummaryTable[[#This Row],[Code]], allFYsTable[year2], ER$3)=0, NotFound, SUMIFS(allFYsTable[DiffAmount], allFYsTable[Code], SummaryTable[[#This Row],[Code]], allFYsTable[year2], ER$3))</f>
        <v>#N/A</v>
      </c>
      <c r="EX52" s="63" t="e">
        <f>IF(SummaryTable[[#This Row],[OriginalBudget08]]=0, IF(SummaryTable[[#This Row],[DiffAmount08]]=0, ZeroBudgetNoSpending, ZeroBudgetWithSpending), SummaryTable[[#This Row],[DiffAmount08]]/SummaryTable[[#This Row],[OriginalBudget08]])</f>
        <v>#N/A</v>
      </c>
      <c r="EY52" s="62" t="e">
        <f>IF(COUNTIFS(allFYsTable[Code], SummaryTable[[#This Row],[Code]], allFYsTable[year2], EY$3)=0, NotFound, SUMIFS(allFYsTable[OriginalBudget], allFYsTable[Code], SummaryTable[[#This Row],[Code]], allFYsTable[year2], EY$3))</f>
        <v>#N/A</v>
      </c>
      <c r="EZ52" s="61" t="e">
        <f>SummaryTable[[#This Row],[OriginalBudget07]]-SummaryTable[[#This Row],[OriginalBudget06]]</f>
        <v>#N/A</v>
      </c>
      <c r="FA52" s="54" t="e">
        <f>SummaryTable[[#This Row],[BudgetIncreaseAmount07]]/SummaryTable[[#This Row],[OriginalBudget06]]</f>
        <v>#N/A</v>
      </c>
      <c r="FB52" s="61" t="e">
        <f>IF(COUNTIFS(allFYsTable[Code], SummaryTable[[#This Row],[Code]], allFYsTable[year2], EY$3)=0, NotFound, SUMIFS(allFYsTable[RevisedBudget], allFYsTable[Code], SummaryTable[[#This Row],[Code]], allFYsTable[year2], EY$3))</f>
        <v>#N/A</v>
      </c>
      <c r="FC52" s="61" t="e">
        <f>IF(COUNTIFS(allFYsTable[Code], SummaryTable[[#This Row],[Code]], allFYsTable[year2], EY$3)=0, NotFound, SUMIFS(allFYsTable[Actual], allFYsTable[Code], SummaryTable[[#This Row],[Code]], allFYsTable[year2], EY$3))</f>
        <v>#N/A</v>
      </c>
      <c r="FD52" s="61" t="e">
        <f>IF(COUNTIFS(allFYsTable[Code], SummaryTable[[#This Row],[Code]], allFYsTable[year2], EY$3)=0, NotFound, SUMIFS(allFYsTable[DiffAmount], allFYsTable[Code], SummaryTable[[#This Row],[Code]], allFYsTable[year2], EY$3))</f>
        <v>#N/A</v>
      </c>
      <c r="FE52" s="63" t="e">
        <f>IF(SummaryTable[[#This Row],[OriginalBudget07]]=0, IF(SummaryTable[[#This Row],[DiffAmount07]]=0, ZeroBudgetNoSpending, ZeroBudgetWithSpending), SummaryTable[[#This Row],[DiffAmount07]]/SummaryTable[[#This Row],[OriginalBudget07]])</f>
        <v>#N/A</v>
      </c>
      <c r="FF52" s="62" t="e">
        <f>IF(COUNTIFS(allFYsTable[Code], SummaryTable[[#This Row],[Code]], allFYsTable[year2], FF$3)=0, NotFound, SUMIFS(allFYsTable[OriginalBudget], allFYsTable[Code], SummaryTable[[#This Row],[Code]], allFYsTable[year2], FF$3))</f>
        <v>#N/A</v>
      </c>
      <c r="FI52" s="61" t="e">
        <f>IF(COUNTIFS(allFYsTable[Code], SummaryTable[[#This Row],[Code]], allFYsTable[year2], FF$3)=0, NotFound, SUMIFS(allFYsTable[RevisedBudget], allFYsTable[Code], SummaryTable[[#This Row],[Code]], allFYsTable[year2], FF$3))</f>
        <v>#N/A</v>
      </c>
      <c r="FJ52" s="61" t="e">
        <f>IF(COUNTIFS(allFYsTable[Code], SummaryTable[[#This Row],[Code]], allFYsTable[year2], FF$3)=0, NotFound, SUMIFS(allFYsTable[Actual], allFYsTable[Code], SummaryTable[[#This Row],[Code]], allFYsTable[year2], FF$3))</f>
        <v>#N/A</v>
      </c>
      <c r="FK52" s="61" t="e">
        <f>IF(COUNTIFS(allFYsTable[Code], SummaryTable[[#This Row],[Code]], allFYsTable[year2], FF$3)=0, NotFound, SUMIFS(allFYsTable[DiffAmount], allFYsTable[Code], SummaryTable[[#This Row],[Code]], allFYsTable[year2], FF$3))</f>
        <v>#N/A</v>
      </c>
      <c r="FL52" s="63" t="e">
        <f>IF(SummaryTable[[#This Row],[OriginalBudget06]]=0, IF(SummaryTable[[#This Row],[DiffAmount06]]=0, ZeroBudgetNoSpending, ZeroBudgetWithSpending), SummaryTable[[#This Row],[DiffAmount06]]/SummaryTable[[#This Row],[OriginalBudget06]])</f>
        <v>#N/A</v>
      </c>
    </row>
    <row r="53" spans="1:168" x14ac:dyDescent="0.45">
      <c r="A53" t="s">
        <v>811</v>
      </c>
      <c r="B53">
        <f>_xlfn.MAXIFS(allFYsTable[year2], allFYsTable[Code], SummaryTable[[#This Row],[Code]])</f>
        <v>2025</v>
      </c>
      <c r="C53" t="str">
        <f>_xlfn.XLOOKUP(SummaryTable[[#This Row],[Code]], NameCodingTable[Code], NameCodingTable[Most Recent Category per allFYs])</f>
        <v>Human support services</v>
      </c>
      <c r="D53" t="str">
        <f>_xlfn.XLOOKUP(SummaryTable[[#This Row],[Code]], NameCodingTable[Code], NameCodingTable[Unit Display Name])</f>
        <v>District Retiree Health Contribution</v>
      </c>
      <c r="E53" t="str">
        <f>_xlfn.XLOOKUP(SummaryTable[[#This Row],[Code]], NameCodingTable[Code], NameCodingTable[Type])</f>
        <v>xother</v>
      </c>
      <c r="F5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5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53" s="54">
        <f>SummaryTable[[#This Row],['# Over]]/SummaryTable[[#This Row],[Count]]</f>
        <v>0.1</v>
      </c>
      <c r="I5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3</v>
      </c>
      <c r="J53" s="54">
        <f>SummaryTable[[#This Row],['# Under]]/SummaryTable[[#This Row],[Count]]</f>
        <v>0.15</v>
      </c>
      <c r="K5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15</v>
      </c>
      <c r="L53" s="54">
        <f>SummaryTable[[#This Row],['# Equal]]/SummaryTable[[#This Row],[Count]]</f>
        <v>0.75</v>
      </c>
      <c r="M53" s="61">
        <f>SUMIFS(allFYsTable[OriginalBudget],allFYsTable[Code],SummaryTable[[#This Row],[Code]])/SummaryTable[[#This Row],[Count]]</f>
        <v>74095.350000000006</v>
      </c>
      <c r="N53" s="61">
        <f>SUMIFS(allFYsTable[Actual],allFYsTable[Code],SummaryTable[[#This Row],[Code]])/SummaryTable[[#This Row],[Count]]</f>
        <v>69885.350000000006</v>
      </c>
      <c r="O53" s="61">
        <f>SummaryTable[[#This Row],[AvgActAmt]]-SummaryTable[[#This Row],[AvgBudAmt]]</f>
        <v>-4210</v>
      </c>
      <c r="P53" s="54">
        <f>IF(SummaryTable[[#This Row],[AvgBudAmt]]=0, IF(SummaryTable[[#This Row],[AvgDiff'#]]=0, 0, NamedFields!$C$3), SummaryTable[[#This Row],[AvgDiff'#]]/SummaryTable[[#This Row],[AvgBudAmt]])</f>
        <v>-5.681868025456388E-2</v>
      </c>
      <c r="Q53" s="61">
        <f>IFERROR(SUMIFS(allFYsTable[OriginalBudget],allFYsTable[Code],SummaryTable[[#This Row],[Code]],allFYsTable[DiffAmount], "&gt;0")/SummaryTable[[#This Row],['# Over]], 0)</f>
        <v>49350</v>
      </c>
      <c r="R53" s="61">
        <f>IFERROR(SUMIFS(allFYsTable[Actual],allFYsTable[Code],SummaryTable[[#This Row],[Code]],allFYsTable[DiffAmount], "&gt;0")/SummaryTable[[#This Row],['# Over]], 0)</f>
        <v>53300</v>
      </c>
      <c r="S53" s="61">
        <f>SummaryTable[[#This Row],[OverAvgAct]]-SummaryTable[[#This Row],[OverAvgBud]]</f>
        <v>3950</v>
      </c>
      <c r="T53" s="54">
        <f>IF(SummaryTable[[#This Row],[OverAvgBud]]=0, IF(SummaryTable[[#This Row],[OverAvgDiff'#]]=0, ZeroBudgetNoSpending, ZeroBudgetWithSpending), SummaryTable[[#This Row],[OverAvgDiff'#]]/SummaryTable[[#This Row],[OverAvgBud]])</f>
        <v>8.0040526849037494E-2</v>
      </c>
      <c r="U53" s="61">
        <f>IFERROR(SUMIFS(allFYsTable[OriginalBudget],allFYsTable[Code],SummaryTable[[#This Row],[Code]],allFYsTable[DiffAmount], "&lt;0")/SummaryTable[[#This Row],['# Under]], 0)</f>
        <v>100633.33333333333</v>
      </c>
      <c r="V53" s="61">
        <f>IFERROR( SUMIFS(allFYsTable[Actual],allFYsTable[Code],SummaryTable[[#This Row],[Code]],allFYsTable[DiffAmount], "&lt;0")/SummaryTable[[#This Row],['# Under]], 0)</f>
        <v>69933.333333333328</v>
      </c>
      <c r="W53" s="61">
        <f>SummaryTable[[#This Row],[UnderAvgAct]]-SummaryTable[[#This Row],[UnderAvgBud]]</f>
        <v>-30700</v>
      </c>
      <c r="X53" s="54">
        <f>IF(SummaryTable[[#This Row],[UnderAvgBud]]=0, IF(SummaryTable[[#This Row],[UnderAvgDiff'#]]=0, ZeroBudgetNoSpending, NamedFields!$C$3), SummaryTable[[#This Row],[UnderAvgDiff'#]]/SummaryTable[[#This Row],[UnderAvgBud]])</f>
        <v>-0.30506790327923156</v>
      </c>
      <c r="Y5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5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3" s="54">
        <f>IF(SummaryTable[[#This Row],[IncreaseYears]]=0, ZeroBudgetNoSpending, SummaryTable[[#This Row],[OSinIncreaseYear'#]]/SummaryTable[[#This Row],[IncreaseYears]])</f>
        <v>0</v>
      </c>
      <c r="AB53" s="58" t="str">
        <f>SummaryTable[[#This Row],[Code]]</f>
        <v>RH0</v>
      </c>
      <c r="AC53" s="62">
        <f>IF(COUNTIFS(allFYsTable[Code], SummaryTable[[#This Row],[Code]], allFYsTable[year2], AC$3)=0, NotFound, SUMIFS(allFYsTable[OriginalBudget], allFYsTable[Code], SummaryTable[[#This Row],[Code]], allFYsTable[year2], AC$3))</f>
        <v>63900</v>
      </c>
      <c r="AD53" s="61">
        <f>SummaryTable[[#This Row],[OriginalBudget25]]-SummaryTable[[#This Row],[OriginalBudget24]]</f>
        <v>-8800</v>
      </c>
      <c r="AE53" s="54">
        <f>SummaryTable[[#This Row],[BudgetIncreaseAmount25]]/SummaryTable[[#This Row],[OriginalBudget24]]</f>
        <v>-0.12104539202200826</v>
      </c>
      <c r="AF53" s="61">
        <f>IF(COUNTIFS(allFYsTable[Code], SummaryTable[[#This Row],[Code]], allFYsTable[year2], AC$3)=0, NotFound, SUMIFS(allFYsTable[RevisedBudget], allFYsTable[Code], SummaryTable[[#This Row],[Code]], allFYsTable[year2], AC$3))</f>
        <v>63900</v>
      </c>
      <c r="AG53" s="61">
        <f>IF(COUNTIFS(allFYsTable[Code], SummaryTable[[#This Row],[Code]], allFYsTable[year2], AC$3)=0, NotFound, SUMIFS(allFYsTable[Actual], allFYsTable[Code], SummaryTable[[#This Row],[Code]], allFYsTable[year2], AC$3))</f>
        <v>63900</v>
      </c>
      <c r="AH53" s="61">
        <f>IF(COUNTIFS(allFYsTable[Code], SummaryTable[[#This Row],[Code]], allFYsTable[year2], AC$3)=0, NotFound, SUMIFS(allFYsTable[DiffAmount], allFYsTable[Code], SummaryTable[[#This Row],[Code]], allFYsTable[year2], AC$3))</f>
        <v>0</v>
      </c>
      <c r="AI53" s="63">
        <f>IF(SummaryTable[[#This Row],[OriginalBudget25]]=0, IF(SummaryTable[[#This Row],[DiffAmount25]]=0, ZeroBudgetNoSpending, ZeroBudgetWithSpending), SummaryTable[[#This Row],[DiffAmount25]]/SummaryTable[[#This Row],[OriginalBudget25]])</f>
        <v>0</v>
      </c>
      <c r="AJ53" s="62">
        <f>IF(COUNTIFS(allFYsTable[Code], SummaryTable[[#This Row],[Code]], allFYsTable[year2], AJ$3)=0, NotFound, SUMIFS(allFYsTable[OriginalBudget], allFYsTable[Code], SummaryTable[[#This Row],[Code]], allFYsTable[year2], AJ$3))</f>
        <v>72700</v>
      </c>
      <c r="AK53" s="61">
        <f>SummaryTable[[#This Row],[OriginalBudget24]]-SummaryTable[[#This Row],[OriginalBudget23]]</f>
        <v>31200</v>
      </c>
      <c r="AL53" s="54">
        <f>SummaryTable[[#This Row],[BudgetIncreaseAmount24]]/SummaryTable[[#This Row],[OriginalBudget23]]</f>
        <v>0.75180722891566265</v>
      </c>
      <c r="AM53" s="61">
        <f>IF(COUNTIFS(allFYsTable[Code], SummaryTable[[#This Row],[Code]], allFYsTable[year2], AK$3)=0, NotFound, SUMIFS(allFYsTable[RevisedBudget], allFYsTable[Code], SummaryTable[[#This Row],[Code]], allFYsTable[year2], AJ$3))</f>
        <v>72700</v>
      </c>
      <c r="AN53" s="61">
        <f>IF(COUNTIFS(allFYsTable[Code], SummaryTable[[#This Row],[Code]], allFYsTable[year2], AJ$3)=0, NotFound, SUMIFS(allFYsTable[Actual], allFYsTable[Code], SummaryTable[[#This Row],[Code]], allFYsTable[year2], AJ$3))</f>
        <v>72700</v>
      </c>
      <c r="AO53" s="61">
        <f>IF(COUNTIFS(allFYsTable[Code], SummaryTable[[#This Row],[Code]], allFYsTable[year2], AJ$3)=0, NotFound, SUMIFS(allFYsTable[DiffAmount], allFYsTable[Code], SummaryTable[[#This Row],[Code]], allFYsTable[year2], AJ$3))</f>
        <v>0</v>
      </c>
      <c r="AP53" s="63">
        <f>IF(SummaryTable[[#This Row],[OriginalBudget24]]=0, IF(SummaryTable[[#This Row],[DiffAmount24]]=0, ZeroBudgetNoSpending, ZeroBudgetWithSpending), SummaryTable[[#This Row],[DiffAmount24]]/SummaryTable[[#This Row],[OriginalBudget24]])</f>
        <v>0</v>
      </c>
      <c r="AQ53" s="62">
        <f>IF(COUNTIFS(allFYsTable[Code], SummaryTable[[#This Row],[Code]], allFYsTable[year2], AQ$3)=0, NotFound, SUMIFS(allFYsTable[OriginalBudget], allFYsTable[Code], SummaryTable[[#This Row],[Code]], allFYsTable[year2], AQ$3))</f>
        <v>41500</v>
      </c>
      <c r="AR53" s="61">
        <f>SummaryTable[[#This Row],[OriginalBudget23]]-SummaryTable[[#This Row],[OriginalBudget22]]</f>
        <v>-8800</v>
      </c>
      <c r="AS53" s="54">
        <f>SummaryTable[[#This Row],[BudgetIncreaseAmount23]]/SummaryTable[[#This Row],[OriginalBudget22]]</f>
        <v>-0.1749502982107356</v>
      </c>
      <c r="AT53" s="61">
        <f>IF(COUNTIFS(allFYsTable[Code], SummaryTable[[#This Row],[Code]], allFYsTable[year2], AQ$3)=0, NotFound, SUMIFS(allFYsTable[RevisedBudget], allFYsTable[Code], SummaryTable[[#This Row],[Code]], allFYsTable[year2], AQ$3))</f>
        <v>41500</v>
      </c>
      <c r="AU53" s="61">
        <f>IF(COUNTIFS(allFYsTable[Code], SummaryTable[[#This Row],[Code]], allFYsTable[year2], AQ$3)=0, NotFound, SUMIFS(allFYsTable[Actual], allFYsTable[Code], SummaryTable[[#This Row],[Code]], allFYsTable[year2], AQ$3))</f>
        <v>41500</v>
      </c>
      <c r="AV53" s="61">
        <f>IF(COUNTIFS(allFYsTable[Code], SummaryTable[[#This Row],[Code]], allFYsTable[year2], AQ$3)=0, NotFound, SUMIFS(allFYsTable[DiffAmount], allFYsTable[Code], SummaryTable[[#This Row],[Code]], allFYsTable[year2], AQ$3))</f>
        <v>0</v>
      </c>
      <c r="AW53" s="63">
        <f>IF(SummaryTable[[#This Row],[OriginalBudget23]]=0, IF(SummaryTable[[#This Row],[DiffAmount23]]=0, ZeroBudgetNoSpending, ZeroBudgetWithSpending), SummaryTable[[#This Row],[DiffAmount23]]/SummaryTable[[#This Row],[OriginalBudget23]])</f>
        <v>0</v>
      </c>
      <c r="AX53" s="62">
        <f>IF(COUNTIFS(allFYsTable[Code], SummaryTable[[#This Row],[Code]], allFYsTable[year2], AX$3)=0, NotFound, SUMIFS(allFYsTable[OriginalBudget], allFYsTable[Code], SummaryTable[[#This Row],[Code]], allFYsTable[year2], AX$3))</f>
        <v>50300</v>
      </c>
      <c r="AY53" s="61">
        <f>SummaryTable[[#This Row],[OriginalBudget22]]-SummaryTable[[#This Row],[OriginalBudget21]]</f>
        <v>1900</v>
      </c>
      <c r="AZ53" s="54">
        <f>SummaryTable[[#This Row],[BudgetIncreaseAmount22]]/SummaryTable[[#This Row],[OriginalBudget21]]</f>
        <v>3.9256198347107439E-2</v>
      </c>
      <c r="BA53" s="61">
        <f>IF(COUNTIFS(allFYsTable[Code], SummaryTable[[#This Row],[Code]], allFYsTable[year2], AX$3)=0, NotFound, SUMIFS(allFYsTable[RevisedBudget], allFYsTable[Code], SummaryTable[[#This Row],[Code]], allFYsTable[year2], AX$3))</f>
        <v>53000</v>
      </c>
      <c r="BB53" s="61">
        <f>IF(COUNTIFS(allFYsTable[Code], SummaryTable[[#This Row],[Code]], allFYsTable[year2], AX$3)=0, NotFound, SUMIFS(allFYsTable[Actual], allFYsTable[Code], SummaryTable[[#This Row],[Code]], allFYsTable[year2], AX$3))</f>
        <v>53000</v>
      </c>
      <c r="BC53" s="61">
        <f>IF(COUNTIFS(allFYsTable[Code], SummaryTable[[#This Row],[Code]], allFYsTable[year2], AX$3)=0, NotFound, SUMIFS(allFYsTable[DiffAmount], allFYsTable[Code], SummaryTable[[#This Row],[Code]], allFYsTable[year2], AX$3))</f>
        <v>2700</v>
      </c>
      <c r="BD53" s="63">
        <f>IF(SummaryTable[[#This Row],[OriginalBudget22]]=0, IF(SummaryTable[[#This Row],[DiffAmount22]]=0, ZeroBudgetNoSpending, ZeroBudgetWithSpending), SummaryTable[[#This Row],[DiffAmount22]]/SummaryTable[[#This Row],[OriginalBudget22]])</f>
        <v>5.3677932405566599E-2</v>
      </c>
      <c r="BE53" s="62">
        <f>IF(COUNTIFS(allFYsTable[Code], SummaryTable[[#This Row],[Code]], allFYsTable[year2], BE$3)=0, NotFound, SUMIFS(allFYsTable[OriginalBudget], allFYsTable[Code], SummaryTable[[#This Row],[Code]], allFYsTable[year2], BE$3))</f>
        <v>48400</v>
      </c>
      <c r="BF53" s="61">
        <f>SummaryTable[[#This Row],[OriginalBudget21]]-SummaryTable[[#This Row],[OriginalBudget20]]</f>
        <v>1100</v>
      </c>
      <c r="BG53" s="54">
        <f>SummaryTable[[#This Row],[BudgetIncreaseAmount21]]/SummaryTable[[#This Row],[OriginalBudget20]]</f>
        <v>2.3255813953488372E-2</v>
      </c>
      <c r="BH53" s="61">
        <f>IF(COUNTIFS(allFYsTable[Code], SummaryTable[[#This Row],[Code]], allFYsTable[year2], BE$3)=0, NotFound, SUMIFS(allFYsTable[RevisedBudget], allFYsTable[Code], SummaryTable[[#This Row],[Code]], allFYsTable[year2], BE$3))</f>
        <v>53600</v>
      </c>
      <c r="BI53" s="61">
        <f>IF(COUNTIFS(allFYsTable[Code], SummaryTable[[#This Row],[Code]], allFYsTable[year2], BE$3)=0, NotFound, SUMIFS(allFYsTable[Actual], allFYsTable[Code], SummaryTable[[#This Row],[Code]], allFYsTable[year2], BE$3))</f>
        <v>53600</v>
      </c>
      <c r="BJ53" s="61">
        <f>IF(COUNTIFS(allFYsTable[Code], SummaryTable[[#This Row],[Code]], allFYsTable[year2], BE$3)=0, NotFound, SUMIFS(allFYsTable[DiffAmount], allFYsTable[Code], SummaryTable[[#This Row],[Code]], allFYsTable[year2], BE$3))</f>
        <v>5200</v>
      </c>
      <c r="BK53" s="63">
        <f>IF(SummaryTable[[#This Row],[OriginalBudget21]]=0, IF(SummaryTable[[#This Row],[DiffAmount21]]=0, ZeroBudgetNoSpending, ZeroBudgetWithSpending), SummaryTable[[#This Row],[DiffAmount21]]/SummaryTable[[#This Row],[OriginalBudget21]])</f>
        <v>0.10743801652892562</v>
      </c>
      <c r="BL53" s="62">
        <f>IF(COUNTIFS(allFYsTable[Code], SummaryTable[[#This Row],[Code]], allFYsTable[year2], BL$3)=0, NotFound, SUMIFS(allFYsTable[OriginalBudget], allFYsTable[Code], SummaryTable[[#This Row],[Code]], allFYsTable[year2], BL$3))</f>
        <v>47300</v>
      </c>
      <c r="BM53" s="61">
        <f>SummaryTable[[#This Row],[OriginalBudget20]]-SummaryTable[[#This Row],[OriginalBudget19]]</f>
        <v>1300</v>
      </c>
      <c r="BN53" s="54">
        <f>SummaryTable[[#This Row],[BudgetIncreaseAmount20]]/SummaryTable[[#This Row],[OriginalBudget19]]</f>
        <v>2.8260869565217391E-2</v>
      </c>
      <c r="BO53" s="61">
        <f>IF(COUNTIFS(allFYsTable[Code], SummaryTable[[#This Row],[Code]], allFYsTable[year2], BL$3)=0, NotFound, SUMIFS(allFYsTable[RevisedBudget], allFYsTable[Code], SummaryTable[[#This Row],[Code]], allFYsTable[year2], BL$3))</f>
        <v>47300</v>
      </c>
      <c r="BP53" s="61">
        <f>IF(COUNTIFS(allFYsTable[Code], SummaryTable[[#This Row],[Code]], allFYsTable[year2], BL$3)=0, NotFound, SUMIFS(allFYsTable[Actual], allFYsTable[Code], SummaryTable[[#This Row],[Code]], allFYsTable[year2], BL$3))</f>
        <v>47300</v>
      </c>
      <c r="BQ53" s="61">
        <f>IF(COUNTIFS(allFYsTable[Code], SummaryTable[[#This Row],[Code]], allFYsTable[year2], BL$3)=0, NotFound, SUMIFS(allFYsTable[DiffAmount], allFYsTable[Code], SummaryTable[[#This Row],[Code]], allFYsTable[year2], BL$3))</f>
        <v>0</v>
      </c>
      <c r="BR53" s="63">
        <f>IF(SummaryTable[[#This Row],[OriginalBudget20]]=0, IF(SummaryTable[[#This Row],[DiffAmount20]]=0, ZeroBudgetNoSpending, ZeroBudgetWithSpending), SummaryTable[[#This Row],[DiffAmount20]]/SummaryTable[[#This Row],[OriginalBudget20]])</f>
        <v>0</v>
      </c>
      <c r="BS53" s="62">
        <f>IF(COUNTIFS(allFYsTable[Code], SummaryTable[[#This Row],[Code]], allFYsTable[year2], BS$3)=0, NotFound, SUMIFS(allFYsTable[OriginalBudget], allFYsTable[Code], SummaryTable[[#This Row],[Code]], allFYsTable[year2], BS$3))</f>
        <v>46000</v>
      </c>
      <c r="BT53" s="61">
        <f>SummaryTable[[#This Row],[OriginalBudget19]]-SummaryTable[[#This Row],[OriginalBudget18]]</f>
        <v>1500</v>
      </c>
      <c r="BU53" s="54">
        <f>SummaryTable[[#This Row],[BudgetIncreaseAmount19]]/SummaryTable[[#This Row],[OriginalBudget18]]</f>
        <v>3.3707865168539325E-2</v>
      </c>
      <c r="BV53" s="61">
        <f>IF(COUNTIFS(allFYsTable[Code], SummaryTable[[#This Row],[Code]], allFYsTable[year2], BS$3)=0, NotFound, SUMIFS(allFYsTable[RevisedBudget], allFYsTable[Code], SummaryTable[[#This Row],[Code]], allFYsTable[year2], BS$3))</f>
        <v>46000</v>
      </c>
      <c r="BW53" s="61">
        <f>IF(COUNTIFS(allFYsTable[Code], SummaryTable[[#This Row],[Code]], allFYsTable[year2], BS$3)=0, NotFound, SUMIFS(allFYsTable[Actual], allFYsTable[Code], SummaryTable[[#This Row],[Code]], allFYsTable[year2], BS$3))</f>
        <v>46000</v>
      </c>
      <c r="BX53" s="61">
        <f>IF(COUNTIFS(allFYsTable[Code], SummaryTable[[#This Row],[Code]], allFYsTable[year2], BS$3)=0, NotFound, SUMIFS(allFYsTable[DiffAmount], allFYsTable[Code], SummaryTable[[#This Row],[Code]], allFYsTable[year2], BS$3))</f>
        <v>0</v>
      </c>
      <c r="BY53" s="63">
        <f>IF(SummaryTable[[#This Row],[OriginalBudget19]]=0, IF(SummaryTable[[#This Row],[DiffAmount19]]=0, ZeroBudgetNoSpending, ZeroBudgetWithSpending), SummaryTable[[#This Row],[DiffAmount19]]/SummaryTable[[#This Row],[OriginalBudget19]])</f>
        <v>0</v>
      </c>
      <c r="BZ53" s="62">
        <f>IF(COUNTIFS(allFYsTable[Code], SummaryTable[[#This Row],[Code]], allFYsTable[year2], BZ$3)=0, NotFound, SUMIFS(allFYsTable[OriginalBudget], allFYsTable[Code], SummaryTable[[#This Row],[Code]], allFYsTable[year2], BZ$3))</f>
        <v>44500</v>
      </c>
      <c r="CA53" s="61">
        <f>SummaryTable[[#This Row],[OriginalBudget18]]-SummaryTable[[#This Row],[OriginalBudget17]]</f>
        <v>13500</v>
      </c>
      <c r="CB53" s="54">
        <f>SummaryTable[[#This Row],[BudgetIncreaseAmount18]]/SummaryTable[[#This Row],[OriginalBudget17]]</f>
        <v>0.43548387096774194</v>
      </c>
      <c r="CC53" s="61">
        <f>IF(COUNTIFS(allFYsTable[Code], SummaryTable[[#This Row],[Code]], allFYsTable[year2], BZ$3)=0, NotFound, SUMIFS(allFYsTable[RevisedBudget], allFYsTable[Code], SummaryTable[[#This Row],[Code]], allFYsTable[year2], BZ$3))</f>
        <v>44500</v>
      </c>
      <c r="CD53" s="61">
        <f>IF(COUNTIFS(allFYsTable[Code], SummaryTable[[#This Row],[Code]], allFYsTable[year2], BZ$3)=0, NotFound, SUMIFS(allFYsTable[Actual], allFYsTable[Code], SummaryTable[[#This Row],[Code]], allFYsTable[year2], BZ$3))</f>
        <v>44500</v>
      </c>
      <c r="CE53" s="61">
        <f>IF(COUNTIFS(allFYsTable[Code], SummaryTable[[#This Row],[Code]], allFYsTable[year2], BZ$3)=0, NotFound, SUMIFS(allFYsTable[DiffAmount], allFYsTable[Code], SummaryTable[[#This Row],[Code]], allFYsTable[year2], BZ$3))</f>
        <v>0</v>
      </c>
      <c r="CF53" s="63">
        <f>IF(SummaryTable[[#This Row],[OriginalBudget18]]=0, IF(SummaryTable[[#This Row],[DiffAmount18]]=0, ZeroBudgetNoSpending, ZeroBudgetWithSpending), SummaryTable[[#This Row],[DiffAmount18]]/SummaryTable[[#This Row],[OriginalBudget18]])</f>
        <v>0</v>
      </c>
      <c r="CG53" s="62">
        <f>IF(COUNTIFS(allFYsTable[Code], SummaryTable[[#This Row],[Code]], allFYsTable[year2], CG$3)=0, NotFound, SUMIFS(allFYsTable[OriginalBudget], allFYsTable[Code], SummaryTable[[#This Row],[Code]], allFYsTable[year2], CG$3))</f>
        <v>31000</v>
      </c>
      <c r="CH53" s="61">
        <f>SummaryTable[[#This Row],[OriginalBudget17]]-SummaryTable[[#This Row],[OriginalBudget16]]</f>
        <v>-64400</v>
      </c>
      <c r="CI53" s="54">
        <f>SummaryTable[[#This Row],[BudgetIncreaseAmount17]]/SummaryTable[[#This Row],[OriginalBudget16]]</f>
        <v>-0.6750524109014675</v>
      </c>
      <c r="CJ53" s="61">
        <f>IF(COUNTIFS(allFYsTable[Code], SummaryTable[[#This Row],[Code]], allFYsTable[year2], CG$3)=0, NotFound, SUMIFS(allFYsTable[RevisedBudget], allFYsTable[Code], SummaryTable[[#This Row],[Code]], allFYsTable[year2], CG$3))</f>
        <v>31000</v>
      </c>
      <c r="CK53" s="61">
        <f>IF(COUNTIFS(allFYsTable[Code], SummaryTable[[#This Row],[Code]], allFYsTable[year2], CG$3)=0, NotFound, SUMIFS(allFYsTable[Actual], allFYsTable[Code], SummaryTable[[#This Row],[Code]], allFYsTable[year2], CG$3))</f>
        <v>31000</v>
      </c>
      <c r="CL53" s="61">
        <f>IF(COUNTIFS(allFYsTable[Code], SummaryTable[[#This Row],[Code]], allFYsTable[year2], CG$3)=0, NotFound, SUMIFS(allFYsTable[DiffAmount], allFYsTable[Code], SummaryTable[[#This Row],[Code]], allFYsTable[year2], CG$3))</f>
        <v>0</v>
      </c>
      <c r="CM53" s="63">
        <f>IF(SummaryTable[[#This Row],[OriginalBudget17]]=0, IF(SummaryTable[[#This Row],[DiffAmount17]]=0, ZeroBudgetNoSpending, ZeroBudgetWithSpending), SummaryTable[[#This Row],[DiffAmount17]]/SummaryTable[[#This Row],[OriginalBudget17]])</f>
        <v>0</v>
      </c>
      <c r="CN53" s="62">
        <f>IF(COUNTIFS(allFYsTable[Code], SummaryTable[[#This Row],[Code]], allFYsTable[year2], CN$3)=0, NotFound, SUMIFS(allFYsTable[OriginalBudget], allFYsTable[Code], SummaryTable[[#This Row],[Code]], allFYsTable[year2], CN$3))</f>
        <v>95400</v>
      </c>
      <c r="CO53" s="61">
        <f>SummaryTable[[#This Row],[OriginalBudget16]]-SummaryTable[[#This Row],[OriginalBudget15]]</f>
        <v>4000</v>
      </c>
      <c r="CP53" s="54">
        <f>SummaryTable[[#This Row],[BudgetIncreaseAmount16]]/SummaryTable[[#This Row],[OriginalBudget15]]</f>
        <v>4.3763676148796497E-2</v>
      </c>
      <c r="CQ53" s="61">
        <f>IF(COUNTIFS(allFYsTable[Code], SummaryTable[[#This Row],[Code]], allFYsTable[year2], CN$3)=0, NotFound, SUMIFS(allFYsTable[RevisedBudget], allFYsTable[Code], SummaryTable[[#This Row],[Code]], allFYsTable[year2], CN$3))</f>
        <v>29000</v>
      </c>
      <c r="CR53" s="61">
        <f>IF(COUNTIFS(allFYsTable[Code], SummaryTable[[#This Row],[Code]], allFYsTable[year2], CN$3)=0, NotFound, SUMIFS(allFYsTable[Actual], allFYsTable[Code], SummaryTable[[#This Row],[Code]], allFYsTable[year2], CN$3))</f>
        <v>29000</v>
      </c>
      <c r="CS53" s="61">
        <f>IF(COUNTIFS(allFYsTable[Code], SummaryTable[[#This Row],[Code]], allFYsTable[year2], CN$3)=0, NotFound, SUMIFS(allFYsTable[DiffAmount], allFYsTable[Code], SummaryTable[[#This Row],[Code]], allFYsTable[year2], CN$3))</f>
        <v>-66400</v>
      </c>
      <c r="CT53" s="63">
        <f>IF(SummaryTable[[#This Row],[OriginalBudget16]]=0, IF(SummaryTable[[#This Row],[DiffAmount16]]=0, ZeroBudgetNoSpending, ZeroBudgetWithSpending), SummaryTable[[#This Row],[DiffAmount16]]/SummaryTable[[#This Row],[OriginalBudget16]])</f>
        <v>-0.69601677148846963</v>
      </c>
      <c r="CU53" s="62">
        <f>IF(COUNTIFS(allFYsTable[Code], SummaryTable[[#This Row],[Code]], allFYsTable[year2], CU$3)=0, NotFound, SUMIFS(allFYsTable[OriginalBudget], allFYsTable[Code], SummaryTable[[#This Row],[Code]], allFYsTable[year2], CU$3))</f>
        <v>91400</v>
      </c>
      <c r="CV53" s="61">
        <f>SummaryTable[[#This Row],[OriginalBudget15]]-SummaryTable[[#This Row],[OriginalBudget14]]</f>
        <v>-16400</v>
      </c>
      <c r="CW53" s="54">
        <f>SummaryTable[[#This Row],[BudgetIncreaseAmount15]]/SummaryTable[[#This Row],[OriginalBudget14]]</f>
        <v>-0.15213358070500926</v>
      </c>
      <c r="CX53" s="61">
        <f>IF(COUNTIFS(allFYsTable[Code], SummaryTable[[#This Row],[Code]], allFYsTable[year2], CU$3)=0, NotFound, SUMIFS(allFYsTable[RevisedBudget], allFYsTable[Code], SummaryTable[[#This Row],[Code]], allFYsTable[year2], CU$3))</f>
        <v>91400</v>
      </c>
      <c r="CY53" s="61">
        <f>IF(COUNTIFS(allFYsTable[Code], SummaryTable[[#This Row],[Code]], allFYsTable[year2], CU$3)=0, NotFound, SUMIFS(allFYsTable[Actual], allFYsTable[Code], SummaryTable[[#This Row],[Code]], allFYsTable[year2], CU$3))</f>
        <v>91400</v>
      </c>
      <c r="CZ53" s="61">
        <f>IF(COUNTIFS(allFYsTable[Code], SummaryTable[[#This Row],[Code]], allFYsTable[year2], CU$3)=0, NotFound, SUMIFS(allFYsTable[DiffAmount], allFYsTable[Code], SummaryTable[[#This Row],[Code]], allFYsTable[year2], CU$3))</f>
        <v>0</v>
      </c>
      <c r="DA53" s="63">
        <f>IF(SummaryTable[[#This Row],[OriginalBudget15]]=0, IF(SummaryTable[[#This Row],[DiffAmount15]]=0, ZeroBudgetNoSpending, ZeroBudgetWithSpending), SummaryTable[[#This Row],[DiffAmount15]]/SummaryTable[[#This Row],[OriginalBudget15]])</f>
        <v>0</v>
      </c>
      <c r="DB53" s="62">
        <f>IF(COUNTIFS(allFYsTable[Code], SummaryTable[[#This Row],[Code]], allFYsTable[year2], DB$3)=0, NotFound, SUMIFS(allFYsTable[OriginalBudget], allFYsTable[Code], SummaryTable[[#This Row],[Code]], allFYsTable[year2], DB$3))</f>
        <v>107800</v>
      </c>
      <c r="DC53" s="61">
        <f>SummaryTable[[#This Row],[OriginalBudget14]]-SummaryTable[[#This Row],[OriginalBudget13]]</f>
        <v>0</v>
      </c>
      <c r="DD53" s="54">
        <f>SummaryTable[[#This Row],[BudgetIncreaseAmount14]]/SummaryTable[[#This Row],[OriginalBudget13]]</f>
        <v>0</v>
      </c>
      <c r="DE53" s="61">
        <f>IF(COUNTIFS(allFYsTable[Code], SummaryTable[[#This Row],[Code]], allFYsTable[year2], DB$3)=0, NotFound, SUMIFS(allFYsTable[RevisedBudget], allFYsTable[Code], SummaryTable[[#This Row],[Code]], allFYsTable[year2], DB$3))</f>
        <v>86600</v>
      </c>
      <c r="DF53" s="61">
        <f>IF(COUNTIFS(allFYsTable[Code], SummaryTable[[#This Row],[Code]], allFYsTable[year2], DB$3)=0, NotFound, SUMIFS(allFYsTable[Actual], allFYsTable[Code], SummaryTable[[#This Row],[Code]], allFYsTable[year2], DB$3))</f>
        <v>86600</v>
      </c>
      <c r="DG53" s="61">
        <f>IF(COUNTIFS(allFYsTable[Code], SummaryTable[[#This Row],[Code]], allFYsTable[year2], DB$3)=0, NotFound, SUMIFS(allFYsTable[DiffAmount], allFYsTable[Code], SummaryTable[[#This Row],[Code]], allFYsTable[year2], DB$3))</f>
        <v>-21200</v>
      </c>
      <c r="DH53" s="63">
        <f>IF(SummaryTable[[#This Row],[OriginalBudget14]]=0, IF(SummaryTable[[#This Row],[DiffAmount14]]=0, ZeroBudgetNoSpending, ZeroBudgetWithSpending), SummaryTable[[#This Row],[DiffAmount14]]/SummaryTable[[#This Row],[OriginalBudget14]])</f>
        <v>-0.19666048237476808</v>
      </c>
      <c r="DI53" s="62">
        <f>IF(COUNTIFS(allFYsTable[Code], SummaryTable[[#This Row],[Code]], allFYsTable[year2], DI$3)=0, NotFound, SUMIFS(allFYsTable[OriginalBudget], allFYsTable[Code], SummaryTable[[#This Row],[Code]], allFYsTable[year2], DI$3))</f>
        <v>107800</v>
      </c>
      <c r="DJ53" s="61">
        <f>SummaryTable[[#This Row],[OriginalBudget13]]-SummaryTable[[#This Row],[OriginalBudget12]]</f>
        <v>-2000</v>
      </c>
      <c r="DK53" s="54">
        <f>SummaryTable[[#This Row],[BudgetIncreaseAmount13]]/SummaryTable[[#This Row],[OriginalBudget12]]</f>
        <v>-1.8214936247723135E-2</v>
      </c>
      <c r="DL53" s="61">
        <f>IF(COUNTIFS(allFYsTable[Code], SummaryTable[[#This Row],[Code]], allFYsTable[year2], DI$3)=0, NotFound, SUMIFS(allFYsTable[RevisedBudget], allFYsTable[Code], SummaryTable[[#This Row],[Code]], allFYsTable[year2], DI$3))</f>
        <v>107800</v>
      </c>
      <c r="DM53" s="61">
        <f>IF(COUNTIFS(allFYsTable[Code], SummaryTable[[#This Row],[Code]], allFYsTable[year2], DI$3)=0, NotFound, SUMIFS(allFYsTable[Actual], allFYsTable[Code], SummaryTable[[#This Row],[Code]], allFYsTable[year2], DI$3))</f>
        <v>107800</v>
      </c>
      <c r="DN53" s="61">
        <f>IF(COUNTIFS(allFYsTable[Code], SummaryTable[[#This Row],[Code]], allFYsTable[year2], DI$3)=0, NotFound, SUMIFS(allFYsTable[DiffAmount], allFYsTable[Code], SummaryTable[[#This Row],[Code]], allFYsTable[year2], DI$3))</f>
        <v>0</v>
      </c>
      <c r="DO53" s="63">
        <f>IF(SummaryTable[[#This Row],[OriginalBudget13]]=0, IF(SummaryTable[[#This Row],[DiffAmount13]]=0, ZeroBudgetNoSpending, ZeroBudgetWithSpending), SummaryTable[[#This Row],[DiffAmount13]]/SummaryTable[[#This Row],[OriginalBudget13]])</f>
        <v>0</v>
      </c>
      <c r="DP53" s="62">
        <f>IF(COUNTIFS(allFYsTable[Code], SummaryTable[[#This Row],[Code]], allFYsTable[year2], DP$3)=0, NotFound, SUMIFS(allFYsTable[OriginalBudget], allFYsTable[Code], SummaryTable[[#This Row],[Code]], allFYsTable[year2], DP$3))</f>
        <v>109800</v>
      </c>
      <c r="DQ53" s="61">
        <f>SummaryTable[[#This Row],[OriginalBudget12]]-SummaryTable[[#This Row],[OriginalBudget11]]</f>
        <v>11100</v>
      </c>
      <c r="DR53" s="54">
        <f>SummaryTable[[#This Row],[BudgetIncreaseAmount12]]/SummaryTable[[#This Row],[OriginalBudget11]]</f>
        <v>0.11246200607902736</v>
      </c>
      <c r="DS53" s="61">
        <f>IF(COUNTIFS(allFYsTable[Code], SummaryTable[[#This Row],[Code]], allFYsTable[year2], DP$3)=0, NotFound, SUMIFS(allFYsTable[RevisedBudget], allFYsTable[Code], SummaryTable[[#This Row],[Code]], allFYsTable[year2], DP$3))</f>
        <v>109800</v>
      </c>
      <c r="DT53" s="61">
        <f>IF(COUNTIFS(allFYsTable[Code], SummaryTable[[#This Row],[Code]], allFYsTable[year2], DP$3)=0, NotFound, SUMIFS(allFYsTable[Actual], allFYsTable[Code], SummaryTable[[#This Row],[Code]], allFYsTable[year2], DP$3))</f>
        <v>109800</v>
      </c>
      <c r="DU53" s="61">
        <f>IF(COUNTIFS(allFYsTable[Code], SummaryTable[[#This Row],[Code]], allFYsTable[year2], DP$3)=0, NotFound, SUMIFS(allFYsTable[DiffAmount], allFYsTable[Code], SummaryTable[[#This Row],[Code]], allFYsTable[year2], DP$3))</f>
        <v>0</v>
      </c>
      <c r="DV53" s="63">
        <f>IF(SummaryTable[[#This Row],[OriginalBudget12]]=0, IF(SummaryTable[[#This Row],[DiffAmount12]]=0, ZeroBudgetNoSpending, ZeroBudgetWithSpending), SummaryTable[[#This Row],[DiffAmount12]]/SummaryTable[[#This Row],[OriginalBudget12]])</f>
        <v>0</v>
      </c>
      <c r="DW53" s="62">
        <f>IF(COUNTIFS(allFYsTable[Code], SummaryTable[[#This Row],[Code]], allFYsTable[year2], DW$3)=0, NotFound, SUMIFS(allFYsTable[OriginalBudget], allFYsTable[Code], SummaryTable[[#This Row],[Code]], allFYsTable[year2], DW$3))</f>
        <v>98700</v>
      </c>
      <c r="DX53" s="61">
        <f>SummaryTable[[#This Row],[OriginalBudget11]]-SummaryTable[[#This Row],[OriginalBudget10]]</f>
        <v>8000</v>
      </c>
      <c r="DY53" s="54">
        <f>SummaryTable[[#This Row],[BudgetIncreaseAmount11]]/SummaryTable[[#This Row],[OriginalBudget10]]</f>
        <v>8.8202866593164272E-2</v>
      </c>
      <c r="DZ53" s="61">
        <f>IF(COUNTIFS(allFYsTable[Code], SummaryTable[[#This Row],[Code]], allFYsTable[year2], DW$3)=0, NotFound, SUMIFS(allFYsTable[RevisedBudget], allFYsTable[Code], SummaryTable[[#This Row],[Code]], allFYsTable[year2], DW$3))</f>
        <v>98700</v>
      </c>
      <c r="EA53" s="61">
        <f>IF(COUNTIFS(allFYsTable[Code], SummaryTable[[#This Row],[Code]], allFYsTable[year2], DW$3)=0, NotFound, SUMIFS(allFYsTable[Actual], allFYsTable[Code], SummaryTable[[#This Row],[Code]], allFYsTable[year2], DW$3))</f>
        <v>94200</v>
      </c>
      <c r="EB53" s="61">
        <f>IF(COUNTIFS(allFYsTable[Code], SummaryTable[[#This Row],[Code]], allFYsTable[year2], DW$3)=0, NotFound, SUMIFS(allFYsTable[DiffAmount], allFYsTable[Code], SummaryTable[[#This Row],[Code]], allFYsTable[year2], DW$3))</f>
        <v>-4500</v>
      </c>
      <c r="EC53" s="63">
        <f>IF(SummaryTable[[#This Row],[OriginalBudget11]]=0, IF(SummaryTable[[#This Row],[DiffAmount11]]=0, ZeroBudgetNoSpending, ZeroBudgetWithSpending), SummaryTable[[#This Row],[DiffAmount11]]/SummaryTable[[#This Row],[OriginalBudget11]])</f>
        <v>-4.5592705167173252E-2</v>
      </c>
      <c r="ED53" s="62">
        <f>IF(COUNTIFS(allFYsTable[Code], SummaryTable[[#This Row],[Code]], allFYsTable[year2], ED$3)=0, NotFound, SUMIFS(allFYsTable[OriginalBudget], allFYsTable[Code], SummaryTable[[#This Row],[Code]], allFYsTable[year2], ED$3))</f>
        <v>90700</v>
      </c>
      <c r="EE53" s="61">
        <f>SummaryTable[[#This Row],[OriginalBudget10]]-SummaryTable[[#This Row],[OriginalBudget09]]</f>
        <v>9600</v>
      </c>
      <c r="EF53" s="54">
        <f>SummaryTable[[#This Row],[BudgetIncreaseAmount10]]/SummaryTable[[#This Row],[OriginalBudget09]]</f>
        <v>0.11837237977805179</v>
      </c>
      <c r="EG53" s="61">
        <f>IF(COUNTIFS(allFYsTable[Code], SummaryTable[[#This Row],[Code]], allFYsTable[year2], ED$3)=0, NotFound, SUMIFS(allFYsTable[RevisedBudget], allFYsTable[Code], SummaryTable[[#This Row],[Code]], allFYsTable[year2], ED$3))</f>
        <v>90700</v>
      </c>
      <c r="EH53" s="61">
        <f>IF(COUNTIFS(allFYsTable[Code], SummaryTable[[#This Row],[Code]], allFYsTable[year2], ED$3)=0, NotFound, SUMIFS(allFYsTable[Actual], allFYsTable[Code], SummaryTable[[#This Row],[Code]], allFYsTable[year2], ED$3))</f>
        <v>90700</v>
      </c>
      <c r="EI53" s="61">
        <f>IF(COUNTIFS(allFYsTable[Code], SummaryTable[[#This Row],[Code]], allFYsTable[year2], ED$3)=0, NotFound, SUMIFS(allFYsTable[DiffAmount], allFYsTable[Code], SummaryTable[[#This Row],[Code]], allFYsTable[year2], ED$3))</f>
        <v>0</v>
      </c>
      <c r="EJ53" s="63">
        <f>IF(SummaryTable[[#This Row],[OriginalBudget10]]=0, IF(SummaryTable[[#This Row],[DiffAmount10]]=0, ZeroBudgetNoSpending, ZeroBudgetWithSpending), SummaryTable[[#This Row],[DiffAmount10]]/SummaryTable[[#This Row],[OriginalBudget10]])</f>
        <v>0</v>
      </c>
      <c r="EK53" s="62">
        <f>IF(COUNTIFS(allFYsTable[Code], SummaryTable[[#This Row],[Code]], allFYsTable[year2], EK$3)=0, NotFound, SUMIFS(allFYsTable[OriginalBudget], allFYsTable[Code], SummaryTable[[#This Row],[Code]], allFYsTable[year2], EK$3))</f>
        <v>81100</v>
      </c>
      <c r="EL53" s="61">
        <f>SummaryTable[[#This Row],[OriginalBudget09]]-SummaryTable[[#This Row],[OriginalBudget08]]</f>
        <v>-29807</v>
      </c>
      <c r="EM53" s="54">
        <f>SummaryTable[[#This Row],[BudgetIncreaseAmount09]]/SummaryTable[[#This Row],[OriginalBudget08]]</f>
        <v>-0.26875670606904883</v>
      </c>
      <c r="EN53" s="61">
        <f>IF(COUNTIFS(allFYsTable[Code], SummaryTable[[#This Row],[Code]], allFYsTable[year2], EK$3)=0, NotFound, SUMIFS(allFYsTable[RevisedBudget], allFYsTable[Code], SummaryTable[[#This Row],[Code]], allFYsTable[year2], EK$3))</f>
        <v>81100</v>
      </c>
      <c r="EO53" s="61">
        <f>IF(COUNTIFS(allFYsTable[Code], SummaryTable[[#This Row],[Code]], allFYsTable[year2], EK$3)=0, NotFound, SUMIFS(allFYsTable[Actual], allFYsTable[Code], SummaryTable[[#This Row],[Code]], allFYsTable[year2], EK$3))</f>
        <v>81100</v>
      </c>
      <c r="EP53" s="61">
        <f>IF(COUNTIFS(allFYsTable[Code], SummaryTable[[#This Row],[Code]], allFYsTable[year2], EK$3)=0, NotFound, SUMIFS(allFYsTable[DiffAmount], allFYsTable[Code], SummaryTable[[#This Row],[Code]], allFYsTable[year2], EK$3))</f>
        <v>0</v>
      </c>
      <c r="EQ53" s="63">
        <f>IF(SummaryTable[[#This Row],[OriginalBudget09]]=0, IF(SummaryTable[[#This Row],[DiffAmount09]]=0, ZeroBudgetNoSpending, ZeroBudgetWithSpending), SummaryTable[[#This Row],[DiffAmount09]]/SummaryTable[[#This Row],[OriginalBudget09]])</f>
        <v>0</v>
      </c>
      <c r="ER53" s="62">
        <f>IF(COUNTIFS(allFYsTable[Code], SummaryTable[[#This Row],[Code]], allFYsTable[year2], ER$3)=0, NotFound, SUMIFS(allFYsTable[OriginalBudget], allFYsTable[Code], SummaryTable[[#This Row],[Code]], allFYsTable[year2], ER$3))</f>
        <v>110907</v>
      </c>
      <c r="ES53" s="61">
        <f>SummaryTable[[#This Row],[OriginalBudget08]]-SummaryTable[[#This Row],[OriginalBudget07]]</f>
        <v>106207</v>
      </c>
      <c r="ET53" s="54">
        <f>SummaryTable[[#This Row],[BudgetIncreaseAmount08]]/SummaryTable[[#This Row],[OriginalBudget07]]</f>
        <v>22.597234042553193</v>
      </c>
      <c r="EU53" s="61">
        <f>IF(COUNTIFS(allFYsTable[Code], SummaryTable[[#This Row],[Code]], allFYsTable[year2], ER$3)=0, NotFound, SUMIFS(allFYsTable[RevisedBudget], allFYsTable[Code], SummaryTable[[#This Row],[Code]], allFYsTable[year2], ER$3))</f>
        <v>110907</v>
      </c>
      <c r="EV53" s="61">
        <f>IF(COUNTIFS(allFYsTable[Code], SummaryTable[[#This Row],[Code]], allFYsTable[year2], ER$3)=0, NotFound, SUMIFS(allFYsTable[Actual], allFYsTable[Code], SummaryTable[[#This Row],[Code]], allFYsTable[year2], ER$3))</f>
        <v>110907</v>
      </c>
      <c r="EW53" s="61">
        <f>IF(COUNTIFS(allFYsTable[Code], SummaryTable[[#This Row],[Code]], allFYsTable[year2], ER$3)=0, NotFound, SUMIFS(allFYsTable[DiffAmount], allFYsTable[Code], SummaryTable[[#This Row],[Code]], allFYsTable[year2], ER$3))</f>
        <v>0</v>
      </c>
      <c r="EX53" s="63">
        <f>IF(SummaryTable[[#This Row],[OriginalBudget08]]=0, IF(SummaryTable[[#This Row],[DiffAmount08]]=0, ZeroBudgetNoSpending, ZeroBudgetWithSpending), SummaryTable[[#This Row],[DiffAmount08]]/SummaryTable[[#This Row],[OriginalBudget08]])</f>
        <v>0</v>
      </c>
      <c r="EY53" s="62">
        <f>IF(COUNTIFS(allFYsTable[Code], SummaryTable[[#This Row],[Code]], allFYsTable[year2], EY$3)=0, NotFound, SUMIFS(allFYsTable[OriginalBudget], allFYsTable[Code], SummaryTable[[#This Row],[Code]], allFYsTable[year2], EY$3))</f>
        <v>4700</v>
      </c>
      <c r="EZ53" s="61">
        <f>SummaryTable[[#This Row],[OriginalBudget07]]-SummaryTable[[#This Row],[OriginalBudget06]]</f>
        <v>-133300</v>
      </c>
      <c r="FA53" s="54">
        <f>SummaryTable[[#This Row],[BudgetIncreaseAmount07]]/SummaryTable[[#This Row],[OriginalBudget06]]</f>
        <v>-0.96594202898550729</v>
      </c>
      <c r="FB53" s="61">
        <f>IF(COUNTIFS(allFYsTable[Code], SummaryTable[[#This Row],[Code]], allFYsTable[year2], EY$3)=0, NotFound, SUMIFS(allFYsTable[RevisedBudget], allFYsTable[Code], SummaryTable[[#This Row],[Code]], allFYsTable[year2], EY$3))</f>
        <v>4700</v>
      </c>
      <c r="FC53" s="61">
        <f>IF(COUNTIFS(allFYsTable[Code], SummaryTable[[#This Row],[Code]], allFYsTable[year2], EY$3)=0, NotFound, SUMIFS(allFYsTable[Actual], allFYsTable[Code], SummaryTable[[#This Row],[Code]], allFYsTable[year2], EY$3))</f>
        <v>4700</v>
      </c>
      <c r="FD53" s="61">
        <f>IF(COUNTIFS(allFYsTable[Code], SummaryTable[[#This Row],[Code]], allFYsTable[year2], EY$3)=0, NotFound, SUMIFS(allFYsTable[DiffAmount], allFYsTable[Code], SummaryTable[[#This Row],[Code]], allFYsTable[year2], EY$3))</f>
        <v>0</v>
      </c>
      <c r="FE53" s="63">
        <f>IF(SummaryTable[[#This Row],[OriginalBudget07]]=0, IF(SummaryTable[[#This Row],[DiffAmount07]]=0, ZeroBudgetNoSpending, ZeroBudgetWithSpending), SummaryTable[[#This Row],[DiffAmount07]]/SummaryTable[[#This Row],[OriginalBudget07]])</f>
        <v>0</v>
      </c>
      <c r="FF53" s="62">
        <f>IF(COUNTIFS(allFYsTable[Code], SummaryTable[[#This Row],[Code]], allFYsTable[year2], FF$3)=0, NotFound, SUMIFS(allFYsTable[OriginalBudget], allFYsTable[Code], SummaryTable[[#This Row],[Code]], allFYsTable[year2], FF$3))</f>
        <v>138000</v>
      </c>
      <c r="FI53" s="61">
        <f>IF(COUNTIFS(allFYsTable[Code], SummaryTable[[#This Row],[Code]], allFYsTable[year2], FF$3)=0, NotFound, SUMIFS(allFYsTable[RevisedBudget], allFYsTable[Code], SummaryTable[[#This Row],[Code]], allFYsTable[year2], FF$3))</f>
        <v>138000</v>
      </c>
      <c r="FJ53" s="61">
        <f>IF(COUNTIFS(allFYsTable[Code], SummaryTable[[#This Row],[Code]], allFYsTable[year2], FF$3)=0, NotFound, SUMIFS(allFYsTable[Actual], allFYsTable[Code], SummaryTable[[#This Row],[Code]], allFYsTable[year2], FF$3))</f>
        <v>138000</v>
      </c>
      <c r="FK53" s="61">
        <f>IF(COUNTIFS(allFYsTable[Code], SummaryTable[[#This Row],[Code]], allFYsTable[year2], FF$3)=0, NotFound, SUMIFS(allFYsTable[DiffAmount], allFYsTable[Code], SummaryTable[[#This Row],[Code]], allFYsTable[year2], FF$3))</f>
        <v>0</v>
      </c>
      <c r="FL53" s="63">
        <f>IF(SummaryTable[[#This Row],[OriginalBudget06]]=0, IF(SummaryTable[[#This Row],[DiffAmount06]]=0, ZeroBudgetNoSpending, ZeroBudgetWithSpending), SummaryTable[[#This Row],[DiffAmount06]]/SummaryTable[[#This Row],[OriginalBudget06]])</f>
        <v>0</v>
      </c>
    </row>
    <row r="54" spans="1:168" x14ac:dyDescent="0.45">
      <c r="A54" t="s">
        <v>812</v>
      </c>
      <c r="B54">
        <f>_xlfn.MAXIFS(allFYsTable[year2], allFYsTable[Code], SummaryTable[[#This Row],[Code]])</f>
        <v>2025</v>
      </c>
      <c r="C54" t="str">
        <f>_xlfn.XLOOKUP(SummaryTable[[#This Row],[Code]], NameCodingTable[Code], NameCodingTable[Most Recent Category per allFYs])</f>
        <v>Governmental direction and support</v>
      </c>
      <c r="D54" t="str">
        <f>_xlfn.XLOOKUP(SummaryTable[[#This Row],[Code]], NameCodingTable[Code], NameCodingTable[Unit Display Name])</f>
        <v>Emergency Planning and Security Fund</v>
      </c>
      <c r="E54" t="str">
        <f>_xlfn.XLOOKUP(SummaryTable[[#This Row],[Code]], NameCodingTable[Code], NameCodingTable[Type])</f>
        <v>xother</v>
      </c>
      <c r="F5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5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7</v>
      </c>
      <c r="H54" s="54">
        <f>SummaryTable[[#This Row],['# Over]]/SummaryTable[[#This Row],[Count]]</f>
        <v>0.35</v>
      </c>
      <c r="I5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54" s="54">
        <f>SummaryTable[[#This Row],['# Under]]/SummaryTable[[#This Row],[Count]]</f>
        <v>0</v>
      </c>
      <c r="K5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13</v>
      </c>
      <c r="L54" s="54">
        <f>SummaryTable[[#This Row],['# Equal]]/SummaryTable[[#This Row],[Count]]</f>
        <v>0.65</v>
      </c>
      <c r="M54" s="61">
        <f>SUMIFS(allFYsTable[OriginalBudget],allFYsTable[Code],SummaryTable[[#This Row],[Code]])/SummaryTable[[#This Row],[Count]]</f>
        <v>0</v>
      </c>
      <c r="N54" s="61">
        <f>SUMIFS(allFYsTable[Actual],allFYsTable[Code],SummaryTable[[#This Row],[Code]])/SummaryTable[[#This Row],[Count]]</f>
        <v>6140.8</v>
      </c>
      <c r="O54" s="61">
        <f>SummaryTable[[#This Row],[AvgActAmt]]-SummaryTable[[#This Row],[AvgBudAmt]]</f>
        <v>6140.8</v>
      </c>
      <c r="P54" s="54">
        <f>IF(SummaryTable[[#This Row],[AvgBudAmt]]=0, IF(SummaryTable[[#This Row],[AvgDiff'#]]=0, 0, NamedFields!$C$3), SummaryTable[[#This Row],[AvgDiff'#]]/SummaryTable[[#This Row],[AvgBudAmt]])</f>
        <v>99.99</v>
      </c>
      <c r="Q54" s="61">
        <f>IFERROR(SUMIFS(allFYsTable[OriginalBudget],allFYsTable[Code],SummaryTable[[#This Row],[Code]],allFYsTable[DiffAmount], "&gt;0")/SummaryTable[[#This Row],['# Over]], 0)</f>
        <v>0</v>
      </c>
      <c r="R54" s="61">
        <f>IFERROR(SUMIFS(allFYsTable[Actual],allFYsTable[Code],SummaryTable[[#This Row],[Code]],allFYsTable[DiffAmount], "&gt;0")/SummaryTable[[#This Row],['# Over]], 0)</f>
        <v>17545.142857142859</v>
      </c>
      <c r="S54" s="61">
        <f>SummaryTable[[#This Row],[OverAvgAct]]-SummaryTable[[#This Row],[OverAvgBud]]</f>
        <v>17545.142857142859</v>
      </c>
      <c r="T54" s="54">
        <f>IF(SummaryTable[[#This Row],[OverAvgBud]]=0, IF(SummaryTable[[#This Row],[OverAvgDiff'#]]=0, ZeroBudgetNoSpending, ZeroBudgetWithSpending), SummaryTable[[#This Row],[OverAvgDiff'#]]/SummaryTable[[#This Row],[OverAvgBud]])</f>
        <v>99.99</v>
      </c>
      <c r="U54" s="61">
        <f>IFERROR(SUMIFS(allFYsTable[OriginalBudget],allFYsTable[Code],SummaryTable[[#This Row],[Code]],allFYsTable[DiffAmount], "&lt;0")/SummaryTable[[#This Row],['# Under]], 0)</f>
        <v>0</v>
      </c>
      <c r="V54" s="61">
        <f>IFERROR( SUMIFS(allFYsTable[Actual],allFYsTable[Code],SummaryTable[[#This Row],[Code]],allFYsTable[DiffAmount], "&lt;0")/SummaryTable[[#This Row],['# Under]], 0)</f>
        <v>0</v>
      </c>
      <c r="W54" s="61">
        <f>SummaryTable[[#This Row],[UnderAvgAct]]-SummaryTable[[#This Row],[UnderAvgBud]]</f>
        <v>0</v>
      </c>
      <c r="X54" s="54">
        <f>IF(SummaryTable[[#This Row],[UnderAvgBud]]=0, IF(SummaryTable[[#This Row],[UnderAvgDiff'#]]=0, ZeroBudgetNoSpending, NamedFields!$C$3), SummaryTable[[#This Row],[UnderAvgDiff'#]]/SummaryTable[[#This Row],[UnderAvgBud]])</f>
        <v>0</v>
      </c>
      <c r="Y5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5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4" s="54">
        <f>IF(SummaryTable[[#This Row],[IncreaseYears]]=0, ZeroBudgetNoSpending, SummaryTable[[#This Row],[OSinIncreaseYear'#]]/SummaryTable[[#This Row],[IncreaseYears]])</f>
        <v>0</v>
      </c>
      <c r="AB54" s="58" t="str">
        <f>SummaryTable[[#This Row],[Code]]</f>
        <v>EP0</v>
      </c>
      <c r="AC54" s="62">
        <f>IF(COUNTIFS(allFYsTable[Code], SummaryTable[[#This Row],[Code]], allFYsTable[year2], AC$3)=0, NotFound, SUMIFS(allFYsTable[OriginalBudget], allFYsTable[Code], SummaryTable[[#This Row],[Code]], allFYsTable[year2], AC$3))</f>
        <v>0</v>
      </c>
      <c r="AD54" s="61">
        <f>SummaryTable[[#This Row],[OriginalBudget25]]-SummaryTable[[#This Row],[OriginalBudget24]]</f>
        <v>0</v>
      </c>
      <c r="AE54" s="54" t="e">
        <f>SummaryTable[[#This Row],[BudgetIncreaseAmount25]]/SummaryTable[[#This Row],[OriginalBudget24]]</f>
        <v>#DIV/0!</v>
      </c>
      <c r="AF54" s="61">
        <f>IF(COUNTIFS(allFYsTable[Code], SummaryTable[[#This Row],[Code]], allFYsTable[year2], AC$3)=0, NotFound, SUMIFS(allFYsTable[RevisedBudget], allFYsTable[Code], SummaryTable[[#This Row],[Code]], allFYsTable[year2], AC$3))</f>
        <v>15000</v>
      </c>
      <c r="AG54" s="61">
        <f>IF(COUNTIFS(allFYsTable[Code], SummaryTable[[#This Row],[Code]], allFYsTable[year2], AC$3)=0, NotFound, SUMIFS(allFYsTable[Actual], allFYsTable[Code], SummaryTable[[#This Row],[Code]], allFYsTable[year2], AC$3))</f>
        <v>7355</v>
      </c>
      <c r="AH54" s="61">
        <f>IF(COUNTIFS(allFYsTable[Code], SummaryTable[[#This Row],[Code]], allFYsTable[year2], AC$3)=0, NotFound, SUMIFS(allFYsTable[DiffAmount], allFYsTable[Code], SummaryTable[[#This Row],[Code]], allFYsTable[year2], AC$3))</f>
        <v>7355</v>
      </c>
      <c r="AI54" s="63">
        <f>IF(SummaryTable[[#This Row],[OriginalBudget25]]=0, IF(SummaryTable[[#This Row],[DiffAmount25]]=0, ZeroBudgetNoSpending, ZeroBudgetWithSpending), SummaryTable[[#This Row],[DiffAmount25]]/SummaryTable[[#This Row],[OriginalBudget25]])</f>
        <v>99.99</v>
      </c>
      <c r="AJ54" s="62">
        <f>IF(COUNTIFS(allFYsTable[Code], SummaryTable[[#This Row],[Code]], allFYsTable[year2], AJ$3)=0, NotFound, SUMIFS(allFYsTable[OriginalBudget], allFYsTable[Code], SummaryTable[[#This Row],[Code]], allFYsTable[year2], AJ$3))</f>
        <v>0</v>
      </c>
      <c r="AK54" s="61">
        <f>SummaryTable[[#This Row],[OriginalBudget24]]-SummaryTable[[#This Row],[OriginalBudget23]]</f>
        <v>0</v>
      </c>
      <c r="AL54" s="54" t="e">
        <f>SummaryTable[[#This Row],[BudgetIncreaseAmount24]]/SummaryTable[[#This Row],[OriginalBudget23]]</f>
        <v>#DIV/0!</v>
      </c>
      <c r="AM54" s="61">
        <f>IF(COUNTIFS(allFYsTable[Code], SummaryTable[[#This Row],[Code]], allFYsTable[year2], AK$3)=0, NotFound, SUMIFS(allFYsTable[RevisedBudget], allFYsTable[Code], SummaryTable[[#This Row],[Code]], allFYsTable[year2], AJ$3))</f>
        <v>25592</v>
      </c>
      <c r="AN54" s="61">
        <f>IF(COUNTIFS(allFYsTable[Code], SummaryTable[[#This Row],[Code]], allFYsTable[year2], AJ$3)=0, NotFound, SUMIFS(allFYsTable[Actual], allFYsTable[Code], SummaryTable[[#This Row],[Code]], allFYsTable[year2], AJ$3))</f>
        <v>25592</v>
      </c>
      <c r="AO54" s="61">
        <f>IF(COUNTIFS(allFYsTable[Code], SummaryTable[[#This Row],[Code]], allFYsTable[year2], AJ$3)=0, NotFound, SUMIFS(allFYsTable[DiffAmount], allFYsTable[Code], SummaryTable[[#This Row],[Code]], allFYsTable[year2], AJ$3))</f>
        <v>25592</v>
      </c>
      <c r="AP54" s="63">
        <f>IF(SummaryTable[[#This Row],[OriginalBudget24]]=0, IF(SummaryTable[[#This Row],[DiffAmount24]]=0, ZeroBudgetNoSpending, ZeroBudgetWithSpending), SummaryTable[[#This Row],[DiffAmount24]]/SummaryTable[[#This Row],[OriginalBudget24]])</f>
        <v>99.99</v>
      </c>
      <c r="AQ54" s="62">
        <f>IF(COUNTIFS(allFYsTable[Code], SummaryTable[[#This Row],[Code]], allFYsTable[year2], AQ$3)=0, NotFound, SUMIFS(allFYsTable[OriginalBudget], allFYsTable[Code], SummaryTable[[#This Row],[Code]], allFYsTable[year2], AQ$3))</f>
        <v>0</v>
      </c>
      <c r="AR54" s="61">
        <f>SummaryTable[[#This Row],[OriginalBudget23]]-SummaryTable[[#This Row],[OriginalBudget22]]</f>
        <v>0</v>
      </c>
      <c r="AS54" s="54" t="e">
        <f>SummaryTable[[#This Row],[BudgetIncreaseAmount23]]/SummaryTable[[#This Row],[OriginalBudget22]]</f>
        <v>#DIV/0!</v>
      </c>
      <c r="AT54" s="61">
        <f>IF(COUNTIFS(allFYsTable[Code], SummaryTable[[#This Row],[Code]], allFYsTable[year2], AQ$3)=0, NotFound, SUMIFS(allFYsTable[RevisedBudget], allFYsTable[Code], SummaryTable[[#This Row],[Code]], allFYsTable[year2], AQ$3))</f>
        <v>7100</v>
      </c>
      <c r="AU54" s="61">
        <f>IF(COUNTIFS(allFYsTable[Code], SummaryTable[[#This Row],[Code]], allFYsTable[year2], AQ$3)=0, NotFound, SUMIFS(allFYsTable[Actual], allFYsTable[Code], SummaryTable[[#This Row],[Code]], allFYsTable[year2], AQ$3))</f>
        <v>5851</v>
      </c>
      <c r="AV54" s="61">
        <f>IF(COUNTIFS(allFYsTable[Code], SummaryTable[[#This Row],[Code]], allFYsTable[year2], AQ$3)=0, NotFound, SUMIFS(allFYsTable[DiffAmount], allFYsTable[Code], SummaryTable[[#This Row],[Code]], allFYsTable[year2], AQ$3))</f>
        <v>5851</v>
      </c>
      <c r="AW54" s="63">
        <f>IF(SummaryTable[[#This Row],[OriginalBudget23]]=0, IF(SummaryTable[[#This Row],[DiffAmount23]]=0, ZeroBudgetNoSpending, ZeroBudgetWithSpending), SummaryTable[[#This Row],[DiffAmount23]]/SummaryTable[[#This Row],[OriginalBudget23]])</f>
        <v>99.99</v>
      </c>
      <c r="AX54" s="62">
        <f>IF(COUNTIFS(allFYsTable[Code], SummaryTable[[#This Row],[Code]], allFYsTable[year2], AX$3)=0, NotFound, SUMIFS(allFYsTable[OriginalBudget], allFYsTable[Code], SummaryTable[[#This Row],[Code]], allFYsTable[year2], AX$3))</f>
        <v>0</v>
      </c>
      <c r="AY54" s="61">
        <f>SummaryTable[[#This Row],[OriginalBudget22]]-SummaryTable[[#This Row],[OriginalBudget21]]</f>
        <v>0</v>
      </c>
      <c r="AZ54" s="54" t="e">
        <f>SummaryTable[[#This Row],[BudgetIncreaseAmount22]]/SummaryTable[[#This Row],[OriginalBudget21]]</f>
        <v>#DIV/0!</v>
      </c>
      <c r="BA54" s="61">
        <f>IF(COUNTIFS(allFYsTable[Code], SummaryTable[[#This Row],[Code]], allFYsTable[year2], AX$3)=0, NotFound, SUMIFS(allFYsTable[RevisedBudget], allFYsTable[Code], SummaryTable[[#This Row],[Code]], allFYsTable[year2], AX$3))</f>
        <v>22400</v>
      </c>
      <c r="BB54" s="61">
        <f>IF(COUNTIFS(allFYsTable[Code], SummaryTable[[#This Row],[Code]], allFYsTable[year2], AX$3)=0, NotFound, SUMIFS(allFYsTable[Actual], allFYsTable[Code], SummaryTable[[#This Row],[Code]], allFYsTable[year2], AX$3))</f>
        <v>20945</v>
      </c>
      <c r="BC54" s="61">
        <f>IF(COUNTIFS(allFYsTable[Code], SummaryTable[[#This Row],[Code]], allFYsTable[year2], AX$3)=0, NotFound, SUMIFS(allFYsTable[DiffAmount], allFYsTable[Code], SummaryTable[[#This Row],[Code]], allFYsTable[year2], AX$3))</f>
        <v>20945</v>
      </c>
      <c r="BD54" s="63">
        <f>IF(SummaryTable[[#This Row],[OriginalBudget22]]=0, IF(SummaryTable[[#This Row],[DiffAmount22]]=0, ZeroBudgetNoSpending, ZeroBudgetWithSpending), SummaryTable[[#This Row],[DiffAmount22]]/SummaryTable[[#This Row],[OriginalBudget22]])</f>
        <v>99.99</v>
      </c>
      <c r="BE54" s="62">
        <f>IF(COUNTIFS(allFYsTable[Code], SummaryTable[[#This Row],[Code]], allFYsTable[year2], BE$3)=0, NotFound, SUMIFS(allFYsTable[OriginalBudget], allFYsTable[Code], SummaryTable[[#This Row],[Code]], allFYsTable[year2], BE$3))</f>
        <v>0</v>
      </c>
      <c r="BF54" s="61">
        <f>SummaryTable[[#This Row],[OriginalBudget21]]-SummaryTable[[#This Row],[OriginalBudget20]]</f>
        <v>0</v>
      </c>
      <c r="BG54" s="54" t="e">
        <f>SummaryTable[[#This Row],[BudgetIncreaseAmount21]]/SummaryTable[[#This Row],[OriginalBudget20]]</f>
        <v>#DIV/0!</v>
      </c>
      <c r="BH54" s="61">
        <f>IF(COUNTIFS(allFYsTable[Code], SummaryTable[[#This Row],[Code]], allFYsTable[year2], BE$3)=0, NotFound, SUMIFS(allFYsTable[RevisedBudget], allFYsTable[Code], SummaryTable[[#This Row],[Code]], allFYsTable[year2], BE$3))</f>
        <v>18400</v>
      </c>
      <c r="BI54" s="61">
        <f>IF(COUNTIFS(allFYsTable[Code], SummaryTable[[#This Row],[Code]], allFYsTable[year2], BE$3)=0, NotFound, SUMIFS(allFYsTable[Actual], allFYsTable[Code], SummaryTable[[#This Row],[Code]], allFYsTable[year2], BE$3))</f>
        <v>14673</v>
      </c>
      <c r="BJ54" s="61">
        <f>IF(COUNTIFS(allFYsTable[Code], SummaryTable[[#This Row],[Code]], allFYsTable[year2], BE$3)=0, NotFound, SUMIFS(allFYsTable[DiffAmount], allFYsTable[Code], SummaryTable[[#This Row],[Code]], allFYsTable[year2], BE$3))</f>
        <v>14673</v>
      </c>
      <c r="BK54" s="63">
        <f>IF(SummaryTable[[#This Row],[OriginalBudget21]]=0, IF(SummaryTable[[#This Row],[DiffAmount21]]=0, ZeroBudgetNoSpending, ZeroBudgetWithSpending), SummaryTable[[#This Row],[DiffAmount21]]/SummaryTable[[#This Row],[OriginalBudget21]])</f>
        <v>99.99</v>
      </c>
      <c r="BL54" s="62">
        <f>IF(COUNTIFS(allFYsTable[Code], SummaryTable[[#This Row],[Code]], allFYsTable[year2], BL$3)=0, NotFound, SUMIFS(allFYsTable[OriginalBudget], allFYsTable[Code], SummaryTable[[#This Row],[Code]], allFYsTable[year2], BL$3))</f>
        <v>0</v>
      </c>
      <c r="BM54" s="61">
        <f>SummaryTable[[#This Row],[OriginalBudget20]]-SummaryTable[[#This Row],[OriginalBudget19]]</f>
        <v>0</v>
      </c>
      <c r="BN54" s="54" t="e">
        <f>SummaryTable[[#This Row],[BudgetIncreaseAmount20]]/SummaryTable[[#This Row],[OriginalBudget19]]</f>
        <v>#DIV/0!</v>
      </c>
      <c r="BO54" s="61">
        <f>IF(COUNTIFS(allFYsTable[Code], SummaryTable[[#This Row],[Code]], allFYsTable[year2], BL$3)=0, NotFound, SUMIFS(allFYsTable[RevisedBudget], allFYsTable[Code], SummaryTable[[#This Row],[Code]], allFYsTable[year2], BL$3))</f>
        <v>43000</v>
      </c>
      <c r="BP54" s="61">
        <f>IF(COUNTIFS(allFYsTable[Code], SummaryTable[[#This Row],[Code]], allFYsTable[year2], BL$3)=0, NotFound, SUMIFS(allFYsTable[Actual], allFYsTable[Code], SummaryTable[[#This Row],[Code]], allFYsTable[year2], BL$3))</f>
        <v>43000</v>
      </c>
      <c r="BQ54" s="61">
        <f>IF(COUNTIFS(allFYsTable[Code], SummaryTable[[#This Row],[Code]], allFYsTable[year2], BL$3)=0, NotFound, SUMIFS(allFYsTable[DiffAmount], allFYsTable[Code], SummaryTable[[#This Row],[Code]], allFYsTable[year2], BL$3))</f>
        <v>43000</v>
      </c>
      <c r="BR54" s="63">
        <f>IF(SummaryTable[[#This Row],[OriginalBudget20]]=0, IF(SummaryTable[[#This Row],[DiffAmount20]]=0, ZeroBudgetNoSpending, ZeroBudgetWithSpending), SummaryTable[[#This Row],[DiffAmount20]]/SummaryTable[[#This Row],[OriginalBudget20]])</f>
        <v>99.99</v>
      </c>
      <c r="BS54" s="62">
        <f>IF(COUNTIFS(allFYsTable[Code], SummaryTable[[#This Row],[Code]], allFYsTable[year2], BS$3)=0, NotFound, SUMIFS(allFYsTable[OriginalBudget], allFYsTable[Code], SummaryTable[[#This Row],[Code]], allFYsTable[year2], BS$3))</f>
        <v>0</v>
      </c>
      <c r="BT54" s="61">
        <f>SummaryTable[[#This Row],[OriginalBudget19]]-SummaryTable[[#This Row],[OriginalBudget18]]</f>
        <v>0</v>
      </c>
      <c r="BU54" s="54" t="e">
        <f>SummaryTable[[#This Row],[BudgetIncreaseAmount19]]/SummaryTable[[#This Row],[OriginalBudget18]]</f>
        <v>#DIV/0!</v>
      </c>
      <c r="BV54" s="61">
        <f>IF(COUNTIFS(allFYsTable[Code], SummaryTable[[#This Row],[Code]], allFYsTable[year2], BS$3)=0, NotFound, SUMIFS(allFYsTable[RevisedBudget], allFYsTable[Code], SummaryTable[[#This Row],[Code]], allFYsTable[year2], BS$3))</f>
        <v>5400</v>
      </c>
      <c r="BW54" s="61">
        <f>IF(COUNTIFS(allFYsTable[Code], SummaryTable[[#This Row],[Code]], allFYsTable[year2], BS$3)=0, NotFound, SUMIFS(allFYsTable[Actual], allFYsTable[Code], SummaryTable[[#This Row],[Code]], allFYsTable[year2], BS$3))</f>
        <v>5400</v>
      </c>
      <c r="BX54" s="61">
        <f>IF(COUNTIFS(allFYsTable[Code], SummaryTable[[#This Row],[Code]], allFYsTable[year2], BS$3)=0, NotFound, SUMIFS(allFYsTable[DiffAmount], allFYsTable[Code], SummaryTable[[#This Row],[Code]], allFYsTable[year2], BS$3))</f>
        <v>5400</v>
      </c>
      <c r="BY54" s="63">
        <f>IF(SummaryTable[[#This Row],[OriginalBudget19]]=0, IF(SummaryTable[[#This Row],[DiffAmount19]]=0, ZeroBudgetNoSpending, ZeroBudgetWithSpending), SummaryTable[[#This Row],[DiffAmount19]]/SummaryTable[[#This Row],[OriginalBudget19]])</f>
        <v>99.99</v>
      </c>
      <c r="BZ54" s="62">
        <f>IF(COUNTIFS(allFYsTable[Code], SummaryTable[[#This Row],[Code]], allFYsTable[year2], BZ$3)=0, NotFound, SUMIFS(allFYsTable[OriginalBudget], allFYsTable[Code], SummaryTable[[#This Row],[Code]], allFYsTable[year2], BZ$3))</f>
        <v>0</v>
      </c>
      <c r="CA54" s="61">
        <f>SummaryTable[[#This Row],[OriginalBudget18]]-SummaryTable[[#This Row],[OriginalBudget17]]</f>
        <v>0</v>
      </c>
      <c r="CB54" s="54" t="e">
        <f>SummaryTable[[#This Row],[BudgetIncreaseAmount18]]/SummaryTable[[#This Row],[OriginalBudget17]]</f>
        <v>#DIV/0!</v>
      </c>
      <c r="CC54" s="61">
        <f>IF(COUNTIFS(allFYsTable[Code], SummaryTable[[#This Row],[Code]], allFYsTable[year2], BZ$3)=0, NotFound, SUMIFS(allFYsTable[RevisedBudget], allFYsTable[Code], SummaryTable[[#This Row],[Code]], allFYsTable[year2], BZ$3))</f>
        <v>0</v>
      </c>
      <c r="CD54" s="61">
        <f>IF(COUNTIFS(allFYsTable[Code], SummaryTable[[#This Row],[Code]], allFYsTable[year2], BZ$3)=0, NotFound, SUMIFS(allFYsTable[Actual], allFYsTable[Code], SummaryTable[[#This Row],[Code]], allFYsTable[year2], BZ$3))</f>
        <v>0</v>
      </c>
      <c r="CE54" s="61">
        <f>IF(COUNTIFS(allFYsTable[Code], SummaryTable[[#This Row],[Code]], allFYsTable[year2], BZ$3)=0, NotFound, SUMIFS(allFYsTable[DiffAmount], allFYsTable[Code], SummaryTable[[#This Row],[Code]], allFYsTable[year2], BZ$3))</f>
        <v>0</v>
      </c>
      <c r="CF54" s="63">
        <f>IF(SummaryTable[[#This Row],[OriginalBudget18]]=0, IF(SummaryTable[[#This Row],[DiffAmount18]]=0, ZeroBudgetNoSpending, ZeroBudgetWithSpending), SummaryTable[[#This Row],[DiffAmount18]]/SummaryTable[[#This Row],[OriginalBudget18]])</f>
        <v>0</v>
      </c>
      <c r="CG54" s="62">
        <f>IF(COUNTIFS(allFYsTable[Code], SummaryTable[[#This Row],[Code]], allFYsTable[year2], CG$3)=0, NotFound, SUMIFS(allFYsTable[OriginalBudget], allFYsTable[Code], SummaryTable[[#This Row],[Code]], allFYsTable[year2], CG$3))</f>
        <v>0</v>
      </c>
      <c r="CH54" s="61">
        <f>SummaryTable[[#This Row],[OriginalBudget17]]-SummaryTable[[#This Row],[OriginalBudget16]]</f>
        <v>0</v>
      </c>
      <c r="CI54" s="54" t="e">
        <f>SummaryTable[[#This Row],[BudgetIncreaseAmount17]]/SummaryTable[[#This Row],[OriginalBudget16]]</f>
        <v>#DIV/0!</v>
      </c>
      <c r="CJ54" s="61">
        <f>IF(COUNTIFS(allFYsTable[Code], SummaryTable[[#This Row],[Code]], allFYsTable[year2], CG$3)=0, NotFound, SUMIFS(allFYsTable[RevisedBudget], allFYsTable[Code], SummaryTable[[#This Row],[Code]], allFYsTable[year2], CG$3))</f>
        <v>0</v>
      </c>
      <c r="CK54" s="61">
        <f>IF(COUNTIFS(allFYsTable[Code], SummaryTable[[#This Row],[Code]], allFYsTable[year2], CG$3)=0, NotFound, SUMIFS(allFYsTable[Actual], allFYsTable[Code], SummaryTable[[#This Row],[Code]], allFYsTable[year2], CG$3))</f>
        <v>0</v>
      </c>
      <c r="CL54" s="61">
        <f>IF(COUNTIFS(allFYsTable[Code], SummaryTable[[#This Row],[Code]], allFYsTable[year2], CG$3)=0, NotFound, SUMIFS(allFYsTable[DiffAmount], allFYsTable[Code], SummaryTable[[#This Row],[Code]], allFYsTable[year2], CG$3))</f>
        <v>0</v>
      </c>
      <c r="CM54" s="63">
        <f>IF(SummaryTable[[#This Row],[OriginalBudget17]]=0, IF(SummaryTable[[#This Row],[DiffAmount17]]=0, ZeroBudgetNoSpending, ZeroBudgetWithSpending), SummaryTable[[#This Row],[DiffAmount17]]/SummaryTable[[#This Row],[OriginalBudget17]])</f>
        <v>0</v>
      </c>
      <c r="CN54" s="62">
        <f>IF(COUNTIFS(allFYsTable[Code], SummaryTable[[#This Row],[Code]], allFYsTable[year2], CN$3)=0, NotFound, SUMIFS(allFYsTable[OriginalBudget], allFYsTable[Code], SummaryTable[[#This Row],[Code]], allFYsTable[year2], CN$3))</f>
        <v>0</v>
      </c>
      <c r="CO54" s="61">
        <f>SummaryTable[[#This Row],[OriginalBudget16]]-SummaryTable[[#This Row],[OriginalBudget15]]</f>
        <v>0</v>
      </c>
      <c r="CP54" s="54" t="e">
        <f>SummaryTable[[#This Row],[BudgetIncreaseAmount16]]/SummaryTable[[#This Row],[OriginalBudget15]]</f>
        <v>#DIV/0!</v>
      </c>
      <c r="CQ54" s="61">
        <f>IF(COUNTIFS(allFYsTable[Code], SummaryTable[[#This Row],[Code]], allFYsTable[year2], CN$3)=0, NotFound, SUMIFS(allFYsTable[RevisedBudget], allFYsTable[Code], SummaryTable[[#This Row],[Code]], allFYsTable[year2], CN$3))</f>
        <v>0</v>
      </c>
      <c r="CR54" s="61">
        <f>IF(COUNTIFS(allFYsTable[Code], SummaryTable[[#This Row],[Code]], allFYsTable[year2], CN$3)=0, NotFound, SUMIFS(allFYsTable[Actual], allFYsTable[Code], SummaryTable[[#This Row],[Code]], allFYsTable[year2], CN$3))</f>
        <v>0</v>
      </c>
      <c r="CS54" s="61">
        <f>IF(COUNTIFS(allFYsTable[Code], SummaryTable[[#This Row],[Code]], allFYsTable[year2], CN$3)=0, NotFound, SUMIFS(allFYsTable[DiffAmount], allFYsTable[Code], SummaryTable[[#This Row],[Code]], allFYsTable[year2], CN$3))</f>
        <v>0</v>
      </c>
      <c r="CT54" s="63">
        <f>IF(SummaryTable[[#This Row],[OriginalBudget16]]=0, IF(SummaryTable[[#This Row],[DiffAmount16]]=0, ZeroBudgetNoSpending, ZeroBudgetWithSpending), SummaryTable[[#This Row],[DiffAmount16]]/SummaryTable[[#This Row],[OriginalBudget16]])</f>
        <v>0</v>
      </c>
      <c r="CU54" s="62">
        <f>IF(COUNTIFS(allFYsTable[Code], SummaryTable[[#This Row],[Code]], allFYsTable[year2], CU$3)=0, NotFound, SUMIFS(allFYsTable[OriginalBudget], allFYsTable[Code], SummaryTable[[#This Row],[Code]], allFYsTable[year2], CU$3))</f>
        <v>0</v>
      </c>
      <c r="CV54" s="61">
        <f>SummaryTable[[#This Row],[OriginalBudget15]]-SummaryTable[[#This Row],[OriginalBudget14]]</f>
        <v>0</v>
      </c>
      <c r="CW54" s="54" t="e">
        <f>SummaryTable[[#This Row],[BudgetIncreaseAmount15]]/SummaryTable[[#This Row],[OriginalBudget14]]</f>
        <v>#DIV/0!</v>
      </c>
      <c r="CX54" s="61">
        <f>IF(COUNTIFS(allFYsTable[Code], SummaryTable[[#This Row],[Code]], allFYsTable[year2], CU$3)=0, NotFound, SUMIFS(allFYsTable[RevisedBudget], allFYsTable[Code], SummaryTable[[#This Row],[Code]], allFYsTable[year2], CU$3))</f>
        <v>0</v>
      </c>
      <c r="CY54" s="61">
        <f>IF(COUNTIFS(allFYsTable[Code], SummaryTable[[#This Row],[Code]], allFYsTable[year2], CU$3)=0, NotFound, SUMIFS(allFYsTable[Actual], allFYsTable[Code], SummaryTable[[#This Row],[Code]], allFYsTable[year2], CU$3))</f>
        <v>0</v>
      </c>
      <c r="CZ54" s="61">
        <f>IF(COUNTIFS(allFYsTable[Code], SummaryTable[[#This Row],[Code]], allFYsTable[year2], CU$3)=0, NotFound, SUMIFS(allFYsTable[DiffAmount], allFYsTable[Code], SummaryTable[[#This Row],[Code]], allFYsTable[year2], CU$3))</f>
        <v>0</v>
      </c>
      <c r="DA54" s="63">
        <f>IF(SummaryTable[[#This Row],[OriginalBudget15]]=0, IF(SummaryTable[[#This Row],[DiffAmount15]]=0, ZeroBudgetNoSpending, ZeroBudgetWithSpending), SummaryTable[[#This Row],[DiffAmount15]]/SummaryTable[[#This Row],[OriginalBudget15]])</f>
        <v>0</v>
      </c>
      <c r="DB54" s="62">
        <f>IF(COUNTIFS(allFYsTable[Code], SummaryTable[[#This Row],[Code]], allFYsTable[year2], DB$3)=0, NotFound, SUMIFS(allFYsTable[OriginalBudget], allFYsTable[Code], SummaryTable[[#This Row],[Code]], allFYsTable[year2], DB$3))</f>
        <v>0</v>
      </c>
      <c r="DC54" s="61">
        <f>SummaryTable[[#This Row],[OriginalBudget14]]-SummaryTable[[#This Row],[OriginalBudget13]]</f>
        <v>0</v>
      </c>
      <c r="DD54" s="54" t="e">
        <f>SummaryTable[[#This Row],[BudgetIncreaseAmount14]]/SummaryTable[[#This Row],[OriginalBudget13]]</f>
        <v>#DIV/0!</v>
      </c>
      <c r="DE54" s="61">
        <f>IF(COUNTIFS(allFYsTable[Code], SummaryTable[[#This Row],[Code]], allFYsTable[year2], DB$3)=0, NotFound, SUMIFS(allFYsTable[RevisedBudget], allFYsTable[Code], SummaryTable[[#This Row],[Code]], allFYsTable[year2], DB$3))</f>
        <v>0</v>
      </c>
      <c r="DF54" s="61">
        <f>IF(COUNTIFS(allFYsTable[Code], SummaryTable[[#This Row],[Code]], allFYsTable[year2], DB$3)=0, NotFound, SUMIFS(allFYsTable[Actual], allFYsTable[Code], SummaryTable[[#This Row],[Code]], allFYsTable[year2], DB$3))</f>
        <v>0</v>
      </c>
      <c r="DG54" s="61">
        <f>IF(COUNTIFS(allFYsTable[Code], SummaryTable[[#This Row],[Code]], allFYsTable[year2], DB$3)=0, NotFound, SUMIFS(allFYsTable[DiffAmount], allFYsTable[Code], SummaryTable[[#This Row],[Code]], allFYsTable[year2], DB$3))</f>
        <v>0</v>
      </c>
      <c r="DH54" s="63">
        <f>IF(SummaryTable[[#This Row],[OriginalBudget14]]=0, IF(SummaryTable[[#This Row],[DiffAmount14]]=0, ZeroBudgetNoSpending, ZeroBudgetWithSpending), SummaryTable[[#This Row],[DiffAmount14]]/SummaryTable[[#This Row],[OriginalBudget14]])</f>
        <v>0</v>
      </c>
      <c r="DI54" s="62">
        <f>IF(COUNTIFS(allFYsTable[Code], SummaryTable[[#This Row],[Code]], allFYsTable[year2], DI$3)=0, NotFound, SUMIFS(allFYsTable[OriginalBudget], allFYsTable[Code], SummaryTable[[#This Row],[Code]], allFYsTable[year2], DI$3))</f>
        <v>0</v>
      </c>
      <c r="DJ54" s="61">
        <f>SummaryTable[[#This Row],[OriginalBudget13]]-SummaryTable[[#This Row],[OriginalBudget12]]</f>
        <v>0</v>
      </c>
      <c r="DK54" s="54" t="e">
        <f>SummaryTable[[#This Row],[BudgetIncreaseAmount13]]/SummaryTable[[#This Row],[OriginalBudget12]]</f>
        <v>#DIV/0!</v>
      </c>
      <c r="DL54" s="61">
        <f>IF(COUNTIFS(allFYsTable[Code], SummaryTable[[#This Row],[Code]], allFYsTable[year2], DI$3)=0, NotFound, SUMIFS(allFYsTable[RevisedBudget], allFYsTable[Code], SummaryTable[[#This Row],[Code]], allFYsTable[year2], DI$3))</f>
        <v>0</v>
      </c>
      <c r="DM54" s="61">
        <f>IF(COUNTIFS(allFYsTable[Code], SummaryTable[[#This Row],[Code]], allFYsTable[year2], DI$3)=0, NotFound, SUMIFS(allFYsTable[Actual], allFYsTable[Code], SummaryTable[[#This Row],[Code]], allFYsTable[year2], DI$3))</f>
        <v>0</v>
      </c>
      <c r="DN54" s="61">
        <f>IF(COUNTIFS(allFYsTable[Code], SummaryTable[[#This Row],[Code]], allFYsTable[year2], DI$3)=0, NotFound, SUMIFS(allFYsTable[DiffAmount], allFYsTable[Code], SummaryTable[[#This Row],[Code]], allFYsTable[year2], DI$3))</f>
        <v>0</v>
      </c>
      <c r="DO54" s="63">
        <f>IF(SummaryTable[[#This Row],[OriginalBudget13]]=0, IF(SummaryTable[[#This Row],[DiffAmount13]]=0, ZeroBudgetNoSpending, ZeroBudgetWithSpending), SummaryTable[[#This Row],[DiffAmount13]]/SummaryTable[[#This Row],[OriginalBudget13]])</f>
        <v>0</v>
      </c>
      <c r="DP54" s="62">
        <f>IF(COUNTIFS(allFYsTable[Code], SummaryTable[[#This Row],[Code]], allFYsTable[year2], DP$3)=0, NotFound, SUMIFS(allFYsTable[OriginalBudget], allFYsTable[Code], SummaryTable[[#This Row],[Code]], allFYsTable[year2], DP$3))</f>
        <v>0</v>
      </c>
      <c r="DQ54" s="61">
        <f>SummaryTable[[#This Row],[OriginalBudget12]]-SummaryTable[[#This Row],[OriginalBudget11]]</f>
        <v>0</v>
      </c>
      <c r="DR54" s="54" t="e">
        <f>SummaryTable[[#This Row],[BudgetIncreaseAmount12]]/SummaryTable[[#This Row],[OriginalBudget11]]</f>
        <v>#DIV/0!</v>
      </c>
      <c r="DS54" s="61">
        <f>IF(COUNTIFS(allFYsTable[Code], SummaryTable[[#This Row],[Code]], allFYsTable[year2], DP$3)=0, NotFound, SUMIFS(allFYsTable[RevisedBudget], allFYsTable[Code], SummaryTable[[#This Row],[Code]], allFYsTable[year2], DP$3))</f>
        <v>0</v>
      </c>
      <c r="DT54" s="61">
        <f>IF(COUNTIFS(allFYsTable[Code], SummaryTable[[#This Row],[Code]], allFYsTable[year2], DP$3)=0, NotFound, SUMIFS(allFYsTable[Actual], allFYsTable[Code], SummaryTable[[#This Row],[Code]], allFYsTable[year2], DP$3))</f>
        <v>0</v>
      </c>
      <c r="DU54" s="61">
        <f>IF(COUNTIFS(allFYsTable[Code], SummaryTable[[#This Row],[Code]], allFYsTable[year2], DP$3)=0, NotFound, SUMIFS(allFYsTable[DiffAmount], allFYsTable[Code], SummaryTable[[#This Row],[Code]], allFYsTable[year2], DP$3))</f>
        <v>0</v>
      </c>
      <c r="DV54" s="63">
        <f>IF(SummaryTable[[#This Row],[OriginalBudget12]]=0, IF(SummaryTable[[#This Row],[DiffAmount12]]=0, ZeroBudgetNoSpending, ZeroBudgetWithSpending), SummaryTable[[#This Row],[DiffAmount12]]/SummaryTable[[#This Row],[OriginalBudget12]])</f>
        <v>0</v>
      </c>
      <c r="DW54" s="62">
        <f>IF(COUNTIFS(allFYsTable[Code], SummaryTable[[#This Row],[Code]], allFYsTable[year2], DW$3)=0, NotFound, SUMIFS(allFYsTable[OriginalBudget], allFYsTable[Code], SummaryTable[[#This Row],[Code]], allFYsTable[year2], DW$3))</f>
        <v>0</v>
      </c>
      <c r="DX54" s="61">
        <f>SummaryTable[[#This Row],[OriginalBudget11]]-SummaryTable[[#This Row],[OriginalBudget10]]</f>
        <v>0</v>
      </c>
      <c r="DY54" s="54" t="e">
        <f>SummaryTable[[#This Row],[BudgetIncreaseAmount11]]/SummaryTable[[#This Row],[OriginalBudget10]]</f>
        <v>#DIV/0!</v>
      </c>
      <c r="DZ54" s="61">
        <f>IF(COUNTIFS(allFYsTable[Code], SummaryTable[[#This Row],[Code]], allFYsTable[year2], DW$3)=0, NotFound, SUMIFS(allFYsTable[RevisedBudget], allFYsTable[Code], SummaryTable[[#This Row],[Code]], allFYsTable[year2], DW$3))</f>
        <v>0</v>
      </c>
      <c r="EA54" s="61">
        <f>IF(COUNTIFS(allFYsTable[Code], SummaryTable[[#This Row],[Code]], allFYsTable[year2], DW$3)=0, NotFound, SUMIFS(allFYsTable[Actual], allFYsTable[Code], SummaryTable[[#This Row],[Code]], allFYsTable[year2], DW$3))</f>
        <v>0</v>
      </c>
      <c r="EB54" s="61">
        <f>IF(COUNTIFS(allFYsTable[Code], SummaryTable[[#This Row],[Code]], allFYsTable[year2], DW$3)=0, NotFound, SUMIFS(allFYsTable[DiffAmount], allFYsTable[Code], SummaryTable[[#This Row],[Code]], allFYsTable[year2], DW$3))</f>
        <v>0</v>
      </c>
      <c r="EC54" s="63">
        <f>IF(SummaryTable[[#This Row],[OriginalBudget11]]=0, IF(SummaryTable[[#This Row],[DiffAmount11]]=0, ZeroBudgetNoSpending, ZeroBudgetWithSpending), SummaryTable[[#This Row],[DiffAmount11]]/SummaryTable[[#This Row],[OriginalBudget11]])</f>
        <v>0</v>
      </c>
      <c r="ED54" s="62">
        <f>IF(COUNTIFS(allFYsTable[Code], SummaryTable[[#This Row],[Code]], allFYsTable[year2], ED$3)=0, NotFound, SUMIFS(allFYsTable[OriginalBudget], allFYsTable[Code], SummaryTable[[#This Row],[Code]], allFYsTable[year2], ED$3))</f>
        <v>0</v>
      </c>
      <c r="EE54" s="61">
        <f>SummaryTable[[#This Row],[OriginalBudget10]]-SummaryTable[[#This Row],[OriginalBudget09]]</f>
        <v>0</v>
      </c>
      <c r="EF54" s="54" t="e">
        <f>SummaryTable[[#This Row],[BudgetIncreaseAmount10]]/SummaryTable[[#This Row],[OriginalBudget09]]</f>
        <v>#DIV/0!</v>
      </c>
      <c r="EG54" s="61">
        <f>IF(COUNTIFS(allFYsTable[Code], SummaryTable[[#This Row],[Code]], allFYsTable[year2], ED$3)=0, NotFound, SUMIFS(allFYsTable[RevisedBudget], allFYsTable[Code], SummaryTable[[#This Row],[Code]], allFYsTable[year2], ED$3))</f>
        <v>0</v>
      </c>
      <c r="EH54" s="61">
        <f>IF(COUNTIFS(allFYsTable[Code], SummaryTable[[#This Row],[Code]], allFYsTable[year2], ED$3)=0, NotFound, SUMIFS(allFYsTable[Actual], allFYsTable[Code], SummaryTable[[#This Row],[Code]], allFYsTable[year2], ED$3))</f>
        <v>0</v>
      </c>
      <c r="EI54" s="61">
        <f>IF(COUNTIFS(allFYsTable[Code], SummaryTable[[#This Row],[Code]], allFYsTable[year2], ED$3)=0, NotFound, SUMIFS(allFYsTable[DiffAmount], allFYsTable[Code], SummaryTable[[#This Row],[Code]], allFYsTable[year2], ED$3))</f>
        <v>0</v>
      </c>
      <c r="EJ54" s="63">
        <f>IF(SummaryTable[[#This Row],[OriginalBudget10]]=0, IF(SummaryTable[[#This Row],[DiffAmount10]]=0, ZeroBudgetNoSpending, ZeroBudgetWithSpending), SummaryTable[[#This Row],[DiffAmount10]]/SummaryTable[[#This Row],[OriginalBudget10]])</f>
        <v>0</v>
      </c>
      <c r="EK54" s="62">
        <f>IF(COUNTIFS(allFYsTable[Code], SummaryTable[[#This Row],[Code]], allFYsTable[year2], EK$3)=0, NotFound, SUMIFS(allFYsTable[OriginalBudget], allFYsTable[Code], SummaryTable[[#This Row],[Code]], allFYsTable[year2], EK$3))</f>
        <v>0</v>
      </c>
      <c r="EL54" s="61">
        <f>SummaryTable[[#This Row],[OriginalBudget09]]-SummaryTable[[#This Row],[OriginalBudget08]]</f>
        <v>0</v>
      </c>
      <c r="EM54" s="54" t="e">
        <f>SummaryTable[[#This Row],[BudgetIncreaseAmount09]]/SummaryTable[[#This Row],[OriginalBudget08]]</f>
        <v>#DIV/0!</v>
      </c>
      <c r="EN54" s="61">
        <f>IF(COUNTIFS(allFYsTable[Code], SummaryTable[[#This Row],[Code]], allFYsTable[year2], EK$3)=0, NotFound, SUMIFS(allFYsTable[RevisedBudget], allFYsTable[Code], SummaryTable[[#This Row],[Code]], allFYsTable[year2], EK$3))</f>
        <v>0</v>
      </c>
      <c r="EO54" s="61">
        <f>IF(COUNTIFS(allFYsTable[Code], SummaryTable[[#This Row],[Code]], allFYsTable[year2], EK$3)=0, NotFound, SUMIFS(allFYsTable[Actual], allFYsTable[Code], SummaryTable[[#This Row],[Code]], allFYsTable[year2], EK$3))</f>
        <v>0</v>
      </c>
      <c r="EP54" s="61">
        <f>IF(COUNTIFS(allFYsTable[Code], SummaryTable[[#This Row],[Code]], allFYsTable[year2], EK$3)=0, NotFound, SUMIFS(allFYsTable[DiffAmount], allFYsTable[Code], SummaryTable[[#This Row],[Code]], allFYsTable[year2], EK$3))</f>
        <v>0</v>
      </c>
      <c r="EQ54" s="63">
        <f>IF(SummaryTable[[#This Row],[OriginalBudget09]]=0, IF(SummaryTable[[#This Row],[DiffAmount09]]=0, ZeroBudgetNoSpending, ZeroBudgetWithSpending), SummaryTable[[#This Row],[DiffAmount09]]/SummaryTable[[#This Row],[OriginalBudget09]])</f>
        <v>0</v>
      </c>
      <c r="ER54" s="62">
        <f>IF(COUNTIFS(allFYsTable[Code], SummaryTable[[#This Row],[Code]], allFYsTable[year2], ER$3)=0, NotFound, SUMIFS(allFYsTable[OriginalBudget], allFYsTable[Code], SummaryTable[[#This Row],[Code]], allFYsTable[year2], ER$3))</f>
        <v>0</v>
      </c>
      <c r="ES54" s="61">
        <f>SummaryTable[[#This Row],[OriginalBudget08]]-SummaryTable[[#This Row],[OriginalBudget07]]</f>
        <v>0</v>
      </c>
      <c r="ET54" s="54" t="e">
        <f>SummaryTable[[#This Row],[BudgetIncreaseAmount08]]/SummaryTable[[#This Row],[OriginalBudget07]]</f>
        <v>#DIV/0!</v>
      </c>
      <c r="EU54" s="61">
        <f>IF(COUNTIFS(allFYsTable[Code], SummaryTable[[#This Row],[Code]], allFYsTable[year2], ER$3)=0, NotFound, SUMIFS(allFYsTable[RevisedBudget], allFYsTable[Code], SummaryTable[[#This Row],[Code]], allFYsTable[year2], ER$3))</f>
        <v>0</v>
      </c>
      <c r="EV54" s="61">
        <f>IF(COUNTIFS(allFYsTable[Code], SummaryTable[[#This Row],[Code]], allFYsTable[year2], ER$3)=0, NotFound, SUMIFS(allFYsTable[Actual], allFYsTable[Code], SummaryTable[[#This Row],[Code]], allFYsTable[year2], ER$3))</f>
        <v>0</v>
      </c>
      <c r="EW54" s="61">
        <f>IF(COUNTIFS(allFYsTable[Code], SummaryTable[[#This Row],[Code]], allFYsTable[year2], ER$3)=0, NotFound, SUMIFS(allFYsTable[DiffAmount], allFYsTable[Code], SummaryTable[[#This Row],[Code]], allFYsTable[year2], ER$3))</f>
        <v>0</v>
      </c>
      <c r="EX54" s="63">
        <f>IF(SummaryTable[[#This Row],[OriginalBudget08]]=0, IF(SummaryTable[[#This Row],[DiffAmount08]]=0, ZeroBudgetNoSpending, ZeroBudgetWithSpending), SummaryTable[[#This Row],[DiffAmount08]]/SummaryTable[[#This Row],[OriginalBudget08]])</f>
        <v>0</v>
      </c>
      <c r="EY54" s="62">
        <f>IF(COUNTIFS(allFYsTable[Code], SummaryTable[[#This Row],[Code]], allFYsTable[year2], EY$3)=0, NotFound, SUMIFS(allFYsTable[OriginalBudget], allFYsTable[Code], SummaryTable[[#This Row],[Code]], allFYsTable[year2], EY$3))</f>
        <v>0</v>
      </c>
      <c r="EZ54" s="61">
        <f>SummaryTable[[#This Row],[OriginalBudget07]]-SummaryTable[[#This Row],[OriginalBudget06]]</f>
        <v>0</v>
      </c>
      <c r="FA54" s="54" t="e">
        <f>SummaryTable[[#This Row],[BudgetIncreaseAmount07]]/SummaryTable[[#This Row],[OriginalBudget06]]</f>
        <v>#DIV/0!</v>
      </c>
      <c r="FB54" s="61">
        <f>IF(COUNTIFS(allFYsTable[Code], SummaryTable[[#This Row],[Code]], allFYsTable[year2], EY$3)=0, NotFound, SUMIFS(allFYsTable[RevisedBudget], allFYsTable[Code], SummaryTable[[#This Row],[Code]], allFYsTable[year2], EY$3))</f>
        <v>0</v>
      </c>
      <c r="FC54" s="61">
        <f>IF(COUNTIFS(allFYsTable[Code], SummaryTable[[#This Row],[Code]], allFYsTable[year2], EY$3)=0, NotFound, SUMIFS(allFYsTable[Actual], allFYsTable[Code], SummaryTable[[#This Row],[Code]], allFYsTable[year2], EY$3))</f>
        <v>0</v>
      </c>
      <c r="FD54" s="61">
        <f>IF(COUNTIFS(allFYsTable[Code], SummaryTable[[#This Row],[Code]], allFYsTable[year2], EY$3)=0, NotFound, SUMIFS(allFYsTable[DiffAmount], allFYsTable[Code], SummaryTable[[#This Row],[Code]], allFYsTable[year2], EY$3))</f>
        <v>0</v>
      </c>
      <c r="FE54" s="63">
        <f>IF(SummaryTable[[#This Row],[OriginalBudget07]]=0, IF(SummaryTable[[#This Row],[DiffAmount07]]=0, ZeroBudgetNoSpending, ZeroBudgetWithSpending), SummaryTable[[#This Row],[DiffAmount07]]/SummaryTable[[#This Row],[OriginalBudget07]])</f>
        <v>0</v>
      </c>
      <c r="FF54" s="62">
        <f>IF(COUNTIFS(allFYsTable[Code], SummaryTable[[#This Row],[Code]], allFYsTable[year2], FF$3)=0, NotFound, SUMIFS(allFYsTable[OriginalBudget], allFYsTable[Code], SummaryTable[[#This Row],[Code]], allFYsTable[year2], FF$3))</f>
        <v>0</v>
      </c>
      <c r="FI54" s="61">
        <f>IF(COUNTIFS(allFYsTable[Code], SummaryTable[[#This Row],[Code]], allFYsTable[year2], FF$3)=0, NotFound, SUMIFS(allFYsTable[RevisedBudget], allFYsTable[Code], SummaryTable[[#This Row],[Code]], allFYsTable[year2], FF$3))</f>
        <v>0</v>
      </c>
      <c r="FJ54" s="61">
        <f>IF(COUNTIFS(allFYsTable[Code], SummaryTable[[#This Row],[Code]], allFYsTable[year2], FF$3)=0, NotFound, SUMIFS(allFYsTable[Actual], allFYsTable[Code], SummaryTable[[#This Row],[Code]], allFYsTable[year2], FF$3))</f>
        <v>0</v>
      </c>
      <c r="FK54" s="61">
        <f>IF(COUNTIFS(allFYsTable[Code], SummaryTable[[#This Row],[Code]], allFYsTable[year2], FF$3)=0, NotFound, SUMIFS(allFYsTable[DiffAmount], allFYsTable[Code], SummaryTable[[#This Row],[Code]], allFYsTable[year2], FF$3))</f>
        <v>0</v>
      </c>
      <c r="FL54" s="63">
        <f>IF(SummaryTable[[#This Row],[OriginalBudget06]]=0, IF(SummaryTable[[#This Row],[DiffAmount06]]=0, ZeroBudgetNoSpending, ZeroBudgetWithSpending), SummaryTable[[#This Row],[DiffAmount06]]/SummaryTable[[#This Row],[OriginalBudget06]])</f>
        <v>0</v>
      </c>
    </row>
    <row r="55" spans="1:168" x14ac:dyDescent="0.45">
      <c r="A55" t="s">
        <v>706</v>
      </c>
      <c r="B55">
        <f>_xlfn.MAXIFS(allFYsTable[year2], allFYsTable[Code], SummaryTable[[#This Row],[Code]])</f>
        <v>2025</v>
      </c>
      <c r="C55" t="str">
        <f>_xlfn.XLOOKUP(SummaryTable[[#This Row],[Code]], NameCodingTable[Code], NameCodingTable[Most Recent Category per allFYs])</f>
        <v>Governmental direction and support</v>
      </c>
      <c r="D55" t="str">
        <f>_xlfn.XLOOKUP(SummaryTable[[#This Row],[Code]], NameCodingTable[Code], NameCodingTable[Unit Display Name])</f>
        <v>Employees' Compensation Fund</v>
      </c>
      <c r="E55" t="str">
        <f>_xlfn.XLOOKUP(SummaryTable[[#This Row],[Code]], NameCodingTable[Code], NameCodingTable[Type])</f>
        <v>xother</v>
      </c>
      <c r="F5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5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8</v>
      </c>
      <c r="H55" s="54">
        <f>SummaryTable[[#This Row],['# Over]]/SummaryTable[[#This Row],[Count]]</f>
        <v>0.4</v>
      </c>
      <c r="I5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55" s="54">
        <f>SummaryTable[[#This Row],['# Under]]/SummaryTable[[#This Row],[Count]]</f>
        <v>0.6</v>
      </c>
      <c r="K5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55" s="54">
        <f>SummaryTable[[#This Row],['# Equal]]/SummaryTable[[#This Row],[Count]]</f>
        <v>0</v>
      </c>
      <c r="M55" s="61">
        <f>SUMIFS(allFYsTable[OriginalBudget],allFYsTable[Code],SummaryTable[[#This Row],[Code]])/SummaryTable[[#This Row],[Count]]</f>
        <v>24874.15</v>
      </c>
      <c r="N55" s="61">
        <f>SUMIFS(allFYsTable[Actual],allFYsTable[Code],SummaryTable[[#This Row],[Code]])/SummaryTable[[#This Row],[Count]]</f>
        <v>25158.400000000001</v>
      </c>
      <c r="O55" s="61">
        <f>SummaryTable[[#This Row],[AvgActAmt]]-SummaryTable[[#This Row],[AvgBudAmt]]</f>
        <v>284.25</v>
      </c>
      <c r="P55" s="54">
        <f>IF(SummaryTable[[#This Row],[AvgBudAmt]]=0, IF(SummaryTable[[#This Row],[AvgDiff'#]]=0, 0, NamedFields!$C$3), SummaryTable[[#This Row],[AvgDiff'#]]/SummaryTable[[#This Row],[AvgBudAmt]])</f>
        <v>1.1427526166723285E-2</v>
      </c>
      <c r="Q55" s="61">
        <f>IFERROR(SUMIFS(allFYsTable[OriginalBudget],allFYsTable[Code],SummaryTable[[#This Row],[Code]],allFYsTable[DiffAmount], "&gt;0")/SummaryTable[[#This Row],['# Over]], 0)</f>
        <v>20393.125</v>
      </c>
      <c r="R55" s="61">
        <f>IFERROR(SUMIFS(allFYsTable[Actual],allFYsTable[Code],SummaryTable[[#This Row],[Code]],allFYsTable[DiffAmount], "&gt;0")/SummaryTable[[#This Row],['# Over]], 0)</f>
        <v>26725.25</v>
      </c>
      <c r="S55" s="61">
        <f>SummaryTable[[#This Row],[OverAvgAct]]-SummaryTable[[#This Row],[OverAvgBud]]</f>
        <v>6332.125</v>
      </c>
      <c r="T55" s="54">
        <f>IF(SummaryTable[[#This Row],[OverAvgBud]]=0, IF(SummaryTable[[#This Row],[OverAvgDiff'#]]=0, ZeroBudgetNoSpending, ZeroBudgetWithSpending), SummaryTable[[#This Row],[OverAvgDiff'#]]/SummaryTable[[#This Row],[OverAvgBud]])</f>
        <v>0.31050292684421832</v>
      </c>
      <c r="U55" s="61">
        <f>IFERROR(SUMIFS(allFYsTable[OriginalBudget],allFYsTable[Code],SummaryTable[[#This Row],[Code]],allFYsTable[DiffAmount], "&lt;0")/SummaryTable[[#This Row],['# Under]], 0)</f>
        <v>27861.5</v>
      </c>
      <c r="V55" s="61">
        <f>IFERROR( SUMIFS(allFYsTable[Actual],allFYsTable[Code],SummaryTable[[#This Row],[Code]],allFYsTable[DiffAmount], "&lt;0")/SummaryTable[[#This Row],['# Under]], 0)</f>
        <v>24113.833333333332</v>
      </c>
      <c r="W55" s="61">
        <f>SummaryTable[[#This Row],[UnderAvgAct]]-SummaryTable[[#This Row],[UnderAvgBud]]</f>
        <v>-3747.6666666666679</v>
      </c>
      <c r="X55" s="54">
        <f>IF(SummaryTable[[#This Row],[UnderAvgBud]]=0, IF(SummaryTable[[#This Row],[UnderAvgDiff'#]]=0, ZeroBudgetNoSpending, NamedFields!$C$3), SummaryTable[[#This Row],[UnderAvgDiff'#]]/SummaryTable[[#This Row],[UnderAvgBud]])</f>
        <v>-0.13451058509651914</v>
      </c>
      <c r="Y5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5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55" s="54">
        <f>IF(SummaryTable[[#This Row],[IncreaseYears]]=0, ZeroBudgetNoSpending, SummaryTable[[#This Row],[OSinIncreaseYear'#]]/SummaryTable[[#This Row],[IncreaseYears]])</f>
        <v>0.33333333333333331</v>
      </c>
      <c r="AB55" s="58" t="str">
        <f>SummaryTable[[#This Row],[Code]]</f>
        <v>BG0</v>
      </c>
      <c r="AC55" s="62">
        <f>IF(COUNTIFS(allFYsTable[Code], SummaryTable[[#This Row],[Code]], allFYsTable[year2], AC$3)=0, NotFound, SUMIFS(allFYsTable[OriginalBudget], allFYsTable[Code], SummaryTable[[#This Row],[Code]], allFYsTable[year2], AC$3))</f>
        <v>18906</v>
      </c>
      <c r="AD55" s="61">
        <f>SummaryTable[[#This Row],[OriginalBudget25]]-SummaryTable[[#This Row],[OriginalBudget24]]</f>
        <v>-1498</v>
      </c>
      <c r="AE55" s="54">
        <f>SummaryTable[[#This Row],[BudgetIncreaseAmount25]]/SummaryTable[[#This Row],[OriginalBudget24]]</f>
        <v>-7.3416977063320912E-2</v>
      </c>
      <c r="AF55" s="61">
        <f>IF(COUNTIFS(allFYsTable[Code], SummaryTable[[#This Row],[Code]], allFYsTable[year2], AC$3)=0, NotFound, SUMIFS(allFYsTable[RevisedBudget], allFYsTable[Code], SummaryTable[[#This Row],[Code]], allFYsTable[year2], AC$3))</f>
        <v>17387</v>
      </c>
      <c r="AG55" s="61">
        <f>IF(COUNTIFS(allFYsTable[Code], SummaryTable[[#This Row],[Code]], allFYsTable[year2], AC$3)=0, NotFound, SUMIFS(allFYsTable[Actual], allFYsTable[Code], SummaryTable[[#This Row],[Code]], allFYsTable[year2], AC$3))</f>
        <v>17387</v>
      </c>
      <c r="AH55" s="61">
        <f>IF(COUNTIFS(allFYsTable[Code], SummaryTable[[#This Row],[Code]], allFYsTable[year2], AC$3)=0, NotFound, SUMIFS(allFYsTable[DiffAmount], allFYsTable[Code], SummaryTable[[#This Row],[Code]], allFYsTable[year2], AC$3))</f>
        <v>-1519</v>
      </c>
      <c r="AI55" s="63">
        <f>IF(SummaryTable[[#This Row],[OriginalBudget25]]=0, IF(SummaryTable[[#This Row],[DiffAmount25]]=0, ZeroBudgetNoSpending, ZeroBudgetWithSpending), SummaryTable[[#This Row],[DiffAmount25]]/SummaryTable[[#This Row],[OriginalBudget25]])</f>
        <v>-8.0344864064318205E-2</v>
      </c>
      <c r="AJ55" s="62">
        <f>IF(COUNTIFS(allFYsTable[Code], SummaryTable[[#This Row],[Code]], allFYsTable[year2], AJ$3)=0, NotFound, SUMIFS(allFYsTable[OriginalBudget], allFYsTable[Code], SummaryTable[[#This Row],[Code]], allFYsTable[year2], AJ$3))</f>
        <v>20404</v>
      </c>
      <c r="AK55" s="61">
        <f>SummaryTable[[#This Row],[OriginalBudget24]]-SummaryTable[[#This Row],[OriginalBudget23]]</f>
        <v>-1815</v>
      </c>
      <c r="AL55" s="54">
        <f>SummaryTable[[#This Row],[BudgetIncreaseAmount24]]/SummaryTable[[#This Row],[OriginalBudget23]]</f>
        <v>-8.1686844592465904E-2</v>
      </c>
      <c r="AM55" s="61">
        <f>IF(COUNTIFS(allFYsTable[Code], SummaryTable[[#This Row],[Code]], allFYsTable[year2], AK$3)=0, NotFound, SUMIFS(allFYsTable[RevisedBudget], allFYsTable[Code], SummaryTable[[#This Row],[Code]], allFYsTable[year2], AJ$3))</f>
        <v>18431</v>
      </c>
      <c r="AN55" s="61">
        <f>IF(COUNTIFS(allFYsTable[Code], SummaryTable[[#This Row],[Code]], allFYsTable[year2], AJ$3)=0, NotFound, SUMIFS(allFYsTable[Actual], allFYsTable[Code], SummaryTable[[#This Row],[Code]], allFYsTable[year2], AJ$3))</f>
        <v>18262</v>
      </c>
      <c r="AO55" s="61">
        <f>IF(COUNTIFS(allFYsTable[Code], SummaryTable[[#This Row],[Code]], allFYsTable[year2], AJ$3)=0, NotFound, SUMIFS(allFYsTable[DiffAmount], allFYsTable[Code], SummaryTable[[#This Row],[Code]], allFYsTable[year2], AJ$3))</f>
        <v>-2142</v>
      </c>
      <c r="AP55" s="63">
        <f>IF(SummaryTable[[#This Row],[OriginalBudget24]]=0, IF(SummaryTable[[#This Row],[DiffAmount24]]=0, ZeroBudgetNoSpending, ZeroBudgetWithSpending), SummaryTable[[#This Row],[DiffAmount24]]/SummaryTable[[#This Row],[OriginalBudget24]])</f>
        <v>-0.10497941580082337</v>
      </c>
      <c r="AQ55" s="62">
        <f>IF(COUNTIFS(allFYsTable[Code], SummaryTable[[#This Row],[Code]], allFYsTable[year2], AQ$3)=0, NotFound, SUMIFS(allFYsTable[OriginalBudget], allFYsTable[Code], SummaryTable[[#This Row],[Code]], allFYsTable[year2], AQ$3))</f>
        <v>22219</v>
      </c>
      <c r="AR55" s="61">
        <f>SummaryTable[[#This Row],[OriginalBudget23]]-SummaryTable[[#This Row],[OriginalBudget22]]</f>
        <v>72</v>
      </c>
      <c r="AS55" s="54">
        <f>SummaryTable[[#This Row],[BudgetIncreaseAmount23]]/SummaryTable[[#This Row],[OriginalBudget22]]</f>
        <v>3.2510046507427644E-3</v>
      </c>
      <c r="AT55" s="61">
        <f>IF(COUNTIFS(allFYsTable[Code], SummaryTable[[#This Row],[Code]], allFYsTable[year2], AQ$3)=0, NotFound, SUMIFS(allFYsTable[RevisedBudget], allFYsTable[Code], SummaryTable[[#This Row],[Code]], allFYsTable[year2], AQ$3))</f>
        <v>22219</v>
      </c>
      <c r="AU55" s="61">
        <f>IF(COUNTIFS(allFYsTable[Code], SummaryTable[[#This Row],[Code]], allFYsTable[year2], AQ$3)=0, NotFound, SUMIFS(allFYsTable[Actual], allFYsTable[Code], SummaryTable[[#This Row],[Code]], allFYsTable[year2], AQ$3))</f>
        <v>17299</v>
      </c>
      <c r="AV55" s="61">
        <f>IF(COUNTIFS(allFYsTable[Code], SummaryTable[[#This Row],[Code]], allFYsTable[year2], AQ$3)=0, NotFound, SUMIFS(allFYsTable[DiffAmount], allFYsTable[Code], SummaryTable[[#This Row],[Code]], allFYsTable[year2], AQ$3))</f>
        <v>-4920</v>
      </c>
      <c r="AW55" s="63">
        <f>IF(SummaryTable[[#This Row],[OriginalBudget23]]=0, IF(SummaryTable[[#This Row],[DiffAmount23]]=0, ZeroBudgetNoSpending, ZeroBudgetWithSpending), SummaryTable[[#This Row],[DiffAmount23]]/SummaryTable[[#This Row],[OriginalBudget23]])</f>
        <v>-0.22143210765561006</v>
      </c>
      <c r="AX55" s="62">
        <f>IF(COUNTIFS(allFYsTable[Code], SummaryTable[[#This Row],[Code]], allFYsTable[year2], AX$3)=0, NotFound, SUMIFS(allFYsTable[OriginalBudget], allFYsTable[Code], SummaryTable[[#This Row],[Code]], allFYsTable[year2], AX$3))</f>
        <v>22147</v>
      </c>
      <c r="AY55" s="61">
        <f>SummaryTable[[#This Row],[OriginalBudget22]]-SummaryTable[[#This Row],[OriginalBudget21]]</f>
        <v>0</v>
      </c>
      <c r="AZ55" s="54">
        <f>SummaryTable[[#This Row],[BudgetIncreaseAmount22]]/SummaryTable[[#This Row],[OriginalBudget21]]</f>
        <v>0</v>
      </c>
      <c r="BA55" s="61">
        <f>IF(COUNTIFS(allFYsTable[Code], SummaryTable[[#This Row],[Code]], allFYsTable[year2], AX$3)=0, NotFound, SUMIFS(allFYsTable[RevisedBudget], allFYsTable[Code], SummaryTable[[#This Row],[Code]], allFYsTable[year2], AX$3))</f>
        <v>22147</v>
      </c>
      <c r="BB55" s="61">
        <f>IF(COUNTIFS(allFYsTable[Code], SummaryTable[[#This Row],[Code]], allFYsTable[year2], AX$3)=0, NotFound, SUMIFS(allFYsTable[Actual], allFYsTable[Code], SummaryTable[[#This Row],[Code]], allFYsTable[year2], AX$3))</f>
        <v>18559</v>
      </c>
      <c r="BC55" s="61">
        <f>IF(COUNTIFS(allFYsTable[Code], SummaryTable[[#This Row],[Code]], allFYsTable[year2], AX$3)=0, NotFound, SUMIFS(allFYsTable[DiffAmount], allFYsTable[Code], SummaryTable[[#This Row],[Code]], allFYsTable[year2], AX$3))</f>
        <v>-3588</v>
      </c>
      <c r="BD55" s="63">
        <f>IF(SummaryTable[[#This Row],[OriginalBudget22]]=0, IF(SummaryTable[[#This Row],[DiffAmount22]]=0, ZeroBudgetNoSpending, ZeroBudgetWithSpending), SummaryTable[[#This Row],[DiffAmount22]]/SummaryTable[[#This Row],[OriginalBudget22]])</f>
        <v>-0.16200839842868109</v>
      </c>
      <c r="BE55" s="62">
        <f>IF(COUNTIFS(allFYsTable[Code], SummaryTable[[#This Row],[Code]], allFYsTable[year2], BE$3)=0, NotFound, SUMIFS(allFYsTable[OriginalBudget], allFYsTable[Code], SummaryTable[[#This Row],[Code]], allFYsTable[year2], BE$3))</f>
        <v>22147</v>
      </c>
      <c r="BF55" s="61">
        <f>SummaryTable[[#This Row],[OriginalBudget21]]-SummaryTable[[#This Row],[OriginalBudget20]]</f>
        <v>-3405</v>
      </c>
      <c r="BG55" s="54">
        <f>SummaryTable[[#This Row],[BudgetIncreaseAmount21]]/SummaryTable[[#This Row],[OriginalBudget20]]</f>
        <v>-0.13325767063243582</v>
      </c>
      <c r="BH55" s="61">
        <f>IF(COUNTIFS(allFYsTable[Code], SummaryTable[[#This Row],[Code]], allFYsTable[year2], BE$3)=0, NotFound, SUMIFS(allFYsTable[RevisedBudget], allFYsTable[Code], SummaryTable[[#This Row],[Code]], allFYsTable[year2], BE$3))</f>
        <v>22147</v>
      </c>
      <c r="BI55" s="61">
        <f>IF(COUNTIFS(allFYsTable[Code], SummaryTable[[#This Row],[Code]], allFYsTable[year2], BE$3)=0, NotFound, SUMIFS(allFYsTable[Actual], allFYsTable[Code], SummaryTable[[#This Row],[Code]], allFYsTable[year2], BE$3))</f>
        <v>18618</v>
      </c>
      <c r="BJ55" s="61">
        <f>IF(COUNTIFS(allFYsTable[Code], SummaryTable[[#This Row],[Code]], allFYsTable[year2], BE$3)=0, NotFound, SUMIFS(allFYsTable[DiffAmount], allFYsTable[Code], SummaryTable[[#This Row],[Code]], allFYsTable[year2], BE$3))</f>
        <v>-3529</v>
      </c>
      <c r="BK55" s="63">
        <f>IF(SummaryTable[[#This Row],[OriginalBudget21]]=0, IF(SummaryTable[[#This Row],[DiffAmount21]]=0, ZeroBudgetNoSpending, ZeroBudgetWithSpending), SummaryTable[[#This Row],[DiffAmount21]]/SummaryTable[[#This Row],[OriginalBudget21]])</f>
        <v>-0.15934438072876689</v>
      </c>
      <c r="BL55" s="62">
        <f>IF(COUNTIFS(allFYsTable[Code], SummaryTable[[#This Row],[Code]], allFYsTable[year2], BL$3)=0, NotFound, SUMIFS(allFYsTable[OriginalBudget], allFYsTable[Code], SummaryTable[[#This Row],[Code]], allFYsTable[year2], BL$3))</f>
        <v>25552</v>
      </c>
      <c r="BM55" s="61">
        <f>SummaryTable[[#This Row],[OriginalBudget20]]-SummaryTable[[#This Row],[OriginalBudget19]]</f>
        <v>1420</v>
      </c>
      <c r="BN55" s="54">
        <f>SummaryTable[[#This Row],[BudgetIncreaseAmount20]]/SummaryTable[[#This Row],[OriginalBudget19]]</f>
        <v>5.8843030001657554E-2</v>
      </c>
      <c r="BO55" s="61">
        <f>IF(COUNTIFS(allFYsTable[Code], SummaryTable[[#This Row],[Code]], allFYsTable[year2], BL$3)=0, NotFound, SUMIFS(allFYsTable[RevisedBudget], allFYsTable[Code], SummaryTable[[#This Row],[Code]], allFYsTable[year2], BL$3))</f>
        <v>21763</v>
      </c>
      <c r="BP55" s="61">
        <f>IF(COUNTIFS(allFYsTable[Code], SummaryTable[[#This Row],[Code]], allFYsTable[year2], BL$3)=0, NotFound, SUMIFS(allFYsTable[Actual], allFYsTable[Code], SummaryTable[[#This Row],[Code]], allFYsTable[year2], BL$3))</f>
        <v>21177</v>
      </c>
      <c r="BQ55" s="61">
        <f>IF(COUNTIFS(allFYsTable[Code], SummaryTable[[#This Row],[Code]], allFYsTable[year2], BL$3)=0, NotFound, SUMIFS(allFYsTable[DiffAmount], allFYsTable[Code], SummaryTable[[#This Row],[Code]], allFYsTable[year2], BL$3))</f>
        <v>-4375</v>
      </c>
      <c r="BR55" s="63">
        <f>IF(SummaryTable[[#This Row],[OriginalBudget20]]=0, IF(SummaryTable[[#This Row],[DiffAmount20]]=0, ZeroBudgetNoSpending, ZeroBudgetWithSpending), SummaryTable[[#This Row],[DiffAmount20]]/SummaryTable[[#This Row],[OriginalBudget20]])</f>
        <v>-0.17121947401377582</v>
      </c>
      <c r="BS55" s="62">
        <f>IF(COUNTIFS(allFYsTable[Code], SummaryTable[[#This Row],[Code]], allFYsTable[year2], BS$3)=0, NotFound, SUMIFS(allFYsTable[OriginalBudget], allFYsTable[Code], SummaryTable[[#This Row],[Code]], allFYsTable[year2], BS$3))</f>
        <v>24132</v>
      </c>
      <c r="BT55" s="61">
        <f>SummaryTable[[#This Row],[OriginalBudget19]]-SummaryTable[[#This Row],[OriginalBudget18]]</f>
        <v>2423</v>
      </c>
      <c r="BU55" s="54">
        <f>SummaryTable[[#This Row],[BudgetIncreaseAmount19]]/SummaryTable[[#This Row],[OriginalBudget18]]</f>
        <v>0.11161269519554103</v>
      </c>
      <c r="BV55" s="61">
        <f>IF(COUNTIFS(allFYsTable[Code], SummaryTable[[#This Row],[Code]], allFYsTable[year2], BS$3)=0, NotFound, SUMIFS(allFYsTable[RevisedBudget], allFYsTable[Code], SummaryTable[[#This Row],[Code]], allFYsTable[year2], BS$3))</f>
        <v>24132</v>
      </c>
      <c r="BW55" s="61">
        <f>IF(COUNTIFS(allFYsTable[Code], SummaryTable[[#This Row],[Code]], allFYsTable[year2], BS$3)=0, NotFound, SUMIFS(allFYsTable[Actual], allFYsTable[Code], SummaryTable[[#This Row],[Code]], allFYsTable[year2], BS$3))</f>
        <v>18042</v>
      </c>
      <c r="BX55" s="61">
        <f>IF(COUNTIFS(allFYsTable[Code], SummaryTable[[#This Row],[Code]], allFYsTable[year2], BS$3)=0, NotFound, SUMIFS(allFYsTable[DiffAmount], allFYsTable[Code], SummaryTable[[#This Row],[Code]], allFYsTable[year2], BS$3))</f>
        <v>-6090</v>
      </c>
      <c r="BY55" s="63">
        <f>IF(SummaryTable[[#This Row],[OriginalBudget19]]=0, IF(SummaryTable[[#This Row],[DiffAmount19]]=0, ZeroBudgetNoSpending, ZeroBudgetWithSpending), SummaryTable[[#This Row],[DiffAmount19]]/SummaryTable[[#This Row],[OriginalBudget19]])</f>
        <v>-0.25236200895077077</v>
      </c>
      <c r="BZ55" s="62">
        <f>IF(COUNTIFS(allFYsTable[Code], SummaryTable[[#This Row],[Code]], allFYsTable[year2], BZ$3)=0, NotFound, SUMIFS(allFYsTable[OriginalBudget], allFYsTable[Code], SummaryTable[[#This Row],[Code]], allFYsTable[year2], BZ$3))</f>
        <v>21709</v>
      </c>
      <c r="CA55" s="61">
        <f>SummaryTable[[#This Row],[OriginalBudget18]]-SummaryTable[[#This Row],[OriginalBudget17]]</f>
        <v>188</v>
      </c>
      <c r="CB55" s="54">
        <f>SummaryTable[[#This Row],[BudgetIncreaseAmount18]]/SummaryTable[[#This Row],[OriginalBudget17]]</f>
        <v>8.7356535476975986E-3</v>
      </c>
      <c r="CC55" s="61">
        <f>IF(COUNTIFS(allFYsTable[Code], SummaryTable[[#This Row],[Code]], allFYsTable[year2], BZ$3)=0, NotFound, SUMIFS(allFYsTable[RevisedBudget], allFYsTable[Code], SummaryTable[[#This Row],[Code]], allFYsTable[year2], BZ$3))</f>
        <v>24579</v>
      </c>
      <c r="CD55" s="61">
        <f>IF(COUNTIFS(allFYsTable[Code], SummaryTable[[#This Row],[Code]], allFYsTable[year2], BZ$3)=0, NotFound, SUMIFS(allFYsTable[Actual], allFYsTable[Code], SummaryTable[[#This Row],[Code]], allFYsTable[year2], BZ$3))</f>
        <v>24579</v>
      </c>
      <c r="CE55" s="61">
        <f>IF(COUNTIFS(allFYsTable[Code], SummaryTable[[#This Row],[Code]], allFYsTable[year2], BZ$3)=0, NotFound, SUMIFS(allFYsTable[DiffAmount], allFYsTable[Code], SummaryTable[[#This Row],[Code]], allFYsTable[year2], BZ$3))</f>
        <v>2870</v>
      </c>
      <c r="CF55" s="63">
        <f>IF(SummaryTable[[#This Row],[OriginalBudget18]]=0, IF(SummaryTable[[#This Row],[DiffAmount18]]=0, ZeroBudgetNoSpending, ZeroBudgetWithSpending), SummaryTable[[#This Row],[DiffAmount18]]/SummaryTable[[#This Row],[OriginalBudget18]])</f>
        <v>0.13220323368188308</v>
      </c>
      <c r="CG55" s="62">
        <f>IF(COUNTIFS(allFYsTable[Code], SummaryTable[[#This Row],[Code]], allFYsTable[year2], CG$3)=0, NotFound, SUMIFS(allFYsTable[OriginalBudget], allFYsTable[Code], SummaryTable[[#This Row],[Code]], allFYsTable[year2], CG$3))</f>
        <v>21521</v>
      </c>
      <c r="CH55" s="61">
        <f>SummaryTable[[#This Row],[OriginalBudget17]]-SummaryTable[[#This Row],[OriginalBudget16]]</f>
        <v>1300</v>
      </c>
      <c r="CI55" s="54">
        <f>SummaryTable[[#This Row],[BudgetIncreaseAmount17]]/SummaryTable[[#This Row],[OriginalBudget16]]</f>
        <v>6.4289599920874338E-2</v>
      </c>
      <c r="CJ55" s="61">
        <f>IF(COUNTIFS(allFYsTable[Code], SummaryTable[[#This Row],[Code]], allFYsTable[year2], CG$3)=0, NotFound, SUMIFS(allFYsTable[RevisedBudget], allFYsTable[Code], SummaryTable[[#This Row],[Code]], allFYsTable[year2], CG$3))</f>
        <v>25538</v>
      </c>
      <c r="CK55" s="61">
        <f>IF(COUNTIFS(allFYsTable[Code], SummaryTable[[#This Row],[Code]], allFYsTable[year2], CG$3)=0, NotFound, SUMIFS(allFYsTable[Actual], allFYsTable[Code], SummaryTable[[#This Row],[Code]], allFYsTable[year2], CG$3))</f>
        <v>25538</v>
      </c>
      <c r="CL55" s="61">
        <f>IF(COUNTIFS(allFYsTable[Code], SummaryTable[[#This Row],[Code]], allFYsTable[year2], CG$3)=0, NotFound, SUMIFS(allFYsTable[DiffAmount], allFYsTable[Code], SummaryTable[[#This Row],[Code]], allFYsTable[year2], CG$3))</f>
        <v>4017</v>
      </c>
      <c r="CM55" s="63">
        <f>IF(SummaryTable[[#This Row],[OriginalBudget17]]=0, IF(SummaryTable[[#This Row],[DiffAmount17]]=0, ZeroBudgetNoSpending, ZeroBudgetWithSpending), SummaryTable[[#This Row],[DiffAmount17]]/SummaryTable[[#This Row],[OriginalBudget17]])</f>
        <v>0.18665489521862366</v>
      </c>
      <c r="CN55" s="62">
        <f>IF(COUNTIFS(allFYsTable[Code], SummaryTable[[#This Row],[Code]], allFYsTable[year2], CN$3)=0, NotFound, SUMIFS(allFYsTable[OriginalBudget], allFYsTable[Code], SummaryTable[[#This Row],[Code]], allFYsTable[year2], CN$3))</f>
        <v>20221</v>
      </c>
      <c r="CO55" s="61">
        <f>SummaryTable[[#This Row],[OriginalBudget16]]-SummaryTable[[#This Row],[OriginalBudget15]]</f>
        <v>0</v>
      </c>
      <c r="CP55" s="54">
        <f>SummaryTable[[#This Row],[BudgetIncreaseAmount16]]/SummaryTable[[#This Row],[OriginalBudget15]]</f>
        <v>0</v>
      </c>
      <c r="CQ55" s="61">
        <f>IF(COUNTIFS(allFYsTable[Code], SummaryTable[[#This Row],[Code]], allFYsTable[year2], CN$3)=0, NotFound, SUMIFS(allFYsTable[RevisedBudget], allFYsTable[Code], SummaryTable[[#This Row],[Code]], allFYsTable[year2], CN$3))</f>
        <v>25281</v>
      </c>
      <c r="CR55" s="61">
        <f>IF(COUNTIFS(allFYsTable[Code], SummaryTable[[#This Row],[Code]], allFYsTable[year2], CN$3)=0, NotFound, SUMIFS(allFYsTable[Actual], allFYsTable[Code], SummaryTable[[#This Row],[Code]], allFYsTable[year2], CN$3))</f>
        <v>25281</v>
      </c>
      <c r="CS55" s="61">
        <f>IF(COUNTIFS(allFYsTable[Code], SummaryTable[[#This Row],[Code]], allFYsTable[year2], CN$3)=0, NotFound, SUMIFS(allFYsTable[DiffAmount], allFYsTable[Code], SummaryTable[[#This Row],[Code]], allFYsTable[year2], CN$3))</f>
        <v>5060</v>
      </c>
      <c r="CT55" s="63">
        <f>IF(SummaryTable[[#This Row],[OriginalBudget16]]=0, IF(SummaryTable[[#This Row],[DiffAmount16]]=0, ZeroBudgetNoSpending, ZeroBudgetWithSpending), SummaryTable[[#This Row],[DiffAmount16]]/SummaryTable[[#This Row],[OriginalBudget16]])</f>
        <v>0.25023490430740319</v>
      </c>
      <c r="CU55" s="62">
        <f>IF(COUNTIFS(allFYsTable[Code], SummaryTable[[#This Row],[Code]], allFYsTable[year2], CU$3)=0, NotFound, SUMIFS(allFYsTable[OriginalBudget], allFYsTable[Code], SummaryTable[[#This Row],[Code]], allFYsTable[year2], CU$3))</f>
        <v>20221</v>
      </c>
      <c r="CV55" s="61">
        <f>SummaryTable[[#This Row],[OriginalBudget15]]-SummaryTable[[#This Row],[OriginalBudget14]]</f>
        <v>200</v>
      </c>
      <c r="CW55" s="54">
        <f>SummaryTable[[#This Row],[BudgetIncreaseAmount15]]/SummaryTable[[#This Row],[OriginalBudget14]]</f>
        <v>9.9895110134358926E-3</v>
      </c>
      <c r="CX55" s="61">
        <f>IF(COUNTIFS(allFYsTable[Code], SummaryTable[[#This Row],[Code]], allFYsTable[year2], CU$3)=0, NotFound, SUMIFS(allFYsTable[RevisedBudget], allFYsTable[Code], SummaryTable[[#This Row],[Code]], allFYsTable[year2], CU$3))</f>
        <v>19886</v>
      </c>
      <c r="CY55" s="61">
        <f>IF(COUNTIFS(allFYsTable[Code], SummaryTable[[#This Row],[Code]], allFYsTable[year2], CU$3)=0, NotFound, SUMIFS(allFYsTable[Actual], allFYsTable[Code], SummaryTable[[#This Row],[Code]], allFYsTable[year2], CU$3))</f>
        <v>19886</v>
      </c>
      <c r="CZ55" s="61">
        <f>IF(COUNTIFS(allFYsTable[Code], SummaryTable[[#This Row],[Code]], allFYsTable[year2], CU$3)=0, NotFound, SUMIFS(allFYsTable[DiffAmount], allFYsTable[Code], SummaryTable[[#This Row],[Code]], allFYsTable[year2], CU$3))</f>
        <v>-335</v>
      </c>
      <c r="DA55" s="63">
        <f>IF(SummaryTable[[#This Row],[OriginalBudget15]]=0, IF(SummaryTable[[#This Row],[DiffAmount15]]=0, ZeroBudgetNoSpending, ZeroBudgetWithSpending), SummaryTable[[#This Row],[DiffAmount15]]/SummaryTable[[#This Row],[OriginalBudget15]])</f>
        <v>-1.6566935364225311E-2</v>
      </c>
      <c r="DB55" s="62">
        <f>IF(COUNTIFS(allFYsTable[Code], SummaryTable[[#This Row],[Code]], allFYsTable[year2], DB$3)=0, NotFound, SUMIFS(allFYsTable[OriginalBudget], allFYsTable[Code], SummaryTable[[#This Row],[Code]], allFYsTable[year2], DB$3))</f>
        <v>20021</v>
      </c>
      <c r="DC55" s="61">
        <f>SummaryTable[[#This Row],[OriginalBudget14]]-SummaryTable[[#This Row],[OriginalBudget13]]</f>
        <v>199</v>
      </c>
      <c r="DD55" s="54">
        <f>SummaryTable[[#This Row],[BudgetIncreaseAmount14]]/SummaryTable[[#This Row],[OriginalBudget13]]</f>
        <v>1.0039350216930682E-2</v>
      </c>
      <c r="DE55" s="61">
        <f>IF(COUNTIFS(allFYsTable[Code], SummaryTable[[#This Row],[Code]], allFYsTable[year2], DB$3)=0, NotFound, SUMIFS(allFYsTable[RevisedBudget], allFYsTable[Code], SummaryTable[[#This Row],[Code]], allFYsTable[year2], DB$3))</f>
        <v>21330</v>
      </c>
      <c r="DF55" s="61">
        <f>IF(COUNTIFS(allFYsTable[Code], SummaryTable[[#This Row],[Code]], allFYsTable[year2], DB$3)=0, NotFound, SUMIFS(allFYsTable[Actual], allFYsTable[Code], SummaryTable[[#This Row],[Code]], allFYsTable[year2], DB$3))</f>
        <v>21330</v>
      </c>
      <c r="DG55" s="61">
        <f>IF(COUNTIFS(allFYsTable[Code], SummaryTable[[#This Row],[Code]], allFYsTable[year2], DB$3)=0, NotFound, SUMIFS(allFYsTable[DiffAmount], allFYsTable[Code], SummaryTable[[#This Row],[Code]], allFYsTable[year2], DB$3))</f>
        <v>1309</v>
      </c>
      <c r="DH55" s="63">
        <f>IF(SummaryTable[[#This Row],[OriginalBudget14]]=0, IF(SummaryTable[[#This Row],[DiffAmount14]]=0, ZeroBudgetNoSpending, ZeroBudgetWithSpending), SummaryTable[[#This Row],[DiffAmount14]]/SummaryTable[[#This Row],[OriginalBudget14]])</f>
        <v>6.5381349582937912E-2</v>
      </c>
      <c r="DI55" s="62">
        <f>IF(COUNTIFS(allFYsTable[Code], SummaryTable[[#This Row],[Code]], allFYsTable[year2], DI$3)=0, NotFound, SUMIFS(allFYsTable[OriginalBudget], allFYsTable[Code], SummaryTable[[#This Row],[Code]], allFYsTable[year2], DI$3))</f>
        <v>19822</v>
      </c>
      <c r="DJ55" s="61">
        <f>SummaryTable[[#This Row],[OriginalBudget13]]-SummaryTable[[#This Row],[OriginalBudget12]]</f>
        <v>164</v>
      </c>
      <c r="DK55" s="54">
        <f>SummaryTable[[#This Row],[BudgetIncreaseAmount13]]/SummaryTable[[#This Row],[OriginalBudget12]]</f>
        <v>8.3426594770576873E-3</v>
      </c>
      <c r="DL55" s="61">
        <f>IF(COUNTIFS(allFYsTable[Code], SummaryTable[[#This Row],[Code]], allFYsTable[year2], DI$3)=0, NotFound, SUMIFS(allFYsTable[RevisedBudget], allFYsTable[Code], SummaryTable[[#This Row],[Code]], allFYsTable[year2], DI$3))</f>
        <v>22955</v>
      </c>
      <c r="DM55" s="61">
        <f>IF(COUNTIFS(allFYsTable[Code], SummaryTable[[#This Row],[Code]], allFYsTable[year2], DI$3)=0, NotFound, SUMIFS(allFYsTable[Actual], allFYsTable[Code], SummaryTable[[#This Row],[Code]], allFYsTable[year2], DI$3))</f>
        <v>22954</v>
      </c>
      <c r="DN55" s="61">
        <f>IF(COUNTIFS(allFYsTable[Code], SummaryTable[[#This Row],[Code]], allFYsTable[year2], DI$3)=0, NotFound, SUMIFS(allFYsTable[DiffAmount], allFYsTable[Code], SummaryTable[[#This Row],[Code]], allFYsTable[year2], DI$3))</f>
        <v>3132</v>
      </c>
      <c r="DO55" s="63">
        <f>IF(SummaryTable[[#This Row],[OriginalBudget13]]=0, IF(SummaryTable[[#This Row],[DiffAmount13]]=0, ZeroBudgetNoSpending, ZeroBudgetWithSpending), SummaryTable[[#This Row],[DiffAmount13]]/SummaryTable[[#This Row],[OriginalBudget13]])</f>
        <v>0.15800625567551205</v>
      </c>
      <c r="DP55" s="62">
        <f>IF(COUNTIFS(allFYsTable[Code], SummaryTable[[#This Row],[Code]], allFYsTable[year2], DP$3)=0, NotFound, SUMIFS(allFYsTable[OriginalBudget], allFYsTable[Code], SummaryTable[[#This Row],[Code]], allFYsTable[year2], DP$3))</f>
        <v>19658</v>
      </c>
      <c r="DQ55" s="61">
        <f>SummaryTable[[#This Row],[OriginalBudget12]]-SummaryTable[[#This Row],[OriginalBudget11]]</f>
        <v>-18511</v>
      </c>
      <c r="DR55" s="54">
        <f>SummaryTable[[#This Row],[BudgetIncreaseAmount12]]/SummaryTable[[#This Row],[OriginalBudget11]]</f>
        <v>-0.48497471770284784</v>
      </c>
      <c r="DS55" s="61">
        <f>IF(COUNTIFS(allFYsTable[Code], SummaryTable[[#This Row],[Code]], allFYsTable[year2], DP$3)=0, NotFound, SUMIFS(allFYsTable[RevisedBudget], allFYsTable[Code], SummaryTable[[#This Row],[Code]], allFYsTable[year2], DP$3))</f>
        <v>27988</v>
      </c>
      <c r="DT55" s="61">
        <f>IF(COUNTIFS(allFYsTable[Code], SummaryTable[[#This Row],[Code]], allFYsTable[year2], DP$3)=0, NotFound, SUMIFS(allFYsTable[Actual], allFYsTable[Code], SummaryTable[[#This Row],[Code]], allFYsTable[year2], DP$3))</f>
        <v>27988</v>
      </c>
      <c r="DU55" s="61">
        <f>IF(COUNTIFS(allFYsTable[Code], SummaryTable[[#This Row],[Code]], allFYsTable[year2], DP$3)=0, NotFound, SUMIFS(allFYsTable[DiffAmount], allFYsTable[Code], SummaryTable[[#This Row],[Code]], allFYsTable[year2], DP$3))</f>
        <v>8330</v>
      </c>
      <c r="DV55" s="63">
        <f>IF(SummaryTable[[#This Row],[OriginalBudget12]]=0, IF(SummaryTable[[#This Row],[DiffAmount12]]=0, ZeroBudgetNoSpending, ZeroBudgetWithSpending), SummaryTable[[#This Row],[DiffAmount12]]/SummaryTable[[#This Row],[OriginalBudget12]])</f>
        <v>0.42374605758469835</v>
      </c>
      <c r="DW55" s="62">
        <f>IF(COUNTIFS(allFYsTable[Code], SummaryTable[[#This Row],[Code]], allFYsTable[year2], DW$3)=0, NotFound, SUMIFS(allFYsTable[OriginalBudget], allFYsTable[Code], SummaryTable[[#This Row],[Code]], allFYsTable[year2], DW$3))</f>
        <v>38169</v>
      </c>
      <c r="DX55" s="61">
        <f>SummaryTable[[#This Row],[OriginalBudget11]]-SummaryTable[[#This Row],[OriginalBudget10]]</f>
        <v>13006</v>
      </c>
      <c r="DY55" s="54">
        <f>SummaryTable[[#This Row],[BudgetIncreaseAmount11]]/SummaryTable[[#This Row],[OriginalBudget10]]</f>
        <v>0.51687000755076895</v>
      </c>
      <c r="DZ55" s="61">
        <f>IF(COUNTIFS(allFYsTable[Code], SummaryTable[[#This Row],[Code]], allFYsTable[year2], DW$3)=0, NotFound, SUMIFS(allFYsTable[RevisedBudget], allFYsTable[Code], SummaryTable[[#This Row],[Code]], allFYsTable[year2], DW$3))</f>
        <v>29301</v>
      </c>
      <c r="EA55" s="61">
        <f>IF(COUNTIFS(allFYsTable[Code], SummaryTable[[#This Row],[Code]], allFYsTable[year2], DW$3)=0, NotFound, SUMIFS(allFYsTable[Actual], allFYsTable[Code], SummaryTable[[#This Row],[Code]], allFYsTable[year2], DW$3))</f>
        <v>29301</v>
      </c>
      <c r="EB55" s="61">
        <f>IF(COUNTIFS(allFYsTable[Code], SummaryTable[[#This Row],[Code]], allFYsTable[year2], DW$3)=0, NotFound, SUMIFS(allFYsTable[DiffAmount], allFYsTable[Code], SummaryTable[[#This Row],[Code]], allFYsTable[year2], DW$3))</f>
        <v>-8868</v>
      </c>
      <c r="EC55" s="63">
        <f>IF(SummaryTable[[#This Row],[OriginalBudget11]]=0, IF(SummaryTable[[#This Row],[DiffAmount11]]=0, ZeroBudgetNoSpending, ZeroBudgetWithSpending), SummaryTable[[#This Row],[DiffAmount11]]/SummaryTable[[#This Row],[OriginalBudget11]])</f>
        <v>-0.2323351410830779</v>
      </c>
      <c r="ED55" s="62">
        <f>IF(COUNTIFS(allFYsTable[Code], SummaryTable[[#This Row],[Code]], allFYsTable[year2], ED$3)=0, NotFound, SUMIFS(allFYsTable[OriginalBudget], allFYsTable[Code], SummaryTable[[#This Row],[Code]], allFYsTable[year2], ED$3))</f>
        <v>25163</v>
      </c>
      <c r="EE55" s="61">
        <f>SummaryTable[[#This Row],[OriginalBudget10]]-SummaryTable[[#This Row],[OriginalBudget09]]</f>
        <v>10133</v>
      </c>
      <c r="EF55" s="54">
        <f>SummaryTable[[#This Row],[BudgetIncreaseAmount10]]/SummaryTable[[#This Row],[OriginalBudget09]]</f>
        <v>0.67418496340652034</v>
      </c>
      <c r="EG55" s="61">
        <f>IF(COUNTIFS(allFYsTable[Code], SummaryTable[[#This Row],[Code]], allFYsTable[year2], ED$3)=0, NotFound, SUMIFS(allFYsTable[RevisedBudget], allFYsTable[Code], SummaryTable[[#This Row],[Code]], allFYsTable[year2], ED$3))</f>
        <v>38310</v>
      </c>
      <c r="EH55" s="61">
        <f>IF(COUNTIFS(allFYsTable[Code], SummaryTable[[#This Row],[Code]], allFYsTable[year2], ED$3)=0, NotFound, SUMIFS(allFYsTable[Actual], allFYsTable[Code], SummaryTable[[#This Row],[Code]], allFYsTable[year2], ED$3))</f>
        <v>38310</v>
      </c>
      <c r="EI55" s="61">
        <f>IF(COUNTIFS(allFYsTable[Code], SummaryTable[[#This Row],[Code]], allFYsTable[year2], ED$3)=0, NotFound, SUMIFS(allFYsTable[DiffAmount], allFYsTable[Code], SummaryTable[[#This Row],[Code]], allFYsTable[year2], ED$3))</f>
        <v>13147</v>
      </c>
      <c r="EJ55" s="63">
        <f>IF(SummaryTable[[#This Row],[OriginalBudget10]]=0, IF(SummaryTable[[#This Row],[DiffAmount10]]=0, ZeroBudgetNoSpending, ZeroBudgetWithSpending), SummaryTable[[#This Row],[DiffAmount10]]/SummaryTable[[#This Row],[OriginalBudget10]])</f>
        <v>0.52247347295632474</v>
      </c>
      <c r="EK55" s="62">
        <f>IF(COUNTIFS(allFYsTable[Code], SummaryTable[[#This Row],[Code]], allFYsTable[year2], EK$3)=0, NotFound, SUMIFS(allFYsTable[OriginalBudget], allFYsTable[Code], SummaryTable[[#This Row],[Code]], allFYsTable[year2], EK$3))</f>
        <v>15030</v>
      </c>
      <c r="EL55" s="61">
        <f>SummaryTable[[#This Row],[OriginalBudget09]]-SummaryTable[[#This Row],[OriginalBudget08]]</f>
        <v>-15250</v>
      </c>
      <c r="EM55" s="54">
        <f>SummaryTable[[#This Row],[BudgetIncreaseAmount09]]/SummaryTable[[#This Row],[OriginalBudget08]]</f>
        <v>-0.50363276089828268</v>
      </c>
      <c r="EN55" s="61">
        <f>IF(COUNTIFS(allFYsTable[Code], SummaryTable[[#This Row],[Code]], allFYsTable[year2], EK$3)=0, NotFound, SUMIFS(allFYsTable[RevisedBudget], allFYsTable[Code], SummaryTable[[#This Row],[Code]], allFYsTable[year2], EK$3))</f>
        <v>27822</v>
      </c>
      <c r="EO55" s="61">
        <f>IF(COUNTIFS(allFYsTable[Code], SummaryTable[[#This Row],[Code]], allFYsTable[year2], EK$3)=0, NotFound, SUMIFS(allFYsTable[Actual], allFYsTable[Code], SummaryTable[[#This Row],[Code]], allFYsTable[year2], EK$3))</f>
        <v>27822</v>
      </c>
      <c r="EP55" s="61">
        <f>IF(COUNTIFS(allFYsTable[Code], SummaryTable[[#This Row],[Code]], allFYsTable[year2], EK$3)=0, NotFound, SUMIFS(allFYsTable[DiffAmount], allFYsTable[Code], SummaryTable[[#This Row],[Code]], allFYsTable[year2], EK$3))</f>
        <v>12792</v>
      </c>
      <c r="EQ55" s="63">
        <f>IF(SummaryTable[[#This Row],[OriginalBudget09]]=0, IF(SummaryTable[[#This Row],[DiffAmount09]]=0, ZeroBudgetNoSpending, ZeroBudgetWithSpending), SummaryTable[[#This Row],[DiffAmount09]]/SummaryTable[[#This Row],[OriginalBudget09]])</f>
        <v>0.85109780439121752</v>
      </c>
      <c r="ER55" s="62">
        <f>IF(COUNTIFS(allFYsTable[Code], SummaryTable[[#This Row],[Code]], allFYsTable[year2], ER$3)=0, NotFound, SUMIFS(allFYsTable[OriginalBudget], allFYsTable[Code], SummaryTable[[#This Row],[Code]], allFYsTable[year2], ER$3))</f>
        <v>30280</v>
      </c>
      <c r="ES55" s="61">
        <f>SummaryTable[[#This Row],[OriginalBudget08]]-SummaryTable[[#This Row],[OriginalBudget07]]</f>
        <v>0</v>
      </c>
      <c r="ET55" s="54">
        <f>SummaryTable[[#This Row],[BudgetIncreaseAmount08]]/SummaryTable[[#This Row],[OriginalBudget07]]</f>
        <v>0</v>
      </c>
      <c r="EU55" s="61">
        <f>IF(COUNTIFS(allFYsTable[Code], SummaryTable[[#This Row],[Code]], allFYsTable[year2], ER$3)=0, NotFound, SUMIFS(allFYsTable[RevisedBudget], allFYsTable[Code], SummaryTable[[#This Row],[Code]], allFYsTable[year2], ER$3))</f>
        <v>28220</v>
      </c>
      <c r="EV55" s="61">
        <f>IF(COUNTIFS(allFYsTable[Code], SummaryTable[[#This Row],[Code]], allFYsTable[year2], ER$3)=0, NotFound, SUMIFS(allFYsTable[Actual], allFYsTable[Code], SummaryTable[[#This Row],[Code]], allFYsTable[year2], ER$3))</f>
        <v>28220</v>
      </c>
      <c r="EW55" s="61">
        <f>IF(COUNTIFS(allFYsTable[Code], SummaryTable[[#This Row],[Code]], allFYsTable[year2], ER$3)=0, NotFound, SUMIFS(allFYsTable[DiffAmount], allFYsTable[Code], SummaryTable[[#This Row],[Code]], allFYsTable[year2], ER$3))</f>
        <v>-2060</v>
      </c>
      <c r="EX55" s="63">
        <f>IF(SummaryTable[[#This Row],[OriginalBudget08]]=0, IF(SummaryTable[[#This Row],[DiffAmount08]]=0, ZeroBudgetNoSpending, ZeroBudgetWithSpending), SummaryTable[[#This Row],[DiffAmount08]]/SummaryTable[[#This Row],[OriginalBudget08]])</f>
        <v>-6.8031704095112291E-2</v>
      </c>
      <c r="EY55" s="62">
        <f>IF(COUNTIFS(allFYsTable[Code], SummaryTable[[#This Row],[Code]], allFYsTable[year2], EY$3)=0, NotFound, SUMIFS(allFYsTable[OriginalBudget], allFYsTable[Code], SummaryTable[[#This Row],[Code]], allFYsTable[year2], EY$3))</f>
        <v>30280</v>
      </c>
      <c r="EZ55" s="61">
        <f>SummaryTable[[#This Row],[OriginalBudget07]]-SummaryTable[[#This Row],[OriginalBudget06]]</f>
        <v>-1</v>
      </c>
      <c r="FA55" s="54">
        <f>SummaryTable[[#This Row],[BudgetIncreaseAmount07]]/SummaryTable[[#This Row],[OriginalBudget06]]</f>
        <v>-3.3024008454146164E-5</v>
      </c>
      <c r="FB55" s="61">
        <f>IF(COUNTIFS(allFYsTable[Code], SummaryTable[[#This Row],[Code]], allFYsTable[year2], EY$3)=0, NotFound, SUMIFS(allFYsTable[RevisedBudget], allFYsTable[Code], SummaryTable[[#This Row],[Code]], allFYsTable[year2], EY$3))</f>
        <v>24851</v>
      </c>
      <c r="FC55" s="61">
        <f>IF(COUNTIFS(allFYsTable[Code], SummaryTable[[#This Row],[Code]], allFYsTable[year2], EY$3)=0, NotFound, SUMIFS(allFYsTable[Actual], allFYsTable[Code], SummaryTable[[#This Row],[Code]], allFYsTable[year2], EY$3))</f>
        <v>24851</v>
      </c>
      <c r="FD55" s="61">
        <f>IF(COUNTIFS(allFYsTable[Code], SummaryTable[[#This Row],[Code]], allFYsTable[year2], EY$3)=0, NotFound, SUMIFS(allFYsTable[DiffAmount], allFYsTable[Code], SummaryTable[[#This Row],[Code]], allFYsTable[year2], EY$3))</f>
        <v>-5429</v>
      </c>
      <c r="FE55" s="63">
        <f>IF(SummaryTable[[#This Row],[OriginalBudget07]]=0, IF(SummaryTable[[#This Row],[DiffAmount07]]=0, ZeroBudgetNoSpending, ZeroBudgetWithSpending), SummaryTable[[#This Row],[DiffAmount07]]/SummaryTable[[#This Row],[OriginalBudget07]])</f>
        <v>-0.17929326287978864</v>
      </c>
      <c r="FF55" s="62">
        <f>IF(COUNTIFS(allFYsTable[Code], SummaryTable[[#This Row],[Code]], allFYsTable[year2], FF$3)=0, NotFound, SUMIFS(allFYsTable[OriginalBudget], allFYsTable[Code], SummaryTable[[#This Row],[Code]], allFYsTable[year2], FF$3))</f>
        <v>30281</v>
      </c>
      <c r="FI55" s="61">
        <f>IF(COUNTIFS(allFYsTable[Code], SummaryTable[[#This Row],[Code]], allFYsTable[year2], FF$3)=0, NotFound, SUMIFS(allFYsTable[RevisedBudget], allFYsTable[Code], SummaryTable[[#This Row],[Code]], allFYsTable[year2], FF$3))</f>
        <v>28751</v>
      </c>
      <c r="FJ55" s="61">
        <f>IF(COUNTIFS(allFYsTable[Code], SummaryTable[[#This Row],[Code]], allFYsTable[year2], FF$3)=0, NotFound, SUMIFS(allFYsTable[Actual], allFYsTable[Code], SummaryTable[[#This Row],[Code]], allFYsTable[year2], FF$3))</f>
        <v>28751</v>
      </c>
      <c r="FK55" s="61">
        <f>IF(COUNTIFS(allFYsTable[Code], SummaryTable[[#This Row],[Code]], allFYsTable[year2], FF$3)=0, NotFound, SUMIFS(allFYsTable[DiffAmount], allFYsTable[Code], SummaryTable[[#This Row],[Code]], allFYsTable[year2], FF$3))</f>
        <v>-1530</v>
      </c>
      <c r="FL55" s="63">
        <f>IF(SummaryTable[[#This Row],[OriginalBudget06]]=0, IF(SummaryTable[[#This Row],[DiffAmount06]]=0, ZeroBudgetNoSpending, ZeroBudgetWithSpending), SummaryTable[[#This Row],[DiffAmount06]]/SummaryTable[[#This Row],[OriginalBudget06]])</f>
        <v>-5.0526732934843631E-2</v>
      </c>
    </row>
    <row r="56" spans="1:168" x14ac:dyDescent="0.45">
      <c r="A56" t="s">
        <v>707</v>
      </c>
      <c r="B56">
        <f>_xlfn.MAXIFS(allFYsTable[year2], allFYsTable[Code], SummaryTable[[#This Row],[Code]])</f>
        <v>2025</v>
      </c>
      <c r="C56" t="str">
        <f>_xlfn.XLOOKUP(SummaryTable[[#This Row],[Code]], NameCodingTable[Code], NameCodingTable[Most Recent Category per allFYs])</f>
        <v>Governmental direction and support</v>
      </c>
      <c r="D56" t="str">
        <f>_xlfn.XLOOKUP(SummaryTable[[#This Row],[Code]], NameCodingTable[Code], NameCodingTable[Unit Display Name])</f>
        <v>Executive Office of the Mayor (EOM)</v>
      </c>
      <c r="E56" t="str">
        <f>_xlfn.XLOOKUP(SummaryTable[[#This Row],[Code]], NameCodingTable[Code], NameCodingTable[Type])</f>
        <v>agency</v>
      </c>
      <c r="F5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5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10</v>
      </c>
      <c r="H56" s="54">
        <f>SummaryTable[[#This Row],['# Over]]/SummaryTable[[#This Row],[Count]]</f>
        <v>0.5</v>
      </c>
      <c r="I5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56" s="54">
        <f>SummaryTable[[#This Row],['# Under]]/SummaryTable[[#This Row],[Count]]</f>
        <v>0.5</v>
      </c>
      <c r="K5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56" s="54">
        <f>SummaryTable[[#This Row],['# Equal]]/SummaryTable[[#This Row],[Count]]</f>
        <v>0</v>
      </c>
      <c r="M56" s="61">
        <f>SUMIFS(allFYsTable[OriginalBudget],allFYsTable[Code],SummaryTable[[#This Row],[Code]])/SummaryTable[[#This Row],[Count]]</f>
        <v>10525.55</v>
      </c>
      <c r="N56" s="61">
        <f>SUMIFS(allFYsTable[Actual],allFYsTable[Code],SummaryTable[[#This Row],[Code]])/SummaryTable[[#This Row],[Count]]</f>
        <v>10661.65</v>
      </c>
      <c r="O56" s="61">
        <f>SummaryTable[[#This Row],[AvgActAmt]]-SummaryTable[[#This Row],[AvgBudAmt]]</f>
        <v>136.10000000000036</v>
      </c>
      <c r="P56" s="54">
        <f>IF(SummaryTable[[#This Row],[AvgBudAmt]]=0, IF(SummaryTable[[#This Row],[AvgDiff'#]]=0, 0, NamedFields!$C$3), SummaryTable[[#This Row],[AvgDiff'#]]/SummaryTable[[#This Row],[AvgBudAmt]])</f>
        <v>1.29304406895602E-2</v>
      </c>
      <c r="Q56" s="61">
        <f>IFERROR(SUMIFS(allFYsTable[OriginalBudget],allFYsTable[Code],SummaryTable[[#This Row],[Code]],allFYsTable[DiffAmount], "&gt;0")/SummaryTable[[#This Row],['# Over]], 0)</f>
        <v>10142.9</v>
      </c>
      <c r="R56" s="61">
        <f>IFERROR(SUMIFS(allFYsTable[Actual],allFYsTable[Code],SummaryTable[[#This Row],[Code]],allFYsTable[DiffAmount], "&gt;0")/SummaryTable[[#This Row],['# Over]], 0)</f>
        <v>10824</v>
      </c>
      <c r="S56" s="61">
        <f>SummaryTable[[#This Row],[OverAvgAct]]-SummaryTable[[#This Row],[OverAvgBud]]</f>
        <v>681.10000000000036</v>
      </c>
      <c r="T56" s="54">
        <f>IF(SummaryTable[[#This Row],[OverAvgBud]]=0, IF(SummaryTable[[#This Row],[OverAvgDiff'#]]=0, ZeroBudgetNoSpending, ZeroBudgetWithSpending), SummaryTable[[#This Row],[OverAvgDiff'#]]/SummaryTable[[#This Row],[OverAvgBud]])</f>
        <v>6.7150420491181056E-2</v>
      </c>
      <c r="U56" s="61">
        <f>IFERROR(SUMIFS(allFYsTable[OriginalBudget],allFYsTable[Code],SummaryTable[[#This Row],[Code]],allFYsTable[DiffAmount], "&lt;0")/SummaryTable[[#This Row],['# Under]], 0)</f>
        <v>10908.2</v>
      </c>
      <c r="V56" s="61">
        <f>IFERROR( SUMIFS(allFYsTable[Actual],allFYsTable[Code],SummaryTable[[#This Row],[Code]],allFYsTable[DiffAmount], "&lt;0")/SummaryTable[[#This Row],['# Under]], 0)</f>
        <v>10499.3</v>
      </c>
      <c r="W56" s="61">
        <f>SummaryTable[[#This Row],[UnderAvgAct]]-SummaryTable[[#This Row],[UnderAvgBud]]</f>
        <v>-408.90000000000146</v>
      </c>
      <c r="X56" s="54">
        <f>IF(SummaryTable[[#This Row],[UnderAvgBud]]=0, IF(SummaryTable[[#This Row],[UnderAvgDiff'#]]=0, ZeroBudgetNoSpending, NamedFields!$C$3), SummaryTable[[#This Row],[UnderAvgDiff'#]]/SummaryTable[[#This Row],[UnderAvgBud]])</f>
        <v>-3.7485561320841333E-2</v>
      </c>
      <c r="Y5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8</v>
      </c>
      <c r="Z5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6" s="54">
        <f>IF(SummaryTable[[#This Row],[IncreaseYears]]=0, ZeroBudgetNoSpending, SummaryTable[[#This Row],[OSinIncreaseYear'#]]/SummaryTable[[#This Row],[IncreaseYears]])</f>
        <v>0</v>
      </c>
      <c r="AB56" s="58" t="str">
        <f>SummaryTable[[#This Row],[Code]]</f>
        <v>AA0</v>
      </c>
      <c r="AC56" s="62">
        <f>IF(COUNTIFS(allFYsTable[Code], SummaryTable[[#This Row],[Code]], allFYsTable[year2], AC$3)=0, NotFound, SUMIFS(allFYsTable[OriginalBudget], allFYsTable[Code], SummaryTable[[#This Row],[Code]], allFYsTable[year2], AC$3))</f>
        <v>17483</v>
      </c>
      <c r="AD56" s="61">
        <f>SummaryTable[[#This Row],[OriginalBudget25]]-SummaryTable[[#This Row],[OriginalBudget24]]</f>
        <v>761</v>
      </c>
      <c r="AE56" s="54">
        <f>SummaryTable[[#This Row],[BudgetIncreaseAmount25]]/SummaryTable[[#This Row],[OriginalBudget24]]</f>
        <v>4.5508910417414186E-2</v>
      </c>
      <c r="AF56" s="61">
        <f>IF(COUNTIFS(allFYsTable[Code], SummaryTable[[#This Row],[Code]], allFYsTable[year2], AC$3)=0, NotFound, SUMIFS(allFYsTable[RevisedBudget], allFYsTable[Code], SummaryTable[[#This Row],[Code]], allFYsTable[year2], AC$3))</f>
        <v>18289</v>
      </c>
      <c r="AG56" s="61">
        <f>IF(COUNTIFS(allFYsTable[Code], SummaryTable[[#This Row],[Code]], allFYsTable[year2], AC$3)=0, NotFound, SUMIFS(allFYsTable[Actual], allFYsTable[Code], SummaryTable[[#This Row],[Code]], allFYsTable[year2], AC$3))</f>
        <v>17248</v>
      </c>
      <c r="AH56" s="61">
        <f>IF(COUNTIFS(allFYsTable[Code], SummaryTable[[#This Row],[Code]], allFYsTable[year2], AC$3)=0, NotFound, SUMIFS(allFYsTable[DiffAmount], allFYsTable[Code], SummaryTable[[#This Row],[Code]], allFYsTable[year2], AC$3))</f>
        <v>-235</v>
      </c>
      <c r="AI56" s="63">
        <f>IF(SummaryTable[[#This Row],[OriginalBudget25]]=0, IF(SummaryTable[[#This Row],[DiffAmount25]]=0, ZeroBudgetNoSpending, ZeroBudgetWithSpending), SummaryTable[[#This Row],[DiffAmount25]]/SummaryTable[[#This Row],[OriginalBudget25]])</f>
        <v>-1.3441629011039295E-2</v>
      </c>
      <c r="AJ56" s="62">
        <f>IF(COUNTIFS(allFYsTable[Code], SummaryTable[[#This Row],[Code]], allFYsTable[year2], AJ$3)=0, NotFound, SUMIFS(allFYsTable[OriginalBudget], allFYsTable[Code], SummaryTable[[#This Row],[Code]], allFYsTable[year2], AJ$3))</f>
        <v>16722</v>
      </c>
      <c r="AK56" s="61">
        <f>SummaryTable[[#This Row],[OriginalBudget24]]-SummaryTable[[#This Row],[OriginalBudget23]]</f>
        <v>929</v>
      </c>
      <c r="AL56" s="54">
        <f>SummaryTable[[#This Row],[BudgetIncreaseAmount24]]/SummaryTable[[#This Row],[OriginalBudget23]]</f>
        <v>5.8823529411764705E-2</v>
      </c>
      <c r="AM56" s="61">
        <f>IF(COUNTIFS(allFYsTable[Code], SummaryTable[[#This Row],[Code]], allFYsTable[year2], AK$3)=0, NotFound, SUMIFS(allFYsTable[RevisedBudget], allFYsTable[Code], SummaryTable[[#This Row],[Code]], allFYsTable[year2], AJ$3))</f>
        <v>17165</v>
      </c>
      <c r="AN56" s="61">
        <f>IF(COUNTIFS(allFYsTable[Code], SummaryTable[[#This Row],[Code]], allFYsTable[year2], AJ$3)=0, NotFound, SUMIFS(allFYsTable[Actual], allFYsTable[Code], SummaryTable[[#This Row],[Code]], allFYsTable[year2], AJ$3))</f>
        <v>16719</v>
      </c>
      <c r="AO56" s="61">
        <f>IF(COUNTIFS(allFYsTable[Code], SummaryTable[[#This Row],[Code]], allFYsTable[year2], AJ$3)=0, NotFound, SUMIFS(allFYsTable[DiffAmount], allFYsTable[Code], SummaryTable[[#This Row],[Code]], allFYsTable[year2], AJ$3))</f>
        <v>-3</v>
      </c>
      <c r="AP56" s="63">
        <f>IF(SummaryTable[[#This Row],[OriginalBudget24]]=0, IF(SummaryTable[[#This Row],[DiffAmount24]]=0, ZeroBudgetNoSpending, ZeroBudgetWithSpending), SummaryTable[[#This Row],[DiffAmount24]]/SummaryTable[[#This Row],[OriginalBudget24]])</f>
        <v>-1.794043774668102E-4</v>
      </c>
      <c r="AQ56" s="62">
        <f>IF(COUNTIFS(allFYsTable[Code], SummaryTable[[#This Row],[Code]], allFYsTable[year2], AQ$3)=0, NotFound, SUMIFS(allFYsTable[OriginalBudget], allFYsTable[Code], SummaryTable[[#This Row],[Code]], allFYsTable[year2], AQ$3))</f>
        <v>15793</v>
      </c>
      <c r="AR56" s="61">
        <f>SummaryTable[[#This Row],[OriginalBudget23]]-SummaryTable[[#This Row],[OriginalBudget22]]</f>
        <v>2675</v>
      </c>
      <c r="AS56" s="54">
        <f>SummaryTable[[#This Row],[BudgetIncreaseAmount23]]/SummaryTable[[#This Row],[OriginalBudget22]]</f>
        <v>0.20391828022564415</v>
      </c>
      <c r="AT56" s="61">
        <f>IF(COUNTIFS(allFYsTable[Code], SummaryTable[[#This Row],[Code]], allFYsTable[year2], AQ$3)=0, NotFound, SUMIFS(allFYsTable[RevisedBudget], allFYsTable[Code], SummaryTable[[#This Row],[Code]], allFYsTable[year2], AQ$3))</f>
        <v>16337</v>
      </c>
      <c r="AU56" s="61">
        <f>IF(COUNTIFS(allFYsTable[Code], SummaryTable[[#This Row],[Code]], allFYsTable[year2], AQ$3)=0, NotFound, SUMIFS(allFYsTable[Actual], allFYsTable[Code], SummaryTable[[#This Row],[Code]], allFYsTable[year2], AQ$3))</f>
        <v>15616</v>
      </c>
      <c r="AV56" s="61">
        <f>IF(COUNTIFS(allFYsTable[Code], SummaryTable[[#This Row],[Code]], allFYsTable[year2], AQ$3)=0, NotFound, SUMIFS(allFYsTable[DiffAmount], allFYsTable[Code], SummaryTable[[#This Row],[Code]], allFYsTable[year2], AQ$3))</f>
        <v>-177</v>
      </c>
      <c r="AW56" s="63">
        <f>IF(SummaryTable[[#This Row],[OriginalBudget23]]=0, IF(SummaryTable[[#This Row],[DiffAmount23]]=0, ZeroBudgetNoSpending, ZeroBudgetWithSpending), SummaryTable[[#This Row],[DiffAmount23]]/SummaryTable[[#This Row],[OriginalBudget23]])</f>
        <v>-1.1207496992338377E-2</v>
      </c>
      <c r="AX56" s="62">
        <f>IF(COUNTIFS(allFYsTable[Code], SummaryTable[[#This Row],[Code]], allFYsTable[year2], AX$3)=0, NotFound, SUMIFS(allFYsTable[OriginalBudget], allFYsTable[Code], SummaryTable[[#This Row],[Code]], allFYsTable[year2], AX$3))</f>
        <v>13118</v>
      </c>
      <c r="AY56" s="61">
        <f>SummaryTable[[#This Row],[OriginalBudget22]]-SummaryTable[[#This Row],[OriginalBudget21]]</f>
        <v>1250</v>
      </c>
      <c r="AZ56" s="54">
        <f>SummaryTable[[#This Row],[BudgetIncreaseAmount22]]/SummaryTable[[#This Row],[OriginalBudget21]]</f>
        <v>0.1053252443545669</v>
      </c>
      <c r="BA56" s="61">
        <f>IF(COUNTIFS(allFYsTable[Code], SummaryTable[[#This Row],[Code]], allFYsTable[year2], AX$3)=0, NotFound, SUMIFS(allFYsTable[RevisedBudget], allFYsTable[Code], SummaryTable[[#This Row],[Code]], allFYsTable[year2], AX$3))</f>
        <v>13718</v>
      </c>
      <c r="BB56" s="61">
        <f>IF(COUNTIFS(allFYsTable[Code], SummaryTable[[#This Row],[Code]], allFYsTable[year2], AX$3)=0, NotFound, SUMIFS(allFYsTable[Actual], allFYsTable[Code], SummaryTable[[#This Row],[Code]], allFYsTable[year2], AX$3))</f>
        <v>13360</v>
      </c>
      <c r="BC56" s="61">
        <f>IF(COUNTIFS(allFYsTable[Code], SummaryTable[[#This Row],[Code]], allFYsTable[year2], AX$3)=0, NotFound, SUMIFS(allFYsTable[DiffAmount], allFYsTable[Code], SummaryTable[[#This Row],[Code]], allFYsTable[year2], AX$3))</f>
        <v>242</v>
      </c>
      <c r="BD56" s="63">
        <f>IF(SummaryTable[[#This Row],[OriginalBudget22]]=0, IF(SummaryTable[[#This Row],[DiffAmount22]]=0, ZeroBudgetNoSpending, ZeroBudgetWithSpending), SummaryTable[[#This Row],[DiffAmount22]]/SummaryTable[[#This Row],[OriginalBudget22]])</f>
        <v>1.8447934136301265E-2</v>
      </c>
      <c r="BE56" s="62">
        <f>IF(COUNTIFS(allFYsTable[Code], SummaryTable[[#This Row],[Code]], allFYsTable[year2], BE$3)=0, NotFound, SUMIFS(allFYsTable[OriginalBudget], allFYsTable[Code], SummaryTable[[#This Row],[Code]], allFYsTable[year2], BE$3))</f>
        <v>11868</v>
      </c>
      <c r="BF56" s="61">
        <f>SummaryTable[[#This Row],[OriginalBudget21]]-SummaryTable[[#This Row],[OriginalBudget20]]</f>
        <v>-2053</v>
      </c>
      <c r="BG56" s="54">
        <f>SummaryTable[[#This Row],[BudgetIncreaseAmount21]]/SummaryTable[[#This Row],[OriginalBudget20]]</f>
        <v>-0.14747503771280798</v>
      </c>
      <c r="BH56" s="61">
        <f>IF(COUNTIFS(allFYsTable[Code], SummaryTable[[#This Row],[Code]], allFYsTable[year2], BE$3)=0, NotFound, SUMIFS(allFYsTable[RevisedBudget], allFYsTable[Code], SummaryTable[[#This Row],[Code]], allFYsTable[year2], BE$3))</f>
        <v>11925</v>
      </c>
      <c r="BI56" s="61">
        <f>IF(COUNTIFS(allFYsTable[Code], SummaryTable[[#This Row],[Code]], allFYsTable[year2], BE$3)=0, NotFound, SUMIFS(allFYsTable[Actual], allFYsTable[Code], SummaryTable[[#This Row],[Code]], allFYsTable[year2], BE$3))</f>
        <v>11911</v>
      </c>
      <c r="BJ56" s="61">
        <f>IF(COUNTIFS(allFYsTable[Code], SummaryTable[[#This Row],[Code]], allFYsTable[year2], BE$3)=0, NotFound, SUMIFS(allFYsTable[DiffAmount], allFYsTable[Code], SummaryTable[[#This Row],[Code]], allFYsTable[year2], BE$3))</f>
        <v>43</v>
      </c>
      <c r="BK56" s="63">
        <f>IF(SummaryTable[[#This Row],[OriginalBudget21]]=0, IF(SummaryTable[[#This Row],[DiffAmount21]]=0, ZeroBudgetNoSpending, ZeroBudgetWithSpending), SummaryTable[[#This Row],[DiffAmount21]]/SummaryTable[[#This Row],[OriginalBudget21]])</f>
        <v>3.6231884057971015E-3</v>
      </c>
      <c r="BL56" s="62">
        <f>IF(COUNTIFS(allFYsTable[Code], SummaryTable[[#This Row],[Code]], allFYsTable[year2], BL$3)=0, NotFound, SUMIFS(allFYsTable[OriginalBudget], allFYsTable[Code], SummaryTable[[#This Row],[Code]], allFYsTable[year2], BL$3))</f>
        <v>13921</v>
      </c>
      <c r="BM56" s="61">
        <f>SummaryTable[[#This Row],[OriginalBudget20]]-SummaryTable[[#This Row],[OriginalBudget19]]</f>
        <v>2554</v>
      </c>
      <c r="BN56" s="54">
        <f>SummaryTable[[#This Row],[BudgetIncreaseAmount20]]/SummaryTable[[#This Row],[OriginalBudget19]]</f>
        <v>0.22468549309404418</v>
      </c>
      <c r="BO56" s="61">
        <f>IF(COUNTIFS(allFYsTable[Code], SummaryTable[[#This Row],[Code]], allFYsTable[year2], BL$3)=0, NotFound, SUMIFS(allFYsTable[RevisedBudget], allFYsTable[Code], SummaryTable[[#This Row],[Code]], allFYsTable[year2], BL$3))</f>
        <v>13626</v>
      </c>
      <c r="BP56" s="61">
        <f>IF(COUNTIFS(allFYsTable[Code], SummaryTable[[#This Row],[Code]], allFYsTable[year2], BL$3)=0, NotFound, SUMIFS(allFYsTable[Actual], allFYsTable[Code], SummaryTable[[#This Row],[Code]], allFYsTable[year2], BL$3))</f>
        <v>13284</v>
      </c>
      <c r="BQ56" s="61">
        <f>IF(COUNTIFS(allFYsTable[Code], SummaryTable[[#This Row],[Code]], allFYsTable[year2], BL$3)=0, NotFound, SUMIFS(allFYsTable[DiffAmount], allFYsTable[Code], SummaryTable[[#This Row],[Code]], allFYsTable[year2], BL$3))</f>
        <v>-637</v>
      </c>
      <c r="BR56" s="63">
        <f>IF(SummaryTable[[#This Row],[OriginalBudget20]]=0, IF(SummaryTable[[#This Row],[DiffAmount20]]=0, ZeroBudgetNoSpending, ZeroBudgetWithSpending), SummaryTable[[#This Row],[DiffAmount20]]/SummaryTable[[#This Row],[OriginalBudget20]])</f>
        <v>-4.5758207025357371E-2</v>
      </c>
      <c r="BS56" s="62">
        <f>IF(COUNTIFS(allFYsTable[Code], SummaryTable[[#This Row],[Code]], allFYsTable[year2], BS$3)=0, NotFound, SUMIFS(allFYsTable[OriginalBudget], allFYsTable[Code], SummaryTable[[#This Row],[Code]], allFYsTable[year2], BS$3))</f>
        <v>11367</v>
      </c>
      <c r="BT56" s="61">
        <f>SummaryTable[[#This Row],[OriginalBudget19]]-SummaryTable[[#This Row],[OriginalBudget18]]</f>
        <v>895</v>
      </c>
      <c r="BU56" s="54">
        <f>SummaryTable[[#This Row],[BudgetIncreaseAmount19]]/SummaryTable[[#This Row],[OriginalBudget18]]</f>
        <v>8.5466004583651639E-2</v>
      </c>
      <c r="BV56" s="61">
        <f>IF(COUNTIFS(allFYsTable[Code], SummaryTable[[#This Row],[Code]], allFYsTable[year2], BS$3)=0, NotFound, SUMIFS(allFYsTable[RevisedBudget], allFYsTable[Code], SummaryTable[[#This Row],[Code]], allFYsTable[year2], BS$3))</f>
        <v>12562</v>
      </c>
      <c r="BW56" s="61">
        <f>IF(COUNTIFS(allFYsTable[Code], SummaryTable[[#This Row],[Code]], allFYsTable[year2], BS$3)=0, NotFound, SUMIFS(allFYsTable[Actual], allFYsTable[Code], SummaryTable[[#This Row],[Code]], allFYsTable[year2], BS$3))</f>
        <v>12417</v>
      </c>
      <c r="BX56" s="61">
        <f>IF(COUNTIFS(allFYsTable[Code], SummaryTable[[#This Row],[Code]], allFYsTable[year2], BS$3)=0, NotFound, SUMIFS(allFYsTable[DiffAmount], allFYsTable[Code], SummaryTable[[#This Row],[Code]], allFYsTable[year2], BS$3))</f>
        <v>1050</v>
      </c>
      <c r="BY56" s="63">
        <f>IF(SummaryTable[[#This Row],[OriginalBudget19]]=0, IF(SummaryTable[[#This Row],[DiffAmount19]]=0, ZeroBudgetNoSpending, ZeroBudgetWithSpending), SummaryTable[[#This Row],[DiffAmount19]]/SummaryTable[[#This Row],[OriginalBudget19]])</f>
        <v>9.2372657693322771E-2</v>
      </c>
      <c r="BZ56" s="62">
        <f>IF(COUNTIFS(allFYsTable[Code], SummaryTable[[#This Row],[Code]], allFYsTable[year2], BZ$3)=0, NotFound, SUMIFS(allFYsTable[OriginalBudget], allFYsTable[Code], SummaryTable[[#This Row],[Code]], allFYsTable[year2], BZ$3))</f>
        <v>10472</v>
      </c>
      <c r="CA56" s="61">
        <f>SummaryTable[[#This Row],[OriginalBudget18]]-SummaryTable[[#This Row],[OriginalBudget17]]</f>
        <v>1328</v>
      </c>
      <c r="CB56" s="54">
        <f>SummaryTable[[#This Row],[BudgetIncreaseAmount18]]/SummaryTable[[#This Row],[OriginalBudget17]]</f>
        <v>0.1452318460192476</v>
      </c>
      <c r="CC56" s="61">
        <f>IF(COUNTIFS(allFYsTable[Code], SummaryTable[[#This Row],[Code]], allFYsTable[year2], BZ$3)=0, NotFound, SUMIFS(allFYsTable[RevisedBudget], allFYsTable[Code], SummaryTable[[#This Row],[Code]], allFYsTable[year2], BZ$3))</f>
        <v>11225</v>
      </c>
      <c r="CD56" s="61">
        <f>IF(COUNTIFS(allFYsTable[Code], SummaryTable[[#This Row],[Code]], allFYsTable[year2], BZ$3)=0, NotFound, SUMIFS(allFYsTable[Actual], allFYsTable[Code], SummaryTable[[#This Row],[Code]], allFYsTable[year2], BZ$3))</f>
        <v>10863</v>
      </c>
      <c r="CE56" s="61">
        <f>IF(COUNTIFS(allFYsTable[Code], SummaryTable[[#This Row],[Code]], allFYsTable[year2], BZ$3)=0, NotFound, SUMIFS(allFYsTable[DiffAmount], allFYsTable[Code], SummaryTable[[#This Row],[Code]], allFYsTable[year2], BZ$3))</f>
        <v>391</v>
      </c>
      <c r="CF56" s="63">
        <f>IF(SummaryTable[[#This Row],[OriginalBudget18]]=0, IF(SummaryTable[[#This Row],[DiffAmount18]]=0, ZeroBudgetNoSpending, ZeroBudgetWithSpending), SummaryTable[[#This Row],[DiffAmount18]]/SummaryTable[[#This Row],[OriginalBudget18]])</f>
        <v>3.7337662337662336E-2</v>
      </c>
      <c r="CG56" s="62">
        <f>IF(COUNTIFS(allFYsTable[Code], SummaryTable[[#This Row],[Code]], allFYsTable[year2], CG$3)=0, NotFound, SUMIFS(allFYsTable[OriginalBudget], allFYsTable[Code], SummaryTable[[#This Row],[Code]], allFYsTable[year2], CG$3))</f>
        <v>9144</v>
      </c>
      <c r="CH56" s="61">
        <f>SummaryTable[[#This Row],[OriginalBudget17]]-SummaryTable[[#This Row],[OriginalBudget16]]</f>
        <v>1319</v>
      </c>
      <c r="CI56" s="54">
        <f>SummaryTable[[#This Row],[BudgetIncreaseAmount17]]/SummaryTable[[#This Row],[OriginalBudget16]]</f>
        <v>0.16856230031948882</v>
      </c>
      <c r="CJ56" s="61">
        <f>IF(COUNTIFS(allFYsTable[Code], SummaryTable[[#This Row],[Code]], allFYsTable[year2], CG$3)=0, NotFound, SUMIFS(allFYsTable[RevisedBudget], allFYsTable[Code], SummaryTable[[#This Row],[Code]], allFYsTable[year2], CG$3))</f>
        <v>9785</v>
      </c>
      <c r="CK56" s="61">
        <f>IF(COUNTIFS(allFYsTable[Code], SummaryTable[[#This Row],[Code]], allFYsTable[year2], CG$3)=0, NotFound, SUMIFS(allFYsTable[Actual], allFYsTable[Code], SummaryTable[[#This Row],[Code]], allFYsTable[year2], CG$3))</f>
        <v>9736</v>
      </c>
      <c r="CL56" s="61">
        <f>IF(COUNTIFS(allFYsTable[Code], SummaryTable[[#This Row],[Code]], allFYsTable[year2], CG$3)=0, NotFound, SUMIFS(allFYsTable[DiffAmount], allFYsTable[Code], SummaryTable[[#This Row],[Code]], allFYsTable[year2], CG$3))</f>
        <v>592</v>
      </c>
      <c r="CM56" s="63">
        <f>IF(SummaryTable[[#This Row],[OriginalBudget17]]=0, IF(SummaryTable[[#This Row],[DiffAmount17]]=0, ZeroBudgetNoSpending, ZeroBudgetWithSpending), SummaryTable[[#This Row],[DiffAmount17]]/SummaryTable[[#This Row],[OriginalBudget17]])</f>
        <v>6.4741907261592305E-2</v>
      </c>
      <c r="CN56" s="62">
        <f>IF(COUNTIFS(allFYsTable[Code], SummaryTable[[#This Row],[Code]], allFYsTable[year2], CN$3)=0, NotFound, SUMIFS(allFYsTable[OriginalBudget], allFYsTable[Code], SummaryTable[[#This Row],[Code]], allFYsTable[year2], CN$3))</f>
        <v>7825</v>
      </c>
      <c r="CO56" s="61">
        <f>SummaryTable[[#This Row],[OriginalBudget16]]-SummaryTable[[#This Row],[OriginalBudget15]]</f>
        <v>-1497</v>
      </c>
      <c r="CP56" s="54">
        <f>SummaryTable[[#This Row],[BudgetIncreaseAmount16]]/SummaryTable[[#This Row],[OriginalBudget15]]</f>
        <v>-0.1605878566831152</v>
      </c>
      <c r="CQ56" s="61">
        <f>IF(COUNTIFS(allFYsTable[Code], SummaryTable[[#This Row],[Code]], allFYsTable[year2], CN$3)=0, NotFound, SUMIFS(allFYsTable[RevisedBudget], allFYsTable[Code], SummaryTable[[#This Row],[Code]], allFYsTable[year2], CN$3))</f>
        <v>7970</v>
      </c>
      <c r="CR56" s="61">
        <f>IF(COUNTIFS(allFYsTable[Code], SummaryTable[[#This Row],[Code]], allFYsTable[year2], CN$3)=0, NotFound, SUMIFS(allFYsTable[Actual], allFYsTable[Code], SummaryTable[[#This Row],[Code]], allFYsTable[year2], CN$3))</f>
        <v>7891</v>
      </c>
      <c r="CS56" s="61">
        <f>IF(COUNTIFS(allFYsTable[Code], SummaryTable[[#This Row],[Code]], allFYsTable[year2], CN$3)=0, NotFound, SUMIFS(allFYsTable[DiffAmount], allFYsTable[Code], SummaryTable[[#This Row],[Code]], allFYsTable[year2], CN$3))</f>
        <v>66</v>
      </c>
      <c r="CT56" s="63">
        <f>IF(SummaryTable[[#This Row],[OriginalBudget16]]=0, IF(SummaryTable[[#This Row],[DiffAmount16]]=0, ZeroBudgetNoSpending, ZeroBudgetWithSpending), SummaryTable[[#This Row],[DiffAmount16]]/SummaryTable[[#This Row],[OriginalBudget16]])</f>
        <v>8.4345047923322682E-3</v>
      </c>
      <c r="CU56" s="62">
        <f>IF(COUNTIFS(allFYsTable[Code], SummaryTable[[#This Row],[Code]], allFYsTable[year2], CU$3)=0, NotFound, SUMIFS(allFYsTable[OriginalBudget], allFYsTable[Code], SummaryTable[[#This Row],[Code]], allFYsTable[year2], CU$3))</f>
        <v>9322</v>
      </c>
      <c r="CV56" s="61">
        <f>SummaryTable[[#This Row],[OriginalBudget15]]-SummaryTable[[#This Row],[OriginalBudget14]]</f>
        <v>969</v>
      </c>
      <c r="CW56" s="54">
        <f>SummaryTable[[#This Row],[BudgetIncreaseAmount15]]/SummaryTable[[#This Row],[OriginalBudget14]]</f>
        <v>0.11600622530827248</v>
      </c>
      <c r="CX56" s="61">
        <f>IF(COUNTIFS(allFYsTable[Code], SummaryTable[[#This Row],[Code]], allFYsTable[year2], CU$3)=0, NotFound, SUMIFS(allFYsTable[RevisedBudget], allFYsTable[Code], SummaryTable[[#This Row],[Code]], allFYsTable[year2], CU$3))</f>
        <v>10058</v>
      </c>
      <c r="CY56" s="61">
        <f>IF(COUNTIFS(allFYsTable[Code], SummaryTable[[#This Row],[Code]], allFYsTable[year2], CU$3)=0, NotFound, SUMIFS(allFYsTable[Actual], allFYsTable[Code], SummaryTable[[#This Row],[Code]], allFYsTable[year2], CU$3))</f>
        <v>10021</v>
      </c>
      <c r="CZ56" s="61">
        <f>IF(COUNTIFS(allFYsTable[Code], SummaryTable[[#This Row],[Code]], allFYsTable[year2], CU$3)=0, NotFound, SUMIFS(allFYsTable[DiffAmount], allFYsTable[Code], SummaryTable[[#This Row],[Code]], allFYsTable[year2], CU$3))</f>
        <v>699</v>
      </c>
      <c r="DA56" s="63">
        <f>IF(SummaryTable[[#This Row],[OriginalBudget15]]=0, IF(SummaryTable[[#This Row],[DiffAmount15]]=0, ZeroBudgetNoSpending, ZeroBudgetWithSpending), SummaryTable[[#This Row],[DiffAmount15]]/SummaryTable[[#This Row],[OriginalBudget15]])</f>
        <v>7.4983909032396476E-2</v>
      </c>
      <c r="DB56" s="62">
        <f>IF(COUNTIFS(allFYsTable[Code], SummaryTable[[#This Row],[Code]], allFYsTable[year2], DB$3)=0, NotFound, SUMIFS(allFYsTable[OriginalBudget], allFYsTable[Code], SummaryTable[[#This Row],[Code]], allFYsTable[year2], DB$3))</f>
        <v>8353</v>
      </c>
      <c r="DC56" s="61">
        <f>SummaryTable[[#This Row],[OriginalBudget14]]-SummaryTable[[#This Row],[OriginalBudget13]]</f>
        <v>-82</v>
      </c>
      <c r="DD56" s="54">
        <f>SummaryTable[[#This Row],[BudgetIncreaseAmount14]]/SummaryTable[[#This Row],[OriginalBudget13]]</f>
        <v>-9.7213989330171904E-3</v>
      </c>
      <c r="DE56" s="61">
        <f>IF(COUNTIFS(allFYsTable[Code], SummaryTable[[#This Row],[Code]], allFYsTable[year2], DB$3)=0, NotFound, SUMIFS(allFYsTable[RevisedBudget], allFYsTable[Code], SummaryTable[[#This Row],[Code]], allFYsTable[year2], DB$3))</f>
        <v>8640</v>
      </c>
      <c r="DF56" s="61">
        <f>IF(COUNTIFS(allFYsTable[Code], SummaryTable[[#This Row],[Code]], allFYsTable[year2], DB$3)=0, NotFound, SUMIFS(allFYsTable[Actual], allFYsTable[Code], SummaryTable[[#This Row],[Code]], allFYsTable[year2], DB$3))</f>
        <v>8283</v>
      </c>
      <c r="DG56" s="61">
        <f>IF(COUNTIFS(allFYsTable[Code], SummaryTable[[#This Row],[Code]], allFYsTable[year2], DB$3)=0, NotFound, SUMIFS(allFYsTable[DiffAmount], allFYsTable[Code], SummaryTable[[#This Row],[Code]], allFYsTable[year2], DB$3))</f>
        <v>-70</v>
      </c>
      <c r="DH56" s="63">
        <f>IF(SummaryTable[[#This Row],[OriginalBudget14]]=0, IF(SummaryTable[[#This Row],[DiffAmount14]]=0, ZeroBudgetNoSpending, ZeroBudgetWithSpending), SummaryTable[[#This Row],[DiffAmount14]]/SummaryTable[[#This Row],[OriginalBudget14]])</f>
        <v>-8.380222674488208E-3</v>
      </c>
      <c r="DI56" s="62">
        <f>IF(COUNTIFS(allFYsTable[Code], SummaryTable[[#This Row],[Code]], allFYsTable[year2], DI$3)=0, NotFound, SUMIFS(allFYsTable[OriginalBudget], allFYsTable[Code], SummaryTable[[#This Row],[Code]], allFYsTable[year2], DI$3))</f>
        <v>8435</v>
      </c>
      <c r="DJ56" s="61">
        <f>SummaryTable[[#This Row],[OriginalBudget13]]-SummaryTable[[#This Row],[OriginalBudget12]]</f>
        <v>176</v>
      </c>
      <c r="DK56" s="54">
        <f>SummaryTable[[#This Row],[BudgetIncreaseAmount13]]/SummaryTable[[#This Row],[OriginalBudget12]]</f>
        <v>2.1310085966824072E-2</v>
      </c>
      <c r="DL56" s="61">
        <f>IF(COUNTIFS(allFYsTable[Code], SummaryTable[[#This Row],[Code]], allFYsTable[year2], DI$3)=0, NotFound, SUMIFS(allFYsTable[RevisedBudget], allFYsTable[Code], SummaryTable[[#This Row],[Code]], allFYsTable[year2], DI$3))</f>
        <v>8407</v>
      </c>
      <c r="DM56" s="61">
        <f>IF(COUNTIFS(allFYsTable[Code], SummaryTable[[#This Row],[Code]], allFYsTable[year2], DI$3)=0, NotFound, SUMIFS(allFYsTable[Actual], allFYsTable[Code], SummaryTable[[#This Row],[Code]], allFYsTable[year2], DI$3))</f>
        <v>8287</v>
      </c>
      <c r="DN56" s="61">
        <f>IF(COUNTIFS(allFYsTable[Code], SummaryTable[[#This Row],[Code]], allFYsTable[year2], DI$3)=0, NotFound, SUMIFS(allFYsTable[DiffAmount], allFYsTable[Code], SummaryTable[[#This Row],[Code]], allFYsTable[year2], DI$3))</f>
        <v>-148</v>
      </c>
      <c r="DO56" s="63">
        <f>IF(SummaryTable[[#This Row],[OriginalBudget13]]=0, IF(SummaryTable[[#This Row],[DiffAmount13]]=0, ZeroBudgetNoSpending, ZeroBudgetWithSpending), SummaryTable[[#This Row],[DiffAmount13]]/SummaryTable[[#This Row],[OriginalBudget13]])</f>
        <v>-1.7545939537640783E-2</v>
      </c>
      <c r="DP56" s="62">
        <f>IF(COUNTIFS(allFYsTable[Code], SummaryTable[[#This Row],[Code]], allFYsTable[year2], DP$3)=0, NotFound, SUMIFS(allFYsTable[OriginalBudget], allFYsTable[Code], SummaryTable[[#This Row],[Code]], allFYsTable[year2], DP$3))</f>
        <v>8259</v>
      </c>
      <c r="DQ56" s="61">
        <f>SummaryTable[[#This Row],[OriginalBudget12]]-SummaryTable[[#This Row],[OriginalBudget11]]</f>
        <v>-422</v>
      </c>
      <c r="DR56" s="54">
        <f>SummaryTable[[#This Row],[BudgetIncreaseAmount12]]/SummaryTable[[#This Row],[OriginalBudget11]]</f>
        <v>-4.861191107015321E-2</v>
      </c>
      <c r="DS56" s="61">
        <f>IF(COUNTIFS(allFYsTable[Code], SummaryTable[[#This Row],[Code]], allFYsTable[year2], DP$3)=0, NotFound, SUMIFS(allFYsTable[RevisedBudget], allFYsTable[Code], SummaryTable[[#This Row],[Code]], allFYsTable[year2], DP$3))</f>
        <v>8170</v>
      </c>
      <c r="DT56" s="61">
        <f>IF(COUNTIFS(allFYsTable[Code], SummaryTable[[#This Row],[Code]], allFYsTable[year2], DP$3)=0, NotFound, SUMIFS(allFYsTable[Actual], allFYsTable[Code], SummaryTable[[#This Row],[Code]], allFYsTable[year2], DP$3))</f>
        <v>7998</v>
      </c>
      <c r="DU56" s="61">
        <f>IF(COUNTIFS(allFYsTable[Code], SummaryTable[[#This Row],[Code]], allFYsTable[year2], DP$3)=0, NotFound, SUMIFS(allFYsTable[DiffAmount], allFYsTable[Code], SummaryTable[[#This Row],[Code]], allFYsTable[year2], DP$3))</f>
        <v>-261</v>
      </c>
      <c r="DV56" s="63">
        <f>IF(SummaryTable[[#This Row],[OriginalBudget12]]=0, IF(SummaryTable[[#This Row],[DiffAmount12]]=0, ZeroBudgetNoSpending, ZeroBudgetWithSpending), SummaryTable[[#This Row],[DiffAmount12]]/SummaryTable[[#This Row],[OriginalBudget12]])</f>
        <v>-3.1601888848528881E-2</v>
      </c>
      <c r="DW56" s="62">
        <f>IF(COUNTIFS(allFYsTable[Code], SummaryTable[[#This Row],[Code]], allFYsTable[year2], DW$3)=0, NotFound, SUMIFS(allFYsTable[OriginalBudget], allFYsTable[Code], SummaryTable[[#This Row],[Code]], allFYsTable[year2], DW$3))</f>
        <v>8681</v>
      </c>
      <c r="DX56" s="61">
        <f>SummaryTable[[#This Row],[OriginalBudget11]]-SummaryTable[[#This Row],[OriginalBudget10]]</f>
        <v>3332</v>
      </c>
      <c r="DY56" s="54">
        <f>SummaryTable[[#This Row],[BudgetIncreaseAmount11]]/SummaryTable[[#This Row],[OriginalBudget10]]</f>
        <v>0.62292017199476535</v>
      </c>
      <c r="DZ56" s="61">
        <f>IF(COUNTIFS(allFYsTable[Code], SummaryTable[[#This Row],[Code]], allFYsTable[year2], DW$3)=0, NotFound, SUMIFS(allFYsTable[RevisedBudget], allFYsTable[Code], SummaryTable[[#This Row],[Code]], allFYsTable[year2], DW$3))</f>
        <v>8359</v>
      </c>
      <c r="EA56" s="61">
        <f>IF(COUNTIFS(allFYsTable[Code], SummaryTable[[#This Row],[Code]], allFYsTable[year2], DW$3)=0, NotFound, SUMIFS(allFYsTable[Actual], allFYsTable[Code], SummaryTable[[#This Row],[Code]], allFYsTable[year2], DW$3))</f>
        <v>8010</v>
      </c>
      <c r="EB56" s="61">
        <f>IF(COUNTIFS(allFYsTable[Code], SummaryTable[[#This Row],[Code]], allFYsTable[year2], DW$3)=0, NotFound, SUMIFS(allFYsTable[DiffAmount], allFYsTable[Code], SummaryTable[[#This Row],[Code]], allFYsTable[year2], DW$3))</f>
        <v>-671</v>
      </c>
      <c r="EC56" s="63">
        <f>IF(SummaryTable[[#This Row],[OriginalBudget11]]=0, IF(SummaryTable[[#This Row],[DiffAmount11]]=0, ZeroBudgetNoSpending, ZeroBudgetWithSpending), SummaryTable[[#This Row],[DiffAmount11]]/SummaryTable[[#This Row],[OriginalBudget11]])</f>
        <v>-7.7295242483584839E-2</v>
      </c>
      <c r="ED56" s="62">
        <f>IF(COUNTIFS(allFYsTable[Code], SummaryTable[[#This Row],[Code]], allFYsTable[year2], ED$3)=0, NotFound, SUMIFS(allFYsTable[OriginalBudget], allFYsTable[Code], SummaryTable[[#This Row],[Code]], allFYsTable[year2], ED$3))</f>
        <v>5349</v>
      </c>
      <c r="EE56" s="61">
        <f>SummaryTable[[#This Row],[OriginalBudget10]]-SummaryTable[[#This Row],[OriginalBudget09]]</f>
        <v>-737</v>
      </c>
      <c r="EF56" s="54">
        <f>SummaryTable[[#This Row],[BudgetIncreaseAmount10]]/SummaryTable[[#This Row],[OriginalBudget09]]</f>
        <v>-0.12109760105159383</v>
      </c>
      <c r="EG56" s="61">
        <f>IF(COUNTIFS(allFYsTable[Code], SummaryTable[[#This Row],[Code]], allFYsTable[year2], ED$3)=0, NotFound, SUMIFS(allFYsTable[RevisedBudget], allFYsTable[Code], SummaryTable[[#This Row],[Code]], allFYsTable[year2], ED$3))</f>
        <v>4349</v>
      </c>
      <c r="EH56" s="61">
        <f>IF(COUNTIFS(allFYsTable[Code], SummaryTable[[#This Row],[Code]], allFYsTable[year2], ED$3)=0, NotFound, SUMIFS(allFYsTable[Actual], allFYsTable[Code], SummaryTable[[#This Row],[Code]], allFYsTable[year2], ED$3))</f>
        <v>4333</v>
      </c>
      <c r="EI56" s="61">
        <f>IF(COUNTIFS(allFYsTable[Code], SummaryTable[[#This Row],[Code]], allFYsTable[year2], ED$3)=0, NotFound, SUMIFS(allFYsTable[DiffAmount], allFYsTable[Code], SummaryTable[[#This Row],[Code]], allFYsTable[year2], ED$3))</f>
        <v>-1016</v>
      </c>
      <c r="EJ56" s="63">
        <f>IF(SummaryTable[[#This Row],[OriginalBudget10]]=0, IF(SummaryTable[[#This Row],[DiffAmount10]]=0, ZeroBudgetNoSpending, ZeroBudgetWithSpending), SummaryTable[[#This Row],[DiffAmount10]]/SummaryTable[[#This Row],[OriginalBudget10]])</f>
        <v>-0.18994204524210132</v>
      </c>
      <c r="EK56" s="62">
        <f>IF(COUNTIFS(allFYsTable[Code], SummaryTable[[#This Row],[Code]], allFYsTable[year2], EK$3)=0, NotFound, SUMIFS(allFYsTable[OriginalBudget], allFYsTable[Code], SummaryTable[[#This Row],[Code]], allFYsTable[year2], EK$3))</f>
        <v>6086</v>
      </c>
      <c r="EL56" s="61">
        <f>SummaryTable[[#This Row],[OriginalBudget09]]-SummaryTable[[#This Row],[OriginalBudget08]]</f>
        <v>-544</v>
      </c>
      <c r="EM56" s="54">
        <f>SummaryTable[[#This Row],[BudgetIncreaseAmount09]]/SummaryTable[[#This Row],[OriginalBudget08]]</f>
        <v>-8.2051282051282051E-2</v>
      </c>
      <c r="EN56" s="61">
        <f>IF(COUNTIFS(allFYsTable[Code], SummaryTable[[#This Row],[Code]], allFYsTable[year2], EK$3)=0, NotFound, SUMIFS(allFYsTable[RevisedBudget], allFYsTable[Code], SummaryTable[[#This Row],[Code]], allFYsTable[year2], EK$3))</f>
        <v>5556</v>
      </c>
      <c r="EO56" s="61">
        <f>IF(COUNTIFS(allFYsTable[Code], SummaryTable[[#This Row],[Code]], allFYsTable[year2], EK$3)=0, NotFound, SUMIFS(allFYsTable[Actual], allFYsTable[Code], SummaryTable[[#This Row],[Code]], allFYsTable[year2], EK$3))</f>
        <v>5215</v>
      </c>
      <c r="EP56" s="61">
        <f>IF(COUNTIFS(allFYsTable[Code], SummaryTable[[#This Row],[Code]], allFYsTable[year2], EK$3)=0, NotFound, SUMIFS(allFYsTable[DiffAmount], allFYsTable[Code], SummaryTable[[#This Row],[Code]], allFYsTable[year2], EK$3))</f>
        <v>-871</v>
      </c>
      <c r="EQ56" s="63">
        <f>IF(SummaryTable[[#This Row],[OriginalBudget09]]=0, IF(SummaryTable[[#This Row],[DiffAmount09]]=0, ZeroBudgetNoSpending, ZeroBudgetWithSpending), SummaryTable[[#This Row],[DiffAmount09]]/SummaryTable[[#This Row],[OriginalBudget09]])</f>
        <v>-0.14311534669733816</v>
      </c>
      <c r="ER56" s="62">
        <f>IF(COUNTIFS(allFYsTable[Code], SummaryTable[[#This Row],[Code]], allFYsTable[year2], ER$3)=0, NotFound, SUMIFS(allFYsTable[OriginalBudget], allFYsTable[Code], SummaryTable[[#This Row],[Code]], allFYsTable[year2], ER$3))</f>
        <v>6630</v>
      </c>
      <c r="ES56" s="61">
        <f>SummaryTable[[#This Row],[OriginalBudget08]]-SummaryTable[[#This Row],[OriginalBudget07]]</f>
        <v>-1779</v>
      </c>
      <c r="ET56" s="54">
        <f>SummaryTable[[#This Row],[BudgetIncreaseAmount08]]/SummaryTable[[#This Row],[OriginalBudget07]]</f>
        <v>-0.21155904388155547</v>
      </c>
      <c r="EU56" s="61">
        <f>IF(COUNTIFS(allFYsTable[Code], SummaryTable[[#This Row],[Code]], allFYsTable[year2], ER$3)=0, NotFound, SUMIFS(allFYsTable[RevisedBudget], allFYsTable[Code], SummaryTable[[#This Row],[Code]], allFYsTable[year2], ER$3))</f>
        <v>7235</v>
      </c>
      <c r="EV56" s="61">
        <f>IF(COUNTIFS(allFYsTable[Code], SummaryTable[[#This Row],[Code]], allFYsTable[year2], ER$3)=0, NotFound, SUMIFS(allFYsTable[Actual], allFYsTable[Code], SummaryTable[[#This Row],[Code]], allFYsTable[year2], ER$3))</f>
        <v>6847</v>
      </c>
      <c r="EW56" s="61">
        <f>IF(COUNTIFS(allFYsTable[Code], SummaryTable[[#This Row],[Code]], allFYsTable[year2], ER$3)=0, NotFound, SUMIFS(allFYsTable[DiffAmount], allFYsTable[Code], SummaryTable[[#This Row],[Code]], allFYsTable[year2], ER$3))</f>
        <v>217</v>
      </c>
      <c r="EX56" s="63">
        <f>IF(SummaryTable[[#This Row],[OriginalBudget08]]=0, IF(SummaryTable[[#This Row],[DiffAmount08]]=0, ZeroBudgetNoSpending, ZeroBudgetWithSpending), SummaryTable[[#This Row],[DiffAmount08]]/SummaryTable[[#This Row],[OriginalBudget08]])</f>
        <v>3.2730015082956261E-2</v>
      </c>
      <c r="EY56" s="62">
        <f>IF(COUNTIFS(allFYsTable[Code], SummaryTable[[#This Row],[Code]], allFYsTable[year2], EY$3)=0, NotFound, SUMIFS(allFYsTable[OriginalBudget], allFYsTable[Code], SummaryTable[[#This Row],[Code]], allFYsTable[year2], EY$3))</f>
        <v>8409</v>
      </c>
      <c r="EZ56" s="61">
        <f>SummaryTable[[#This Row],[OriginalBudget07]]-SummaryTable[[#This Row],[OriginalBudget06]]</f>
        <v>943</v>
      </c>
      <c r="FA56" s="54">
        <f>SummaryTable[[#This Row],[BudgetIncreaseAmount07]]/SummaryTable[[#This Row],[OriginalBudget06]]</f>
        <v>0.12630592017144388</v>
      </c>
      <c r="FB56" s="61">
        <f>IF(COUNTIFS(allFYsTable[Code], SummaryTable[[#This Row],[Code]], allFYsTable[year2], EY$3)=0, NotFound, SUMIFS(allFYsTable[RevisedBudget], allFYsTable[Code], SummaryTable[[#This Row],[Code]], allFYsTable[year2], EY$3))</f>
        <v>10026</v>
      </c>
      <c r="FC56" s="61">
        <f>IF(COUNTIFS(allFYsTable[Code], SummaryTable[[#This Row],[Code]], allFYsTable[year2], EY$3)=0, NotFound, SUMIFS(allFYsTable[Actual], allFYsTable[Code], SummaryTable[[#This Row],[Code]], allFYsTable[year2], EY$3))</f>
        <v>8841</v>
      </c>
      <c r="FD56" s="61">
        <f>IF(COUNTIFS(allFYsTable[Code], SummaryTable[[#This Row],[Code]], allFYsTable[year2], EY$3)=0, NotFound, SUMIFS(allFYsTable[DiffAmount], allFYsTable[Code], SummaryTable[[#This Row],[Code]], allFYsTable[year2], EY$3))</f>
        <v>432</v>
      </c>
      <c r="FE56" s="63">
        <f>IF(SummaryTable[[#This Row],[OriginalBudget07]]=0, IF(SummaryTable[[#This Row],[DiffAmount07]]=0, ZeroBudgetNoSpending, ZeroBudgetWithSpending), SummaryTable[[#This Row],[DiffAmount07]]/SummaryTable[[#This Row],[OriginalBudget07]])</f>
        <v>5.1373528362468786E-2</v>
      </c>
      <c r="FF56" s="62">
        <f>IF(COUNTIFS(allFYsTable[Code], SummaryTable[[#This Row],[Code]], allFYsTable[year2], FF$3)=0, NotFound, SUMIFS(allFYsTable[OriginalBudget], allFYsTable[Code], SummaryTable[[#This Row],[Code]], allFYsTable[year2], FF$3))</f>
        <v>7466</v>
      </c>
      <c r="FI56" s="61">
        <f>IF(COUNTIFS(allFYsTable[Code], SummaryTable[[#This Row],[Code]], allFYsTable[year2], FF$3)=0, NotFound, SUMIFS(allFYsTable[RevisedBudget], allFYsTable[Code], SummaryTable[[#This Row],[Code]], allFYsTable[year2], FF$3))</f>
        <v>10983</v>
      </c>
      <c r="FJ56" s="61">
        <f>IF(COUNTIFS(allFYsTable[Code], SummaryTable[[#This Row],[Code]], allFYsTable[year2], FF$3)=0, NotFound, SUMIFS(allFYsTable[Actual], allFYsTable[Code], SummaryTable[[#This Row],[Code]], allFYsTable[year2], FF$3))</f>
        <v>10314</v>
      </c>
      <c r="FK56" s="61">
        <f>IF(COUNTIFS(allFYsTable[Code], SummaryTable[[#This Row],[Code]], allFYsTable[year2], FF$3)=0, NotFound, SUMIFS(allFYsTable[DiffAmount], allFYsTable[Code], SummaryTable[[#This Row],[Code]], allFYsTable[year2], FF$3))</f>
        <v>2848</v>
      </c>
      <c r="FL56" s="63">
        <f>IF(SummaryTable[[#This Row],[OriginalBudget06]]=0, IF(SummaryTable[[#This Row],[DiffAmount06]]=0, ZeroBudgetNoSpending, ZeroBudgetWithSpending), SummaryTable[[#This Row],[DiffAmount06]]/SummaryTable[[#This Row],[OriginalBudget06]])</f>
        <v>0.38146263059201713</v>
      </c>
    </row>
    <row r="57" spans="1:168" x14ac:dyDescent="0.45">
      <c r="A57" t="s">
        <v>755</v>
      </c>
      <c r="B57">
        <f>_xlfn.MAXIFS(allFYsTable[year2], allFYsTable[Code], SummaryTable[[#This Row],[Code]])</f>
        <v>2025</v>
      </c>
      <c r="C57" t="str">
        <f>_xlfn.XLOOKUP(SummaryTable[[#This Row],[Code]], NameCodingTable[Code], NameCodingTable[Most Recent Category per allFYs])</f>
        <v>Public safety and justice</v>
      </c>
      <c r="D57" t="str">
        <f>_xlfn.XLOOKUP(SummaryTable[[#This Row],[Code]], NameCodingTable[Code], NameCodingTable[Unit Display Name])</f>
        <v>Fire and Emergency Medical Services Department (FEMS)</v>
      </c>
      <c r="E57" t="str">
        <f>_xlfn.XLOOKUP(SummaryTable[[#This Row],[Code]], NameCodingTable[Code], NameCodingTable[Type])</f>
        <v>agency</v>
      </c>
      <c r="F5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5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14</v>
      </c>
      <c r="H57" s="54">
        <f>SummaryTable[[#This Row],['# Over]]/SummaryTable[[#This Row],[Count]]</f>
        <v>0.7</v>
      </c>
      <c r="I5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6</v>
      </c>
      <c r="J57" s="54">
        <f>SummaryTable[[#This Row],['# Under]]/SummaryTable[[#This Row],[Count]]</f>
        <v>0.3</v>
      </c>
      <c r="K5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57" s="54">
        <f>SummaryTable[[#This Row],['# Equal]]/SummaryTable[[#This Row],[Count]]</f>
        <v>0</v>
      </c>
      <c r="M57" s="61">
        <f>SUMIFS(allFYsTable[OriginalBudget],allFYsTable[Code],SummaryTable[[#This Row],[Code]])/SummaryTable[[#This Row],[Count]]</f>
        <v>231517.15</v>
      </c>
      <c r="N57" s="61">
        <f>SUMIFS(allFYsTable[Actual],allFYsTable[Code],SummaryTable[[#This Row],[Code]])/SummaryTable[[#This Row],[Count]]</f>
        <v>226812</v>
      </c>
      <c r="O57" s="61">
        <f>SummaryTable[[#This Row],[AvgActAmt]]-SummaryTable[[#This Row],[AvgBudAmt]]</f>
        <v>-4705.1499999999942</v>
      </c>
      <c r="P57" s="54">
        <f>IF(SummaryTable[[#This Row],[AvgBudAmt]]=0, IF(SummaryTable[[#This Row],[AvgDiff'#]]=0, 0, NamedFields!$C$3), SummaryTable[[#This Row],[AvgDiff'#]]/SummaryTable[[#This Row],[AvgBudAmt]])</f>
        <v>-2.0323116451632175E-2</v>
      </c>
      <c r="Q57" s="61">
        <f>IFERROR(SUMIFS(allFYsTable[OriginalBudget],allFYsTable[Code],SummaryTable[[#This Row],[Code]],allFYsTable[DiffAmount], "&gt;0")/SummaryTable[[#This Row],['# Over]], 0)</f>
        <v>224985.28571428571</v>
      </c>
      <c r="R57" s="61">
        <f>IFERROR(SUMIFS(allFYsTable[Actual],allFYsTable[Code],SummaryTable[[#This Row],[Code]],allFYsTable[DiffAmount], "&gt;0")/SummaryTable[[#This Row],['# Over]], 0)</f>
        <v>236160.21428571429</v>
      </c>
      <c r="S57" s="61">
        <f>SummaryTable[[#This Row],[OverAvgAct]]-SummaryTable[[#This Row],[OverAvgBud]]</f>
        <v>11174.92857142858</v>
      </c>
      <c r="T57" s="54">
        <f>IF(SummaryTable[[#This Row],[OverAvgBud]]=0, IF(SummaryTable[[#This Row],[OverAvgDiff'#]]=0, ZeroBudgetNoSpending, ZeroBudgetWithSpending), SummaryTable[[#This Row],[OverAvgDiff'#]]/SummaryTable[[#This Row],[OverAvgBud]])</f>
        <v>4.9669597440340579E-2</v>
      </c>
      <c r="U57" s="61">
        <f>IFERROR(SUMIFS(allFYsTable[OriginalBudget],allFYsTable[Code],SummaryTable[[#This Row],[Code]],allFYsTable[DiffAmount], "&lt;0")/SummaryTable[[#This Row],['# Under]], 0)</f>
        <v>246758.16666666666</v>
      </c>
      <c r="V57" s="61">
        <f>IFERROR( SUMIFS(allFYsTable[Actual],allFYsTable[Code],SummaryTable[[#This Row],[Code]],allFYsTable[DiffAmount], "&lt;0")/SummaryTable[[#This Row],['# Under]], 0)</f>
        <v>204999.5</v>
      </c>
      <c r="W57" s="61">
        <f>SummaryTable[[#This Row],[UnderAvgAct]]-SummaryTable[[#This Row],[UnderAvgBud]]</f>
        <v>-41758.666666666657</v>
      </c>
      <c r="X57" s="54">
        <f>IF(SummaryTable[[#This Row],[UnderAvgBud]]=0, IF(SummaryTable[[#This Row],[UnderAvgDiff'#]]=0, ZeroBudgetNoSpending, NamedFields!$C$3), SummaryTable[[#This Row],[UnderAvgDiff'#]]/SummaryTable[[#This Row],[UnderAvgBud]])</f>
        <v>-0.16922911703699098</v>
      </c>
      <c r="Y5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5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7" s="54">
        <f>IF(SummaryTable[[#This Row],[IncreaseYears]]=0, ZeroBudgetNoSpending, SummaryTable[[#This Row],[OSinIncreaseYear'#]]/SummaryTable[[#This Row],[IncreaseYears]])</f>
        <v>0</v>
      </c>
      <c r="AB57" s="58" t="str">
        <f>SummaryTable[[#This Row],[Code]]</f>
        <v>FB0</v>
      </c>
      <c r="AC57" s="62">
        <f>IF(COUNTIFS(allFYsTable[Code], SummaryTable[[#This Row],[Code]], allFYsTable[year2], AC$3)=0, NotFound, SUMIFS(allFYsTable[OriginalBudget], allFYsTable[Code], SummaryTable[[#This Row],[Code]], allFYsTable[year2], AC$3))</f>
        <v>300371</v>
      </c>
      <c r="AD57" s="61">
        <f>SummaryTable[[#This Row],[OriginalBudget25]]-SummaryTable[[#This Row],[OriginalBudget24]]</f>
        <v>40254</v>
      </c>
      <c r="AE57" s="54">
        <f>SummaryTable[[#This Row],[BudgetIncreaseAmount25]]/SummaryTable[[#This Row],[OriginalBudget24]]</f>
        <v>0.15475343787603271</v>
      </c>
      <c r="AF57" s="61">
        <f>IF(COUNTIFS(allFYsTable[Code], SummaryTable[[#This Row],[Code]], allFYsTable[year2], AC$3)=0, NotFound, SUMIFS(allFYsTable[RevisedBudget], allFYsTable[Code], SummaryTable[[#This Row],[Code]], allFYsTable[year2], AC$3))</f>
        <v>148071</v>
      </c>
      <c r="AG57" s="61">
        <f>IF(COUNTIFS(allFYsTable[Code], SummaryTable[[#This Row],[Code]], allFYsTable[year2], AC$3)=0, NotFound, SUMIFS(allFYsTable[Actual], allFYsTable[Code], SummaryTable[[#This Row],[Code]], allFYsTable[year2], AC$3))</f>
        <v>146443</v>
      </c>
      <c r="AH57" s="61">
        <f>IF(COUNTIFS(allFYsTable[Code], SummaryTable[[#This Row],[Code]], allFYsTable[year2], AC$3)=0, NotFound, SUMIFS(allFYsTable[DiffAmount], allFYsTable[Code], SummaryTable[[#This Row],[Code]], allFYsTable[year2], AC$3))</f>
        <v>-153928</v>
      </c>
      <c r="AI57" s="63">
        <f>IF(SummaryTable[[#This Row],[OriginalBudget25]]=0, IF(SummaryTable[[#This Row],[DiffAmount25]]=0, ZeroBudgetNoSpending, ZeroBudgetWithSpending), SummaryTable[[#This Row],[DiffAmount25]]/SummaryTable[[#This Row],[OriginalBudget25]])</f>
        <v>-0.51245959163834054</v>
      </c>
      <c r="AJ57" s="62">
        <f>IF(COUNTIFS(allFYsTable[Code], SummaryTable[[#This Row],[Code]], allFYsTable[year2], AJ$3)=0, NotFound, SUMIFS(allFYsTable[OriginalBudget], allFYsTable[Code], SummaryTable[[#This Row],[Code]], allFYsTable[year2], AJ$3))</f>
        <v>260117</v>
      </c>
      <c r="AK57" s="61">
        <f>SummaryTable[[#This Row],[OriginalBudget24]]-SummaryTable[[#This Row],[OriginalBudget23]]</f>
        <v>-8481</v>
      </c>
      <c r="AL57" s="54">
        <f>SummaryTable[[#This Row],[BudgetIncreaseAmount24]]/SummaryTable[[#This Row],[OriginalBudget23]]</f>
        <v>-3.1575067573101807E-2</v>
      </c>
      <c r="AM57" s="61">
        <f>IF(COUNTIFS(allFYsTable[Code], SummaryTable[[#This Row],[Code]], allFYsTable[year2], AK$3)=0, NotFound, SUMIFS(allFYsTable[RevisedBudget], allFYsTable[Code], SummaryTable[[#This Row],[Code]], allFYsTable[year2], AJ$3))</f>
        <v>276381</v>
      </c>
      <c r="AN57" s="61">
        <f>IF(COUNTIFS(allFYsTable[Code], SummaryTable[[#This Row],[Code]], allFYsTable[year2], AJ$3)=0, NotFound, SUMIFS(allFYsTable[Actual], allFYsTable[Code], SummaryTable[[#This Row],[Code]], allFYsTable[year2], AJ$3))</f>
        <v>273960</v>
      </c>
      <c r="AO57" s="61">
        <f>IF(COUNTIFS(allFYsTable[Code], SummaryTable[[#This Row],[Code]], allFYsTable[year2], AJ$3)=0, NotFound, SUMIFS(allFYsTable[DiffAmount], allFYsTable[Code], SummaryTable[[#This Row],[Code]], allFYsTable[year2], AJ$3))</f>
        <v>13843</v>
      </c>
      <c r="AP57" s="63">
        <f>IF(SummaryTable[[#This Row],[OriginalBudget24]]=0, IF(SummaryTable[[#This Row],[DiffAmount24]]=0, ZeroBudgetNoSpending, ZeroBudgetWithSpending), SummaryTable[[#This Row],[DiffAmount24]]/SummaryTable[[#This Row],[OriginalBudget24]])</f>
        <v>5.3218359430563938E-2</v>
      </c>
      <c r="AQ57" s="62">
        <f>IF(COUNTIFS(allFYsTable[Code], SummaryTable[[#This Row],[Code]], allFYsTable[year2], AQ$3)=0, NotFound, SUMIFS(allFYsTable[OriginalBudget], allFYsTable[Code], SummaryTable[[#This Row],[Code]], allFYsTable[year2], AQ$3))</f>
        <v>268598</v>
      </c>
      <c r="AR57" s="61">
        <f>SummaryTable[[#This Row],[OriginalBudget23]]-SummaryTable[[#This Row],[OriginalBudget22]]</f>
        <v>855</v>
      </c>
      <c r="AS57" s="54">
        <f>SummaryTable[[#This Row],[BudgetIncreaseAmount23]]/SummaryTable[[#This Row],[OriginalBudget22]]</f>
        <v>3.1933607974811667E-3</v>
      </c>
      <c r="AT57" s="61">
        <f>IF(COUNTIFS(allFYsTable[Code], SummaryTable[[#This Row],[Code]], allFYsTable[year2], AQ$3)=0, NotFound, SUMIFS(allFYsTable[RevisedBudget], allFYsTable[Code], SummaryTable[[#This Row],[Code]], allFYsTable[year2], AQ$3))</f>
        <v>287377</v>
      </c>
      <c r="AU57" s="61">
        <f>IF(COUNTIFS(allFYsTable[Code], SummaryTable[[#This Row],[Code]], allFYsTable[year2], AQ$3)=0, NotFound, SUMIFS(allFYsTable[Actual], allFYsTable[Code], SummaryTable[[#This Row],[Code]], allFYsTable[year2], AQ$3))</f>
        <v>284440</v>
      </c>
      <c r="AV57" s="61">
        <f>IF(COUNTIFS(allFYsTable[Code], SummaryTable[[#This Row],[Code]], allFYsTable[year2], AQ$3)=0, NotFound, SUMIFS(allFYsTable[DiffAmount], allFYsTable[Code], SummaryTable[[#This Row],[Code]], allFYsTable[year2], AQ$3))</f>
        <v>15842</v>
      </c>
      <c r="AW57" s="63">
        <f>IF(SummaryTable[[#This Row],[OriginalBudget23]]=0, IF(SummaryTable[[#This Row],[DiffAmount23]]=0, ZeroBudgetNoSpending, ZeroBudgetWithSpending), SummaryTable[[#This Row],[DiffAmount23]]/SummaryTable[[#This Row],[OriginalBudget23]])</f>
        <v>5.8980334924310679E-2</v>
      </c>
      <c r="AX57" s="62">
        <f>IF(COUNTIFS(allFYsTable[Code], SummaryTable[[#This Row],[Code]], allFYsTable[year2], AX$3)=0, NotFound, SUMIFS(allFYsTable[OriginalBudget], allFYsTable[Code], SummaryTable[[#This Row],[Code]], allFYsTable[year2], AX$3))</f>
        <v>267743</v>
      </c>
      <c r="AY57" s="61">
        <f>SummaryTable[[#This Row],[OriginalBudget22]]-SummaryTable[[#This Row],[OriginalBudget21]]</f>
        <v>5941</v>
      </c>
      <c r="AZ57" s="54">
        <f>SummaryTable[[#This Row],[BudgetIncreaseAmount22]]/SummaryTable[[#This Row],[OriginalBudget21]]</f>
        <v>2.2692721980733532E-2</v>
      </c>
      <c r="BA57" s="61">
        <f>IF(COUNTIFS(allFYsTable[Code], SummaryTable[[#This Row],[Code]], allFYsTable[year2], AX$3)=0, NotFound, SUMIFS(allFYsTable[RevisedBudget], allFYsTable[Code], SummaryTable[[#This Row],[Code]], allFYsTable[year2], AX$3))</f>
        <v>270301</v>
      </c>
      <c r="BB57" s="61">
        <f>IF(COUNTIFS(allFYsTable[Code], SummaryTable[[#This Row],[Code]], allFYsTable[year2], AX$3)=0, NotFound, SUMIFS(allFYsTable[Actual], allFYsTable[Code], SummaryTable[[#This Row],[Code]], allFYsTable[year2], AX$3))</f>
        <v>268549</v>
      </c>
      <c r="BC57" s="61">
        <f>IF(COUNTIFS(allFYsTable[Code], SummaryTable[[#This Row],[Code]], allFYsTable[year2], AX$3)=0, NotFound, SUMIFS(allFYsTable[DiffAmount], allFYsTable[Code], SummaryTable[[#This Row],[Code]], allFYsTable[year2], AX$3))</f>
        <v>806</v>
      </c>
      <c r="BD57" s="63">
        <f>IF(SummaryTable[[#This Row],[OriginalBudget22]]=0, IF(SummaryTable[[#This Row],[DiffAmount22]]=0, ZeroBudgetNoSpending, ZeroBudgetWithSpending), SummaryTable[[#This Row],[DiffAmount22]]/SummaryTable[[#This Row],[OriginalBudget22]])</f>
        <v>3.0103494769237664E-3</v>
      </c>
      <c r="BE57" s="62">
        <f>IF(COUNTIFS(allFYsTable[Code], SummaryTable[[#This Row],[Code]], allFYsTable[year2], BE$3)=0, NotFound, SUMIFS(allFYsTable[OriginalBudget], allFYsTable[Code], SummaryTable[[#This Row],[Code]], allFYsTable[year2], BE$3))</f>
        <v>261802</v>
      </c>
      <c r="BF57" s="61">
        <f>SummaryTable[[#This Row],[OriginalBudget21]]-SummaryTable[[#This Row],[OriginalBudget20]]</f>
        <v>-17737</v>
      </c>
      <c r="BG57" s="54">
        <f>SummaryTable[[#This Row],[BudgetIncreaseAmount21]]/SummaryTable[[#This Row],[OriginalBudget20]]</f>
        <v>-6.3450895939385923E-2</v>
      </c>
      <c r="BH57" s="61">
        <f>IF(COUNTIFS(allFYsTable[Code], SummaryTable[[#This Row],[Code]], allFYsTable[year2], BE$3)=0, NotFound, SUMIFS(allFYsTable[RevisedBudget], allFYsTable[Code], SummaryTable[[#This Row],[Code]], allFYsTable[year2], BE$3))</f>
        <v>234353</v>
      </c>
      <c r="BI57" s="61">
        <f>IF(COUNTIFS(allFYsTable[Code], SummaryTable[[#This Row],[Code]], allFYsTable[year2], BE$3)=0, NotFound, SUMIFS(allFYsTable[Actual], allFYsTable[Code], SummaryTable[[#This Row],[Code]], allFYsTable[year2], BE$3))</f>
        <v>234198</v>
      </c>
      <c r="BJ57" s="61">
        <f>IF(COUNTIFS(allFYsTable[Code], SummaryTable[[#This Row],[Code]], allFYsTable[year2], BE$3)=0, NotFound, SUMIFS(allFYsTable[DiffAmount], allFYsTable[Code], SummaryTable[[#This Row],[Code]], allFYsTable[year2], BE$3))</f>
        <v>-27604</v>
      </c>
      <c r="BK57" s="63">
        <f>IF(SummaryTable[[#This Row],[OriginalBudget21]]=0, IF(SummaryTable[[#This Row],[DiffAmount21]]=0, ZeroBudgetNoSpending, ZeroBudgetWithSpending), SummaryTable[[#This Row],[DiffAmount21]]/SummaryTable[[#This Row],[OriginalBudget21]])</f>
        <v>-0.10543846112711133</v>
      </c>
      <c r="BL57" s="62">
        <f>IF(COUNTIFS(allFYsTable[Code], SummaryTable[[#This Row],[Code]], allFYsTable[year2], BL$3)=0, NotFound, SUMIFS(allFYsTable[OriginalBudget], allFYsTable[Code], SummaryTable[[#This Row],[Code]], allFYsTable[year2], BL$3))</f>
        <v>279539</v>
      </c>
      <c r="BM57" s="61">
        <f>SummaryTable[[#This Row],[OriginalBudget20]]-SummaryTable[[#This Row],[OriginalBudget19]]</f>
        <v>23058</v>
      </c>
      <c r="BN57" s="54">
        <f>SummaryTable[[#This Row],[BudgetIncreaseAmount20]]/SummaryTable[[#This Row],[OriginalBudget19]]</f>
        <v>8.9901396204787098E-2</v>
      </c>
      <c r="BO57" s="61">
        <f>IF(COUNTIFS(allFYsTable[Code], SummaryTable[[#This Row],[Code]], allFYsTable[year2], BL$3)=0, NotFound, SUMIFS(allFYsTable[RevisedBudget], allFYsTable[Code], SummaryTable[[#This Row],[Code]], allFYsTable[year2], BL$3))</f>
        <v>225098</v>
      </c>
      <c r="BP57" s="61">
        <f>IF(COUNTIFS(allFYsTable[Code], SummaryTable[[#This Row],[Code]], allFYsTable[year2], BL$3)=0, NotFound, SUMIFS(allFYsTable[Actual], allFYsTable[Code], SummaryTable[[#This Row],[Code]], allFYsTable[year2], BL$3))</f>
        <v>219955</v>
      </c>
      <c r="BQ57" s="61">
        <f>IF(COUNTIFS(allFYsTable[Code], SummaryTable[[#This Row],[Code]], allFYsTable[year2], BL$3)=0, NotFound, SUMIFS(allFYsTable[DiffAmount], allFYsTable[Code], SummaryTable[[#This Row],[Code]], allFYsTable[year2], BL$3))</f>
        <v>-59584</v>
      </c>
      <c r="BR57" s="63">
        <f>IF(SummaryTable[[#This Row],[OriginalBudget20]]=0, IF(SummaryTable[[#This Row],[DiffAmount20]]=0, ZeroBudgetNoSpending, ZeroBudgetWithSpending), SummaryTable[[#This Row],[DiffAmount20]]/SummaryTable[[#This Row],[OriginalBudget20]])</f>
        <v>-0.21315093779401084</v>
      </c>
      <c r="BS57" s="62">
        <f>IF(COUNTIFS(allFYsTable[Code], SummaryTable[[#This Row],[Code]], allFYsTable[year2], BS$3)=0, NotFound, SUMIFS(allFYsTable[OriginalBudget], allFYsTable[Code], SummaryTable[[#This Row],[Code]], allFYsTable[year2], BS$3))</f>
        <v>256481</v>
      </c>
      <c r="BT57" s="61">
        <f>SummaryTable[[#This Row],[OriginalBudget19]]-SummaryTable[[#This Row],[OriginalBudget18]]</f>
        <v>6800</v>
      </c>
      <c r="BU57" s="54">
        <f>SummaryTable[[#This Row],[BudgetIncreaseAmount19]]/SummaryTable[[#This Row],[OriginalBudget18]]</f>
        <v>2.7234751542968828E-2</v>
      </c>
      <c r="BV57" s="61">
        <f>IF(COUNTIFS(allFYsTable[Code], SummaryTable[[#This Row],[Code]], allFYsTable[year2], BS$3)=0, NotFound, SUMIFS(allFYsTable[RevisedBudget], allFYsTable[Code], SummaryTable[[#This Row],[Code]], allFYsTable[year2], BS$3))</f>
        <v>278452</v>
      </c>
      <c r="BW57" s="61">
        <f>IF(COUNTIFS(allFYsTable[Code], SummaryTable[[#This Row],[Code]], allFYsTable[year2], BS$3)=0, NotFound, SUMIFS(allFYsTable[Actual], allFYsTable[Code], SummaryTable[[#This Row],[Code]], allFYsTable[year2], BS$3))</f>
        <v>278332</v>
      </c>
      <c r="BX57" s="61">
        <f>IF(COUNTIFS(allFYsTable[Code], SummaryTable[[#This Row],[Code]], allFYsTable[year2], BS$3)=0, NotFound, SUMIFS(allFYsTable[DiffAmount], allFYsTable[Code], SummaryTable[[#This Row],[Code]], allFYsTable[year2], BS$3))</f>
        <v>21851</v>
      </c>
      <c r="BY57" s="63">
        <f>IF(SummaryTable[[#This Row],[OriginalBudget19]]=0, IF(SummaryTable[[#This Row],[DiffAmount19]]=0, ZeroBudgetNoSpending, ZeroBudgetWithSpending), SummaryTable[[#This Row],[DiffAmount19]]/SummaryTable[[#This Row],[OriginalBudget19]])</f>
        <v>8.5195394590632439E-2</v>
      </c>
      <c r="BZ57" s="62">
        <f>IF(COUNTIFS(allFYsTable[Code], SummaryTable[[#This Row],[Code]], allFYsTable[year2], BZ$3)=0, NotFound, SUMIFS(allFYsTable[OriginalBudget], allFYsTable[Code], SummaryTable[[#This Row],[Code]], allFYsTable[year2], BZ$3))</f>
        <v>249681</v>
      </c>
      <c r="CA57" s="61">
        <f>SummaryTable[[#This Row],[OriginalBudget18]]-SummaryTable[[#This Row],[OriginalBudget17]]</f>
        <v>-159</v>
      </c>
      <c r="CB57" s="54">
        <f>SummaryTable[[#This Row],[BudgetIncreaseAmount18]]/SummaryTable[[#This Row],[OriginalBudget17]]</f>
        <v>-6.3640730067243039E-4</v>
      </c>
      <c r="CC57" s="61">
        <f>IF(COUNTIFS(allFYsTable[Code], SummaryTable[[#This Row],[Code]], allFYsTable[year2], BZ$3)=0, NotFound, SUMIFS(allFYsTable[RevisedBudget], allFYsTable[Code], SummaryTable[[#This Row],[Code]], allFYsTable[year2], BZ$3))</f>
        <v>285579</v>
      </c>
      <c r="CD57" s="61">
        <f>IF(COUNTIFS(allFYsTable[Code], SummaryTable[[#This Row],[Code]], allFYsTable[year2], BZ$3)=0, NotFound, SUMIFS(allFYsTable[Actual], allFYsTable[Code], SummaryTable[[#This Row],[Code]], allFYsTable[year2], BZ$3))</f>
        <v>285257</v>
      </c>
      <c r="CE57" s="61">
        <f>IF(COUNTIFS(allFYsTable[Code], SummaryTable[[#This Row],[Code]], allFYsTable[year2], BZ$3)=0, NotFound, SUMIFS(allFYsTable[DiffAmount], allFYsTable[Code], SummaryTable[[#This Row],[Code]], allFYsTable[year2], BZ$3))</f>
        <v>35576</v>
      </c>
      <c r="CF57" s="63">
        <f>IF(SummaryTable[[#This Row],[OriginalBudget18]]=0, IF(SummaryTable[[#This Row],[DiffAmount18]]=0, ZeroBudgetNoSpending, ZeroBudgetWithSpending), SummaryTable[[#This Row],[DiffAmount18]]/SummaryTable[[#This Row],[OriginalBudget18]])</f>
        <v>0.14248581189597928</v>
      </c>
      <c r="CG57" s="62">
        <f>IF(COUNTIFS(allFYsTable[Code], SummaryTable[[#This Row],[Code]], allFYsTable[year2], CG$3)=0, NotFound, SUMIFS(allFYsTable[OriginalBudget], allFYsTable[Code], SummaryTable[[#This Row],[Code]], allFYsTable[year2], CG$3))</f>
        <v>249840</v>
      </c>
      <c r="CH57" s="61">
        <f>SummaryTable[[#This Row],[OriginalBudget17]]-SummaryTable[[#This Row],[OriginalBudget16]]</f>
        <v>19562</v>
      </c>
      <c r="CI57" s="54">
        <f>SummaryTable[[#This Row],[BudgetIncreaseAmount17]]/SummaryTable[[#This Row],[OriginalBudget16]]</f>
        <v>8.4949495826783281E-2</v>
      </c>
      <c r="CJ57" s="61">
        <f>IF(COUNTIFS(allFYsTable[Code], SummaryTable[[#This Row],[Code]], allFYsTable[year2], CG$3)=0, NotFound, SUMIFS(allFYsTable[RevisedBudget], allFYsTable[Code], SummaryTable[[#This Row],[Code]], allFYsTable[year2], CG$3))</f>
        <v>251115</v>
      </c>
      <c r="CK57" s="61">
        <f>IF(COUNTIFS(allFYsTable[Code], SummaryTable[[#This Row],[Code]], allFYsTable[year2], CG$3)=0, NotFound, SUMIFS(allFYsTable[Actual], allFYsTable[Code], SummaryTable[[#This Row],[Code]], allFYsTable[year2], CG$3))</f>
        <v>248566</v>
      </c>
      <c r="CL57" s="61">
        <f>IF(COUNTIFS(allFYsTable[Code], SummaryTable[[#This Row],[Code]], allFYsTable[year2], CG$3)=0, NotFound, SUMIFS(allFYsTable[DiffAmount], allFYsTable[Code], SummaryTable[[#This Row],[Code]], allFYsTable[year2], CG$3))</f>
        <v>-1274</v>
      </c>
      <c r="CM57" s="63">
        <f>IF(SummaryTable[[#This Row],[OriginalBudget17]]=0, IF(SummaryTable[[#This Row],[DiffAmount17]]=0, ZeroBudgetNoSpending, ZeroBudgetWithSpending), SummaryTable[[#This Row],[DiffAmount17]]/SummaryTable[[#This Row],[OriginalBudget17]])</f>
        <v>-5.0992635286583416E-3</v>
      </c>
      <c r="CN57" s="62">
        <f>IF(COUNTIFS(allFYsTable[Code], SummaryTable[[#This Row],[Code]], allFYsTable[year2], CN$3)=0, NotFound, SUMIFS(allFYsTable[OriginalBudget], allFYsTable[Code], SummaryTable[[#This Row],[Code]], allFYsTable[year2], CN$3))</f>
        <v>230278</v>
      </c>
      <c r="CO57" s="61">
        <f>SummaryTable[[#This Row],[OriginalBudget16]]-SummaryTable[[#This Row],[OriginalBudget15]]</f>
        <v>28715</v>
      </c>
      <c r="CP57" s="54">
        <f>SummaryTable[[#This Row],[BudgetIncreaseAmount16]]/SummaryTable[[#This Row],[OriginalBudget15]]</f>
        <v>0.14246166211060562</v>
      </c>
      <c r="CQ57" s="61">
        <f>IF(COUNTIFS(allFYsTable[Code], SummaryTable[[#This Row],[Code]], allFYsTable[year2], CN$3)=0, NotFound, SUMIFS(allFYsTable[RevisedBudget], allFYsTable[Code], SummaryTable[[#This Row],[Code]], allFYsTable[year2], CN$3))</f>
        <v>239670</v>
      </c>
      <c r="CR57" s="61">
        <f>IF(COUNTIFS(allFYsTable[Code], SummaryTable[[#This Row],[Code]], allFYsTable[year2], CN$3)=0, NotFound, SUMIFS(allFYsTable[Actual], allFYsTable[Code], SummaryTable[[#This Row],[Code]], allFYsTable[year2], CN$3))</f>
        <v>239097</v>
      </c>
      <c r="CS57" s="61">
        <f>IF(COUNTIFS(allFYsTable[Code], SummaryTable[[#This Row],[Code]], allFYsTable[year2], CN$3)=0, NotFound, SUMIFS(allFYsTable[DiffAmount], allFYsTable[Code], SummaryTable[[#This Row],[Code]], allFYsTable[year2], CN$3))</f>
        <v>8819</v>
      </c>
      <c r="CT57" s="63">
        <f>IF(SummaryTable[[#This Row],[OriginalBudget16]]=0, IF(SummaryTable[[#This Row],[DiffAmount16]]=0, ZeroBudgetNoSpending, ZeroBudgetWithSpending), SummaryTable[[#This Row],[DiffAmount16]]/SummaryTable[[#This Row],[OriginalBudget16]])</f>
        <v>3.8297188615499529E-2</v>
      </c>
      <c r="CU57" s="62">
        <f>IF(COUNTIFS(allFYsTable[Code], SummaryTable[[#This Row],[Code]], allFYsTable[year2], CU$3)=0, NotFound, SUMIFS(allFYsTable[OriginalBudget], allFYsTable[Code], SummaryTable[[#This Row],[Code]], allFYsTable[year2], CU$3))</f>
        <v>201563</v>
      </c>
      <c r="CV57" s="61">
        <f>SummaryTable[[#This Row],[OriginalBudget15]]-SummaryTable[[#This Row],[OriginalBudget14]]</f>
        <v>3612</v>
      </c>
      <c r="CW57" s="54">
        <f>SummaryTable[[#This Row],[BudgetIncreaseAmount15]]/SummaryTable[[#This Row],[OriginalBudget14]]</f>
        <v>1.8246939899268001E-2</v>
      </c>
      <c r="CX57" s="61">
        <f>IF(COUNTIFS(allFYsTable[Code], SummaryTable[[#This Row],[Code]], allFYsTable[year2], CU$3)=0, NotFound, SUMIFS(allFYsTable[RevisedBudget], allFYsTable[Code], SummaryTable[[#This Row],[Code]], allFYsTable[year2], CU$3))</f>
        <v>216825</v>
      </c>
      <c r="CY57" s="61">
        <f>IF(COUNTIFS(allFYsTable[Code], SummaryTable[[#This Row],[Code]], allFYsTable[year2], CU$3)=0, NotFound, SUMIFS(allFYsTable[Actual], allFYsTable[Code], SummaryTable[[#This Row],[Code]], allFYsTable[year2], CU$3))</f>
        <v>216672</v>
      </c>
      <c r="CZ57" s="61">
        <f>IF(COUNTIFS(allFYsTable[Code], SummaryTable[[#This Row],[Code]], allFYsTable[year2], CU$3)=0, NotFound, SUMIFS(allFYsTable[DiffAmount], allFYsTable[Code], SummaryTable[[#This Row],[Code]], allFYsTable[year2], CU$3))</f>
        <v>15109</v>
      </c>
      <c r="DA57" s="63">
        <f>IF(SummaryTable[[#This Row],[OriginalBudget15]]=0, IF(SummaryTable[[#This Row],[DiffAmount15]]=0, ZeroBudgetNoSpending, ZeroBudgetWithSpending), SummaryTable[[#This Row],[DiffAmount15]]/SummaryTable[[#This Row],[OriginalBudget15]])</f>
        <v>7.4959193899674051E-2</v>
      </c>
      <c r="DB57" s="62">
        <f>IF(COUNTIFS(allFYsTable[Code], SummaryTable[[#This Row],[Code]], allFYsTable[year2], DB$3)=0, NotFound, SUMIFS(allFYsTable[OriginalBudget], allFYsTable[Code], SummaryTable[[#This Row],[Code]], allFYsTable[year2], DB$3))</f>
        <v>197951</v>
      </c>
      <c r="DC57" s="61">
        <f>SummaryTable[[#This Row],[OriginalBudget14]]-SummaryTable[[#This Row],[OriginalBudget13]]</f>
        <v>97</v>
      </c>
      <c r="DD57" s="54">
        <f>SummaryTable[[#This Row],[BudgetIncreaseAmount14]]/SummaryTable[[#This Row],[OriginalBudget13]]</f>
        <v>4.9026049511255779E-4</v>
      </c>
      <c r="DE57" s="61">
        <f>IF(COUNTIFS(allFYsTable[Code], SummaryTable[[#This Row],[Code]], allFYsTable[year2], DB$3)=0, NotFound, SUMIFS(allFYsTable[RevisedBudget], allFYsTable[Code], SummaryTable[[#This Row],[Code]], allFYsTable[year2], DB$3))</f>
        <v>215700</v>
      </c>
      <c r="DF57" s="61">
        <f>IF(COUNTIFS(allFYsTable[Code], SummaryTable[[#This Row],[Code]], allFYsTable[year2], DB$3)=0, NotFound, SUMIFS(allFYsTable[Actual], allFYsTable[Code], SummaryTable[[#This Row],[Code]], allFYsTable[year2], DB$3))</f>
        <v>215284</v>
      </c>
      <c r="DG57" s="61">
        <f>IF(COUNTIFS(allFYsTable[Code], SummaryTable[[#This Row],[Code]], allFYsTable[year2], DB$3)=0, NotFound, SUMIFS(allFYsTable[DiffAmount], allFYsTable[Code], SummaryTable[[#This Row],[Code]], allFYsTable[year2], DB$3))</f>
        <v>17333</v>
      </c>
      <c r="DH57" s="63">
        <f>IF(SummaryTable[[#This Row],[OriginalBudget14]]=0, IF(SummaryTable[[#This Row],[DiffAmount14]]=0, ZeroBudgetNoSpending, ZeroBudgetWithSpending), SummaryTable[[#This Row],[DiffAmount14]]/SummaryTable[[#This Row],[OriginalBudget14]])</f>
        <v>8.7562073442417565E-2</v>
      </c>
      <c r="DI57" s="62">
        <f>IF(COUNTIFS(allFYsTable[Code], SummaryTable[[#This Row],[Code]], allFYsTable[year2], DI$3)=0, NotFound, SUMIFS(allFYsTable[OriginalBudget], allFYsTable[Code], SummaryTable[[#This Row],[Code]], allFYsTable[year2], DI$3))</f>
        <v>197854</v>
      </c>
      <c r="DJ57" s="61">
        <f>SummaryTable[[#This Row],[OriginalBudget13]]-SummaryTable[[#This Row],[OriginalBudget12]]</f>
        <v>3952</v>
      </c>
      <c r="DK57" s="54">
        <f>SummaryTable[[#This Row],[BudgetIncreaseAmount13]]/SummaryTable[[#This Row],[OriginalBudget12]]</f>
        <v>2.0381429794432238E-2</v>
      </c>
      <c r="DL57" s="61">
        <f>IF(COUNTIFS(allFYsTable[Code], SummaryTable[[#This Row],[Code]], allFYsTable[year2], DI$3)=0, NotFound, SUMIFS(allFYsTable[RevisedBudget], allFYsTable[Code], SummaryTable[[#This Row],[Code]], allFYsTable[year2], DI$3))</f>
        <v>198654</v>
      </c>
      <c r="DM57" s="61">
        <f>IF(COUNTIFS(allFYsTable[Code], SummaryTable[[#This Row],[Code]], allFYsTable[year2], DI$3)=0, NotFound, SUMIFS(allFYsTable[Actual], allFYsTable[Code], SummaryTable[[#This Row],[Code]], allFYsTable[year2], DI$3))</f>
        <v>198391</v>
      </c>
      <c r="DN57" s="61">
        <f>IF(COUNTIFS(allFYsTable[Code], SummaryTable[[#This Row],[Code]], allFYsTable[year2], DI$3)=0, NotFound, SUMIFS(allFYsTable[DiffAmount], allFYsTable[Code], SummaryTable[[#This Row],[Code]], allFYsTable[year2], DI$3))</f>
        <v>537</v>
      </c>
      <c r="DO57" s="63">
        <f>IF(SummaryTable[[#This Row],[OriginalBudget13]]=0, IF(SummaryTable[[#This Row],[DiffAmount13]]=0, ZeroBudgetNoSpending, ZeroBudgetWithSpending), SummaryTable[[#This Row],[DiffAmount13]]/SummaryTable[[#This Row],[OriginalBudget13]])</f>
        <v>2.7141225347983868E-3</v>
      </c>
      <c r="DP57" s="62">
        <f>IF(COUNTIFS(allFYsTable[Code], SummaryTable[[#This Row],[Code]], allFYsTable[year2], DP$3)=0, NotFound, SUMIFS(allFYsTable[OriginalBudget], allFYsTable[Code], SummaryTable[[#This Row],[Code]], allFYsTable[year2], DP$3))</f>
        <v>193902</v>
      </c>
      <c r="DQ57" s="61">
        <f>SummaryTable[[#This Row],[OriginalBudget12]]-SummaryTable[[#This Row],[OriginalBudget11]]</f>
        <v>-1193</v>
      </c>
      <c r="DR57" s="54">
        <f>SummaryTable[[#This Row],[BudgetIncreaseAmount12]]/SummaryTable[[#This Row],[OriginalBudget11]]</f>
        <v>-6.1149696301801689E-3</v>
      </c>
      <c r="DS57" s="61">
        <f>IF(COUNTIFS(allFYsTable[Code], SummaryTable[[#This Row],[Code]], allFYsTable[year2], DP$3)=0, NotFound, SUMIFS(allFYsTable[RevisedBudget], allFYsTable[Code], SummaryTable[[#This Row],[Code]], allFYsTable[year2], DP$3))</f>
        <v>189377</v>
      </c>
      <c r="DT57" s="61">
        <f>IF(COUNTIFS(allFYsTable[Code], SummaryTable[[#This Row],[Code]], allFYsTable[year2], DP$3)=0, NotFound, SUMIFS(allFYsTable[Actual], allFYsTable[Code], SummaryTable[[#This Row],[Code]], allFYsTable[year2], DP$3))</f>
        <v>188903</v>
      </c>
      <c r="DU57" s="61">
        <f>IF(COUNTIFS(allFYsTable[Code], SummaryTable[[#This Row],[Code]], allFYsTable[year2], DP$3)=0, NotFound, SUMIFS(allFYsTable[DiffAmount], allFYsTable[Code], SummaryTable[[#This Row],[Code]], allFYsTable[year2], DP$3))</f>
        <v>-4999</v>
      </c>
      <c r="DV57" s="63">
        <f>IF(SummaryTable[[#This Row],[OriginalBudget12]]=0, IF(SummaryTable[[#This Row],[DiffAmount12]]=0, ZeroBudgetNoSpending, ZeroBudgetWithSpending), SummaryTable[[#This Row],[DiffAmount12]]/SummaryTable[[#This Row],[OriginalBudget12]])</f>
        <v>-2.5781064661530052E-2</v>
      </c>
      <c r="DW57" s="62">
        <f>IF(COUNTIFS(allFYsTable[Code], SummaryTable[[#This Row],[Code]], allFYsTable[year2], DW$3)=0, NotFound, SUMIFS(allFYsTable[OriginalBudget], allFYsTable[Code], SummaryTable[[#This Row],[Code]], allFYsTable[year2], DW$3))</f>
        <v>195095</v>
      </c>
      <c r="DX57" s="61">
        <f>SummaryTable[[#This Row],[OriginalBudget11]]-SummaryTable[[#This Row],[OriginalBudget10]]</f>
        <v>7160</v>
      </c>
      <c r="DY57" s="54">
        <f>SummaryTable[[#This Row],[BudgetIncreaseAmount11]]/SummaryTable[[#This Row],[OriginalBudget10]]</f>
        <v>3.809827866017506E-2</v>
      </c>
      <c r="DZ57" s="61">
        <f>IF(COUNTIFS(allFYsTable[Code], SummaryTable[[#This Row],[Code]], allFYsTable[year2], DW$3)=0, NotFound, SUMIFS(allFYsTable[RevisedBudget], allFYsTable[Code], SummaryTable[[#This Row],[Code]], allFYsTable[year2], DW$3))</f>
        <v>192295</v>
      </c>
      <c r="EA57" s="61">
        <f>IF(COUNTIFS(allFYsTable[Code], SummaryTable[[#This Row],[Code]], allFYsTable[year2], DW$3)=0, NotFound, SUMIFS(allFYsTable[Actual], allFYsTable[Code], SummaryTable[[#This Row],[Code]], allFYsTable[year2], DW$3))</f>
        <v>191932</v>
      </c>
      <c r="EB57" s="61">
        <f>IF(COUNTIFS(allFYsTable[Code], SummaryTable[[#This Row],[Code]], allFYsTable[year2], DW$3)=0, NotFound, SUMIFS(allFYsTable[DiffAmount], allFYsTable[Code], SummaryTable[[#This Row],[Code]], allFYsTable[year2], DW$3))</f>
        <v>-3163</v>
      </c>
      <c r="EC57" s="63">
        <f>IF(SummaryTable[[#This Row],[OriginalBudget11]]=0, IF(SummaryTable[[#This Row],[DiffAmount11]]=0, ZeroBudgetNoSpending, ZeroBudgetWithSpending), SummaryTable[[#This Row],[DiffAmount11]]/SummaryTable[[#This Row],[OriginalBudget11]])</f>
        <v>-1.621261436735949E-2</v>
      </c>
      <c r="ED57" s="62">
        <f>IF(COUNTIFS(allFYsTable[Code], SummaryTable[[#This Row],[Code]], allFYsTable[year2], ED$3)=0, NotFound, SUMIFS(allFYsTable[OriginalBudget], allFYsTable[Code], SummaryTable[[#This Row],[Code]], allFYsTable[year2], ED$3))</f>
        <v>187935</v>
      </c>
      <c r="EE57" s="61">
        <f>SummaryTable[[#This Row],[OriginalBudget10]]-SummaryTable[[#This Row],[OriginalBudget09]]</f>
        <v>4470</v>
      </c>
      <c r="EF57" s="54">
        <f>SummaryTable[[#This Row],[BudgetIncreaseAmount10]]/SummaryTable[[#This Row],[OriginalBudget09]]</f>
        <v>2.4364320170059683E-2</v>
      </c>
      <c r="EG57" s="61">
        <f>IF(COUNTIFS(allFYsTable[Code], SummaryTable[[#This Row],[Code]], allFYsTable[year2], ED$3)=0, NotFound, SUMIFS(allFYsTable[RevisedBudget], allFYsTable[Code], SummaryTable[[#This Row],[Code]], allFYsTable[year2], ED$3))</f>
        <v>194849</v>
      </c>
      <c r="EH57" s="61">
        <f>IF(COUNTIFS(allFYsTable[Code], SummaryTable[[#This Row],[Code]], allFYsTable[year2], ED$3)=0, NotFound, SUMIFS(allFYsTable[Actual], allFYsTable[Code], SummaryTable[[#This Row],[Code]], allFYsTable[year2], ED$3))</f>
        <v>193326</v>
      </c>
      <c r="EI57" s="61">
        <f>IF(COUNTIFS(allFYsTable[Code], SummaryTable[[#This Row],[Code]], allFYsTable[year2], ED$3)=0, NotFound, SUMIFS(allFYsTable[DiffAmount], allFYsTable[Code], SummaryTable[[#This Row],[Code]], allFYsTable[year2], ED$3))</f>
        <v>5391</v>
      </c>
      <c r="EJ57" s="63">
        <f>IF(SummaryTable[[#This Row],[OriginalBudget10]]=0, IF(SummaryTable[[#This Row],[DiffAmount10]]=0, ZeroBudgetNoSpending, ZeroBudgetWithSpending), SummaryTable[[#This Row],[DiffAmount10]]/SummaryTable[[#This Row],[OriginalBudget10]])</f>
        <v>2.8685449756564771E-2</v>
      </c>
      <c r="EK57" s="62">
        <f>IF(COUNTIFS(allFYsTable[Code], SummaryTable[[#This Row],[Code]], allFYsTable[year2], EK$3)=0, NotFound, SUMIFS(allFYsTable[OriginalBudget], allFYsTable[Code], SummaryTable[[#This Row],[Code]], allFYsTable[year2], EK$3))</f>
        <v>183465</v>
      </c>
      <c r="EL57" s="61">
        <f>SummaryTable[[#This Row],[OriginalBudget09]]-SummaryTable[[#This Row],[OriginalBudget08]]</f>
        <v>5354</v>
      </c>
      <c r="EM57" s="54">
        <f>SummaryTable[[#This Row],[BudgetIncreaseAmount09]]/SummaryTable[[#This Row],[OriginalBudget08]]</f>
        <v>3.0059906462823745E-2</v>
      </c>
      <c r="EN57" s="61">
        <f>IF(COUNTIFS(allFYsTable[Code], SummaryTable[[#This Row],[Code]], allFYsTable[year2], EK$3)=0, NotFound, SUMIFS(allFYsTable[RevisedBudget], allFYsTable[Code], SummaryTable[[#This Row],[Code]], allFYsTable[year2], EK$3))</f>
        <v>186465</v>
      </c>
      <c r="EO57" s="61">
        <f>IF(COUNTIFS(allFYsTable[Code], SummaryTable[[#This Row],[Code]], allFYsTable[year2], EK$3)=0, NotFound, SUMIFS(allFYsTable[Actual], allFYsTable[Code], SummaryTable[[#This Row],[Code]], allFYsTable[year2], EK$3))</f>
        <v>185838</v>
      </c>
      <c r="EP57" s="61">
        <f>IF(COUNTIFS(allFYsTable[Code], SummaryTable[[#This Row],[Code]], allFYsTable[year2], EK$3)=0, NotFound, SUMIFS(allFYsTable[DiffAmount], allFYsTable[Code], SummaryTable[[#This Row],[Code]], allFYsTable[year2], EK$3))</f>
        <v>2373</v>
      </c>
      <c r="EQ57" s="63">
        <f>IF(SummaryTable[[#This Row],[OriginalBudget09]]=0, IF(SummaryTable[[#This Row],[DiffAmount09]]=0, ZeroBudgetNoSpending, ZeroBudgetWithSpending), SummaryTable[[#This Row],[DiffAmount09]]/SummaryTable[[#This Row],[OriginalBudget09]])</f>
        <v>1.2934347150682691E-2</v>
      </c>
      <c r="ER57" s="62">
        <f>IF(COUNTIFS(allFYsTable[Code], SummaryTable[[#This Row],[Code]], allFYsTable[year2], ER$3)=0, NotFound, SUMIFS(allFYsTable[OriginalBudget], allFYsTable[Code], SummaryTable[[#This Row],[Code]], allFYsTable[year2], ER$3))</f>
        <v>178111</v>
      </c>
      <c r="ES57" s="61">
        <f>SummaryTable[[#This Row],[OriginalBudget08]]-SummaryTable[[#This Row],[OriginalBudget07]]</f>
        <v>8909</v>
      </c>
      <c r="ET57" s="54">
        <f>SummaryTable[[#This Row],[BudgetIncreaseAmount08]]/SummaryTable[[#This Row],[OriginalBudget07]]</f>
        <v>5.2653041926218364E-2</v>
      </c>
      <c r="EU57" s="61">
        <f>IF(COUNTIFS(allFYsTable[Code], SummaryTable[[#This Row],[Code]], allFYsTable[year2], ER$3)=0, NotFound, SUMIFS(allFYsTable[RevisedBudget], allFYsTable[Code], SummaryTable[[#This Row],[Code]], allFYsTable[year2], ER$3))</f>
        <v>187875</v>
      </c>
      <c r="EV57" s="61">
        <f>IF(COUNTIFS(allFYsTable[Code], SummaryTable[[#This Row],[Code]], allFYsTable[year2], ER$3)=0, NotFound, SUMIFS(allFYsTable[Actual], allFYsTable[Code], SummaryTable[[#This Row],[Code]], allFYsTable[year2], ER$3))</f>
        <v>187868</v>
      </c>
      <c r="EW57" s="61">
        <f>IF(COUNTIFS(allFYsTable[Code], SummaryTable[[#This Row],[Code]], allFYsTable[year2], ER$3)=0, NotFound, SUMIFS(allFYsTable[DiffAmount], allFYsTable[Code], SummaryTable[[#This Row],[Code]], allFYsTable[year2], ER$3))</f>
        <v>9757</v>
      </c>
      <c r="EX57" s="63">
        <f>IF(SummaryTable[[#This Row],[OriginalBudget08]]=0, IF(SummaryTable[[#This Row],[DiffAmount08]]=0, ZeroBudgetNoSpending, ZeroBudgetWithSpending), SummaryTable[[#This Row],[DiffAmount08]]/SummaryTable[[#This Row],[OriginalBudget08]])</f>
        <v>5.4780445901712979E-2</v>
      </c>
      <c r="EY57" s="62">
        <f>IF(COUNTIFS(allFYsTable[Code], SummaryTable[[#This Row],[Code]], allFYsTable[year2], EY$3)=0, NotFound, SUMIFS(allFYsTable[OriginalBudget], allFYsTable[Code], SummaryTable[[#This Row],[Code]], allFYsTable[year2], EY$3))</f>
        <v>169202</v>
      </c>
      <c r="EZ57" s="61">
        <f>SummaryTable[[#This Row],[OriginalBudget07]]-SummaryTable[[#This Row],[OriginalBudget06]]</f>
        <v>13313</v>
      </c>
      <c r="FA57" s="54">
        <f>SummaryTable[[#This Row],[BudgetIncreaseAmount07]]/SummaryTable[[#This Row],[OriginalBudget06]]</f>
        <v>8.5400509336771679E-2</v>
      </c>
      <c r="FB57" s="61">
        <f>IF(COUNTIFS(allFYsTable[Code], SummaryTable[[#This Row],[Code]], allFYsTable[year2], EY$3)=0, NotFound, SUMIFS(allFYsTable[RevisedBudget], allFYsTable[Code], SummaryTable[[#This Row],[Code]], allFYsTable[year2], EY$3))</f>
        <v>174171</v>
      </c>
      <c r="FC57" s="61">
        <f>IF(COUNTIFS(allFYsTable[Code], SummaryTable[[#This Row],[Code]], allFYsTable[year2], EY$3)=0, NotFound, SUMIFS(allFYsTable[Actual], allFYsTable[Code], SummaryTable[[#This Row],[Code]], allFYsTable[year2], EY$3))</f>
        <v>172775</v>
      </c>
      <c r="FD57" s="61">
        <f>IF(COUNTIFS(allFYsTable[Code], SummaryTable[[#This Row],[Code]], allFYsTable[year2], EY$3)=0, NotFound, SUMIFS(allFYsTable[DiffAmount], allFYsTable[Code], SummaryTable[[#This Row],[Code]], allFYsTable[year2], EY$3))</f>
        <v>3573</v>
      </c>
      <c r="FE57" s="63">
        <f>IF(SummaryTable[[#This Row],[OriginalBudget07]]=0, IF(SummaryTable[[#This Row],[DiffAmount07]]=0, ZeroBudgetNoSpending, ZeroBudgetWithSpending), SummaryTable[[#This Row],[DiffAmount07]]/SummaryTable[[#This Row],[OriginalBudget07]])</f>
        <v>2.1116771669365611E-2</v>
      </c>
      <c r="FF57" s="62">
        <f>IF(COUNTIFS(allFYsTable[Code], SummaryTable[[#This Row],[Code]], allFYsTable[year2], FF$3)=0, NotFound, SUMIFS(allFYsTable[OriginalBudget], allFYsTable[Code], SummaryTable[[#This Row],[Code]], allFYsTable[year2], FF$3))</f>
        <v>155889</v>
      </c>
      <c r="FI57" s="61">
        <f>IF(COUNTIFS(allFYsTable[Code], SummaryTable[[#This Row],[Code]], allFYsTable[year2], FF$3)=0, NotFound, SUMIFS(allFYsTable[RevisedBudget], allFYsTable[Code], SummaryTable[[#This Row],[Code]], allFYsTable[year2], FF$3))</f>
        <v>158039</v>
      </c>
      <c r="FJ57" s="61">
        <f>IF(COUNTIFS(allFYsTable[Code], SummaryTable[[#This Row],[Code]], allFYsTable[year2], FF$3)=0, NotFound, SUMIFS(allFYsTable[Actual], allFYsTable[Code], SummaryTable[[#This Row],[Code]], allFYsTable[year2], FF$3))</f>
        <v>157228</v>
      </c>
      <c r="FK57" s="61">
        <f>IF(COUNTIFS(allFYsTable[Code], SummaryTable[[#This Row],[Code]], allFYsTable[year2], FF$3)=0, NotFound, SUMIFS(allFYsTable[DiffAmount], allFYsTable[Code], SummaryTable[[#This Row],[Code]], allFYsTable[year2], FF$3))</f>
        <v>1339</v>
      </c>
      <c r="FL57" s="63">
        <f>IF(SummaryTable[[#This Row],[OriginalBudget06]]=0, IF(SummaryTable[[#This Row],[DiffAmount06]]=0, ZeroBudgetNoSpending, ZeroBudgetWithSpending), SummaryTable[[#This Row],[DiffAmount06]]/SummaryTable[[#This Row],[OriginalBudget06]])</f>
        <v>8.5894450538524202E-3</v>
      </c>
    </row>
    <row r="58" spans="1:168" x14ac:dyDescent="0.45">
      <c r="A58" t="s">
        <v>813</v>
      </c>
      <c r="B58">
        <f>_xlfn.MAXIFS(allFYsTable[year2], allFYsTable[Code], SummaryTable[[#This Row],[Code]])</f>
        <v>2025</v>
      </c>
      <c r="C58" t="str">
        <f>_xlfn.XLOOKUP(SummaryTable[[#This Row],[Code]], NameCodingTable[Code], NameCodingTable[Most Recent Category per allFYs])</f>
        <v>Transfer out</v>
      </c>
      <c r="D58" t="str">
        <f>_xlfn.XLOOKUP(SummaryTable[[#This Row],[Code]], NameCodingTable[Code], NameCodingTable[Unit Display Name])</f>
        <v>Highway Transportation Fund - Transfers</v>
      </c>
      <c r="E58" t="str">
        <f>_xlfn.XLOOKUP(SummaryTable[[#This Row],[Code]], NameCodingTable[Code], NameCodingTable[Type])</f>
        <v>xother</v>
      </c>
      <c r="F5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16</v>
      </c>
      <c r="G5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8</v>
      </c>
      <c r="H58" s="54">
        <f>SummaryTable[[#This Row],['# Over]]/SummaryTable[[#This Row],[Count]]</f>
        <v>0.5</v>
      </c>
      <c r="I5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8</v>
      </c>
      <c r="J58" s="54">
        <f>SummaryTable[[#This Row],['# Under]]/SummaryTable[[#This Row],[Count]]</f>
        <v>0.5</v>
      </c>
      <c r="K5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58" s="54">
        <f>SummaryTable[[#This Row],['# Equal]]/SummaryTable[[#This Row],[Count]]</f>
        <v>0</v>
      </c>
      <c r="M58" s="61">
        <f>SUMIFS(allFYsTable[OriginalBudget],allFYsTable[Code],SummaryTable[[#This Row],[Code]])/SummaryTable[[#This Row],[Count]]</f>
        <v>24902</v>
      </c>
      <c r="N58" s="61">
        <f>SUMIFS(allFYsTable[Actual],allFYsTable[Code],SummaryTable[[#This Row],[Code]])/SummaryTable[[#This Row],[Count]]</f>
        <v>24397.0625</v>
      </c>
      <c r="O58" s="61">
        <f>SummaryTable[[#This Row],[AvgActAmt]]-SummaryTable[[#This Row],[AvgBudAmt]]</f>
        <v>-504.9375</v>
      </c>
      <c r="P58" s="54">
        <f>IF(SummaryTable[[#This Row],[AvgBudAmt]]=0, IF(SummaryTable[[#This Row],[AvgDiff'#]]=0, 0, NamedFields!$C$3), SummaryTable[[#This Row],[AvgDiff'#]]/SummaryTable[[#This Row],[AvgBudAmt]])</f>
        <v>-2.0276985784274355E-2</v>
      </c>
      <c r="Q58" s="61">
        <f>IFERROR(SUMIFS(allFYsTable[OriginalBudget],allFYsTable[Code],SummaryTable[[#This Row],[Code]],allFYsTable[DiffAmount], "&gt;0")/SummaryTable[[#This Row],['# Over]], 0)</f>
        <v>22756.75</v>
      </c>
      <c r="R58" s="61">
        <f>IFERROR(SUMIFS(allFYsTable[Actual],allFYsTable[Code],SummaryTable[[#This Row],[Code]],allFYsTable[DiffAmount], "&gt;0")/SummaryTable[[#This Row],['# Over]], 0)</f>
        <v>24986.375</v>
      </c>
      <c r="S58" s="61">
        <f>SummaryTable[[#This Row],[OverAvgAct]]-SummaryTable[[#This Row],[OverAvgBud]]</f>
        <v>2229.625</v>
      </c>
      <c r="T58" s="54">
        <f>IF(SummaryTable[[#This Row],[OverAvgBud]]=0, IF(SummaryTable[[#This Row],[OverAvgDiff'#]]=0, ZeroBudgetNoSpending, ZeroBudgetWithSpending), SummaryTable[[#This Row],[OverAvgDiff'#]]/SummaryTable[[#This Row],[OverAvgBud]])</f>
        <v>9.797642457732321E-2</v>
      </c>
      <c r="U58" s="61">
        <f>IFERROR(SUMIFS(allFYsTable[OriginalBudget],allFYsTable[Code],SummaryTable[[#This Row],[Code]],allFYsTable[DiffAmount], "&lt;0")/SummaryTable[[#This Row],['# Under]], 0)</f>
        <v>27047.25</v>
      </c>
      <c r="V58" s="61">
        <f>IFERROR( SUMIFS(allFYsTable[Actual],allFYsTable[Code],SummaryTable[[#This Row],[Code]],allFYsTable[DiffAmount], "&lt;0")/SummaryTable[[#This Row],['# Under]], 0)</f>
        <v>23807.75</v>
      </c>
      <c r="W58" s="61">
        <f>SummaryTable[[#This Row],[UnderAvgAct]]-SummaryTable[[#This Row],[UnderAvgBud]]</f>
        <v>-3239.5</v>
      </c>
      <c r="X58" s="54">
        <f>IF(SummaryTable[[#This Row],[UnderAvgBud]]=0, IF(SummaryTable[[#This Row],[UnderAvgDiff'#]]=0, ZeroBudgetNoSpending, NamedFields!$C$3), SummaryTable[[#This Row],[UnderAvgDiff'#]]/SummaryTable[[#This Row],[UnderAvgBud]])</f>
        <v>-0.1197718806902735</v>
      </c>
      <c r="Y5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5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8" s="54">
        <f>IF(SummaryTable[[#This Row],[IncreaseYears]]=0, ZeroBudgetNoSpending, SummaryTable[[#This Row],[OSinIncreaseYear'#]]/SummaryTable[[#This Row],[IncreaseYears]])</f>
        <v>0</v>
      </c>
      <c r="AB58" s="58" t="str">
        <f>SummaryTable[[#This Row],[Code]]</f>
        <v>KZ0</v>
      </c>
      <c r="AC58" s="62">
        <f>IF(COUNTIFS(allFYsTable[Code], SummaryTable[[#This Row],[Code]], allFYsTable[year2], AC$3)=0, NotFound, SUMIFS(allFYsTable[OriginalBudget], allFYsTable[Code], SummaryTable[[#This Row],[Code]], allFYsTable[year2], AC$3))</f>
        <v>19847</v>
      </c>
      <c r="AD58" s="61">
        <f>SummaryTable[[#This Row],[OriginalBudget25]]-SummaryTable[[#This Row],[OriginalBudget24]]</f>
        <v>-2983</v>
      </c>
      <c r="AE58" s="54">
        <f>SummaryTable[[#This Row],[BudgetIncreaseAmount25]]/SummaryTable[[#This Row],[OriginalBudget24]]</f>
        <v>-0.13066141042487955</v>
      </c>
      <c r="AF58" s="61">
        <f>IF(COUNTIFS(allFYsTable[Code], SummaryTable[[#This Row],[Code]], allFYsTable[year2], AC$3)=0, NotFound, SUMIFS(allFYsTable[RevisedBudget], allFYsTable[Code], SummaryTable[[#This Row],[Code]], allFYsTable[year2], AC$3))</f>
        <v>23261</v>
      </c>
      <c r="AG58" s="61">
        <f>IF(COUNTIFS(allFYsTable[Code], SummaryTable[[#This Row],[Code]], allFYsTable[year2], AC$3)=0, NotFound, SUMIFS(allFYsTable[Actual], allFYsTable[Code], SummaryTable[[#This Row],[Code]], allFYsTable[year2], AC$3))</f>
        <v>23261</v>
      </c>
      <c r="AH58" s="61">
        <f>IF(COUNTIFS(allFYsTable[Code], SummaryTable[[#This Row],[Code]], allFYsTable[year2], AC$3)=0, NotFound, SUMIFS(allFYsTable[DiffAmount], allFYsTable[Code], SummaryTable[[#This Row],[Code]], allFYsTable[year2], AC$3))</f>
        <v>3414</v>
      </c>
      <c r="AI58" s="63">
        <f>IF(SummaryTable[[#This Row],[OriginalBudget25]]=0, IF(SummaryTable[[#This Row],[DiffAmount25]]=0, ZeroBudgetNoSpending, ZeroBudgetWithSpending), SummaryTable[[#This Row],[DiffAmount25]]/SummaryTable[[#This Row],[OriginalBudget25]])</f>
        <v>0.17201592180178366</v>
      </c>
      <c r="AJ58" s="62">
        <f>IF(COUNTIFS(allFYsTable[Code], SummaryTable[[#This Row],[Code]], allFYsTable[year2], AJ$3)=0, NotFound, SUMIFS(allFYsTable[OriginalBudget], allFYsTable[Code], SummaryTable[[#This Row],[Code]], allFYsTable[year2], AJ$3))</f>
        <v>22830</v>
      </c>
      <c r="AK58" s="61">
        <f>SummaryTable[[#This Row],[OriginalBudget24]]-SummaryTable[[#This Row],[OriginalBudget23]]</f>
        <v>-1882</v>
      </c>
      <c r="AL58" s="54">
        <f>SummaryTable[[#This Row],[BudgetIncreaseAmount24]]/SummaryTable[[#This Row],[OriginalBudget23]]</f>
        <v>-7.6157332470055031E-2</v>
      </c>
      <c r="AM58" s="61">
        <f>IF(COUNTIFS(allFYsTable[Code], SummaryTable[[#This Row],[Code]], allFYsTable[year2], AK$3)=0, NotFound, SUMIFS(allFYsTable[RevisedBudget], allFYsTable[Code], SummaryTable[[#This Row],[Code]], allFYsTable[year2], AJ$3))</f>
        <v>22830</v>
      </c>
      <c r="AN58" s="61">
        <f>IF(COUNTIFS(allFYsTable[Code], SummaryTable[[#This Row],[Code]], allFYsTable[year2], AJ$3)=0, NotFound, SUMIFS(allFYsTable[Actual], allFYsTable[Code], SummaryTable[[#This Row],[Code]], allFYsTable[year2], AJ$3))</f>
        <v>21680</v>
      </c>
      <c r="AO58" s="61">
        <f>IF(COUNTIFS(allFYsTable[Code], SummaryTable[[#This Row],[Code]], allFYsTable[year2], AJ$3)=0, NotFound, SUMIFS(allFYsTable[DiffAmount], allFYsTable[Code], SummaryTable[[#This Row],[Code]], allFYsTable[year2], AJ$3))</f>
        <v>-1150</v>
      </c>
      <c r="AP58" s="63">
        <f>IF(SummaryTable[[#This Row],[OriginalBudget24]]=0, IF(SummaryTable[[#This Row],[DiffAmount24]]=0, ZeroBudgetNoSpending, ZeroBudgetWithSpending), SummaryTable[[#This Row],[DiffAmount24]]/SummaryTable[[#This Row],[OriginalBudget24]])</f>
        <v>-5.0372317126587823E-2</v>
      </c>
      <c r="AQ58" s="62">
        <f>IF(COUNTIFS(allFYsTable[Code], SummaryTable[[#This Row],[Code]], allFYsTable[year2], AQ$3)=0, NotFound, SUMIFS(allFYsTable[OriginalBudget], allFYsTable[Code], SummaryTable[[#This Row],[Code]], allFYsTable[year2], AQ$3))</f>
        <v>24712</v>
      </c>
      <c r="AR58" s="61">
        <f>SummaryTable[[#This Row],[OriginalBudget23]]-SummaryTable[[#This Row],[OriginalBudget22]]</f>
        <v>-1994</v>
      </c>
      <c r="AS58" s="54">
        <f>SummaryTable[[#This Row],[BudgetIncreaseAmount23]]/SummaryTable[[#This Row],[OriginalBudget22]]</f>
        <v>-7.4664869317756316E-2</v>
      </c>
      <c r="AT58" s="61">
        <f>IF(COUNTIFS(allFYsTable[Code], SummaryTable[[#This Row],[Code]], allFYsTable[year2], AQ$3)=0, NotFound, SUMIFS(allFYsTable[RevisedBudget], allFYsTable[Code], SummaryTable[[#This Row],[Code]], allFYsTable[year2], AQ$3))</f>
        <v>22485</v>
      </c>
      <c r="AU58" s="61">
        <f>IF(COUNTIFS(allFYsTable[Code], SummaryTable[[#This Row],[Code]], allFYsTable[year2], AQ$3)=0, NotFound, SUMIFS(allFYsTable[Actual], allFYsTable[Code], SummaryTable[[#This Row],[Code]], allFYsTable[year2], AQ$3))</f>
        <v>22485</v>
      </c>
      <c r="AV58" s="61">
        <f>IF(COUNTIFS(allFYsTable[Code], SummaryTable[[#This Row],[Code]], allFYsTable[year2], AQ$3)=0, NotFound, SUMIFS(allFYsTable[DiffAmount], allFYsTable[Code], SummaryTable[[#This Row],[Code]], allFYsTable[year2], AQ$3))</f>
        <v>-2227</v>
      </c>
      <c r="AW58" s="63">
        <f>IF(SummaryTable[[#This Row],[OriginalBudget23]]=0, IF(SummaryTable[[#This Row],[DiffAmount23]]=0, ZeroBudgetNoSpending, ZeroBudgetWithSpending), SummaryTable[[#This Row],[DiffAmount23]]/SummaryTable[[#This Row],[OriginalBudget23]])</f>
        <v>-9.0118161217222409E-2</v>
      </c>
      <c r="AX58" s="62">
        <f>IF(COUNTIFS(allFYsTable[Code], SummaryTable[[#This Row],[Code]], allFYsTable[year2], AX$3)=0, NotFound, SUMIFS(allFYsTable[OriginalBudget], allFYsTable[Code], SummaryTable[[#This Row],[Code]], allFYsTable[year2], AX$3))</f>
        <v>26706</v>
      </c>
      <c r="AY58" s="61">
        <f>SummaryTable[[#This Row],[OriginalBudget22]]-SummaryTable[[#This Row],[OriginalBudget21]]</f>
        <v>2064</v>
      </c>
      <c r="AZ58" s="54">
        <f>SummaryTable[[#This Row],[BudgetIncreaseAmount22]]/SummaryTable[[#This Row],[OriginalBudget21]]</f>
        <v>8.3759435110786457E-2</v>
      </c>
      <c r="BA58" s="61">
        <f>IF(COUNTIFS(allFYsTable[Code], SummaryTable[[#This Row],[Code]], allFYsTable[year2], AX$3)=0, NotFound, SUMIFS(allFYsTable[RevisedBudget], allFYsTable[Code], SummaryTable[[#This Row],[Code]], allFYsTable[year2], AX$3))</f>
        <v>22928</v>
      </c>
      <c r="BB58" s="61">
        <f>IF(COUNTIFS(allFYsTable[Code], SummaryTable[[#This Row],[Code]], allFYsTable[year2], AX$3)=0, NotFound, SUMIFS(allFYsTable[Actual], allFYsTable[Code], SummaryTable[[#This Row],[Code]], allFYsTable[year2], AX$3))</f>
        <v>22928</v>
      </c>
      <c r="BC58" s="61">
        <f>IF(COUNTIFS(allFYsTable[Code], SummaryTable[[#This Row],[Code]], allFYsTable[year2], AX$3)=0, NotFound, SUMIFS(allFYsTable[DiffAmount], allFYsTable[Code], SummaryTable[[#This Row],[Code]], allFYsTable[year2], AX$3))</f>
        <v>-3778</v>
      </c>
      <c r="BD58" s="63">
        <f>IF(SummaryTable[[#This Row],[OriginalBudget22]]=0, IF(SummaryTable[[#This Row],[DiffAmount22]]=0, ZeroBudgetNoSpending, ZeroBudgetWithSpending), SummaryTable[[#This Row],[DiffAmount22]]/SummaryTable[[#This Row],[OriginalBudget22]])</f>
        <v>-0.14146633715269977</v>
      </c>
      <c r="BE58" s="62">
        <f>IF(COUNTIFS(allFYsTable[Code], SummaryTable[[#This Row],[Code]], allFYsTable[year2], BE$3)=0, NotFound, SUMIFS(allFYsTable[OriginalBudget], allFYsTable[Code], SummaryTable[[#This Row],[Code]], allFYsTable[year2], BE$3))</f>
        <v>24642</v>
      </c>
      <c r="BF58" s="61">
        <f>SummaryTable[[#This Row],[OriginalBudget21]]-SummaryTable[[#This Row],[OriginalBudget20]]</f>
        <v>-1656</v>
      </c>
      <c r="BG58" s="54">
        <f>SummaryTable[[#This Row],[BudgetIncreaseAmount21]]/SummaryTable[[#This Row],[OriginalBudget20]]</f>
        <v>-6.2970568104038324E-2</v>
      </c>
      <c r="BH58" s="61">
        <f>IF(COUNTIFS(allFYsTable[Code], SummaryTable[[#This Row],[Code]], allFYsTable[year2], BE$3)=0, NotFound, SUMIFS(allFYsTable[RevisedBudget], allFYsTable[Code], SummaryTable[[#This Row],[Code]], allFYsTable[year2], BE$3))</f>
        <v>24642</v>
      </c>
      <c r="BI58" s="61">
        <f>IF(COUNTIFS(allFYsTable[Code], SummaryTable[[#This Row],[Code]], allFYsTable[year2], BE$3)=0, NotFound, SUMIFS(allFYsTable[Actual], allFYsTable[Code], SummaryTable[[#This Row],[Code]], allFYsTable[year2], BE$3))</f>
        <v>23618</v>
      </c>
      <c r="BJ58" s="61">
        <f>IF(COUNTIFS(allFYsTable[Code], SummaryTable[[#This Row],[Code]], allFYsTable[year2], BE$3)=0, NotFound, SUMIFS(allFYsTable[DiffAmount], allFYsTable[Code], SummaryTable[[#This Row],[Code]], allFYsTable[year2], BE$3))</f>
        <v>-1024</v>
      </c>
      <c r="BK58" s="63">
        <f>IF(SummaryTable[[#This Row],[OriginalBudget21]]=0, IF(SummaryTable[[#This Row],[DiffAmount21]]=0, ZeroBudgetNoSpending, ZeroBudgetWithSpending), SummaryTable[[#This Row],[DiffAmount21]]/SummaryTable[[#This Row],[OriginalBudget21]])</f>
        <v>-4.1555068582095608E-2</v>
      </c>
      <c r="BL58" s="62">
        <f>IF(COUNTIFS(allFYsTable[Code], SummaryTable[[#This Row],[Code]], allFYsTable[year2], BL$3)=0, NotFound, SUMIFS(allFYsTable[OriginalBudget], allFYsTable[Code], SummaryTable[[#This Row],[Code]], allFYsTable[year2], BL$3))</f>
        <v>26298</v>
      </c>
      <c r="BM58" s="61">
        <f>SummaryTable[[#This Row],[OriginalBudget20]]-SummaryTable[[#This Row],[OriginalBudget19]]</f>
        <v>872</v>
      </c>
      <c r="BN58" s="54">
        <f>SummaryTable[[#This Row],[BudgetIncreaseAmount20]]/SummaryTable[[#This Row],[OriginalBudget19]]</f>
        <v>3.4295602926138598E-2</v>
      </c>
      <c r="BO58" s="61">
        <f>IF(COUNTIFS(allFYsTable[Code], SummaryTable[[#This Row],[Code]], allFYsTable[year2], BL$3)=0, NotFound, SUMIFS(allFYsTable[RevisedBudget], allFYsTable[Code], SummaryTable[[#This Row],[Code]], allFYsTable[year2], BL$3))</f>
        <v>22472</v>
      </c>
      <c r="BP58" s="61">
        <f>IF(COUNTIFS(allFYsTable[Code], SummaryTable[[#This Row],[Code]], allFYsTable[year2], BL$3)=0, NotFound, SUMIFS(allFYsTable[Actual], allFYsTable[Code], SummaryTable[[#This Row],[Code]], allFYsTable[year2], BL$3))</f>
        <v>22472</v>
      </c>
      <c r="BQ58" s="61">
        <f>IF(COUNTIFS(allFYsTable[Code], SummaryTable[[#This Row],[Code]], allFYsTable[year2], BL$3)=0, NotFound, SUMIFS(allFYsTable[DiffAmount], allFYsTable[Code], SummaryTable[[#This Row],[Code]], allFYsTable[year2], BL$3))</f>
        <v>-3826</v>
      </c>
      <c r="BR58" s="63">
        <f>IF(SummaryTable[[#This Row],[OriginalBudget20]]=0, IF(SummaryTable[[#This Row],[DiffAmount20]]=0, ZeroBudgetNoSpending, ZeroBudgetWithSpending), SummaryTable[[#This Row],[DiffAmount20]]/SummaryTable[[#This Row],[OriginalBudget20]])</f>
        <v>-0.14548634877176972</v>
      </c>
      <c r="BS58" s="62">
        <f>IF(COUNTIFS(allFYsTable[Code], SummaryTable[[#This Row],[Code]], allFYsTable[year2], BS$3)=0, NotFound, SUMIFS(allFYsTable[OriginalBudget], allFYsTable[Code], SummaryTable[[#This Row],[Code]], allFYsTable[year2], BS$3))</f>
        <v>25426</v>
      </c>
      <c r="BT58" s="61">
        <f>SummaryTable[[#This Row],[OriginalBudget19]]-SummaryTable[[#This Row],[OriginalBudget18]]</f>
        <v>490</v>
      </c>
      <c r="BU58" s="54">
        <f>SummaryTable[[#This Row],[BudgetIncreaseAmount19]]/SummaryTable[[#This Row],[OriginalBudget18]]</f>
        <v>1.9650304780237406E-2</v>
      </c>
      <c r="BV58" s="61">
        <f>IF(COUNTIFS(allFYsTable[Code], SummaryTable[[#This Row],[Code]], allFYsTable[year2], BS$3)=0, NotFound, SUMIFS(allFYsTable[RevisedBudget], allFYsTable[Code], SummaryTable[[#This Row],[Code]], allFYsTable[year2], BS$3))</f>
        <v>27935</v>
      </c>
      <c r="BW58" s="61">
        <f>IF(COUNTIFS(allFYsTable[Code], SummaryTable[[#This Row],[Code]], allFYsTable[year2], BS$3)=0, NotFound, SUMIFS(allFYsTable[Actual], allFYsTable[Code], SummaryTable[[#This Row],[Code]], allFYsTable[year2], BS$3))</f>
        <v>27935</v>
      </c>
      <c r="BX58" s="61">
        <f>IF(COUNTIFS(allFYsTable[Code], SummaryTable[[#This Row],[Code]], allFYsTable[year2], BS$3)=0, NotFound, SUMIFS(allFYsTable[DiffAmount], allFYsTable[Code], SummaryTable[[#This Row],[Code]], allFYsTable[year2], BS$3))</f>
        <v>2509</v>
      </c>
      <c r="BY58" s="63">
        <f>IF(SummaryTable[[#This Row],[OriginalBudget19]]=0, IF(SummaryTable[[#This Row],[DiffAmount19]]=0, ZeroBudgetNoSpending, ZeroBudgetWithSpending), SummaryTable[[#This Row],[DiffAmount19]]/SummaryTable[[#This Row],[OriginalBudget19]])</f>
        <v>9.8678518052387323E-2</v>
      </c>
      <c r="BZ58" s="62">
        <f>IF(COUNTIFS(allFYsTable[Code], SummaryTable[[#This Row],[Code]], allFYsTable[year2], BZ$3)=0, NotFound, SUMIFS(allFYsTable[OriginalBudget], allFYsTable[Code], SummaryTable[[#This Row],[Code]], allFYsTable[year2], BZ$3))</f>
        <v>24936</v>
      </c>
      <c r="CA58" s="61">
        <f>SummaryTable[[#This Row],[OriginalBudget18]]-SummaryTable[[#This Row],[OriginalBudget17]]</f>
        <v>182</v>
      </c>
      <c r="CB58" s="54">
        <f>SummaryTable[[#This Row],[BudgetIncreaseAmount18]]/SummaryTable[[#This Row],[OriginalBudget17]]</f>
        <v>7.3523470954189223E-3</v>
      </c>
      <c r="CC58" s="61">
        <f>IF(COUNTIFS(allFYsTable[Code], SummaryTable[[#This Row],[Code]], allFYsTable[year2], BZ$3)=0, NotFound, SUMIFS(allFYsTable[RevisedBudget], allFYsTable[Code], SummaryTable[[#This Row],[Code]], allFYsTable[year2], BZ$3))</f>
        <v>26268</v>
      </c>
      <c r="CD58" s="61">
        <f>IF(COUNTIFS(allFYsTable[Code], SummaryTable[[#This Row],[Code]], allFYsTable[year2], BZ$3)=0, NotFound, SUMIFS(allFYsTable[Actual], allFYsTable[Code], SummaryTable[[#This Row],[Code]], allFYsTable[year2], BZ$3))</f>
        <v>26268</v>
      </c>
      <c r="CE58" s="61">
        <f>IF(COUNTIFS(allFYsTable[Code], SummaryTable[[#This Row],[Code]], allFYsTable[year2], BZ$3)=0, NotFound, SUMIFS(allFYsTable[DiffAmount], allFYsTable[Code], SummaryTable[[#This Row],[Code]], allFYsTable[year2], BZ$3))</f>
        <v>1332</v>
      </c>
      <c r="CF58" s="63">
        <f>IF(SummaryTable[[#This Row],[OriginalBudget18]]=0, IF(SummaryTable[[#This Row],[DiffAmount18]]=0, ZeroBudgetNoSpending, ZeroBudgetWithSpending), SummaryTable[[#This Row],[DiffAmount18]]/SummaryTable[[#This Row],[OriginalBudget18]])</f>
        <v>5.3416746871992299E-2</v>
      </c>
      <c r="CG58" s="62">
        <f>IF(COUNTIFS(allFYsTable[Code], SummaryTable[[#This Row],[Code]], allFYsTable[year2], CG$3)=0, NotFound, SUMIFS(allFYsTable[OriginalBudget], allFYsTable[Code], SummaryTable[[#This Row],[Code]], allFYsTable[year2], CG$3))</f>
        <v>24754</v>
      </c>
      <c r="CH58" s="61">
        <f>SummaryTable[[#This Row],[OriginalBudget17]]-SummaryTable[[#This Row],[OriginalBudget16]]</f>
        <v>2250</v>
      </c>
      <c r="CI58" s="54">
        <f>SummaryTable[[#This Row],[BudgetIncreaseAmount17]]/SummaryTable[[#This Row],[OriginalBudget16]]</f>
        <v>9.9982225382154288E-2</v>
      </c>
      <c r="CJ58" s="61">
        <f>IF(COUNTIFS(allFYsTable[Code], SummaryTable[[#This Row],[Code]], allFYsTable[year2], CG$3)=0, NotFound, SUMIFS(allFYsTable[RevisedBudget], allFYsTable[Code], SummaryTable[[#This Row],[Code]], allFYsTable[year2], CG$3))</f>
        <v>26099</v>
      </c>
      <c r="CK58" s="61">
        <f>IF(COUNTIFS(allFYsTable[Code], SummaryTable[[#This Row],[Code]], allFYsTable[year2], CG$3)=0, NotFound, SUMIFS(allFYsTable[Actual], allFYsTable[Code], SummaryTable[[#This Row],[Code]], allFYsTable[year2], CG$3))</f>
        <v>26099</v>
      </c>
      <c r="CL58" s="61">
        <f>IF(COUNTIFS(allFYsTable[Code], SummaryTable[[#This Row],[Code]], allFYsTable[year2], CG$3)=0, NotFound, SUMIFS(allFYsTable[DiffAmount], allFYsTable[Code], SummaryTable[[#This Row],[Code]], allFYsTable[year2], CG$3))</f>
        <v>1345</v>
      </c>
      <c r="CM58" s="63">
        <f>IF(SummaryTable[[#This Row],[OriginalBudget17]]=0, IF(SummaryTable[[#This Row],[DiffAmount17]]=0, ZeroBudgetNoSpending, ZeroBudgetWithSpending), SummaryTable[[#This Row],[DiffAmount17]]/SummaryTable[[#This Row],[OriginalBudget17]])</f>
        <v>5.4334652985376104E-2</v>
      </c>
      <c r="CN58" s="62">
        <f>IF(COUNTIFS(allFYsTable[Code], SummaryTable[[#This Row],[Code]], allFYsTable[year2], CN$3)=0, NotFound, SUMIFS(allFYsTable[OriginalBudget], allFYsTable[Code], SummaryTable[[#This Row],[Code]], allFYsTable[year2], CN$3))</f>
        <v>22504</v>
      </c>
      <c r="CO58" s="61">
        <f>SummaryTable[[#This Row],[OriginalBudget16]]-SummaryTable[[#This Row],[OriginalBudget15]]</f>
        <v>337</v>
      </c>
      <c r="CP58" s="54">
        <f>SummaryTable[[#This Row],[BudgetIncreaseAmount16]]/SummaryTable[[#This Row],[OriginalBudget15]]</f>
        <v>1.5202778905580368E-2</v>
      </c>
      <c r="CQ58" s="61">
        <f>IF(COUNTIFS(allFYsTable[Code], SummaryTable[[#This Row],[Code]], allFYsTable[year2], CN$3)=0, NotFound, SUMIFS(allFYsTable[RevisedBudget], allFYsTable[Code], SummaryTable[[#This Row],[Code]], allFYsTable[year2], CN$3))</f>
        <v>25332</v>
      </c>
      <c r="CR58" s="61">
        <f>IF(COUNTIFS(allFYsTable[Code], SummaryTable[[#This Row],[Code]], allFYsTable[year2], CN$3)=0, NotFound, SUMIFS(allFYsTable[Actual], allFYsTable[Code], SummaryTable[[#This Row],[Code]], allFYsTable[year2], CN$3))</f>
        <v>25332</v>
      </c>
      <c r="CS58" s="61">
        <f>IF(COUNTIFS(allFYsTable[Code], SummaryTable[[#This Row],[Code]], allFYsTable[year2], CN$3)=0, NotFound, SUMIFS(allFYsTable[DiffAmount], allFYsTable[Code], SummaryTable[[#This Row],[Code]], allFYsTable[year2], CN$3))</f>
        <v>2828</v>
      </c>
      <c r="CT58" s="63">
        <f>IF(SummaryTable[[#This Row],[OriginalBudget16]]=0, IF(SummaryTable[[#This Row],[DiffAmount16]]=0, ZeroBudgetNoSpending, ZeroBudgetWithSpending), SummaryTable[[#This Row],[DiffAmount16]]/SummaryTable[[#This Row],[OriginalBudget16]])</f>
        <v>0.12566654816921435</v>
      </c>
      <c r="CU58" s="62">
        <f>IF(COUNTIFS(allFYsTable[Code], SummaryTable[[#This Row],[Code]], allFYsTable[year2], CU$3)=0, NotFound, SUMIFS(allFYsTable[OriginalBudget], allFYsTable[Code], SummaryTable[[#This Row],[Code]], allFYsTable[year2], CU$3))</f>
        <v>22167</v>
      </c>
      <c r="CV58" s="61">
        <f>SummaryTable[[#This Row],[OriginalBudget15]]-SummaryTable[[#This Row],[OriginalBudget14]]</f>
        <v>387</v>
      </c>
      <c r="CW58" s="54">
        <f>SummaryTable[[#This Row],[BudgetIncreaseAmount15]]/SummaryTable[[#This Row],[OriginalBudget14]]</f>
        <v>1.7768595041322315E-2</v>
      </c>
      <c r="CX58" s="61">
        <f>IF(COUNTIFS(allFYsTable[Code], SummaryTable[[#This Row],[Code]], allFYsTable[year2], CU$3)=0, NotFound, SUMIFS(allFYsTable[RevisedBudget], allFYsTable[Code], SummaryTable[[#This Row],[Code]], allFYsTable[year2], CU$3))</f>
        <v>27392</v>
      </c>
      <c r="CY58" s="61">
        <f>IF(COUNTIFS(allFYsTable[Code], SummaryTable[[#This Row],[Code]], allFYsTable[year2], CU$3)=0, NotFound, SUMIFS(allFYsTable[Actual], allFYsTable[Code], SummaryTable[[#This Row],[Code]], allFYsTable[year2], CU$3))</f>
        <v>25256</v>
      </c>
      <c r="CZ58" s="61">
        <f>IF(COUNTIFS(allFYsTable[Code], SummaryTable[[#This Row],[Code]], allFYsTable[year2], CU$3)=0, NotFound, SUMIFS(allFYsTable[DiffAmount], allFYsTable[Code], SummaryTable[[#This Row],[Code]], allFYsTable[year2], CU$3))</f>
        <v>3089</v>
      </c>
      <c r="DA58" s="63">
        <f>IF(SummaryTable[[#This Row],[OriginalBudget15]]=0, IF(SummaryTable[[#This Row],[DiffAmount15]]=0, ZeroBudgetNoSpending, ZeroBudgetWithSpending), SummaryTable[[#This Row],[DiffAmount15]]/SummaryTable[[#This Row],[OriginalBudget15]])</f>
        <v>0.13935128795055712</v>
      </c>
      <c r="DB58" s="62">
        <f>IF(COUNTIFS(allFYsTable[Code], SummaryTable[[#This Row],[Code]], allFYsTable[year2], DB$3)=0, NotFound, SUMIFS(allFYsTable[OriginalBudget], allFYsTable[Code], SummaryTable[[#This Row],[Code]], allFYsTable[year2], DB$3))</f>
        <v>21780</v>
      </c>
      <c r="DC58" s="61">
        <f>SummaryTable[[#This Row],[OriginalBudget14]]-SummaryTable[[#This Row],[OriginalBudget13]]</f>
        <v>-1970</v>
      </c>
      <c r="DD58" s="54">
        <f>SummaryTable[[#This Row],[BudgetIncreaseAmount14]]/SummaryTable[[#This Row],[OriginalBudget13]]</f>
        <v>-8.2947368421052631E-2</v>
      </c>
      <c r="DE58" s="61">
        <f>IF(COUNTIFS(allFYsTable[Code], SummaryTable[[#This Row],[Code]], allFYsTable[year2], DB$3)=0, NotFound, SUMIFS(allFYsTable[RevisedBudget], allFYsTable[Code], SummaryTable[[#This Row],[Code]], allFYsTable[year2], DB$3))</f>
        <v>22962</v>
      </c>
      <c r="DF58" s="61">
        <f>IF(COUNTIFS(allFYsTable[Code], SummaryTable[[#This Row],[Code]], allFYsTable[year2], DB$3)=0, NotFound, SUMIFS(allFYsTable[Actual], allFYsTable[Code], SummaryTable[[#This Row],[Code]], allFYsTable[year2], DB$3))</f>
        <v>22962</v>
      </c>
      <c r="DG58" s="61">
        <f>IF(COUNTIFS(allFYsTable[Code], SummaryTable[[#This Row],[Code]], allFYsTable[year2], DB$3)=0, NotFound, SUMIFS(allFYsTable[DiffAmount], allFYsTable[Code], SummaryTable[[#This Row],[Code]], allFYsTable[year2], DB$3))</f>
        <v>1182</v>
      </c>
      <c r="DH58" s="63">
        <f>IF(SummaryTable[[#This Row],[OriginalBudget14]]=0, IF(SummaryTable[[#This Row],[DiffAmount14]]=0, ZeroBudgetNoSpending, ZeroBudgetWithSpending), SummaryTable[[#This Row],[DiffAmount14]]/SummaryTable[[#This Row],[OriginalBudget14]])</f>
        <v>5.4269972451790632E-2</v>
      </c>
      <c r="DI58" s="62">
        <f>IF(COUNTIFS(allFYsTable[Code], SummaryTable[[#This Row],[Code]], allFYsTable[year2], DI$3)=0, NotFound, SUMIFS(allFYsTable[OriginalBudget], allFYsTable[Code], SummaryTable[[#This Row],[Code]], allFYsTable[year2], DI$3))</f>
        <v>23750</v>
      </c>
      <c r="DJ58" s="61">
        <f>SummaryTable[[#This Row],[OriginalBudget13]]-SummaryTable[[#This Row],[OriginalBudget12]]</f>
        <v>3110</v>
      </c>
      <c r="DK58" s="54">
        <f>SummaryTable[[#This Row],[BudgetIncreaseAmount13]]/SummaryTable[[#This Row],[OriginalBudget12]]</f>
        <v>0.1506782945736434</v>
      </c>
      <c r="DL58" s="61">
        <f>IF(COUNTIFS(allFYsTable[Code], SummaryTable[[#This Row],[Code]], allFYsTable[year2], DI$3)=0, NotFound, SUMIFS(allFYsTable[RevisedBudget], allFYsTable[Code], SummaryTable[[#This Row],[Code]], allFYsTable[year2], DI$3))</f>
        <v>22389</v>
      </c>
      <c r="DM58" s="61">
        <f>IF(COUNTIFS(allFYsTable[Code], SummaryTable[[#This Row],[Code]], allFYsTable[year2], DI$3)=0, NotFound, SUMIFS(allFYsTable[Actual], allFYsTable[Code], SummaryTable[[#This Row],[Code]], allFYsTable[year2], DI$3))</f>
        <v>22389</v>
      </c>
      <c r="DN58" s="61">
        <f>IF(COUNTIFS(allFYsTable[Code], SummaryTable[[#This Row],[Code]], allFYsTable[year2], DI$3)=0, NotFound, SUMIFS(allFYsTable[DiffAmount], allFYsTable[Code], SummaryTable[[#This Row],[Code]], allFYsTable[year2], DI$3))</f>
        <v>-1361</v>
      </c>
      <c r="DO58" s="63">
        <f>IF(SummaryTable[[#This Row],[OriginalBudget13]]=0, IF(SummaryTable[[#This Row],[DiffAmount13]]=0, ZeroBudgetNoSpending, ZeroBudgetWithSpending), SummaryTable[[#This Row],[DiffAmount13]]/SummaryTable[[#This Row],[OriginalBudget13]])</f>
        <v>-5.7305263157894734E-2</v>
      </c>
      <c r="DP58" s="62">
        <f>IF(COUNTIFS(allFYsTable[Code], SummaryTable[[#This Row],[Code]], allFYsTable[year2], DP$3)=0, NotFound, SUMIFS(allFYsTable[OriginalBudget], allFYsTable[Code], SummaryTable[[#This Row],[Code]], allFYsTable[year2], DP$3))</f>
        <v>20640</v>
      </c>
      <c r="DQ58" s="61">
        <f>SummaryTable[[#This Row],[OriginalBudget12]]-SummaryTable[[#This Row],[OriginalBudget11]]</f>
        <v>-17038</v>
      </c>
      <c r="DR58" s="54">
        <f>SummaryTable[[#This Row],[BudgetIncreaseAmount12]]/SummaryTable[[#This Row],[OriginalBudget11]]</f>
        <v>-0.45220022294176976</v>
      </c>
      <c r="DS58" s="61">
        <f>IF(COUNTIFS(allFYsTable[Code], SummaryTable[[#This Row],[Code]], allFYsTable[year2], DP$3)=0, NotFound, SUMIFS(allFYsTable[RevisedBudget], allFYsTable[Code], SummaryTable[[#This Row],[Code]], allFYsTable[year2], DP$3))</f>
        <v>23020</v>
      </c>
      <c r="DT58" s="61">
        <f>IF(COUNTIFS(allFYsTable[Code], SummaryTable[[#This Row],[Code]], allFYsTable[year2], DP$3)=0, NotFound, SUMIFS(allFYsTable[Actual], allFYsTable[Code], SummaryTable[[#This Row],[Code]], allFYsTable[year2], DP$3))</f>
        <v>22778</v>
      </c>
      <c r="DU58" s="61">
        <f>IF(COUNTIFS(allFYsTable[Code], SummaryTable[[#This Row],[Code]], allFYsTable[year2], DP$3)=0, NotFound, SUMIFS(allFYsTable[DiffAmount], allFYsTable[Code], SummaryTable[[#This Row],[Code]], allFYsTable[year2], DP$3))</f>
        <v>2138</v>
      </c>
      <c r="DV58" s="63">
        <f>IF(SummaryTable[[#This Row],[OriginalBudget12]]=0, IF(SummaryTable[[#This Row],[DiffAmount12]]=0, ZeroBudgetNoSpending, ZeroBudgetWithSpending), SummaryTable[[#This Row],[DiffAmount12]]/SummaryTable[[#This Row],[OriginalBudget12]])</f>
        <v>0.10358527131782946</v>
      </c>
      <c r="DW58" s="62">
        <f>IF(COUNTIFS(allFYsTable[Code], SummaryTable[[#This Row],[Code]], allFYsTable[year2], DW$3)=0, NotFound, SUMIFS(allFYsTable[OriginalBudget], allFYsTable[Code], SummaryTable[[#This Row],[Code]], allFYsTable[year2], DW$3))</f>
        <v>37678</v>
      </c>
      <c r="DX58" s="61">
        <f>SummaryTable[[#This Row],[OriginalBudget11]]-SummaryTable[[#This Row],[OriginalBudget10]]</f>
        <v>7916</v>
      </c>
      <c r="DY58" s="54">
        <f>SummaryTable[[#This Row],[BudgetIncreaseAmount11]]/SummaryTable[[#This Row],[OriginalBudget10]]</f>
        <v>0.26597674887440359</v>
      </c>
      <c r="DZ58" s="61">
        <f>IF(COUNTIFS(allFYsTable[Code], SummaryTable[[#This Row],[Code]], allFYsTable[year2], DW$3)=0, NotFound, SUMIFS(allFYsTable[RevisedBudget], allFYsTable[Code], SummaryTable[[#This Row],[Code]], allFYsTable[year2], DW$3))</f>
        <v>31273</v>
      </c>
      <c r="EA58" s="61">
        <f>IF(COUNTIFS(allFYsTable[Code], SummaryTable[[#This Row],[Code]], allFYsTable[year2], DW$3)=0, NotFound, SUMIFS(allFYsTable[Actual], allFYsTable[Code], SummaryTable[[#This Row],[Code]], allFYsTable[year2], DW$3))</f>
        <v>30001</v>
      </c>
      <c r="EB58" s="61">
        <f>IF(COUNTIFS(allFYsTable[Code], SummaryTable[[#This Row],[Code]], allFYsTable[year2], DW$3)=0, NotFound, SUMIFS(allFYsTable[DiffAmount], allFYsTable[Code], SummaryTable[[#This Row],[Code]], allFYsTable[year2], DW$3))</f>
        <v>-7677</v>
      </c>
      <c r="EC58" s="63">
        <f>IF(SummaryTable[[#This Row],[OriginalBudget11]]=0, IF(SummaryTable[[#This Row],[DiffAmount11]]=0, ZeroBudgetNoSpending, ZeroBudgetWithSpending), SummaryTable[[#This Row],[DiffAmount11]]/SummaryTable[[#This Row],[OriginalBudget11]])</f>
        <v>-0.20375285312383884</v>
      </c>
      <c r="ED58" s="62">
        <f>IF(COUNTIFS(allFYsTable[Code], SummaryTable[[#This Row],[Code]], allFYsTable[year2], ED$3)=0, NotFound, SUMIFS(allFYsTable[OriginalBudget], allFYsTable[Code], SummaryTable[[#This Row],[Code]], allFYsTable[year2], ED$3))</f>
        <v>29762</v>
      </c>
      <c r="EE58" s="61" t="e">
        <f>SummaryTable[[#This Row],[OriginalBudget10]]-SummaryTable[[#This Row],[OriginalBudget09]]</f>
        <v>#N/A</v>
      </c>
      <c r="EF58" s="54" t="e">
        <f>SummaryTable[[#This Row],[BudgetIncreaseAmount10]]/SummaryTable[[#This Row],[OriginalBudget09]]</f>
        <v>#N/A</v>
      </c>
      <c r="EG58" s="61">
        <f>IF(COUNTIFS(allFYsTable[Code], SummaryTable[[#This Row],[Code]], allFYsTable[year2], ED$3)=0, NotFound, SUMIFS(allFYsTable[RevisedBudget], allFYsTable[Code], SummaryTable[[#This Row],[Code]], allFYsTable[year2], ED$3))</f>
        <v>29762</v>
      </c>
      <c r="EH58" s="61">
        <f>IF(COUNTIFS(allFYsTable[Code], SummaryTable[[#This Row],[Code]], allFYsTable[year2], ED$3)=0, NotFound, SUMIFS(allFYsTable[Actual], allFYsTable[Code], SummaryTable[[#This Row],[Code]], allFYsTable[year2], ED$3))</f>
        <v>24889</v>
      </c>
      <c r="EI58" s="61">
        <f>IF(COUNTIFS(allFYsTable[Code], SummaryTable[[#This Row],[Code]], allFYsTable[year2], ED$3)=0, NotFound, SUMIFS(allFYsTable[DiffAmount], allFYsTable[Code], SummaryTable[[#This Row],[Code]], allFYsTable[year2], ED$3))</f>
        <v>-4873</v>
      </c>
      <c r="EJ58" s="63">
        <f>IF(SummaryTable[[#This Row],[OriginalBudget10]]=0, IF(SummaryTable[[#This Row],[DiffAmount10]]=0, ZeroBudgetNoSpending, ZeroBudgetWithSpending), SummaryTable[[#This Row],[DiffAmount10]]/SummaryTable[[#This Row],[OriginalBudget10]])</f>
        <v>-0.16373227605671661</v>
      </c>
      <c r="EK58" s="62" t="e">
        <f>IF(COUNTIFS(allFYsTable[Code], SummaryTable[[#This Row],[Code]], allFYsTable[year2], EK$3)=0, NotFound, SUMIFS(allFYsTable[OriginalBudget], allFYsTable[Code], SummaryTable[[#This Row],[Code]], allFYsTable[year2], EK$3))</f>
        <v>#N/A</v>
      </c>
      <c r="EL58" s="61" t="e">
        <f>SummaryTable[[#This Row],[OriginalBudget09]]-SummaryTable[[#This Row],[OriginalBudget08]]</f>
        <v>#N/A</v>
      </c>
      <c r="EM58" s="54" t="e">
        <f>SummaryTable[[#This Row],[BudgetIncreaseAmount09]]/SummaryTable[[#This Row],[OriginalBudget08]]</f>
        <v>#N/A</v>
      </c>
      <c r="EN58" s="61" t="e">
        <f>IF(COUNTIFS(allFYsTable[Code], SummaryTable[[#This Row],[Code]], allFYsTable[year2], EK$3)=0, NotFound, SUMIFS(allFYsTable[RevisedBudget], allFYsTable[Code], SummaryTable[[#This Row],[Code]], allFYsTable[year2], EK$3))</f>
        <v>#N/A</v>
      </c>
      <c r="EO58" s="61" t="e">
        <f>IF(COUNTIFS(allFYsTable[Code], SummaryTable[[#This Row],[Code]], allFYsTable[year2], EK$3)=0, NotFound, SUMIFS(allFYsTable[Actual], allFYsTable[Code], SummaryTable[[#This Row],[Code]], allFYsTable[year2], EK$3))</f>
        <v>#N/A</v>
      </c>
      <c r="EP58" s="61" t="e">
        <f>IF(COUNTIFS(allFYsTable[Code], SummaryTable[[#This Row],[Code]], allFYsTable[year2], EK$3)=0, NotFound, SUMIFS(allFYsTable[DiffAmount], allFYsTable[Code], SummaryTable[[#This Row],[Code]], allFYsTable[year2], EK$3))</f>
        <v>#N/A</v>
      </c>
      <c r="EQ58" s="63" t="e">
        <f>IF(SummaryTable[[#This Row],[OriginalBudget09]]=0, IF(SummaryTable[[#This Row],[DiffAmount09]]=0, ZeroBudgetNoSpending, ZeroBudgetWithSpending), SummaryTable[[#This Row],[DiffAmount09]]/SummaryTable[[#This Row],[OriginalBudget09]])</f>
        <v>#N/A</v>
      </c>
      <c r="ER58" s="62" t="e">
        <f>IF(COUNTIFS(allFYsTable[Code], SummaryTable[[#This Row],[Code]], allFYsTable[year2], ER$3)=0, NotFound, SUMIFS(allFYsTable[OriginalBudget], allFYsTable[Code], SummaryTable[[#This Row],[Code]], allFYsTable[year2], ER$3))</f>
        <v>#N/A</v>
      </c>
      <c r="ES58" s="61" t="e">
        <f>SummaryTable[[#This Row],[OriginalBudget08]]-SummaryTable[[#This Row],[OriginalBudget07]]</f>
        <v>#N/A</v>
      </c>
      <c r="ET58" s="54" t="e">
        <f>SummaryTable[[#This Row],[BudgetIncreaseAmount08]]/SummaryTable[[#This Row],[OriginalBudget07]]</f>
        <v>#N/A</v>
      </c>
      <c r="EU58" s="61" t="e">
        <f>IF(COUNTIFS(allFYsTable[Code], SummaryTable[[#This Row],[Code]], allFYsTable[year2], ER$3)=0, NotFound, SUMIFS(allFYsTable[RevisedBudget], allFYsTable[Code], SummaryTable[[#This Row],[Code]], allFYsTable[year2], ER$3))</f>
        <v>#N/A</v>
      </c>
      <c r="EV58" s="61" t="e">
        <f>IF(COUNTIFS(allFYsTable[Code], SummaryTable[[#This Row],[Code]], allFYsTable[year2], ER$3)=0, NotFound, SUMIFS(allFYsTable[Actual], allFYsTable[Code], SummaryTable[[#This Row],[Code]], allFYsTable[year2], ER$3))</f>
        <v>#N/A</v>
      </c>
      <c r="EW58" s="61" t="e">
        <f>IF(COUNTIFS(allFYsTable[Code], SummaryTable[[#This Row],[Code]], allFYsTable[year2], ER$3)=0, NotFound, SUMIFS(allFYsTable[DiffAmount], allFYsTable[Code], SummaryTable[[#This Row],[Code]], allFYsTable[year2], ER$3))</f>
        <v>#N/A</v>
      </c>
      <c r="EX58" s="63" t="e">
        <f>IF(SummaryTable[[#This Row],[OriginalBudget08]]=0, IF(SummaryTable[[#This Row],[DiffAmount08]]=0, ZeroBudgetNoSpending, ZeroBudgetWithSpending), SummaryTable[[#This Row],[DiffAmount08]]/SummaryTable[[#This Row],[OriginalBudget08]])</f>
        <v>#N/A</v>
      </c>
      <c r="EY58" s="62" t="e">
        <f>IF(COUNTIFS(allFYsTable[Code], SummaryTable[[#This Row],[Code]], allFYsTable[year2], EY$3)=0, NotFound, SUMIFS(allFYsTable[OriginalBudget], allFYsTable[Code], SummaryTable[[#This Row],[Code]], allFYsTable[year2], EY$3))</f>
        <v>#N/A</v>
      </c>
      <c r="EZ58" s="61" t="e">
        <f>SummaryTable[[#This Row],[OriginalBudget07]]-SummaryTable[[#This Row],[OriginalBudget06]]</f>
        <v>#N/A</v>
      </c>
      <c r="FA58" s="54" t="e">
        <f>SummaryTable[[#This Row],[BudgetIncreaseAmount07]]/SummaryTable[[#This Row],[OriginalBudget06]]</f>
        <v>#N/A</v>
      </c>
      <c r="FB58" s="61" t="e">
        <f>IF(COUNTIFS(allFYsTable[Code], SummaryTable[[#This Row],[Code]], allFYsTable[year2], EY$3)=0, NotFound, SUMIFS(allFYsTable[RevisedBudget], allFYsTable[Code], SummaryTable[[#This Row],[Code]], allFYsTable[year2], EY$3))</f>
        <v>#N/A</v>
      </c>
      <c r="FC58" s="61" t="e">
        <f>IF(COUNTIFS(allFYsTable[Code], SummaryTable[[#This Row],[Code]], allFYsTable[year2], EY$3)=0, NotFound, SUMIFS(allFYsTable[Actual], allFYsTable[Code], SummaryTable[[#This Row],[Code]], allFYsTable[year2], EY$3))</f>
        <v>#N/A</v>
      </c>
      <c r="FD58" s="61" t="e">
        <f>IF(COUNTIFS(allFYsTable[Code], SummaryTable[[#This Row],[Code]], allFYsTable[year2], EY$3)=0, NotFound, SUMIFS(allFYsTable[DiffAmount], allFYsTable[Code], SummaryTable[[#This Row],[Code]], allFYsTable[year2], EY$3))</f>
        <v>#N/A</v>
      </c>
      <c r="FE58" s="63" t="e">
        <f>IF(SummaryTable[[#This Row],[OriginalBudget07]]=0, IF(SummaryTable[[#This Row],[DiffAmount07]]=0, ZeroBudgetNoSpending, ZeroBudgetWithSpending), SummaryTable[[#This Row],[DiffAmount07]]/SummaryTable[[#This Row],[OriginalBudget07]])</f>
        <v>#N/A</v>
      </c>
      <c r="FF58" s="62" t="e">
        <f>IF(COUNTIFS(allFYsTable[Code], SummaryTable[[#This Row],[Code]], allFYsTable[year2], FF$3)=0, NotFound, SUMIFS(allFYsTable[OriginalBudget], allFYsTable[Code], SummaryTable[[#This Row],[Code]], allFYsTable[year2], FF$3))</f>
        <v>#N/A</v>
      </c>
      <c r="FI58" s="61" t="e">
        <f>IF(COUNTIFS(allFYsTable[Code], SummaryTable[[#This Row],[Code]], allFYsTable[year2], FF$3)=0, NotFound, SUMIFS(allFYsTable[RevisedBudget], allFYsTable[Code], SummaryTable[[#This Row],[Code]], allFYsTable[year2], FF$3))</f>
        <v>#N/A</v>
      </c>
      <c r="FJ58" s="61" t="e">
        <f>IF(COUNTIFS(allFYsTable[Code], SummaryTable[[#This Row],[Code]], allFYsTable[year2], FF$3)=0, NotFound, SUMIFS(allFYsTable[Actual], allFYsTable[Code], SummaryTable[[#This Row],[Code]], allFYsTable[year2], FF$3))</f>
        <v>#N/A</v>
      </c>
      <c r="FK58" s="61" t="e">
        <f>IF(COUNTIFS(allFYsTable[Code], SummaryTable[[#This Row],[Code]], allFYsTable[year2], FF$3)=0, NotFound, SUMIFS(allFYsTable[DiffAmount], allFYsTable[Code], SummaryTable[[#This Row],[Code]], allFYsTable[year2], FF$3))</f>
        <v>#N/A</v>
      </c>
      <c r="FL58" s="63" t="e">
        <f>IF(SummaryTable[[#This Row],[OriginalBudget06]]=0, IF(SummaryTable[[#This Row],[DiffAmount06]]=0, ZeroBudgetNoSpending, ZeroBudgetWithSpending), SummaryTable[[#This Row],[DiffAmount06]]/SummaryTable[[#This Row],[OriginalBudget06]])</f>
        <v>#N/A</v>
      </c>
    </row>
    <row r="59" spans="1:168" x14ac:dyDescent="0.45">
      <c r="A59" t="s">
        <v>756</v>
      </c>
      <c r="B59">
        <f>_xlfn.MAXIFS(allFYsTable[year2], allFYsTable[Code], SummaryTable[[#This Row],[Code]])</f>
        <v>2025</v>
      </c>
      <c r="C59" t="str">
        <f>_xlfn.XLOOKUP(SummaryTable[[#This Row],[Code]], NameCodingTable[Code], NameCodingTable[Most Recent Category per allFYs])</f>
        <v>Public safety and justice</v>
      </c>
      <c r="D59" t="str">
        <f>_xlfn.XLOOKUP(SummaryTable[[#This Row],[Code]], NameCodingTable[Code], NameCodingTable[Unit Display Name])</f>
        <v>Homeland Security and Emergency Management Agency (HSEMA)</v>
      </c>
      <c r="E59" t="str">
        <f>_xlfn.XLOOKUP(SummaryTable[[#This Row],[Code]], NameCodingTable[Code], NameCodingTable[Type])</f>
        <v>agency</v>
      </c>
      <c r="F5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5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11</v>
      </c>
      <c r="H59" s="54">
        <f>SummaryTable[[#This Row],['# Over]]/SummaryTable[[#This Row],[Count]]</f>
        <v>0.55000000000000004</v>
      </c>
      <c r="I5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9</v>
      </c>
      <c r="J59" s="54">
        <f>SummaryTable[[#This Row],['# Under]]/SummaryTable[[#This Row],[Count]]</f>
        <v>0.45</v>
      </c>
      <c r="K5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59" s="54">
        <f>SummaryTable[[#This Row],['# Equal]]/SummaryTable[[#This Row],[Count]]</f>
        <v>0</v>
      </c>
      <c r="M59" s="61">
        <f>SUMIFS(allFYsTable[OriginalBudget],allFYsTable[Code],SummaryTable[[#This Row],[Code]])/SummaryTable[[#This Row],[Count]]</f>
        <v>4426.95</v>
      </c>
      <c r="N59" s="61">
        <f>SUMIFS(allFYsTable[Actual],allFYsTable[Code],SummaryTable[[#This Row],[Code]])/SummaryTable[[#This Row],[Count]]</f>
        <v>5048.1000000000004</v>
      </c>
      <c r="O59" s="61">
        <f>SummaryTable[[#This Row],[AvgActAmt]]-SummaryTable[[#This Row],[AvgBudAmt]]</f>
        <v>621.15000000000055</v>
      </c>
      <c r="P59" s="54">
        <f>IF(SummaryTable[[#This Row],[AvgBudAmt]]=0, IF(SummaryTable[[#This Row],[AvgDiff'#]]=0, 0, NamedFields!$C$3), SummaryTable[[#This Row],[AvgDiff'#]]/SummaryTable[[#This Row],[AvgBudAmt]])</f>
        <v>0.1403110493680752</v>
      </c>
      <c r="Q59" s="61">
        <f>IFERROR(SUMIFS(allFYsTable[OriginalBudget],allFYsTable[Code],SummaryTable[[#This Row],[Code]],allFYsTable[DiffAmount], "&gt;0")/SummaryTable[[#This Row],['# Over]], 0)</f>
        <v>4291.818181818182</v>
      </c>
      <c r="R59" s="61">
        <f>IFERROR(SUMIFS(allFYsTable[Actual],allFYsTable[Code],SummaryTable[[#This Row],[Code]],allFYsTable[DiffAmount], "&gt;0")/SummaryTable[[#This Row],['# Over]], 0)</f>
        <v>5594.181818181818</v>
      </c>
      <c r="S59" s="61">
        <f>SummaryTable[[#This Row],[OverAvgAct]]-SummaryTable[[#This Row],[OverAvgBud]]</f>
        <v>1302.363636363636</v>
      </c>
      <c r="T59" s="54">
        <f>IF(SummaryTable[[#This Row],[OverAvgBud]]=0, IF(SummaryTable[[#This Row],[OverAvgDiff'#]]=0, ZeroBudgetNoSpending, ZeroBudgetWithSpending), SummaryTable[[#This Row],[OverAvgDiff'#]]/SummaryTable[[#This Row],[OverAvgBud]])</f>
        <v>0.30345265833509838</v>
      </c>
      <c r="U59" s="61">
        <f>IFERROR(SUMIFS(allFYsTable[OriginalBudget],allFYsTable[Code],SummaryTable[[#This Row],[Code]],allFYsTable[DiffAmount], "&lt;0")/SummaryTable[[#This Row],['# Under]], 0)</f>
        <v>4592.1111111111113</v>
      </c>
      <c r="V59" s="61">
        <f>IFERROR( SUMIFS(allFYsTable[Actual],allFYsTable[Code],SummaryTable[[#This Row],[Code]],allFYsTable[DiffAmount], "&lt;0")/SummaryTable[[#This Row],['# Under]], 0)</f>
        <v>4380.666666666667</v>
      </c>
      <c r="W59" s="61">
        <f>SummaryTable[[#This Row],[UnderAvgAct]]-SummaryTable[[#This Row],[UnderAvgBud]]</f>
        <v>-211.44444444444434</v>
      </c>
      <c r="X59" s="54">
        <f>IF(SummaryTable[[#This Row],[UnderAvgBud]]=0, IF(SummaryTable[[#This Row],[UnderAvgDiff'#]]=0, ZeroBudgetNoSpending, NamedFields!$C$3), SummaryTable[[#This Row],[UnderAvgDiff'#]]/SummaryTable[[#This Row],[UnderAvgBud]])</f>
        <v>-4.6045149894747006E-2</v>
      </c>
      <c r="Y5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5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59" s="54">
        <f>IF(SummaryTable[[#This Row],[IncreaseYears]]=0, ZeroBudgetNoSpending, SummaryTable[[#This Row],[OSinIncreaseYear'#]]/SummaryTable[[#This Row],[IncreaseYears]])</f>
        <v>0</v>
      </c>
      <c r="AB59" s="58" t="str">
        <f>SummaryTable[[#This Row],[Code]]</f>
        <v>BN0</v>
      </c>
      <c r="AC59" s="62">
        <f>IF(COUNTIFS(allFYsTable[Code], SummaryTable[[#This Row],[Code]], allFYsTable[year2], AC$3)=0, NotFound, SUMIFS(allFYsTable[OriginalBudget], allFYsTable[Code], SummaryTable[[#This Row],[Code]], allFYsTable[year2], AC$3))</f>
        <v>6180</v>
      </c>
      <c r="AD59" s="61">
        <f>SummaryTable[[#This Row],[OriginalBudget25]]-SummaryTable[[#This Row],[OriginalBudget24]]</f>
        <v>33</v>
      </c>
      <c r="AE59" s="54">
        <f>SummaryTable[[#This Row],[BudgetIncreaseAmount25]]/SummaryTable[[#This Row],[OriginalBudget24]]</f>
        <v>5.3684724255734506E-3</v>
      </c>
      <c r="AF59" s="61">
        <f>IF(COUNTIFS(allFYsTable[Code], SummaryTable[[#This Row],[Code]], allFYsTable[year2], AC$3)=0, NotFound, SUMIFS(allFYsTable[RevisedBudget], allFYsTable[Code], SummaryTable[[#This Row],[Code]], allFYsTable[year2], AC$3))</f>
        <v>11064</v>
      </c>
      <c r="AG59" s="61">
        <f>IF(COUNTIFS(allFYsTable[Code], SummaryTable[[#This Row],[Code]], allFYsTable[year2], AC$3)=0, NotFound, SUMIFS(allFYsTable[Actual], allFYsTable[Code], SummaryTable[[#This Row],[Code]], allFYsTable[year2], AC$3))</f>
        <v>10414</v>
      </c>
      <c r="AH59" s="61">
        <f>IF(COUNTIFS(allFYsTable[Code], SummaryTable[[#This Row],[Code]], allFYsTable[year2], AC$3)=0, NotFound, SUMIFS(allFYsTable[DiffAmount], allFYsTable[Code], SummaryTable[[#This Row],[Code]], allFYsTable[year2], AC$3))</f>
        <v>4234</v>
      </c>
      <c r="AI59" s="63">
        <f>IF(SummaryTable[[#This Row],[OriginalBudget25]]=0, IF(SummaryTable[[#This Row],[DiffAmount25]]=0, ZeroBudgetNoSpending, ZeroBudgetWithSpending), SummaryTable[[#This Row],[DiffAmount25]]/SummaryTable[[#This Row],[OriginalBudget25]])</f>
        <v>0.68511326860841426</v>
      </c>
      <c r="AJ59" s="62">
        <f>IF(COUNTIFS(allFYsTable[Code], SummaryTable[[#This Row],[Code]], allFYsTable[year2], AJ$3)=0, NotFound, SUMIFS(allFYsTable[OriginalBudget], allFYsTable[Code], SummaryTable[[#This Row],[Code]], allFYsTable[year2], AJ$3))</f>
        <v>6147</v>
      </c>
      <c r="AK59" s="61">
        <f>SummaryTable[[#This Row],[OriginalBudget24]]-SummaryTable[[#This Row],[OriginalBudget23]]</f>
        <v>128</v>
      </c>
      <c r="AL59" s="54">
        <f>SummaryTable[[#This Row],[BudgetIncreaseAmount24]]/SummaryTable[[#This Row],[OriginalBudget23]]</f>
        <v>2.1265991028410036E-2</v>
      </c>
      <c r="AM59" s="61">
        <f>IF(COUNTIFS(allFYsTable[Code], SummaryTable[[#This Row],[Code]], allFYsTable[year2], AK$3)=0, NotFound, SUMIFS(allFYsTable[RevisedBudget], allFYsTable[Code], SummaryTable[[#This Row],[Code]], allFYsTable[year2], AJ$3))</f>
        <v>6192</v>
      </c>
      <c r="AN59" s="61">
        <f>IF(COUNTIFS(allFYsTable[Code], SummaryTable[[#This Row],[Code]], allFYsTable[year2], AJ$3)=0, NotFound, SUMIFS(allFYsTable[Actual], allFYsTable[Code], SummaryTable[[#This Row],[Code]], allFYsTable[year2], AJ$3))</f>
        <v>6184</v>
      </c>
      <c r="AO59" s="61">
        <f>IF(COUNTIFS(allFYsTable[Code], SummaryTable[[#This Row],[Code]], allFYsTable[year2], AJ$3)=0, NotFound, SUMIFS(allFYsTable[DiffAmount], allFYsTable[Code], SummaryTable[[#This Row],[Code]], allFYsTable[year2], AJ$3))</f>
        <v>37</v>
      </c>
      <c r="AP59" s="63">
        <f>IF(SummaryTable[[#This Row],[OriginalBudget24]]=0, IF(SummaryTable[[#This Row],[DiffAmount24]]=0, ZeroBudgetNoSpending, ZeroBudgetWithSpending), SummaryTable[[#This Row],[DiffAmount24]]/SummaryTable[[#This Row],[OriginalBudget24]])</f>
        <v>6.0191963559459898E-3</v>
      </c>
      <c r="AQ59" s="62">
        <f>IF(COUNTIFS(allFYsTable[Code], SummaryTable[[#This Row],[Code]], allFYsTable[year2], AQ$3)=0, NotFound, SUMIFS(allFYsTable[OriginalBudget], allFYsTable[Code], SummaryTable[[#This Row],[Code]], allFYsTable[year2], AQ$3))</f>
        <v>6019</v>
      </c>
      <c r="AR59" s="61">
        <f>SummaryTable[[#This Row],[OriginalBudget23]]-SummaryTable[[#This Row],[OriginalBudget22]]</f>
        <v>352</v>
      </c>
      <c r="AS59" s="54">
        <f>SummaryTable[[#This Row],[BudgetIncreaseAmount23]]/SummaryTable[[#This Row],[OriginalBudget22]]</f>
        <v>6.2113993294512088E-2</v>
      </c>
      <c r="AT59" s="61">
        <f>IF(COUNTIFS(allFYsTable[Code], SummaryTable[[#This Row],[Code]], allFYsTable[year2], AQ$3)=0, NotFound, SUMIFS(allFYsTable[RevisedBudget], allFYsTable[Code], SummaryTable[[#This Row],[Code]], allFYsTable[year2], AQ$3))</f>
        <v>9189</v>
      </c>
      <c r="AU59" s="61">
        <f>IF(COUNTIFS(allFYsTable[Code], SummaryTable[[#This Row],[Code]], allFYsTable[year2], AQ$3)=0, NotFound, SUMIFS(allFYsTable[Actual], allFYsTable[Code], SummaryTable[[#This Row],[Code]], allFYsTable[year2], AQ$3))</f>
        <v>8883</v>
      </c>
      <c r="AV59" s="61">
        <f>IF(COUNTIFS(allFYsTable[Code], SummaryTable[[#This Row],[Code]], allFYsTable[year2], AQ$3)=0, NotFound, SUMIFS(allFYsTable[DiffAmount], allFYsTable[Code], SummaryTable[[#This Row],[Code]], allFYsTable[year2], AQ$3))</f>
        <v>2864</v>
      </c>
      <c r="AW59" s="63">
        <f>IF(SummaryTable[[#This Row],[OriginalBudget23]]=0, IF(SummaryTable[[#This Row],[DiffAmount23]]=0, ZeroBudgetNoSpending, ZeroBudgetWithSpending), SummaryTable[[#This Row],[DiffAmount23]]/SummaryTable[[#This Row],[OriginalBudget23]])</f>
        <v>0.47582654926067453</v>
      </c>
      <c r="AX59" s="62">
        <f>IF(COUNTIFS(allFYsTable[Code], SummaryTable[[#This Row],[Code]], allFYsTable[year2], AX$3)=0, NotFound, SUMIFS(allFYsTable[OriginalBudget], allFYsTable[Code], SummaryTable[[#This Row],[Code]], allFYsTable[year2], AX$3))</f>
        <v>5667</v>
      </c>
      <c r="AY59" s="61">
        <f>SummaryTable[[#This Row],[OriginalBudget22]]-SummaryTable[[#This Row],[OriginalBudget21]]</f>
        <v>136</v>
      </c>
      <c r="AZ59" s="54">
        <f>SummaryTable[[#This Row],[BudgetIncreaseAmount22]]/SummaryTable[[#This Row],[OriginalBudget21]]</f>
        <v>2.4588681974326523E-2</v>
      </c>
      <c r="BA59" s="61">
        <f>IF(COUNTIFS(allFYsTable[Code], SummaryTable[[#This Row],[Code]], allFYsTable[year2], AX$3)=0, NotFound, SUMIFS(allFYsTable[RevisedBudget], allFYsTable[Code], SummaryTable[[#This Row],[Code]], allFYsTable[year2], AX$3))</f>
        <v>9667</v>
      </c>
      <c r="BB59" s="61">
        <f>IF(COUNTIFS(allFYsTable[Code], SummaryTable[[#This Row],[Code]], allFYsTable[year2], AX$3)=0, NotFound, SUMIFS(allFYsTable[Actual], allFYsTable[Code], SummaryTable[[#This Row],[Code]], allFYsTable[year2], AX$3))</f>
        <v>9634</v>
      </c>
      <c r="BC59" s="61">
        <f>IF(COUNTIFS(allFYsTable[Code], SummaryTable[[#This Row],[Code]], allFYsTable[year2], AX$3)=0, NotFound, SUMIFS(allFYsTable[DiffAmount], allFYsTable[Code], SummaryTable[[#This Row],[Code]], allFYsTable[year2], AX$3))</f>
        <v>3967</v>
      </c>
      <c r="BD59" s="63">
        <f>IF(SummaryTable[[#This Row],[OriginalBudget22]]=0, IF(SummaryTable[[#This Row],[DiffAmount22]]=0, ZeroBudgetNoSpending, ZeroBudgetWithSpending), SummaryTable[[#This Row],[DiffAmount22]]/SummaryTable[[#This Row],[OriginalBudget22]])</f>
        <v>0.70001764602082228</v>
      </c>
      <c r="BE59" s="62">
        <f>IF(COUNTIFS(allFYsTable[Code], SummaryTable[[#This Row],[Code]], allFYsTable[year2], BE$3)=0, NotFound, SUMIFS(allFYsTable[OriginalBudget], allFYsTable[Code], SummaryTable[[#This Row],[Code]], allFYsTable[year2], BE$3))</f>
        <v>5531</v>
      </c>
      <c r="BF59" s="61">
        <f>SummaryTable[[#This Row],[OriginalBudget21]]-SummaryTable[[#This Row],[OriginalBudget20]]</f>
        <v>34</v>
      </c>
      <c r="BG59" s="54">
        <f>SummaryTable[[#This Row],[BudgetIncreaseAmount21]]/SummaryTable[[#This Row],[OriginalBudget20]]</f>
        <v>6.1851919228670185E-3</v>
      </c>
      <c r="BH59" s="61">
        <f>IF(COUNTIFS(allFYsTable[Code], SummaryTable[[#This Row],[Code]], allFYsTable[year2], BE$3)=0, NotFound, SUMIFS(allFYsTable[RevisedBudget], allFYsTable[Code], SummaryTable[[#This Row],[Code]], allFYsTable[year2], BE$3))</f>
        <v>6016</v>
      </c>
      <c r="BI59" s="61">
        <f>IF(COUNTIFS(allFYsTable[Code], SummaryTable[[#This Row],[Code]], allFYsTable[year2], BE$3)=0, NotFound, SUMIFS(allFYsTable[Actual], allFYsTable[Code], SummaryTable[[#This Row],[Code]], allFYsTable[year2], BE$3))</f>
        <v>5993</v>
      </c>
      <c r="BJ59" s="61">
        <f>IF(COUNTIFS(allFYsTable[Code], SummaryTable[[#This Row],[Code]], allFYsTable[year2], BE$3)=0, NotFound, SUMIFS(allFYsTable[DiffAmount], allFYsTable[Code], SummaryTable[[#This Row],[Code]], allFYsTable[year2], BE$3))</f>
        <v>462</v>
      </c>
      <c r="BK59" s="63">
        <f>IF(SummaryTable[[#This Row],[OriginalBudget21]]=0, IF(SummaryTable[[#This Row],[DiffAmount21]]=0, ZeroBudgetNoSpending, ZeroBudgetWithSpending), SummaryTable[[#This Row],[DiffAmount21]]/SummaryTable[[#This Row],[OriginalBudget21]])</f>
        <v>8.3529199059844517E-2</v>
      </c>
      <c r="BL59" s="62">
        <f>IF(COUNTIFS(allFYsTable[Code], SummaryTable[[#This Row],[Code]], allFYsTable[year2], BL$3)=0, NotFound, SUMIFS(allFYsTable[OriginalBudget], allFYsTable[Code], SummaryTable[[#This Row],[Code]], allFYsTable[year2], BL$3))</f>
        <v>5497</v>
      </c>
      <c r="BM59" s="61">
        <f>SummaryTable[[#This Row],[OriginalBudget20]]-SummaryTable[[#This Row],[OriginalBudget19]]</f>
        <v>344</v>
      </c>
      <c r="BN59" s="54">
        <f>SummaryTable[[#This Row],[BudgetIncreaseAmount20]]/SummaryTable[[#This Row],[OriginalBudget19]]</f>
        <v>6.6757228798758006E-2</v>
      </c>
      <c r="BO59" s="61">
        <f>IF(COUNTIFS(allFYsTable[Code], SummaryTable[[#This Row],[Code]], allFYsTable[year2], BL$3)=0, NotFound, SUMIFS(allFYsTable[RevisedBudget], allFYsTable[Code], SummaryTable[[#This Row],[Code]], allFYsTable[year2], BL$3))</f>
        <v>5623</v>
      </c>
      <c r="BP59" s="61">
        <f>IF(COUNTIFS(allFYsTable[Code], SummaryTable[[#This Row],[Code]], allFYsTable[year2], BL$3)=0, NotFound, SUMIFS(allFYsTable[Actual], allFYsTable[Code], SummaryTable[[#This Row],[Code]], allFYsTable[year2], BL$3))</f>
        <v>5322</v>
      </c>
      <c r="BQ59" s="61">
        <f>IF(COUNTIFS(allFYsTable[Code], SummaryTable[[#This Row],[Code]], allFYsTable[year2], BL$3)=0, NotFound, SUMIFS(allFYsTable[DiffAmount], allFYsTable[Code], SummaryTable[[#This Row],[Code]], allFYsTable[year2], BL$3))</f>
        <v>-175</v>
      </c>
      <c r="BR59" s="63">
        <f>IF(SummaryTable[[#This Row],[OriginalBudget20]]=0, IF(SummaryTable[[#This Row],[DiffAmount20]]=0, ZeroBudgetNoSpending, ZeroBudgetWithSpending), SummaryTable[[#This Row],[DiffAmount20]]/SummaryTable[[#This Row],[OriginalBudget20]])</f>
        <v>-3.1835546661815539E-2</v>
      </c>
      <c r="BS59" s="62">
        <f>IF(COUNTIFS(allFYsTable[Code], SummaryTable[[#This Row],[Code]], allFYsTable[year2], BS$3)=0, NotFound, SUMIFS(allFYsTable[OriginalBudget], allFYsTable[Code], SummaryTable[[#This Row],[Code]], allFYsTable[year2], BS$3))</f>
        <v>5153</v>
      </c>
      <c r="BT59" s="61">
        <f>SummaryTable[[#This Row],[OriginalBudget19]]-SummaryTable[[#This Row],[OriginalBudget18]]</f>
        <v>326</v>
      </c>
      <c r="BU59" s="54">
        <f>SummaryTable[[#This Row],[BudgetIncreaseAmount19]]/SummaryTable[[#This Row],[OriginalBudget18]]</f>
        <v>6.7536772322353431E-2</v>
      </c>
      <c r="BV59" s="61">
        <f>IF(COUNTIFS(allFYsTable[Code], SummaryTable[[#This Row],[Code]], allFYsTable[year2], BS$3)=0, NotFound, SUMIFS(allFYsTable[RevisedBudget], allFYsTable[Code], SummaryTable[[#This Row],[Code]], allFYsTable[year2], BS$3))</f>
        <v>5103</v>
      </c>
      <c r="BW59" s="61">
        <f>IF(COUNTIFS(allFYsTable[Code], SummaryTable[[#This Row],[Code]], allFYsTable[year2], BS$3)=0, NotFound, SUMIFS(allFYsTable[Actual], allFYsTable[Code], SummaryTable[[#This Row],[Code]], allFYsTable[year2], BS$3))</f>
        <v>5050</v>
      </c>
      <c r="BX59" s="61">
        <f>IF(COUNTIFS(allFYsTable[Code], SummaryTable[[#This Row],[Code]], allFYsTable[year2], BS$3)=0, NotFound, SUMIFS(allFYsTable[DiffAmount], allFYsTable[Code], SummaryTable[[#This Row],[Code]], allFYsTable[year2], BS$3))</f>
        <v>-103</v>
      </c>
      <c r="BY59" s="63">
        <f>IF(SummaryTable[[#This Row],[OriginalBudget19]]=0, IF(SummaryTable[[#This Row],[DiffAmount19]]=0, ZeroBudgetNoSpending, ZeroBudgetWithSpending), SummaryTable[[#This Row],[DiffAmount19]]/SummaryTable[[#This Row],[OriginalBudget19]])</f>
        <v>-1.9988356297302542E-2</v>
      </c>
      <c r="BZ59" s="62">
        <f>IF(COUNTIFS(allFYsTable[Code], SummaryTable[[#This Row],[Code]], allFYsTable[year2], BZ$3)=0, NotFound, SUMIFS(allFYsTable[OriginalBudget], allFYsTable[Code], SummaryTable[[#This Row],[Code]], allFYsTable[year2], BZ$3))</f>
        <v>4827</v>
      </c>
      <c r="CA59" s="61">
        <f>SummaryTable[[#This Row],[OriginalBudget18]]-SummaryTable[[#This Row],[OriginalBudget17]]</f>
        <v>160</v>
      </c>
      <c r="CB59" s="54">
        <f>SummaryTable[[#This Row],[BudgetIncreaseAmount18]]/SummaryTable[[#This Row],[OriginalBudget17]]</f>
        <v>3.4283265481037072E-2</v>
      </c>
      <c r="CC59" s="61">
        <f>IF(COUNTIFS(allFYsTable[Code], SummaryTable[[#This Row],[Code]], allFYsTable[year2], BZ$3)=0, NotFound, SUMIFS(allFYsTable[RevisedBudget], allFYsTable[Code], SummaryTable[[#This Row],[Code]], allFYsTable[year2], BZ$3))</f>
        <v>4855</v>
      </c>
      <c r="CD59" s="61">
        <f>IF(COUNTIFS(allFYsTable[Code], SummaryTable[[#This Row],[Code]], allFYsTable[year2], BZ$3)=0, NotFound, SUMIFS(allFYsTable[Actual], allFYsTable[Code], SummaryTable[[#This Row],[Code]], allFYsTable[year2], BZ$3))</f>
        <v>4852</v>
      </c>
      <c r="CE59" s="61">
        <f>IF(COUNTIFS(allFYsTable[Code], SummaryTable[[#This Row],[Code]], allFYsTable[year2], BZ$3)=0, NotFound, SUMIFS(allFYsTable[DiffAmount], allFYsTable[Code], SummaryTable[[#This Row],[Code]], allFYsTable[year2], BZ$3))</f>
        <v>25</v>
      </c>
      <c r="CF59" s="63">
        <f>IF(SummaryTable[[#This Row],[OriginalBudget18]]=0, IF(SummaryTable[[#This Row],[DiffAmount18]]=0, ZeroBudgetNoSpending, ZeroBudgetWithSpending), SummaryTable[[#This Row],[DiffAmount18]]/SummaryTable[[#This Row],[OriginalBudget18]])</f>
        <v>5.1792003314688213E-3</v>
      </c>
      <c r="CG59" s="62">
        <f>IF(COUNTIFS(allFYsTable[Code], SummaryTable[[#This Row],[Code]], allFYsTable[year2], CG$3)=0, NotFound, SUMIFS(allFYsTable[OriginalBudget], allFYsTable[Code], SummaryTable[[#This Row],[Code]], allFYsTable[year2], CG$3))</f>
        <v>4667</v>
      </c>
      <c r="CH59" s="61">
        <f>SummaryTable[[#This Row],[OriginalBudget17]]-SummaryTable[[#This Row],[OriginalBudget16]]</f>
        <v>115</v>
      </c>
      <c r="CI59" s="54">
        <f>SummaryTable[[#This Row],[BudgetIncreaseAmount17]]/SummaryTable[[#This Row],[OriginalBudget16]]</f>
        <v>2.5263620386643235E-2</v>
      </c>
      <c r="CJ59" s="61">
        <f>IF(COUNTIFS(allFYsTable[Code], SummaryTable[[#This Row],[Code]], allFYsTable[year2], CG$3)=0, NotFound, SUMIFS(allFYsTable[RevisedBudget], allFYsTable[Code], SummaryTable[[#This Row],[Code]], allFYsTable[year2], CG$3))</f>
        <v>4667</v>
      </c>
      <c r="CK59" s="61">
        <f>IF(COUNTIFS(allFYsTable[Code], SummaryTable[[#This Row],[Code]], allFYsTable[year2], CG$3)=0, NotFound, SUMIFS(allFYsTable[Actual], allFYsTable[Code], SummaryTable[[#This Row],[Code]], allFYsTable[year2], CG$3))</f>
        <v>4665</v>
      </c>
      <c r="CL59" s="61">
        <f>IF(COUNTIFS(allFYsTable[Code], SummaryTable[[#This Row],[Code]], allFYsTable[year2], CG$3)=0, NotFound, SUMIFS(allFYsTable[DiffAmount], allFYsTable[Code], SummaryTable[[#This Row],[Code]], allFYsTable[year2], CG$3))</f>
        <v>-2</v>
      </c>
      <c r="CM59" s="63">
        <f>IF(SummaryTable[[#This Row],[OriginalBudget17]]=0, IF(SummaryTable[[#This Row],[DiffAmount17]]=0, ZeroBudgetNoSpending, ZeroBudgetWithSpending), SummaryTable[[#This Row],[DiffAmount17]]/SummaryTable[[#This Row],[OriginalBudget17]])</f>
        <v>-4.2854081851296334E-4</v>
      </c>
      <c r="CN59" s="62">
        <f>IF(COUNTIFS(allFYsTable[Code], SummaryTable[[#This Row],[Code]], allFYsTable[year2], CN$3)=0, NotFound, SUMIFS(allFYsTable[OriginalBudget], allFYsTable[Code], SummaryTable[[#This Row],[Code]], allFYsTable[year2], CN$3))</f>
        <v>4552</v>
      </c>
      <c r="CO59" s="61">
        <f>SummaryTable[[#This Row],[OriginalBudget16]]-SummaryTable[[#This Row],[OriginalBudget15]]</f>
        <v>2467</v>
      </c>
      <c r="CP59" s="54">
        <f>SummaryTable[[#This Row],[BudgetIncreaseAmount16]]/SummaryTable[[#This Row],[OriginalBudget15]]</f>
        <v>1.1832134292565948</v>
      </c>
      <c r="CQ59" s="61">
        <f>IF(COUNTIFS(allFYsTable[Code], SummaryTable[[#This Row],[Code]], allFYsTable[year2], CN$3)=0, NotFound, SUMIFS(allFYsTable[RevisedBudget], allFYsTable[Code], SummaryTable[[#This Row],[Code]], allFYsTable[year2], CN$3))</f>
        <v>4552</v>
      </c>
      <c r="CR59" s="61">
        <f>IF(COUNTIFS(allFYsTable[Code], SummaryTable[[#This Row],[Code]], allFYsTable[year2], CN$3)=0, NotFound, SUMIFS(allFYsTable[Actual], allFYsTable[Code], SummaryTable[[#This Row],[Code]], allFYsTable[year2], CN$3))</f>
        <v>4550</v>
      </c>
      <c r="CS59" s="61">
        <f>IF(COUNTIFS(allFYsTable[Code], SummaryTable[[#This Row],[Code]], allFYsTable[year2], CN$3)=0, NotFound, SUMIFS(allFYsTable[DiffAmount], allFYsTable[Code], SummaryTable[[#This Row],[Code]], allFYsTable[year2], CN$3))</f>
        <v>-2</v>
      </c>
      <c r="CT59" s="63">
        <f>IF(SummaryTable[[#This Row],[OriginalBudget16]]=0, IF(SummaryTable[[#This Row],[DiffAmount16]]=0, ZeroBudgetNoSpending, ZeroBudgetWithSpending), SummaryTable[[#This Row],[DiffAmount16]]/SummaryTable[[#This Row],[OriginalBudget16]])</f>
        <v>-4.3936731107205621E-4</v>
      </c>
      <c r="CU59" s="62">
        <f>IF(COUNTIFS(allFYsTable[Code], SummaryTable[[#This Row],[Code]], allFYsTable[year2], CU$3)=0, NotFound, SUMIFS(allFYsTable[OriginalBudget], allFYsTable[Code], SummaryTable[[#This Row],[Code]], allFYsTable[year2], CU$3))</f>
        <v>2085</v>
      </c>
      <c r="CV59" s="61">
        <f>SummaryTable[[#This Row],[OriginalBudget15]]-SummaryTable[[#This Row],[OriginalBudget14]]</f>
        <v>58</v>
      </c>
      <c r="CW59" s="54">
        <f>SummaryTable[[#This Row],[BudgetIncreaseAmount15]]/SummaryTable[[#This Row],[OriginalBudget14]]</f>
        <v>2.8613714849531326E-2</v>
      </c>
      <c r="CX59" s="61">
        <f>IF(COUNTIFS(allFYsTable[Code], SummaryTable[[#This Row],[Code]], allFYsTable[year2], CU$3)=0, NotFound, SUMIFS(allFYsTable[RevisedBudget], allFYsTable[Code], SummaryTable[[#This Row],[Code]], allFYsTable[year2], CU$3))</f>
        <v>3735</v>
      </c>
      <c r="CY59" s="61">
        <f>IF(COUNTIFS(allFYsTable[Code], SummaryTable[[#This Row],[Code]], allFYsTable[year2], CU$3)=0, NotFound, SUMIFS(allFYsTable[Actual], allFYsTable[Code], SummaryTable[[#This Row],[Code]], allFYsTable[year2], CU$3))</f>
        <v>3725</v>
      </c>
      <c r="CZ59" s="61">
        <f>IF(COUNTIFS(allFYsTable[Code], SummaryTable[[#This Row],[Code]], allFYsTable[year2], CU$3)=0, NotFound, SUMIFS(allFYsTable[DiffAmount], allFYsTable[Code], SummaryTable[[#This Row],[Code]], allFYsTable[year2], CU$3))</f>
        <v>1640</v>
      </c>
      <c r="DA59" s="63">
        <f>IF(SummaryTable[[#This Row],[OriginalBudget15]]=0, IF(SummaryTable[[#This Row],[DiffAmount15]]=0, ZeroBudgetNoSpending, ZeroBudgetWithSpending), SummaryTable[[#This Row],[DiffAmount15]]/SummaryTable[[#This Row],[OriginalBudget15]])</f>
        <v>0.78657074340527577</v>
      </c>
      <c r="DB59" s="62">
        <f>IF(COUNTIFS(allFYsTable[Code], SummaryTable[[#This Row],[Code]], allFYsTable[year2], DB$3)=0, NotFound, SUMIFS(allFYsTable[OriginalBudget], allFYsTable[Code], SummaryTable[[#This Row],[Code]], allFYsTable[year2], DB$3))</f>
        <v>2027</v>
      </c>
      <c r="DC59" s="61">
        <f>SummaryTable[[#This Row],[OriginalBudget14]]-SummaryTable[[#This Row],[OriginalBudget13]]</f>
        <v>20</v>
      </c>
      <c r="DD59" s="54">
        <f>SummaryTable[[#This Row],[BudgetIncreaseAmount14]]/SummaryTable[[#This Row],[OriginalBudget13]]</f>
        <v>9.9651220727453912E-3</v>
      </c>
      <c r="DE59" s="61">
        <f>IF(COUNTIFS(allFYsTable[Code], SummaryTable[[#This Row],[Code]], allFYsTable[year2], DB$3)=0, NotFound, SUMIFS(allFYsTable[RevisedBudget], allFYsTable[Code], SummaryTable[[#This Row],[Code]], allFYsTable[year2], DB$3))</f>
        <v>2075</v>
      </c>
      <c r="DF59" s="61">
        <f>IF(COUNTIFS(allFYsTable[Code], SummaryTable[[#This Row],[Code]], allFYsTable[year2], DB$3)=0, NotFound, SUMIFS(allFYsTable[Actual], allFYsTable[Code], SummaryTable[[#This Row],[Code]], allFYsTable[year2], DB$3))</f>
        <v>2067</v>
      </c>
      <c r="DG59" s="61">
        <f>IF(COUNTIFS(allFYsTable[Code], SummaryTable[[#This Row],[Code]], allFYsTable[year2], DB$3)=0, NotFound, SUMIFS(allFYsTable[DiffAmount], allFYsTable[Code], SummaryTable[[#This Row],[Code]], allFYsTable[year2], DB$3))</f>
        <v>40</v>
      </c>
      <c r="DH59" s="63">
        <f>IF(SummaryTable[[#This Row],[OriginalBudget14]]=0, IF(SummaryTable[[#This Row],[DiffAmount14]]=0, ZeroBudgetNoSpending, ZeroBudgetWithSpending), SummaryTable[[#This Row],[DiffAmount14]]/SummaryTable[[#This Row],[OriginalBudget14]])</f>
        <v>1.9733596447952639E-2</v>
      </c>
      <c r="DI59" s="62">
        <f>IF(COUNTIFS(allFYsTable[Code], SummaryTable[[#This Row],[Code]], allFYsTable[year2], DI$3)=0, NotFound, SUMIFS(allFYsTable[OriginalBudget], allFYsTable[Code], SummaryTable[[#This Row],[Code]], allFYsTable[year2], DI$3))</f>
        <v>2007</v>
      </c>
      <c r="DJ59" s="61">
        <f>SummaryTable[[#This Row],[OriginalBudget13]]-SummaryTable[[#This Row],[OriginalBudget12]]</f>
        <v>178</v>
      </c>
      <c r="DK59" s="54">
        <f>SummaryTable[[#This Row],[BudgetIncreaseAmount13]]/SummaryTable[[#This Row],[OriginalBudget12]]</f>
        <v>9.7320940404592673E-2</v>
      </c>
      <c r="DL59" s="61">
        <f>IF(COUNTIFS(allFYsTable[Code], SummaryTable[[#This Row],[Code]], allFYsTable[year2], DI$3)=0, NotFound, SUMIFS(allFYsTable[RevisedBudget], allFYsTable[Code], SummaryTable[[#This Row],[Code]], allFYsTable[year2], DI$3))</f>
        <v>2007</v>
      </c>
      <c r="DM59" s="61">
        <f>IF(COUNTIFS(allFYsTable[Code], SummaryTable[[#This Row],[Code]], allFYsTable[year2], DI$3)=0, NotFound, SUMIFS(allFYsTable[Actual], allFYsTable[Code], SummaryTable[[#This Row],[Code]], allFYsTable[year2], DI$3))</f>
        <v>1973</v>
      </c>
      <c r="DN59" s="61">
        <f>IF(COUNTIFS(allFYsTable[Code], SummaryTable[[#This Row],[Code]], allFYsTable[year2], DI$3)=0, NotFound, SUMIFS(allFYsTable[DiffAmount], allFYsTable[Code], SummaryTable[[#This Row],[Code]], allFYsTable[year2], DI$3))</f>
        <v>-34</v>
      </c>
      <c r="DO59" s="63">
        <f>IF(SummaryTable[[#This Row],[OriginalBudget13]]=0, IF(SummaryTable[[#This Row],[DiffAmount13]]=0, ZeroBudgetNoSpending, ZeroBudgetWithSpending), SummaryTable[[#This Row],[DiffAmount13]]/SummaryTable[[#This Row],[OriginalBudget13]])</f>
        <v>-1.6940707523667164E-2</v>
      </c>
      <c r="DP59" s="62">
        <f>IF(COUNTIFS(allFYsTable[Code], SummaryTable[[#This Row],[Code]], allFYsTable[year2], DP$3)=0, NotFound, SUMIFS(allFYsTable[OriginalBudget], allFYsTable[Code], SummaryTable[[#This Row],[Code]], allFYsTable[year2], DP$3))</f>
        <v>1829</v>
      </c>
      <c r="DQ59" s="61">
        <f>SummaryTable[[#This Row],[OriginalBudget12]]-SummaryTable[[#This Row],[OriginalBudget11]]</f>
        <v>-103</v>
      </c>
      <c r="DR59" s="54">
        <f>SummaryTable[[#This Row],[BudgetIncreaseAmount12]]/SummaryTable[[#This Row],[OriginalBudget11]]</f>
        <v>-5.331262939958592E-2</v>
      </c>
      <c r="DS59" s="61">
        <f>IF(COUNTIFS(allFYsTable[Code], SummaryTable[[#This Row],[Code]], allFYsTable[year2], DP$3)=0, NotFound, SUMIFS(allFYsTable[RevisedBudget], allFYsTable[Code], SummaryTable[[#This Row],[Code]], allFYsTable[year2], DP$3))</f>
        <v>1848</v>
      </c>
      <c r="DT59" s="61">
        <f>IF(COUNTIFS(allFYsTable[Code], SummaryTable[[#This Row],[Code]], allFYsTable[year2], DP$3)=0, NotFound, SUMIFS(allFYsTable[Actual], allFYsTable[Code], SummaryTable[[#This Row],[Code]], allFYsTable[year2], DP$3))</f>
        <v>1846</v>
      </c>
      <c r="DU59" s="61">
        <f>IF(COUNTIFS(allFYsTable[Code], SummaryTable[[#This Row],[Code]], allFYsTable[year2], DP$3)=0, NotFound, SUMIFS(allFYsTable[DiffAmount], allFYsTable[Code], SummaryTable[[#This Row],[Code]], allFYsTable[year2], DP$3))</f>
        <v>17</v>
      </c>
      <c r="DV59" s="63">
        <f>IF(SummaryTable[[#This Row],[OriginalBudget12]]=0, IF(SummaryTable[[#This Row],[DiffAmount12]]=0, ZeroBudgetNoSpending, ZeroBudgetWithSpending), SummaryTable[[#This Row],[DiffAmount12]]/SummaryTable[[#This Row],[OriginalBudget12]])</f>
        <v>9.2946965554948063E-3</v>
      </c>
      <c r="DW59" s="62">
        <f>IF(COUNTIFS(allFYsTable[Code], SummaryTable[[#This Row],[Code]], allFYsTable[year2], DW$3)=0, NotFound, SUMIFS(allFYsTable[OriginalBudget], allFYsTable[Code], SummaryTable[[#This Row],[Code]], allFYsTable[year2], DW$3))</f>
        <v>1932</v>
      </c>
      <c r="DX59" s="61">
        <f>SummaryTable[[#This Row],[OriginalBudget11]]-SummaryTable[[#This Row],[OriginalBudget10]]</f>
        <v>-1345</v>
      </c>
      <c r="DY59" s="54">
        <f>SummaryTable[[#This Row],[BudgetIncreaseAmount11]]/SummaryTable[[#This Row],[OriginalBudget10]]</f>
        <v>-0.4104363747329875</v>
      </c>
      <c r="DZ59" s="61">
        <f>IF(COUNTIFS(allFYsTable[Code], SummaryTable[[#This Row],[Code]], allFYsTable[year2], DW$3)=0, NotFound, SUMIFS(allFYsTable[RevisedBudget], allFYsTable[Code], SummaryTable[[#This Row],[Code]], allFYsTable[year2], DW$3))</f>
        <v>1932</v>
      </c>
      <c r="EA59" s="61">
        <f>IF(COUNTIFS(allFYsTable[Code], SummaryTable[[#This Row],[Code]], allFYsTable[year2], DW$3)=0, NotFound, SUMIFS(allFYsTable[Actual], allFYsTable[Code], SummaryTable[[#This Row],[Code]], allFYsTable[year2], DW$3))</f>
        <v>1839</v>
      </c>
      <c r="EB59" s="61">
        <f>IF(COUNTIFS(allFYsTable[Code], SummaryTable[[#This Row],[Code]], allFYsTable[year2], DW$3)=0, NotFound, SUMIFS(allFYsTable[DiffAmount], allFYsTable[Code], SummaryTable[[#This Row],[Code]], allFYsTable[year2], DW$3))</f>
        <v>-93</v>
      </c>
      <c r="EC59" s="63">
        <f>IF(SummaryTable[[#This Row],[OriginalBudget11]]=0, IF(SummaryTable[[#This Row],[DiffAmount11]]=0, ZeroBudgetNoSpending, ZeroBudgetWithSpending), SummaryTable[[#This Row],[DiffAmount11]]/SummaryTable[[#This Row],[OriginalBudget11]])</f>
        <v>-4.813664596273292E-2</v>
      </c>
      <c r="ED59" s="62">
        <f>IF(COUNTIFS(allFYsTable[Code], SummaryTable[[#This Row],[Code]], allFYsTable[year2], ED$3)=0, NotFound, SUMIFS(allFYsTable[OriginalBudget], allFYsTable[Code], SummaryTable[[#This Row],[Code]], allFYsTable[year2], ED$3))</f>
        <v>3277</v>
      </c>
      <c r="EE59" s="61">
        <f>SummaryTable[[#This Row],[OriginalBudget10]]-SummaryTable[[#This Row],[OriginalBudget09]]</f>
        <v>-1185</v>
      </c>
      <c r="EF59" s="54">
        <f>SummaryTable[[#This Row],[BudgetIncreaseAmount10]]/SummaryTable[[#This Row],[OriginalBudget09]]</f>
        <v>-0.26557597489914836</v>
      </c>
      <c r="EG59" s="61">
        <f>IF(COUNTIFS(allFYsTable[Code], SummaryTable[[#This Row],[Code]], allFYsTable[year2], ED$3)=0, NotFound, SUMIFS(allFYsTable[RevisedBudget], allFYsTable[Code], SummaryTable[[#This Row],[Code]], allFYsTable[year2], ED$3))</f>
        <v>3572</v>
      </c>
      <c r="EH59" s="61">
        <f>IF(COUNTIFS(allFYsTable[Code], SummaryTable[[#This Row],[Code]], allFYsTable[year2], ED$3)=0, NotFound, SUMIFS(allFYsTable[Actual], allFYsTable[Code], SummaryTable[[#This Row],[Code]], allFYsTable[year2], ED$3))</f>
        <v>3561</v>
      </c>
      <c r="EI59" s="61">
        <f>IF(COUNTIFS(allFYsTable[Code], SummaryTable[[#This Row],[Code]], allFYsTable[year2], ED$3)=0, NotFound, SUMIFS(allFYsTable[DiffAmount], allFYsTable[Code], SummaryTable[[#This Row],[Code]], allFYsTable[year2], ED$3))</f>
        <v>284</v>
      </c>
      <c r="EJ59" s="63">
        <f>IF(SummaryTable[[#This Row],[OriginalBudget10]]=0, IF(SummaryTable[[#This Row],[DiffAmount10]]=0, ZeroBudgetNoSpending, ZeroBudgetWithSpending), SummaryTable[[#This Row],[DiffAmount10]]/SummaryTable[[#This Row],[OriginalBudget10]])</f>
        <v>8.6664632285627097E-2</v>
      </c>
      <c r="EK59" s="62">
        <f>IF(COUNTIFS(allFYsTable[Code], SummaryTable[[#This Row],[Code]], allFYsTable[year2], EK$3)=0, NotFound, SUMIFS(allFYsTable[OriginalBudget], allFYsTable[Code], SummaryTable[[#This Row],[Code]], allFYsTable[year2], EK$3))</f>
        <v>4462</v>
      </c>
      <c r="EL59" s="61">
        <f>SummaryTable[[#This Row],[OriginalBudget09]]-SummaryTable[[#This Row],[OriginalBudget08]]</f>
        <v>-552</v>
      </c>
      <c r="EM59" s="54">
        <f>SummaryTable[[#This Row],[BudgetIncreaseAmount09]]/SummaryTable[[#This Row],[OriginalBudget08]]</f>
        <v>-0.11009174311926606</v>
      </c>
      <c r="EN59" s="61">
        <f>IF(COUNTIFS(allFYsTable[Code], SummaryTable[[#This Row],[Code]], allFYsTable[year2], EK$3)=0, NotFound, SUMIFS(allFYsTable[RevisedBudget], allFYsTable[Code], SummaryTable[[#This Row],[Code]], allFYsTable[year2], EK$3))</f>
        <v>4365</v>
      </c>
      <c r="EO59" s="61">
        <f>IF(COUNTIFS(allFYsTable[Code], SummaryTable[[#This Row],[Code]], allFYsTable[year2], EK$3)=0, NotFound, SUMIFS(allFYsTable[Actual], allFYsTable[Code], SummaryTable[[#This Row],[Code]], allFYsTable[year2], EK$3))</f>
        <v>3642</v>
      </c>
      <c r="EP59" s="61">
        <f>IF(COUNTIFS(allFYsTable[Code], SummaryTable[[#This Row],[Code]], allFYsTable[year2], EK$3)=0, NotFound, SUMIFS(allFYsTable[DiffAmount], allFYsTable[Code], SummaryTable[[#This Row],[Code]], allFYsTable[year2], EK$3))</f>
        <v>-820</v>
      </c>
      <c r="EQ59" s="63">
        <f>IF(SummaryTable[[#This Row],[OriginalBudget09]]=0, IF(SummaryTable[[#This Row],[DiffAmount09]]=0, ZeroBudgetNoSpending, ZeroBudgetWithSpending), SummaryTable[[#This Row],[DiffAmount09]]/SummaryTable[[#This Row],[OriginalBudget09]])</f>
        <v>-0.18377409233527567</v>
      </c>
      <c r="ER59" s="62">
        <f>IF(COUNTIFS(allFYsTable[Code], SummaryTable[[#This Row],[Code]], allFYsTable[year2], ER$3)=0, NotFound, SUMIFS(allFYsTable[OriginalBudget], allFYsTable[Code], SummaryTable[[#This Row],[Code]], allFYsTable[year2], ER$3))</f>
        <v>5014</v>
      </c>
      <c r="ES59" s="61">
        <f>SummaryTable[[#This Row],[OriginalBudget08]]-SummaryTable[[#This Row],[OriginalBudget07]]</f>
        <v>222</v>
      </c>
      <c r="ET59" s="54">
        <f>SummaryTable[[#This Row],[BudgetIncreaseAmount08]]/SummaryTable[[#This Row],[OriginalBudget07]]</f>
        <v>4.6327212020033391E-2</v>
      </c>
      <c r="EU59" s="61">
        <f>IF(COUNTIFS(allFYsTable[Code], SummaryTable[[#This Row],[Code]], allFYsTable[year2], ER$3)=0, NotFound, SUMIFS(allFYsTable[RevisedBudget], allFYsTable[Code], SummaryTable[[#This Row],[Code]], allFYsTable[year2], ER$3))</f>
        <v>4755</v>
      </c>
      <c r="EV59" s="61">
        <f>IF(COUNTIFS(allFYsTable[Code], SummaryTable[[#This Row],[Code]], allFYsTable[year2], ER$3)=0, NotFound, SUMIFS(allFYsTable[Actual], allFYsTable[Code], SummaryTable[[#This Row],[Code]], allFYsTable[year2], ER$3))</f>
        <v>4639</v>
      </c>
      <c r="EW59" s="61">
        <f>IF(COUNTIFS(allFYsTable[Code], SummaryTable[[#This Row],[Code]], allFYsTable[year2], ER$3)=0, NotFound, SUMIFS(allFYsTable[DiffAmount], allFYsTable[Code], SummaryTable[[#This Row],[Code]], allFYsTable[year2], ER$3))</f>
        <v>-375</v>
      </c>
      <c r="EX59" s="63">
        <f>IF(SummaryTable[[#This Row],[OriginalBudget08]]=0, IF(SummaryTable[[#This Row],[DiffAmount08]]=0, ZeroBudgetNoSpending, ZeroBudgetWithSpending), SummaryTable[[#This Row],[DiffAmount08]]/SummaryTable[[#This Row],[OriginalBudget08]])</f>
        <v>-7.4790586358197048E-2</v>
      </c>
      <c r="EY59" s="62">
        <f>IF(COUNTIFS(allFYsTable[Code], SummaryTable[[#This Row],[Code]], allFYsTable[year2], EY$3)=0, NotFound, SUMIFS(allFYsTable[OriginalBudget], allFYsTable[Code], SummaryTable[[#This Row],[Code]], allFYsTable[year2], EY$3))</f>
        <v>4792</v>
      </c>
      <c r="EZ59" s="61">
        <f>SummaryTable[[#This Row],[OriginalBudget07]]-SummaryTable[[#This Row],[OriginalBudget06]]</f>
        <v>1171</v>
      </c>
      <c r="FA59" s="54">
        <f>SummaryTable[[#This Row],[BudgetIncreaseAmount07]]/SummaryTable[[#This Row],[OriginalBudget06]]</f>
        <v>0.32339132836233087</v>
      </c>
      <c r="FB59" s="61">
        <f>IF(COUNTIFS(allFYsTable[Code], SummaryTable[[#This Row],[Code]], allFYsTable[year2], EY$3)=0, NotFound, SUMIFS(allFYsTable[RevisedBudget], allFYsTable[Code], SummaryTable[[#This Row],[Code]], allFYsTable[year2], EY$3))</f>
        <v>4992</v>
      </c>
      <c r="FC59" s="61">
        <f>IF(COUNTIFS(allFYsTable[Code], SummaryTable[[#This Row],[Code]], allFYsTable[year2], EY$3)=0, NotFound, SUMIFS(allFYsTable[Actual], allFYsTable[Code], SummaryTable[[#This Row],[Code]], allFYsTable[year2], EY$3))</f>
        <v>4739</v>
      </c>
      <c r="FD59" s="61">
        <f>IF(COUNTIFS(allFYsTable[Code], SummaryTable[[#This Row],[Code]], allFYsTable[year2], EY$3)=0, NotFound, SUMIFS(allFYsTable[DiffAmount], allFYsTable[Code], SummaryTable[[#This Row],[Code]], allFYsTable[year2], EY$3))</f>
        <v>-53</v>
      </c>
      <c r="FE59" s="63">
        <f>IF(SummaryTable[[#This Row],[OriginalBudget07]]=0, IF(SummaryTable[[#This Row],[DiffAmount07]]=0, ZeroBudgetNoSpending, ZeroBudgetWithSpending), SummaryTable[[#This Row],[DiffAmount07]]/SummaryTable[[#This Row],[OriginalBudget07]])</f>
        <v>-1.1060100166944907E-2</v>
      </c>
      <c r="FF59" s="62">
        <f>IF(COUNTIFS(allFYsTable[Code], SummaryTable[[#This Row],[Code]], allFYsTable[year2], FF$3)=0, NotFound, SUMIFS(allFYsTable[OriginalBudget], allFYsTable[Code], SummaryTable[[#This Row],[Code]], allFYsTable[year2], FF$3))</f>
        <v>3621</v>
      </c>
      <c r="FI59" s="61">
        <f>IF(COUNTIFS(allFYsTable[Code], SummaryTable[[#This Row],[Code]], allFYsTable[year2], FF$3)=0, NotFound, SUMIFS(allFYsTable[RevisedBudget], allFYsTable[Code], SummaryTable[[#This Row],[Code]], allFYsTable[year2], FF$3))</f>
        <v>4411</v>
      </c>
      <c r="FJ59" s="61">
        <f>IF(COUNTIFS(allFYsTable[Code], SummaryTable[[#This Row],[Code]], allFYsTable[year2], FF$3)=0, NotFound, SUMIFS(allFYsTable[Actual], allFYsTable[Code], SummaryTable[[#This Row],[Code]], allFYsTable[year2], FF$3))</f>
        <v>4377</v>
      </c>
      <c r="FK59" s="61">
        <f>IF(COUNTIFS(allFYsTable[Code], SummaryTable[[#This Row],[Code]], allFYsTable[year2], FF$3)=0, NotFound, SUMIFS(allFYsTable[DiffAmount], allFYsTable[Code], SummaryTable[[#This Row],[Code]], allFYsTable[year2], FF$3))</f>
        <v>756</v>
      </c>
      <c r="FL59" s="63">
        <f>IF(SummaryTable[[#This Row],[OriginalBudget06]]=0, IF(SummaryTable[[#This Row],[DiffAmount06]]=0, ZeroBudgetNoSpending, ZeroBudgetWithSpending), SummaryTable[[#This Row],[DiffAmount06]]/SummaryTable[[#This Row],[OriginalBudget06]])</f>
        <v>0.20878210439105219</v>
      </c>
    </row>
    <row r="60" spans="1:168" x14ac:dyDescent="0.45">
      <c r="A60" t="s">
        <v>739</v>
      </c>
      <c r="B60">
        <f>_xlfn.MAXIFS(allFYsTable[year2], allFYsTable[Code], SummaryTable[[#This Row],[Code]])</f>
        <v>2025</v>
      </c>
      <c r="C60" t="str">
        <f>_xlfn.XLOOKUP(SummaryTable[[#This Row],[Code]], NameCodingTable[Code], NameCodingTable[Most Recent Category per allFYs])</f>
        <v>Economic development and regulation</v>
      </c>
      <c r="D60" t="str">
        <f>_xlfn.XLOOKUP(SummaryTable[[#This Row],[Code]], NameCodingTable[Code], NameCodingTable[Unit Display Name])</f>
        <v>Housing Authority Subsidy</v>
      </c>
      <c r="E60" t="str">
        <f>_xlfn.XLOOKUP(SummaryTable[[#This Row],[Code]], NameCodingTable[Code], NameCodingTable[Type])</f>
        <v>xother</v>
      </c>
      <c r="F6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6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4</v>
      </c>
      <c r="H60" s="54">
        <f>SummaryTable[[#This Row],['# Over]]/SummaryTable[[#This Row],[Count]]</f>
        <v>0.2</v>
      </c>
      <c r="I6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8</v>
      </c>
      <c r="J60" s="54">
        <f>SummaryTable[[#This Row],['# Under]]/SummaryTable[[#This Row],[Count]]</f>
        <v>0.4</v>
      </c>
      <c r="K6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8</v>
      </c>
      <c r="L60" s="54">
        <f>SummaryTable[[#This Row],['# Equal]]/SummaryTable[[#This Row],[Count]]</f>
        <v>0.4</v>
      </c>
      <c r="M60" s="61">
        <f>SUMIFS(allFYsTable[OriginalBudget],allFYsTable[Code],SummaryTable[[#This Row],[Code]])/SummaryTable[[#This Row],[Count]]</f>
        <v>80273.8</v>
      </c>
      <c r="N60" s="61">
        <f>SUMIFS(allFYsTable[Actual],allFYsTable[Code],SummaryTable[[#This Row],[Code]])/SummaryTable[[#This Row],[Count]]</f>
        <v>78275.3</v>
      </c>
      <c r="O60" s="61">
        <f>SummaryTable[[#This Row],[AvgActAmt]]-SummaryTable[[#This Row],[AvgBudAmt]]</f>
        <v>-1998.5</v>
      </c>
      <c r="P60" s="54">
        <f>IF(SummaryTable[[#This Row],[AvgBudAmt]]=0, IF(SummaryTable[[#This Row],[AvgDiff'#]]=0, 0, NamedFields!$C$3), SummaryTable[[#This Row],[AvgDiff'#]]/SummaryTable[[#This Row],[AvgBudAmt]])</f>
        <v>-2.4896043291833699E-2</v>
      </c>
      <c r="Q60" s="61">
        <f>IFERROR(SUMIFS(allFYsTable[OriginalBudget],allFYsTable[Code],SummaryTable[[#This Row],[Code]],allFYsTable[DiffAmount], "&gt;0")/SummaryTable[[#This Row],['# Over]], 0)</f>
        <v>123547</v>
      </c>
      <c r="R60" s="61">
        <f>IFERROR(SUMIFS(allFYsTable[Actual],allFYsTable[Code],SummaryTable[[#This Row],[Code]],allFYsTable[DiffAmount], "&gt;0")/SummaryTable[[#This Row],['# Over]], 0)</f>
        <v>128699.5</v>
      </c>
      <c r="S60" s="61">
        <f>SummaryTable[[#This Row],[OverAvgAct]]-SummaryTable[[#This Row],[OverAvgBud]]</f>
        <v>5152.5</v>
      </c>
      <c r="T60" s="54">
        <f>IF(SummaryTable[[#This Row],[OverAvgBud]]=0, IF(SummaryTable[[#This Row],[OverAvgDiff'#]]=0, ZeroBudgetNoSpending, ZeroBudgetWithSpending), SummaryTable[[#This Row],[OverAvgDiff'#]]/SummaryTable[[#This Row],[OverAvgBud]])</f>
        <v>4.1704776319943015E-2</v>
      </c>
      <c r="U60" s="61">
        <f>IFERROR(SUMIFS(allFYsTable[OriginalBudget],allFYsTable[Code],SummaryTable[[#This Row],[Code]],allFYsTable[DiffAmount], "&lt;0")/SummaryTable[[#This Row],['# Under]], 0)</f>
        <v>96585.375</v>
      </c>
      <c r="V60" s="61">
        <f>IFERROR( SUMIFS(allFYsTable[Actual],allFYsTable[Code],SummaryTable[[#This Row],[Code]],allFYsTable[DiffAmount], "&lt;0")/SummaryTable[[#This Row],['# Under]], 0)</f>
        <v>89012.875</v>
      </c>
      <c r="W60" s="61">
        <f>SummaryTable[[#This Row],[UnderAvgAct]]-SummaryTable[[#This Row],[UnderAvgBud]]</f>
        <v>-7572.5</v>
      </c>
      <c r="X60" s="54">
        <f>IF(SummaryTable[[#This Row],[UnderAvgBud]]=0, IF(SummaryTable[[#This Row],[UnderAvgDiff'#]]=0, ZeroBudgetNoSpending, NamedFields!$C$3), SummaryTable[[#This Row],[UnderAvgDiff'#]]/SummaryTable[[#This Row],[UnderAvgBud]])</f>
        <v>-7.8402139040201477E-2</v>
      </c>
      <c r="Y6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11</v>
      </c>
      <c r="Z6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60" s="54">
        <f>IF(SummaryTable[[#This Row],[IncreaseYears]]=0, ZeroBudgetNoSpending, SummaryTable[[#This Row],[OSinIncreaseYear'#]]/SummaryTable[[#This Row],[IncreaseYears]])</f>
        <v>0</v>
      </c>
      <c r="AB60" s="58" t="str">
        <f>SummaryTable[[#This Row],[Code]]</f>
        <v>HY0</v>
      </c>
      <c r="AC60" s="62">
        <f>IF(COUNTIFS(allFYsTable[Code], SummaryTable[[#This Row],[Code]], allFYsTable[year2], AC$3)=0, NotFound, SUMIFS(allFYsTable[OriginalBudget], allFYsTable[Code], SummaryTable[[#This Row],[Code]], allFYsTable[year2], AC$3))</f>
        <v>187770</v>
      </c>
      <c r="AD60" s="61">
        <f>SummaryTable[[#This Row],[OriginalBudget25]]-SummaryTable[[#This Row],[OriginalBudget24]]</f>
        <v>1399</v>
      </c>
      <c r="AE60" s="54">
        <f>SummaryTable[[#This Row],[BudgetIncreaseAmount25]]/SummaryTable[[#This Row],[OriginalBudget24]]</f>
        <v>7.5065326687091876E-3</v>
      </c>
      <c r="AF60" s="61">
        <f>IF(COUNTIFS(allFYsTable[Code], SummaryTable[[#This Row],[Code]], allFYsTable[year2], AC$3)=0, NotFound, SUMIFS(allFYsTable[RevisedBudget], allFYsTable[Code], SummaryTable[[#This Row],[Code]], allFYsTable[year2], AC$3))</f>
        <v>187770</v>
      </c>
      <c r="AG60" s="61">
        <f>IF(COUNTIFS(allFYsTable[Code], SummaryTable[[#This Row],[Code]], allFYsTable[year2], AC$3)=0, NotFound, SUMIFS(allFYsTable[Actual], allFYsTable[Code], SummaryTable[[#This Row],[Code]], allFYsTable[year2], AC$3))</f>
        <v>187770</v>
      </c>
      <c r="AH60" s="61">
        <f>IF(COUNTIFS(allFYsTable[Code], SummaryTable[[#This Row],[Code]], allFYsTable[year2], AC$3)=0, NotFound, SUMIFS(allFYsTable[DiffAmount], allFYsTable[Code], SummaryTable[[#This Row],[Code]], allFYsTable[year2], AC$3))</f>
        <v>0</v>
      </c>
      <c r="AI60" s="63">
        <f>IF(SummaryTable[[#This Row],[OriginalBudget25]]=0, IF(SummaryTable[[#This Row],[DiffAmount25]]=0, ZeroBudgetNoSpending, ZeroBudgetWithSpending), SummaryTable[[#This Row],[DiffAmount25]]/SummaryTable[[#This Row],[OriginalBudget25]])</f>
        <v>0</v>
      </c>
      <c r="AJ60" s="62">
        <f>IF(COUNTIFS(allFYsTable[Code], SummaryTable[[#This Row],[Code]], allFYsTable[year2], AJ$3)=0, NotFound, SUMIFS(allFYsTable[OriginalBudget], allFYsTable[Code], SummaryTable[[#This Row],[Code]], allFYsTable[year2], AJ$3))</f>
        <v>186371</v>
      </c>
      <c r="AK60" s="61">
        <f>SummaryTable[[#This Row],[OriginalBudget24]]-SummaryTable[[#This Row],[OriginalBudget23]]</f>
        <v>708</v>
      </c>
      <c r="AL60" s="54">
        <f>SummaryTable[[#This Row],[BudgetIncreaseAmount24]]/SummaryTable[[#This Row],[OriginalBudget23]]</f>
        <v>3.8133607665501472E-3</v>
      </c>
      <c r="AM60" s="61">
        <f>IF(COUNTIFS(allFYsTable[Code], SummaryTable[[#This Row],[Code]], allFYsTable[year2], AK$3)=0, NotFound, SUMIFS(allFYsTable[RevisedBudget], allFYsTable[Code], SummaryTable[[#This Row],[Code]], allFYsTable[year2], AJ$3))</f>
        <v>196391</v>
      </c>
      <c r="AN60" s="61">
        <f>IF(COUNTIFS(allFYsTable[Code], SummaryTable[[#This Row],[Code]], allFYsTable[year2], AJ$3)=0, NotFound, SUMIFS(allFYsTable[Actual], allFYsTable[Code], SummaryTable[[#This Row],[Code]], allFYsTable[year2], AJ$3))</f>
        <v>195767</v>
      </c>
      <c r="AO60" s="61">
        <f>IF(COUNTIFS(allFYsTable[Code], SummaryTable[[#This Row],[Code]], allFYsTable[year2], AJ$3)=0, NotFound, SUMIFS(allFYsTable[DiffAmount], allFYsTable[Code], SummaryTable[[#This Row],[Code]], allFYsTable[year2], AJ$3))</f>
        <v>9396</v>
      </c>
      <c r="AP60" s="63">
        <f>IF(SummaryTable[[#This Row],[OriginalBudget24]]=0, IF(SummaryTable[[#This Row],[DiffAmount24]]=0, ZeroBudgetNoSpending, ZeroBudgetWithSpending), SummaryTable[[#This Row],[DiffAmount24]]/SummaryTable[[#This Row],[OriginalBudget24]])</f>
        <v>5.0415568945812388E-2</v>
      </c>
      <c r="AQ60" s="62">
        <f>IF(COUNTIFS(allFYsTable[Code], SummaryTable[[#This Row],[Code]], allFYsTable[year2], AQ$3)=0, NotFound, SUMIFS(allFYsTable[OriginalBudget], allFYsTable[Code], SummaryTable[[#This Row],[Code]], allFYsTable[year2], AQ$3))</f>
        <v>185663</v>
      </c>
      <c r="AR60" s="61">
        <f>SummaryTable[[#This Row],[OriginalBudget23]]-SummaryTable[[#This Row],[OriginalBudget22]]</f>
        <v>10411</v>
      </c>
      <c r="AS60" s="54">
        <f>SummaryTable[[#This Row],[BudgetIncreaseAmount23]]/SummaryTable[[#This Row],[OriginalBudget22]]</f>
        <v>5.9405884098326978E-2</v>
      </c>
      <c r="AT60" s="61">
        <f>IF(COUNTIFS(allFYsTable[Code], SummaryTable[[#This Row],[Code]], allFYsTable[year2], AQ$3)=0, NotFound, SUMIFS(allFYsTable[RevisedBudget], allFYsTable[Code], SummaryTable[[#This Row],[Code]], allFYsTable[year2], AQ$3))</f>
        <v>176564</v>
      </c>
      <c r="AU60" s="61">
        <f>IF(COUNTIFS(allFYsTable[Code], SummaryTable[[#This Row],[Code]], allFYsTable[year2], AQ$3)=0, NotFound, SUMIFS(allFYsTable[Actual], allFYsTable[Code], SummaryTable[[#This Row],[Code]], allFYsTable[year2], AQ$3))</f>
        <v>175109</v>
      </c>
      <c r="AV60" s="61">
        <f>IF(COUNTIFS(allFYsTable[Code], SummaryTable[[#This Row],[Code]], allFYsTable[year2], AQ$3)=0, NotFound, SUMIFS(allFYsTable[DiffAmount], allFYsTable[Code], SummaryTable[[#This Row],[Code]], allFYsTable[year2], AQ$3))</f>
        <v>-10554</v>
      </c>
      <c r="AW60" s="63">
        <f>IF(SummaryTable[[#This Row],[OriginalBudget23]]=0, IF(SummaryTable[[#This Row],[DiffAmount23]]=0, ZeroBudgetNoSpending, ZeroBudgetWithSpending), SummaryTable[[#This Row],[DiffAmount23]]/SummaryTable[[#This Row],[OriginalBudget23]])</f>
        <v>-5.6844928714929736E-2</v>
      </c>
      <c r="AX60" s="62">
        <f>IF(COUNTIFS(allFYsTable[Code], SummaryTable[[#This Row],[Code]], allFYsTable[year2], AX$3)=0, NotFound, SUMIFS(allFYsTable[OriginalBudget], allFYsTable[Code], SummaryTable[[#This Row],[Code]], allFYsTable[year2], AX$3))</f>
        <v>175252</v>
      </c>
      <c r="AY60" s="61">
        <f>SummaryTable[[#This Row],[OriginalBudget22]]-SummaryTable[[#This Row],[OriginalBudget21]]</f>
        <v>16799</v>
      </c>
      <c r="AZ60" s="54">
        <f>SummaryTable[[#This Row],[BudgetIncreaseAmount22]]/SummaryTable[[#This Row],[OriginalBudget21]]</f>
        <v>0.10601881946066026</v>
      </c>
      <c r="BA60" s="61">
        <f>IF(COUNTIFS(allFYsTable[Code], SummaryTable[[#This Row],[Code]], allFYsTable[year2], AX$3)=0, NotFound, SUMIFS(allFYsTable[RevisedBudget], allFYsTable[Code], SummaryTable[[#This Row],[Code]], allFYsTable[year2], AX$3))</f>
        <v>182110</v>
      </c>
      <c r="BB60" s="61">
        <f>IF(COUNTIFS(allFYsTable[Code], SummaryTable[[#This Row],[Code]], allFYsTable[year2], AX$3)=0, NotFound, SUMIFS(allFYsTable[Actual], allFYsTable[Code], SummaryTable[[#This Row],[Code]], allFYsTable[year2], AX$3))</f>
        <v>169156</v>
      </c>
      <c r="BC60" s="61">
        <f>IF(COUNTIFS(allFYsTable[Code], SummaryTable[[#This Row],[Code]], allFYsTable[year2], AX$3)=0, NotFound, SUMIFS(allFYsTable[DiffAmount], allFYsTable[Code], SummaryTable[[#This Row],[Code]], allFYsTable[year2], AX$3))</f>
        <v>-6096</v>
      </c>
      <c r="BD60" s="63">
        <f>IF(SummaryTable[[#This Row],[OriginalBudget22]]=0, IF(SummaryTable[[#This Row],[DiffAmount22]]=0, ZeroBudgetNoSpending, ZeroBudgetWithSpending), SummaryTable[[#This Row],[DiffAmount22]]/SummaryTable[[#This Row],[OriginalBudget22]])</f>
        <v>-3.4784196471366949E-2</v>
      </c>
      <c r="BE60" s="62">
        <f>IF(COUNTIFS(allFYsTable[Code], SummaryTable[[#This Row],[Code]], allFYsTable[year2], BE$3)=0, NotFound, SUMIFS(allFYsTable[OriginalBudget], allFYsTable[Code], SummaryTable[[#This Row],[Code]], allFYsTable[year2], BE$3))</f>
        <v>158453</v>
      </c>
      <c r="BF60" s="61">
        <f>SummaryTable[[#This Row],[OriginalBudget21]]-SummaryTable[[#This Row],[OriginalBudget20]]</f>
        <v>13092</v>
      </c>
      <c r="BG60" s="54">
        <f>SummaryTable[[#This Row],[BudgetIncreaseAmount21]]/SummaryTable[[#This Row],[OriginalBudget20]]</f>
        <v>9.0065423325376134E-2</v>
      </c>
      <c r="BH60" s="61">
        <f>IF(COUNTIFS(allFYsTable[Code], SummaryTable[[#This Row],[Code]], allFYsTable[year2], BE$3)=0, NotFound, SUMIFS(allFYsTable[RevisedBudget], allFYsTable[Code], SummaryTable[[#This Row],[Code]], allFYsTable[year2], BE$3))</f>
        <v>166023</v>
      </c>
      <c r="BI60" s="61">
        <f>IF(COUNTIFS(allFYsTable[Code], SummaryTable[[#This Row],[Code]], allFYsTable[year2], BE$3)=0, NotFound, SUMIFS(allFYsTable[Actual], allFYsTable[Code], SummaryTable[[#This Row],[Code]], allFYsTable[year2], BE$3))</f>
        <v>161825</v>
      </c>
      <c r="BJ60" s="61">
        <f>IF(COUNTIFS(allFYsTable[Code], SummaryTable[[#This Row],[Code]], allFYsTable[year2], BE$3)=0, NotFound, SUMIFS(allFYsTable[DiffAmount], allFYsTable[Code], SummaryTable[[#This Row],[Code]], allFYsTable[year2], BE$3))</f>
        <v>3372</v>
      </c>
      <c r="BK60" s="63">
        <f>IF(SummaryTable[[#This Row],[OriginalBudget21]]=0, IF(SummaryTable[[#This Row],[DiffAmount21]]=0, ZeroBudgetNoSpending, ZeroBudgetWithSpending), SummaryTable[[#This Row],[DiffAmount21]]/SummaryTable[[#This Row],[OriginalBudget21]])</f>
        <v>2.1280758332123721E-2</v>
      </c>
      <c r="BL60" s="62">
        <f>IF(COUNTIFS(allFYsTable[Code], SummaryTable[[#This Row],[Code]], allFYsTable[year2], BL$3)=0, NotFound, SUMIFS(allFYsTable[OriginalBudget], allFYsTable[Code], SummaryTable[[#This Row],[Code]], allFYsTable[year2], BL$3))</f>
        <v>145361</v>
      </c>
      <c r="BM60" s="61">
        <f>SummaryTable[[#This Row],[OriginalBudget20]]-SummaryTable[[#This Row],[OriginalBudget19]]</f>
        <v>33872</v>
      </c>
      <c r="BN60" s="54">
        <f>SummaryTable[[#This Row],[BudgetIncreaseAmount20]]/SummaryTable[[#This Row],[OriginalBudget19]]</f>
        <v>0.30381472611647786</v>
      </c>
      <c r="BO60" s="61">
        <f>IF(COUNTIFS(allFYsTable[Code], SummaryTable[[#This Row],[Code]], allFYsTable[year2], BL$3)=0, NotFound, SUMIFS(allFYsTable[RevisedBudget], allFYsTable[Code], SummaryTable[[#This Row],[Code]], allFYsTable[year2], BL$3))</f>
        <v>154552</v>
      </c>
      <c r="BP60" s="61">
        <f>IF(COUNTIFS(allFYsTable[Code], SummaryTable[[#This Row],[Code]], allFYsTable[year2], BL$3)=0, NotFound, SUMIFS(allFYsTable[Actual], allFYsTable[Code], SummaryTable[[#This Row],[Code]], allFYsTable[year2], BL$3))</f>
        <v>146303</v>
      </c>
      <c r="BQ60" s="61">
        <f>IF(COUNTIFS(allFYsTable[Code], SummaryTable[[#This Row],[Code]], allFYsTable[year2], BL$3)=0, NotFound, SUMIFS(allFYsTable[DiffAmount], allFYsTable[Code], SummaryTable[[#This Row],[Code]], allFYsTable[year2], BL$3))</f>
        <v>942</v>
      </c>
      <c r="BR60" s="63">
        <f>IF(SummaryTable[[#This Row],[OriginalBudget20]]=0, IF(SummaryTable[[#This Row],[DiffAmount20]]=0, ZeroBudgetNoSpending, ZeroBudgetWithSpending), SummaryTable[[#This Row],[DiffAmount20]]/SummaryTable[[#This Row],[OriginalBudget20]])</f>
        <v>6.4804177186453035E-3</v>
      </c>
      <c r="BS60" s="62">
        <f>IF(COUNTIFS(allFYsTable[Code], SummaryTable[[#This Row],[Code]], allFYsTable[year2], BS$3)=0, NotFound, SUMIFS(allFYsTable[OriginalBudget], allFYsTable[Code], SummaryTable[[#This Row],[Code]], allFYsTable[year2], BS$3))</f>
        <v>111489</v>
      </c>
      <c r="BT60" s="61">
        <f>SummaryTable[[#This Row],[OriginalBudget19]]-SummaryTable[[#This Row],[OriginalBudget18]]</f>
        <v>25509</v>
      </c>
      <c r="BU60" s="54">
        <f>SummaryTable[[#This Row],[BudgetIncreaseAmount19]]/SummaryTable[[#This Row],[OriginalBudget18]]</f>
        <v>0.29668527564549896</v>
      </c>
      <c r="BV60" s="61">
        <f>IF(COUNTIFS(allFYsTable[Code], SummaryTable[[#This Row],[Code]], allFYsTable[year2], BS$3)=0, NotFound, SUMIFS(allFYsTable[RevisedBudget], allFYsTable[Code], SummaryTable[[#This Row],[Code]], allFYsTable[year2], BS$3))</f>
        <v>118710</v>
      </c>
      <c r="BW60" s="61">
        <f>IF(COUNTIFS(allFYsTable[Code], SummaryTable[[#This Row],[Code]], allFYsTable[year2], BS$3)=0, NotFound, SUMIFS(allFYsTable[Actual], allFYsTable[Code], SummaryTable[[#This Row],[Code]], allFYsTable[year2], BS$3))</f>
        <v>103777</v>
      </c>
      <c r="BX60" s="61">
        <f>IF(COUNTIFS(allFYsTable[Code], SummaryTable[[#This Row],[Code]], allFYsTable[year2], BS$3)=0, NotFound, SUMIFS(allFYsTable[DiffAmount], allFYsTable[Code], SummaryTable[[#This Row],[Code]], allFYsTable[year2], BS$3))</f>
        <v>-7712</v>
      </c>
      <c r="BY60" s="63">
        <f>IF(SummaryTable[[#This Row],[OriginalBudget19]]=0, IF(SummaryTable[[#This Row],[DiffAmount19]]=0, ZeroBudgetNoSpending, ZeroBudgetWithSpending), SummaryTable[[#This Row],[DiffAmount19]]/SummaryTable[[#This Row],[OriginalBudget19]])</f>
        <v>-6.9172743499358674E-2</v>
      </c>
      <c r="BZ60" s="62">
        <f>IF(COUNTIFS(allFYsTable[Code], SummaryTable[[#This Row],[Code]], allFYsTable[year2], BZ$3)=0, NotFound, SUMIFS(allFYsTable[OriginalBudget], allFYsTable[Code], SummaryTable[[#This Row],[Code]], allFYsTable[year2], BZ$3))</f>
        <v>85980</v>
      </c>
      <c r="CA60" s="61">
        <f>SummaryTable[[#This Row],[OriginalBudget18]]-SummaryTable[[#This Row],[OriginalBudget17]]</f>
        <v>16032</v>
      </c>
      <c r="CB60" s="54">
        <f>SummaryTable[[#This Row],[BudgetIncreaseAmount18]]/SummaryTable[[#This Row],[OriginalBudget17]]</f>
        <v>0.22919883341911135</v>
      </c>
      <c r="CC60" s="61">
        <f>IF(COUNTIFS(allFYsTable[Code], SummaryTable[[#This Row],[Code]], allFYsTable[year2], BZ$3)=0, NotFound, SUMIFS(allFYsTable[RevisedBudget], allFYsTable[Code], SummaryTable[[#This Row],[Code]], allFYsTable[year2], BZ$3))</f>
        <v>89407</v>
      </c>
      <c r="CD60" s="61">
        <f>IF(COUNTIFS(allFYsTable[Code], SummaryTable[[#This Row],[Code]], allFYsTable[year2], BZ$3)=0, NotFound, SUMIFS(allFYsTable[Actual], allFYsTable[Code], SummaryTable[[#This Row],[Code]], allFYsTable[year2], BZ$3))</f>
        <v>81110</v>
      </c>
      <c r="CE60" s="61">
        <f>IF(COUNTIFS(allFYsTable[Code], SummaryTable[[#This Row],[Code]], allFYsTable[year2], BZ$3)=0, NotFound, SUMIFS(allFYsTable[DiffAmount], allFYsTable[Code], SummaryTable[[#This Row],[Code]], allFYsTable[year2], BZ$3))</f>
        <v>-4870</v>
      </c>
      <c r="CF60" s="63">
        <f>IF(SummaryTable[[#This Row],[OriginalBudget18]]=0, IF(SummaryTable[[#This Row],[DiffAmount18]]=0, ZeroBudgetNoSpending, ZeroBudgetWithSpending), SummaryTable[[#This Row],[DiffAmount18]]/SummaryTable[[#This Row],[OriginalBudget18]])</f>
        <v>-5.6641079320772274E-2</v>
      </c>
      <c r="CG60" s="62">
        <f>IF(COUNTIFS(allFYsTable[Code], SummaryTable[[#This Row],[Code]], allFYsTable[year2], CG$3)=0, NotFound, SUMIFS(allFYsTable[OriginalBudget], allFYsTable[Code], SummaryTable[[#This Row],[Code]], allFYsTable[year2], CG$3))</f>
        <v>69948</v>
      </c>
      <c r="CH60" s="61">
        <f>SummaryTable[[#This Row],[OriginalBudget17]]-SummaryTable[[#This Row],[OriginalBudget16]]</f>
        <v>10523</v>
      </c>
      <c r="CI60" s="54">
        <f>SummaryTable[[#This Row],[BudgetIncreaseAmount17]]/SummaryTable[[#This Row],[OriginalBudget16]]</f>
        <v>0.17708035338662179</v>
      </c>
      <c r="CJ60" s="61">
        <f>IF(COUNTIFS(allFYsTable[Code], SummaryTable[[#This Row],[Code]], allFYsTable[year2], CG$3)=0, NotFound, SUMIFS(allFYsTable[RevisedBudget], allFYsTable[Code], SummaryTable[[#This Row],[Code]], allFYsTable[year2], CG$3))</f>
        <v>54625</v>
      </c>
      <c r="CK60" s="61">
        <f>IF(COUNTIFS(allFYsTable[Code], SummaryTable[[#This Row],[Code]], allFYsTable[year2], CG$3)=0, NotFound, SUMIFS(allFYsTable[Actual], allFYsTable[Code], SummaryTable[[#This Row],[Code]], allFYsTable[year2], CG$3))</f>
        <v>54623</v>
      </c>
      <c r="CL60" s="61">
        <f>IF(COUNTIFS(allFYsTable[Code], SummaryTable[[#This Row],[Code]], allFYsTable[year2], CG$3)=0, NotFound, SUMIFS(allFYsTable[DiffAmount], allFYsTable[Code], SummaryTable[[#This Row],[Code]], allFYsTable[year2], CG$3))</f>
        <v>-15325</v>
      </c>
      <c r="CM60" s="63">
        <f>IF(SummaryTable[[#This Row],[OriginalBudget17]]=0, IF(SummaryTable[[#This Row],[DiffAmount17]]=0, ZeroBudgetNoSpending, ZeroBudgetWithSpending), SummaryTable[[#This Row],[DiffAmount17]]/SummaryTable[[#This Row],[OriginalBudget17]])</f>
        <v>-0.21909132498427403</v>
      </c>
      <c r="CN60" s="62">
        <f>IF(COUNTIFS(allFYsTable[Code], SummaryTable[[#This Row],[Code]], allFYsTable[year2], CN$3)=0, NotFound, SUMIFS(allFYsTable[OriginalBudget], allFYsTable[Code], SummaryTable[[#This Row],[Code]], allFYsTable[year2], CN$3))</f>
        <v>59425</v>
      </c>
      <c r="CO60" s="61">
        <f>SummaryTable[[#This Row],[OriginalBudget16]]-SummaryTable[[#This Row],[OriginalBudget15]]</f>
        <v>13462</v>
      </c>
      <c r="CP60" s="54">
        <f>SummaryTable[[#This Row],[BudgetIncreaseAmount16]]/SummaryTable[[#This Row],[OriginalBudget15]]</f>
        <v>0.29288775754411156</v>
      </c>
      <c r="CQ60" s="61">
        <f>IF(COUNTIFS(allFYsTable[Code], SummaryTable[[#This Row],[Code]], allFYsTable[year2], CN$3)=0, NotFound, SUMIFS(allFYsTable[RevisedBudget], allFYsTable[Code], SummaryTable[[#This Row],[Code]], allFYsTable[year2], CN$3))</f>
        <v>55695</v>
      </c>
      <c r="CR60" s="61">
        <f>IF(COUNTIFS(allFYsTable[Code], SummaryTable[[#This Row],[Code]], allFYsTable[year2], CN$3)=0, NotFound, SUMIFS(allFYsTable[Actual], allFYsTable[Code], SummaryTable[[#This Row],[Code]], allFYsTable[year2], CN$3))</f>
        <v>55695</v>
      </c>
      <c r="CS60" s="61">
        <f>IF(COUNTIFS(allFYsTable[Code], SummaryTable[[#This Row],[Code]], allFYsTable[year2], CN$3)=0, NotFound, SUMIFS(allFYsTable[DiffAmount], allFYsTable[Code], SummaryTable[[#This Row],[Code]], allFYsTable[year2], CN$3))</f>
        <v>-3730</v>
      </c>
      <c r="CT60" s="63">
        <f>IF(SummaryTable[[#This Row],[OriginalBudget16]]=0, IF(SummaryTable[[#This Row],[DiffAmount16]]=0, ZeroBudgetNoSpending, ZeroBudgetWithSpending), SummaryTable[[#This Row],[DiffAmount16]]/SummaryTable[[#This Row],[OriginalBudget16]])</f>
        <v>-6.2768195204038701E-2</v>
      </c>
      <c r="CU60" s="62">
        <f>IF(COUNTIFS(allFYsTable[Code], SummaryTable[[#This Row],[Code]], allFYsTable[year2], CU$3)=0, NotFound, SUMIFS(allFYsTable[OriginalBudget], allFYsTable[Code], SummaryTable[[#This Row],[Code]], allFYsTable[year2], CU$3))</f>
        <v>45963</v>
      </c>
      <c r="CV60" s="61">
        <f>SummaryTable[[#This Row],[OriginalBudget15]]-SummaryTable[[#This Row],[OriginalBudget14]]</f>
        <v>7000</v>
      </c>
      <c r="CW60" s="54">
        <f>SummaryTable[[#This Row],[BudgetIncreaseAmount15]]/SummaryTable[[#This Row],[OriginalBudget14]]</f>
        <v>0.17965762389959705</v>
      </c>
      <c r="CX60" s="61">
        <f>IF(COUNTIFS(allFYsTable[Code], SummaryTable[[#This Row],[Code]], allFYsTable[year2], CU$3)=0, NotFound, SUMIFS(allFYsTable[RevisedBudget], allFYsTable[Code], SummaryTable[[#This Row],[Code]], allFYsTable[year2], CU$3))</f>
        <v>37763</v>
      </c>
      <c r="CY60" s="61">
        <f>IF(COUNTIFS(allFYsTable[Code], SummaryTable[[#This Row],[Code]], allFYsTable[year2], CU$3)=0, NotFound, SUMIFS(allFYsTable[Actual], allFYsTable[Code], SummaryTable[[#This Row],[Code]], allFYsTable[year2], CU$3))</f>
        <v>37699</v>
      </c>
      <c r="CZ60" s="61">
        <f>IF(COUNTIFS(allFYsTable[Code], SummaryTable[[#This Row],[Code]], allFYsTable[year2], CU$3)=0, NotFound, SUMIFS(allFYsTable[DiffAmount], allFYsTable[Code], SummaryTable[[#This Row],[Code]], allFYsTable[year2], CU$3))</f>
        <v>-8264</v>
      </c>
      <c r="DA60" s="63">
        <f>IF(SummaryTable[[#This Row],[OriginalBudget15]]=0, IF(SummaryTable[[#This Row],[DiffAmount15]]=0, ZeroBudgetNoSpending, ZeroBudgetWithSpending), SummaryTable[[#This Row],[DiffAmount15]]/SummaryTable[[#This Row],[OriginalBudget15]])</f>
        <v>-0.17979679307268889</v>
      </c>
      <c r="DB60" s="62">
        <f>IF(COUNTIFS(allFYsTable[Code], SummaryTable[[#This Row],[Code]], allFYsTable[year2], DB$3)=0, NotFound, SUMIFS(allFYsTable[OriginalBudget], allFYsTable[Code], SummaryTable[[#This Row],[Code]], allFYsTable[year2], DB$3))</f>
        <v>38963</v>
      </c>
      <c r="DC60" s="61">
        <f>SummaryTable[[#This Row],[OriginalBudget14]]-SummaryTable[[#This Row],[OriginalBudget13]]</f>
        <v>24750</v>
      </c>
      <c r="DD60" s="54">
        <f>SummaryTable[[#This Row],[BudgetIncreaseAmount14]]/SummaryTable[[#This Row],[OriginalBudget13]]</f>
        <v>1.7413635404207415</v>
      </c>
      <c r="DE60" s="61">
        <f>IF(COUNTIFS(allFYsTable[Code], SummaryTable[[#This Row],[Code]], allFYsTable[year2], DB$3)=0, NotFound, SUMIFS(allFYsTable[RevisedBudget], allFYsTable[Code], SummaryTable[[#This Row],[Code]], allFYsTable[year2], DB$3))</f>
        <v>38963</v>
      </c>
      <c r="DF60" s="61">
        <f>IF(COUNTIFS(allFYsTable[Code], SummaryTable[[#This Row],[Code]], allFYsTable[year2], DB$3)=0, NotFound, SUMIFS(allFYsTable[Actual], allFYsTable[Code], SummaryTable[[#This Row],[Code]], allFYsTable[year2], DB$3))</f>
        <v>34934</v>
      </c>
      <c r="DG60" s="61">
        <f>IF(COUNTIFS(allFYsTable[Code], SummaryTable[[#This Row],[Code]], allFYsTable[year2], DB$3)=0, NotFound, SUMIFS(allFYsTable[DiffAmount], allFYsTable[Code], SummaryTable[[#This Row],[Code]], allFYsTable[year2], DB$3))</f>
        <v>-4029</v>
      </c>
      <c r="DH60" s="63">
        <f>IF(SummaryTable[[#This Row],[OriginalBudget14]]=0, IF(SummaryTable[[#This Row],[DiffAmount14]]=0, ZeroBudgetNoSpending, ZeroBudgetWithSpending), SummaryTable[[#This Row],[DiffAmount14]]/SummaryTable[[#This Row],[OriginalBudget14]])</f>
        <v>-0.10340579524163951</v>
      </c>
      <c r="DI60" s="62">
        <f>IF(COUNTIFS(allFYsTable[Code], SummaryTable[[#This Row],[Code]], allFYsTable[year2], DI$3)=0, NotFound, SUMIFS(allFYsTable[OriginalBudget], allFYsTable[Code], SummaryTable[[#This Row],[Code]], allFYsTable[year2], DI$3))</f>
        <v>14213</v>
      </c>
      <c r="DJ60" s="61">
        <f>SummaryTable[[#This Row],[OriginalBudget13]]-SummaryTable[[#This Row],[OriginalBudget12]]</f>
        <v>10213</v>
      </c>
      <c r="DK60" s="54">
        <f>SummaryTable[[#This Row],[BudgetIncreaseAmount13]]/SummaryTable[[#This Row],[OriginalBudget12]]</f>
        <v>2.5532499999999998</v>
      </c>
      <c r="DL60" s="61">
        <f>IF(COUNTIFS(allFYsTable[Code], SummaryTable[[#This Row],[Code]], allFYsTable[year2], DI$3)=0, NotFound, SUMIFS(allFYsTable[RevisedBudget], allFYsTable[Code], SummaryTable[[#This Row],[Code]], allFYsTable[year2], DI$3))</f>
        <v>14213</v>
      </c>
      <c r="DM60" s="61">
        <f>IF(COUNTIFS(allFYsTable[Code], SummaryTable[[#This Row],[Code]], allFYsTable[year2], DI$3)=0, NotFound, SUMIFS(allFYsTable[Actual], allFYsTable[Code], SummaryTable[[#This Row],[Code]], allFYsTable[year2], DI$3))</f>
        <v>14213</v>
      </c>
      <c r="DN60" s="61">
        <f>IF(COUNTIFS(allFYsTable[Code], SummaryTable[[#This Row],[Code]], allFYsTable[year2], DI$3)=0, NotFound, SUMIFS(allFYsTable[DiffAmount], allFYsTable[Code], SummaryTable[[#This Row],[Code]], allFYsTable[year2], DI$3))</f>
        <v>0</v>
      </c>
      <c r="DO60" s="63">
        <f>IF(SummaryTable[[#This Row],[OriginalBudget13]]=0, IF(SummaryTable[[#This Row],[DiffAmount13]]=0, ZeroBudgetNoSpending, ZeroBudgetWithSpending), SummaryTable[[#This Row],[DiffAmount13]]/SummaryTable[[#This Row],[OriginalBudget13]])</f>
        <v>0</v>
      </c>
      <c r="DP60" s="62">
        <f>IF(COUNTIFS(allFYsTable[Code], SummaryTable[[#This Row],[Code]], allFYsTable[year2], DP$3)=0, NotFound, SUMIFS(allFYsTable[OriginalBudget], allFYsTable[Code], SummaryTable[[#This Row],[Code]], allFYsTable[year2], DP$3))</f>
        <v>4000</v>
      </c>
      <c r="DQ60" s="61">
        <f>SummaryTable[[#This Row],[OriginalBudget12]]-SummaryTable[[#This Row],[OriginalBudget11]]</f>
        <v>-18823</v>
      </c>
      <c r="DR60" s="54">
        <f>SummaryTable[[#This Row],[BudgetIncreaseAmount12]]/SummaryTable[[#This Row],[OriginalBudget11]]</f>
        <v>-0.82473820269026854</v>
      </c>
      <c r="DS60" s="61">
        <f>IF(COUNTIFS(allFYsTable[Code], SummaryTable[[#This Row],[Code]], allFYsTable[year2], DP$3)=0, NotFound, SUMIFS(allFYsTable[RevisedBudget], allFYsTable[Code], SummaryTable[[#This Row],[Code]], allFYsTable[year2], DP$3))</f>
        <v>4000</v>
      </c>
      <c r="DT60" s="61">
        <f>IF(COUNTIFS(allFYsTable[Code], SummaryTable[[#This Row],[Code]], allFYsTable[year2], DP$3)=0, NotFound, SUMIFS(allFYsTable[Actual], allFYsTable[Code], SummaryTable[[#This Row],[Code]], allFYsTable[year2], DP$3))</f>
        <v>4000</v>
      </c>
      <c r="DU60" s="61">
        <f>IF(COUNTIFS(allFYsTable[Code], SummaryTable[[#This Row],[Code]], allFYsTable[year2], DP$3)=0, NotFound, SUMIFS(allFYsTable[DiffAmount], allFYsTable[Code], SummaryTable[[#This Row],[Code]], allFYsTable[year2], DP$3))</f>
        <v>0</v>
      </c>
      <c r="DV60" s="63">
        <f>IF(SummaryTable[[#This Row],[OriginalBudget12]]=0, IF(SummaryTable[[#This Row],[DiffAmount12]]=0, ZeroBudgetNoSpending, ZeroBudgetWithSpending), SummaryTable[[#This Row],[DiffAmount12]]/SummaryTable[[#This Row],[OriginalBudget12]])</f>
        <v>0</v>
      </c>
      <c r="DW60" s="62">
        <f>IF(COUNTIFS(allFYsTable[Code], SummaryTable[[#This Row],[Code]], allFYsTable[year2], DW$3)=0, NotFound, SUMIFS(allFYsTable[OriginalBudget], allFYsTable[Code], SummaryTable[[#This Row],[Code]], allFYsTable[year2], DW$3))</f>
        <v>22823</v>
      </c>
      <c r="DX60" s="61">
        <f>SummaryTable[[#This Row],[OriginalBudget11]]-SummaryTable[[#This Row],[OriginalBudget10]]</f>
        <v>-2280</v>
      </c>
      <c r="DY60" s="54">
        <f>SummaryTable[[#This Row],[BudgetIncreaseAmount11]]/SummaryTable[[#This Row],[OriginalBudget10]]</f>
        <v>-9.0825797713420711E-2</v>
      </c>
      <c r="DZ60" s="61">
        <f>IF(COUNTIFS(allFYsTable[Code], SummaryTable[[#This Row],[Code]], allFYsTable[year2], DW$3)=0, NotFound, SUMIFS(allFYsTable[RevisedBudget], allFYsTable[Code], SummaryTable[[#This Row],[Code]], allFYsTable[year2], DW$3))</f>
        <v>22823</v>
      </c>
      <c r="EA60" s="61">
        <f>IF(COUNTIFS(allFYsTable[Code], SummaryTable[[#This Row],[Code]], allFYsTable[year2], DW$3)=0, NotFound, SUMIFS(allFYsTable[Actual], allFYsTable[Code], SummaryTable[[#This Row],[Code]], allFYsTable[year2], DW$3))</f>
        <v>22823</v>
      </c>
      <c r="EB60" s="61">
        <f>IF(COUNTIFS(allFYsTable[Code], SummaryTable[[#This Row],[Code]], allFYsTable[year2], DW$3)=0, NotFound, SUMIFS(allFYsTable[DiffAmount], allFYsTable[Code], SummaryTable[[#This Row],[Code]], allFYsTable[year2], DW$3))</f>
        <v>0</v>
      </c>
      <c r="EC60" s="63">
        <f>IF(SummaryTable[[#This Row],[OriginalBudget11]]=0, IF(SummaryTable[[#This Row],[DiffAmount11]]=0, ZeroBudgetNoSpending, ZeroBudgetWithSpending), SummaryTable[[#This Row],[DiffAmount11]]/SummaryTable[[#This Row],[OriginalBudget11]])</f>
        <v>0</v>
      </c>
      <c r="ED60" s="62">
        <f>IF(COUNTIFS(allFYsTable[Code], SummaryTable[[#This Row],[Code]], allFYsTable[year2], ED$3)=0, NotFound, SUMIFS(allFYsTable[OriginalBudget], allFYsTable[Code], SummaryTable[[#This Row],[Code]], allFYsTable[year2], ED$3))</f>
        <v>25103</v>
      </c>
      <c r="EE60" s="61">
        <f>SummaryTable[[#This Row],[OriginalBudget10]]-SummaryTable[[#This Row],[OriginalBudget09]]</f>
        <v>-5880</v>
      </c>
      <c r="EF60" s="54">
        <f>SummaryTable[[#This Row],[BudgetIncreaseAmount10]]/SummaryTable[[#This Row],[OriginalBudget09]]</f>
        <v>-0.18978149307684861</v>
      </c>
      <c r="EG60" s="61">
        <f>IF(COUNTIFS(allFYsTable[Code], SummaryTable[[#This Row],[Code]], allFYsTable[year2], ED$3)=0, NotFound, SUMIFS(allFYsTable[RevisedBudget], allFYsTable[Code], SummaryTable[[#This Row],[Code]], allFYsTable[year2], ED$3))</f>
        <v>25103</v>
      </c>
      <c r="EH60" s="61">
        <f>IF(COUNTIFS(allFYsTable[Code], SummaryTable[[#This Row],[Code]], allFYsTable[year2], ED$3)=0, NotFound, SUMIFS(allFYsTable[Actual], allFYsTable[Code], SummaryTable[[#This Row],[Code]], allFYsTable[year2], ED$3))</f>
        <v>25103</v>
      </c>
      <c r="EI60" s="61">
        <f>IF(COUNTIFS(allFYsTable[Code], SummaryTable[[#This Row],[Code]], allFYsTable[year2], ED$3)=0, NotFound, SUMIFS(allFYsTable[DiffAmount], allFYsTable[Code], SummaryTable[[#This Row],[Code]], allFYsTable[year2], ED$3))</f>
        <v>0</v>
      </c>
      <c r="EJ60" s="63">
        <f>IF(SummaryTable[[#This Row],[OriginalBudget10]]=0, IF(SummaryTable[[#This Row],[DiffAmount10]]=0, ZeroBudgetNoSpending, ZeroBudgetWithSpending), SummaryTable[[#This Row],[DiffAmount10]]/SummaryTable[[#This Row],[OriginalBudget10]])</f>
        <v>0</v>
      </c>
      <c r="EK60" s="62">
        <f>IF(COUNTIFS(allFYsTable[Code], SummaryTable[[#This Row],[Code]], allFYsTable[year2], EK$3)=0, NotFound, SUMIFS(allFYsTable[OriginalBudget], allFYsTable[Code], SummaryTable[[#This Row],[Code]], allFYsTable[year2], EK$3))</f>
        <v>30983</v>
      </c>
      <c r="EL60" s="61">
        <f>SummaryTable[[#This Row],[OriginalBudget09]]-SummaryTable[[#This Row],[OriginalBudget08]]</f>
        <v>0</v>
      </c>
      <c r="EM60" s="54">
        <f>SummaryTable[[#This Row],[BudgetIncreaseAmount09]]/SummaryTable[[#This Row],[OriginalBudget08]]</f>
        <v>0</v>
      </c>
      <c r="EN60" s="61">
        <f>IF(COUNTIFS(allFYsTable[Code], SummaryTable[[#This Row],[Code]], allFYsTable[year2], EK$3)=0, NotFound, SUMIFS(allFYsTable[RevisedBudget], allFYsTable[Code], SummaryTable[[#This Row],[Code]], allFYsTable[year2], EK$3))</f>
        <v>30983</v>
      </c>
      <c r="EO60" s="61">
        <f>IF(COUNTIFS(allFYsTable[Code], SummaryTable[[#This Row],[Code]], allFYsTable[year2], EK$3)=0, NotFound, SUMIFS(allFYsTable[Actual], allFYsTable[Code], SummaryTable[[#This Row],[Code]], allFYsTable[year2], EK$3))</f>
        <v>30983</v>
      </c>
      <c r="EP60" s="61">
        <f>IF(COUNTIFS(allFYsTable[Code], SummaryTable[[#This Row],[Code]], allFYsTable[year2], EK$3)=0, NotFound, SUMIFS(allFYsTable[DiffAmount], allFYsTable[Code], SummaryTable[[#This Row],[Code]], allFYsTable[year2], EK$3))</f>
        <v>0</v>
      </c>
      <c r="EQ60" s="63">
        <f>IF(SummaryTable[[#This Row],[OriginalBudget09]]=0, IF(SummaryTable[[#This Row],[DiffAmount09]]=0, ZeroBudgetNoSpending, ZeroBudgetWithSpending), SummaryTable[[#This Row],[DiffAmount09]]/SummaryTable[[#This Row],[OriginalBudget09]])</f>
        <v>0</v>
      </c>
      <c r="ER60" s="62">
        <f>IF(COUNTIFS(allFYsTable[Code], SummaryTable[[#This Row],[Code]], allFYsTable[year2], ER$3)=0, NotFound, SUMIFS(allFYsTable[OriginalBudget], allFYsTable[Code], SummaryTable[[#This Row],[Code]], allFYsTable[year2], ER$3))</f>
        <v>30983</v>
      </c>
      <c r="ES60" s="61">
        <f>SummaryTable[[#This Row],[OriginalBudget08]]-SummaryTable[[#This Row],[OriginalBudget07]]</f>
        <v>8253</v>
      </c>
      <c r="ET60" s="54">
        <f>SummaryTable[[#This Row],[BudgetIncreaseAmount08]]/SummaryTable[[#This Row],[OriginalBudget07]]</f>
        <v>0.36308842938847341</v>
      </c>
      <c r="EU60" s="61">
        <f>IF(COUNTIFS(allFYsTable[Code], SummaryTable[[#This Row],[Code]], allFYsTable[year2], ER$3)=0, NotFound, SUMIFS(allFYsTable[RevisedBudget], allFYsTable[Code], SummaryTable[[#This Row],[Code]], allFYsTable[year2], ER$3))</f>
        <v>30983</v>
      </c>
      <c r="EV60" s="61">
        <f>IF(COUNTIFS(allFYsTable[Code], SummaryTable[[#This Row],[Code]], allFYsTable[year2], ER$3)=0, NotFound, SUMIFS(allFYsTable[Actual], allFYsTable[Code], SummaryTable[[#This Row],[Code]], allFYsTable[year2], ER$3))</f>
        <v>30983</v>
      </c>
      <c r="EW60" s="61">
        <f>IF(COUNTIFS(allFYsTable[Code], SummaryTable[[#This Row],[Code]], allFYsTable[year2], ER$3)=0, NotFound, SUMIFS(allFYsTable[DiffAmount], allFYsTable[Code], SummaryTable[[#This Row],[Code]], allFYsTable[year2], ER$3))</f>
        <v>0</v>
      </c>
      <c r="EX60" s="63">
        <f>IF(SummaryTable[[#This Row],[OriginalBudget08]]=0, IF(SummaryTable[[#This Row],[DiffAmount08]]=0, ZeroBudgetNoSpending, ZeroBudgetWithSpending), SummaryTable[[#This Row],[DiffAmount08]]/SummaryTable[[#This Row],[OriginalBudget08]])</f>
        <v>0</v>
      </c>
      <c r="EY60" s="62">
        <f>IF(COUNTIFS(allFYsTable[Code], SummaryTable[[#This Row],[Code]], allFYsTable[year2], EY$3)=0, NotFound, SUMIFS(allFYsTable[OriginalBudget], allFYsTable[Code], SummaryTable[[#This Row],[Code]], allFYsTable[year2], EY$3))</f>
        <v>22730</v>
      </c>
      <c r="EZ60" s="61">
        <f>SummaryTable[[#This Row],[OriginalBudget07]]-SummaryTable[[#This Row],[OriginalBudget06]]</f>
        <v>18727</v>
      </c>
      <c r="FA60" s="54">
        <f>SummaryTable[[#This Row],[BudgetIncreaseAmount07]]/SummaryTable[[#This Row],[OriginalBudget06]]</f>
        <v>4.6782413190107421</v>
      </c>
      <c r="FB60" s="61">
        <f>IF(COUNTIFS(allFYsTable[Code], SummaryTable[[#This Row],[Code]], allFYsTable[year2], EY$3)=0, NotFound, SUMIFS(allFYsTable[RevisedBudget], allFYsTable[Code], SummaryTable[[#This Row],[Code]], allFYsTable[year2], EY$3))</f>
        <v>22730</v>
      </c>
      <c r="FC60" s="61">
        <f>IF(COUNTIFS(allFYsTable[Code], SummaryTable[[#This Row],[Code]], allFYsTable[year2], EY$3)=0, NotFound, SUMIFS(allFYsTable[Actual], allFYsTable[Code], SummaryTable[[#This Row],[Code]], allFYsTable[year2], EY$3))</f>
        <v>22730</v>
      </c>
      <c r="FD60" s="61">
        <f>IF(COUNTIFS(allFYsTable[Code], SummaryTable[[#This Row],[Code]], allFYsTable[year2], EY$3)=0, NotFound, SUMIFS(allFYsTable[DiffAmount], allFYsTable[Code], SummaryTable[[#This Row],[Code]], allFYsTable[year2], EY$3))</f>
        <v>0</v>
      </c>
      <c r="FE60" s="63">
        <f>IF(SummaryTable[[#This Row],[OriginalBudget07]]=0, IF(SummaryTable[[#This Row],[DiffAmount07]]=0, ZeroBudgetNoSpending, ZeroBudgetWithSpending), SummaryTable[[#This Row],[DiffAmount07]]/SummaryTable[[#This Row],[OriginalBudget07]])</f>
        <v>0</v>
      </c>
      <c r="FF60" s="62">
        <f>IF(COUNTIFS(allFYsTable[Code], SummaryTable[[#This Row],[Code]], allFYsTable[year2], FF$3)=0, NotFound, SUMIFS(allFYsTable[OriginalBudget], allFYsTable[Code], SummaryTable[[#This Row],[Code]], allFYsTable[year2], FF$3))</f>
        <v>4003</v>
      </c>
      <c r="FI60" s="61">
        <f>IF(COUNTIFS(allFYsTable[Code], SummaryTable[[#This Row],[Code]], allFYsTable[year2], FF$3)=0, NotFound, SUMIFS(allFYsTable[RevisedBudget], allFYsTable[Code], SummaryTable[[#This Row],[Code]], allFYsTable[year2], FF$3))</f>
        <v>10903</v>
      </c>
      <c r="FJ60" s="61">
        <f>IF(COUNTIFS(allFYsTable[Code], SummaryTable[[#This Row],[Code]], allFYsTable[year2], FF$3)=0, NotFound, SUMIFS(allFYsTable[Actual], allFYsTable[Code], SummaryTable[[#This Row],[Code]], allFYsTable[year2], FF$3))</f>
        <v>10903</v>
      </c>
      <c r="FK60" s="61">
        <f>IF(COUNTIFS(allFYsTable[Code], SummaryTable[[#This Row],[Code]], allFYsTable[year2], FF$3)=0, NotFound, SUMIFS(allFYsTable[DiffAmount], allFYsTable[Code], SummaryTable[[#This Row],[Code]], allFYsTable[year2], FF$3))</f>
        <v>6900</v>
      </c>
      <c r="FL60" s="63">
        <f>IF(SummaryTable[[#This Row],[OriginalBudget06]]=0, IF(SummaryTable[[#This Row],[DiffAmount06]]=0, ZeroBudgetNoSpending, ZeroBudgetWithSpending), SummaryTable[[#This Row],[DiffAmount06]]/SummaryTable[[#This Row],[OriginalBudget06]])</f>
        <v>1.7237072195853109</v>
      </c>
    </row>
    <row r="61" spans="1:168" x14ac:dyDescent="0.45">
      <c r="A61" t="s">
        <v>740</v>
      </c>
      <c r="B61">
        <f>_xlfn.MAXIFS(allFYsTable[year2], allFYsTable[Code], SummaryTable[[#This Row],[Code]])</f>
        <v>2025</v>
      </c>
      <c r="C61" t="str">
        <f>_xlfn.XLOOKUP(SummaryTable[[#This Row],[Code]], NameCodingTable[Code], NameCodingTable[Most Recent Category per allFYs])</f>
        <v>Economic development and regulation</v>
      </c>
      <c r="D61" t="str">
        <f>_xlfn.XLOOKUP(SummaryTable[[#This Row],[Code]], NameCodingTable[Code], NameCodingTable[Unit Display Name])</f>
        <v>Housing Production Trust Fund subsidy</v>
      </c>
      <c r="E61" t="str">
        <f>_xlfn.XLOOKUP(SummaryTable[[#This Row],[Code]], NameCodingTable[Code], NameCodingTable[Type])</f>
        <v>xother</v>
      </c>
      <c r="F6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18</v>
      </c>
      <c r="G6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9</v>
      </c>
      <c r="H61" s="54">
        <f>SummaryTable[[#This Row],['# Over]]/SummaryTable[[#This Row],[Count]]</f>
        <v>0.5</v>
      </c>
      <c r="I6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5</v>
      </c>
      <c r="J61" s="54">
        <f>SummaryTable[[#This Row],['# Under]]/SummaryTable[[#This Row],[Count]]</f>
        <v>0.27777777777777779</v>
      </c>
      <c r="K6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4</v>
      </c>
      <c r="L61" s="54">
        <f>SummaryTable[[#This Row],['# Equal]]/SummaryTable[[#This Row],[Count]]</f>
        <v>0.22222222222222221</v>
      </c>
      <c r="M61" s="61">
        <f>SUMIFS(allFYsTable[OriginalBudget],allFYsTable[Code],SummaryTable[[#This Row],[Code]])/SummaryTable[[#This Row],[Count]]</f>
        <v>46488.5</v>
      </c>
      <c r="N61" s="61">
        <f>SUMIFS(allFYsTable[Actual],allFYsTable[Code],SummaryTable[[#This Row],[Code]])/SummaryTable[[#This Row],[Count]]</f>
        <v>72192.277777777781</v>
      </c>
      <c r="O61" s="61">
        <f>SummaryTable[[#This Row],[AvgActAmt]]-SummaryTable[[#This Row],[AvgBudAmt]]</f>
        <v>25703.777777777781</v>
      </c>
      <c r="P61" s="54">
        <f>IF(SummaryTable[[#This Row],[AvgBudAmt]]=0, IF(SummaryTable[[#This Row],[AvgDiff'#]]=0, 0, NamedFields!$C$3), SummaryTable[[#This Row],[AvgDiff'#]]/SummaryTable[[#This Row],[AvgBudAmt]])</f>
        <v>0.55290615480770045</v>
      </c>
      <c r="Q61" s="61">
        <f>IFERROR(SUMIFS(allFYsTable[OriginalBudget],allFYsTable[Code],SummaryTable[[#This Row],[Code]],allFYsTable[DiffAmount], "&gt;0")/SummaryTable[[#This Row],['# Over]], 0)</f>
        <v>20436.666666666668</v>
      </c>
      <c r="R61" s="61">
        <f>IFERROR(SUMIFS(allFYsTable[Actual],allFYsTable[Code],SummaryTable[[#This Row],[Code]],allFYsTable[DiffAmount], "&gt;0")/SummaryTable[[#This Row],['# Over]], 0)</f>
        <v>80656.888888888891</v>
      </c>
      <c r="S61" s="61">
        <f>SummaryTable[[#This Row],[OverAvgAct]]-SummaryTable[[#This Row],[OverAvgBud]]</f>
        <v>60220.222222222219</v>
      </c>
      <c r="T61" s="54">
        <f>IF(SummaryTable[[#This Row],[OverAvgBud]]=0, IF(SummaryTable[[#This Row],[OverAvgDiff'#]]=0, ZeroBudgetNoSpending, ZeroBudgetWithSpending), SummaryTable[[#This Row],[OverAvgDiff'#]]/SummaryTable[[#This Row],[OverAvgBud]])</f>
        <v>2.9466753656282276</v>
      </c>
      <c r="U61" s="61">
        <f>IFERROR(SUMIFS(allFYsTable[OriginalBudget],allFYsTable[Code],SummaryTable[[#This Row],[Code]],allFYsTable[DiffAmount], "&lt;0")/SummaryTable[[#This Row],['# Under]], 0)</f>
        <v>45888.800000000003</v>
      </c>
      <c r="V61" s="61">
        <f>IFERROR( SUMIFS(allFYsTable[Actual],allFYsTable[Code],SummaryTable[[#This Row],[Code]],allFYsTable[DiffAmount], "&lt;0")/SummaryTable[[#This Row],['# Under]], 0)</f>
        <v>30026</v>
      </c>
      <c r="W61" s="61">
        <f>SummaryTable[[#This Row],[UnderAvgAct]]-SummaryTable[[#This Row],[UnderAvgBud]]</f>
        <v>-15862.800000000003</v>
      </c>
      <c r="X61" s="54">
        <f>IF(SummaryTable[[#This Row],[UnderAvgBud]]=0, IF(SummaryTable[[#This Row],[UnderAvgDiff'#]]=0, ZeroBudgetNoSpending, NamedFields!$C$3), SummaryTable[[#This Row],[UnderAvgDiff'#]]/SummaryTable[[#This Row],[UnderAvgBud]])</f>
        <v>-0.34567911995955442</v>
      </c>
      <c r="Y6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6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2</v>
      </c>
      <c r="AA61" s="54">
        <f>IF(SummaryTable[[#This Row],[IncreaseYears]]=0, ZeroBudgetNoSpending, SummaryTable[[#This Row],[OSinIncreaseYear'#]]/SummaryTable[[#This Row],[IncreaseYears]])</f>
        <v>1</v>
      </c>
      <c r="AB61" s="58" t="str">
        <f>SummaryTable[[#This Row],[Code]]</f>
        <v>HP0</v>
      </c>
      <c r="AC61" s="62">
        <f>IF(COUNTIFS(allFYsTable[Code], SummaryTable[[#This Row],[Code]], allFYsTable[year2], AC$3)=0, NotFound, SUMIFS(allFYsTable[OriginalBudget], allFYsTable[Code], SummaryTable[[#This Row],[Code]], allFYsTable[year2], AC$3))</f>
        <v>21000</v>
      </c>
      <c r="AD61" s="61">
        <f>SummaryTable[[#This Row],[OriginalBudget25]]-SummaryTable[[#This Row],[OriginalBudget24]]</f>
        <v>21000</v>
      </c>
      <c r="AE61" s="54" t="e">
        <f>SummaryTable[[#This Row],[BudgetIncreaseAmount25]]/SummaryTable[[#This Row],[OriginalBudget24]]</f>
        <v>#DIV/0!</v>
      </c>
      <c r="AF61" s="61">
        <f>IF(COUNTIFS(allFYsTable[Code], SummaryTable[[#This Row],[Code]], allFYsTable[year2], AC$3)=0, NotFound, SUMIFS(allFYsTable[RevisedBudget], allFYsTable[Code], SummaryTable[[#This Row],[Code]], allFYsTable[year2], AC$3))</f>
        <v>0</v>
      </c>
      <c r="AG61" s="61">
        <f>IF(COUNTIFS(allFYsTable[Code], SummaryTable[[#This Row],[Code]], allFYsTable[year2], AC$3)=0, NotFound, SUMIFS(allFYsTable[Actual], allFYsTable[Code], SummaryTable[[#This Row],[Code]], allFYsTable[year2], AC$3))</f>
        <v>0</v>
      </c>
      <c r="AH61" s="61">
        <f>IF(COUNTIFS(allFYsTable[Code], SummaryTable[[#This Row],[Code]], allFYsTable[year2], AC$3)=0, NotFound, SUMIFS(allFYsTable[DiffAmount], allFYsTable[Code], SummaryTable[[#This Row],[Code]], allFYsTable[year2], AC$3))</f>
        <v>-21000</v>
      </c>
      <c r="AI61" s="63">
        <f>IF(SummaryTable[[#This Row],[OriginalBudget25]]=0, IF(SummaryTable[[#This Row],[DiffAmount25]]=0, ZeroBudgetNoSpending, ZeroBudgetWithSpending), SummaryTable[[#This Row],[DiffAmount25]]/SummaryTable[[#This Row],[OriginalBudget25]])</f>
        <v>-1</v>
      </c>
      <c r="AJ61" s="62">
        <f>IF(COUNTIFS(allFYsTable[Code], SummaryTable[[#This Row],[Code]], allFYsTable[year2], AJ$3)=0, NotFound, SUMIFS(allFYsTable[OriginalBudget], allFYsTable[Code], SummaryTable[[#This Row],[Code]], allFYsTable[year2], AJ$3))</f>
        <v>0</v>
      </c>
      <c r="AK61" s="61">
        <f>SummaryTable[[#This Row],[OriginalBudget24]]-SummaryTable[[#This Row],[OriginalBudget23]]</f>
        <v>-354197</v>
      </c>
      <c r="AL61" s="54">
        <f>SummaryTable[[#This Row],[BudgetIncreaseAmount24]]/SummaryTable[[#This Row],[OriginalBudget23]]</f>
        <v>-1</v>
      </c>
      <c r="AM61" s="61">
        <f>IF(COUNTIFS(allFYsTable[Code], SummaryTable[[#This Row],[Code]], allFYsTable[year2], AK$3)=0, NotFound, SUMIFS(allFYsTable[RevisedBudget], allFYsTable[Code], SummaryTable[[#This Row],[Code]], allFYsTable[year2], AJ$3))</f>
        <v>191289</v>
      </c>
      <c r="AN61" s="61">
        <f>IF(COUNTIFS(allFYsTable[Code], SummaryTable[[#This Row],[Code]], allFYsTable[year2], AJ$3)=0, NotFound, SUMIFS(allFYsTable[Actual], allFYsTable[Code], SummaryTable[[#This Row],[Code]], allFYsTable[year2], AJ$3))</f>
        <v>191289</v>
      </c>
      <c r="AO61" s="61">
        <f>IF(COUNTIFS(allFYsTable[Code], SummaryTable[[#This Row],[Code]], allFYsTable[year2], AJ$3)=0, NotFound, SUMIFS(allFYsTable[DiffAmount], allFYsTable[Code], SummaryTable[[#This Row],[Code]], allFYsTable[year2], AJ$3))</f>
        <v>191289</v>
      </c>
      <c r="AP61" s="63">
        <f>IF(SummaryTable[[#This Row],[OriginalBudget24]]=0, IF(SummaryTable[[#This Row],[DiffAmount24]]=0, ZeroBudgetNoSpending, ZeroBudgetWithSpending), SummaryTable[[#This Row],[DiffAmount24]]/SummaryTable[[#This Row],[OriginalBudget24]])</f>
        <v>99.99</v>
      </c>
      <c r="AQ61" s="62">
        <f>IF(COUNTIFS(allFYsTable[Code], SummaryTable[[#This Row],[Code]], allFYsTable[year2], AQ$3)=0, NotFound, SUMIFS(allFYsTable[OriginalBudget], allFYsTable[Code], SummaryTable[[#This Row],[Code]], allFYsTable[year2], AQ$3))</f>
        <v>354197</v>
      </c>
      <c r="AR61" s="61">
        <f>SummaryTable[[#This Row],[OriginalBudget23]]-SummaryTable[[#This Row],[OriginalBudget22]]</f>
        <v>354197</v>
      </c>
      <c r="AS61" s="54" t="e">
        <f>SummaryTable[[#This Row],[BudgetIncreaseAmount23]]/SummaryTable[[#This Row],[OriginalBudget22]]</f>
        <v>#DIV/0!</v>
      </c>
      <c r="AT61" s="61">
        <f>IF(COUNTIFS(allFYsTable[Code], SummaryTable[[#This Row],[Code]], allFYsTable[year2], AQ$3)=0, NotFound, SUMIFS(allFYsTable[RevisedBudget], allFYsTable[Code], SummaryTable[[#This Row],[Code]], allFYsTable[year2], AQ$3))</f>
        <v>354197</v>
      </c>
      <c r="AU61" s="61">
        <f>IF(COUNTIFS(allFYsTable[Code], SummaryTable[[#This Row],[Code]], allFYsTable[year2], AQ$3)=0, NotFound, SUMIFS(allFYsTable[Actual], allFYsTable[Code], SummaryTable[[#This Row],[Code]], allFYsTable[year2], AQ$3))</f>
        <v>354197</v>
      </c>
      <c r="AV61" s="61">
        <f>IF(COUNTIFS(allFYsTable[Code], SummaryTable[[#This Row],[Code]], allFYsTable[year2], AQ$3)=0, NotFound, SUMIFS(allFYsTable[DiffAmount], allFYsTable[Code], SummaryTable[[#This Row],[Code]], allFYsTable[year2], AQ$3))</f>
        <v>0</v>
      </c>
      <c r="AW61" s="63">
        <f>IF(SummaryTable[[#This Row],[OriginalBudget23]]=0, IF(SummaryTable[[#This Row],[DiffAmount23]]=0, ZeroBudgetNoSpending, ZeroBudgetWithSpending), SummaryTable[[#This Row],[DiffAmount23]]/SummaryTable[[#This Row],[OriginalBudget23]])</f>
        <v>0</v>
      </c>
      <c r="AX61" s="62">
        <f>IF(COUNTIFS(allFYsTable[Code], SummaryTable[[#This Row],[Code]], allFYsTable[year2], AX$3)=0, NotFound, SUMIFS(allFYsTable[OriginalBudget], allFYsTable[Code], SummaryTable[[#This Row],[Code]], allFYsTable[year2], AX$3))</f>
        <v>0</v>
      </c>
      <c r="AY61" s="61">
        <f>SummaryTable[[#This Row],[OriginalBudget22]]-SummaryTable[[#This Row],[OriginalBudget21]]</f>
        <v>-17538</v>
      </c>
      <c r="AZ61" s="54">
        <f>SummaryTable[[#This Row],[BudgetIncreaseAmount22]]/SummaryTable[[#This Row],[OriginalBudget21]]</f>
        <v>-1</v>
      </c>
      <c r="BA61" s="61">
        <f>IF(COUNTIFS(allFYsTable[Code], SummaryTable[[#This Row],[Code]], allFYsTable[year2], AX$3)=0, NotFound, SUMIFS(allFYsTable[RevisedBudget], allFYsTable[Code], SummaryTable[[#This Row],[Code]], allFYsTable[year2], AX$3))</f>
        <v>166684</v>
      </c>
      <c r="BB61" s="61">
        <f>IF(COUNTIFS(allFYsTable[Code], SummaryTable[[#This Row],[Code]], allFYsTable[year2], AX$3)=0, NotFound, SUMIFS(allFYsTable[Actual], allFYsTable[Code], SummaryTable[[#This Row],[Code]], allFYsTable[year2], AX$3))</f>
        <v>166684</v>
      </c>
      <c r="BC61" s="61">
        <f>IF(COUNTIFS(allFYsTable[Code], SummaryTable[[#This Row],[Code]], allFYsTable[year2], AX$3)=0, NotFound, SUMIFS(allFYsTable[DiffAmount], allFYsTable[Code], SummaryTable[[#This Row],[Code]], allFYsTable[year2], AX$3))</f>
        <v>166684</v>
      </c>
      <c r="BD61" s="63">
        <f>IF(SummaryTable[[#This Row],[OriginalBudget22]]=0, IF(SummaryTable[[#This Row],[DiffAmount22]]=0, ZeroBudgetNoSpending, ZeroBudgetWithSpending), SummaryTable[[#This Row],[DiffAmount22]]/SummaryTable[[#This Row],[OriginalBudget22]])</f>
        <v>99.99</v>
      </c>
      <c r="BE61" s="62">
        <f>IF(COUNTIFS(allFYsTable[Code], SummaryTable[[#This Row],[Code]], allFYsTable[year2], BE$3)=0, NotFound, SUMIFS(allFYsTable[OriginalBudget], allFYsTable[Code], SummaryTable[[#This Row],[Code]], allFYsTable[year2], BE$3))</f>
        <v>17538</v>
      </c>
      <c r="BF61" s="61">
        <f>SummaryTable[[#This Row],[OriginalBudget21]]-SummaryTable[[#This Row],[OriginalBudget20]]</f>
        <v>-21107</v>
      </c>
      <c r="BG61" s="54">
        <f>SummaryTable[[#This Row],[BudgetIncreaseAmount21]]/SummaryTable[[#This Row],[OriginalBudget20]]</f>
        <v>-0.5461767369646785</v>
      </c>
      <c r="BH61" s="61">
        <f>IF(COUNTIFS(allFYsTable[Code], SummaryTable[[#This Row],[Code]], allFYsTable[year2], BE$3)=0, NotFound, SUMIFS(allFYsTable[RevisedBudget], allFYsTable[Code], SummaryTable[[#This Row],[Code]], allFYsTable[year2], BE$3))</f>
        <v>17538</v>
      </c>
      <c r="BI61" s="61">
        <f>IF(COUNTIFS(allFYsTable[Code], SummaryTable[[#This Row],[Code]], allFYsTable[year2], BE$3)=0, NotFound, SUMIFS(allFYsTable[Actual], allFYsTable[Code], SummaryTable[[#This Row],[Code]], allFYsTable[year2], BE$3))</f>
        <v>17538</v>
      </c>
      <c r="BJ61" s="61">
        <f>IF(COUNTIFS(allFYsTable[Code], SummaryTable[[#This Row],[Code]], allFYsTable[year2], BE$3)=0, NotFound, SUMIFS(allFYsTable[DiffAmount], allFYsTable[Code], SummaryTable[[#This Row],[Code]], allFYsTable[year2], BE$3))</f>
        <v>0</v>
      </c>
      <c r="BK61" s="63">
        <f>IF(SummaryTable[[#This Row],[OriginalBudget21]]=0, IF(SummaryTable[[#This Row],[DiffAmount21]]=0, ZeroBudgetNoSpending, ZeroBudgetWithSpending), SummaryTable[[#This Row],[DiffAmount21]]/SummaryTable[[#This Row],[OriginalBudget21]])</f>
        <v>0</v>
      </c>
      <c r="BL61" s="62">
        <f>IF(COUNTIFS(allFYsTable[Code], SummaryTable[[#This Row],[Code]], allFYsTable[year2], BL$3)=0, NotFound, SUMIFS(allFYsTable[OriginalBudget], allFYsTable[Code], SummaryTable[[#This Row],[Code]], allFYsTable[year2], BL$3))</f>
        <v>38645</v>
      </c>
      <c r="BM61" s="61">
        <f>SummaryTable[[#This Row],[OriginalBudget20]]-SummaryTable[[#This Row],[OriginalBudget19]]</f>
        <v>-690</v>
      </c>
      <c r="BN61" s="54">
        <f>SummaryTable[[#This Row],[BudgetIncreaseAmount20]]/SummaryTable[[#This Row],[OriginalBudget19]]</f>
        <v>-1.7541629591966441E-2</v>
      </c>
      <c r="BO61" s="61">
        <f>IF(COUNTIFS(allFYsTable[Code], SummaryTable[[#This Row],[Code]], allFYsTable[year2], BL$3)=0, NotFound, SUMIFS(allFYsTable[RevisedBudget], allFYsTable[Code], SummaryTable[[#This Row],[Code]], allFYsTable[year2], BL$3))</f>
        <v>38645</v>
      </c>
      <c r="BP61" s="61">
        <f>IF(COUNTIFS(allFYsTable[Code], SummaryTable[[#This Row],[Code]], allFYsTable[year2], BL$3)=0, NotFound, SUMIFS(allFYsTable[Actual], allFYsTable[Code], SummaryTable[[#This Row],[Code]], allFYsTable[year2], BL$3))</f>
        <v>38645</v>
      </c>
      <c r="BQ61" s="61">
        <f>IF(COUNTIFS(allFYsTable[Code], SummaryTable[[#This Row],[Code]], allFYsTable[year2], BL$3)=0, NotFound, SUMIFS(allFYsTable[DiffAmount], allFYsTable[Code], SummaryTable[[#This Row],[Code]], allFYsTable[year2], BL$3))</f>
        <v>0</v>
      </c>
      <c r="BR61" s="63">
        <f>IF(SummaryTable[[#This Row],[OriginalBudget20]]=0, IF(SummaryTable[[#This Row],[DiffAmount20]]=0, ZeroBudgetNoSpending, ZeroBudgetWithSpending), SummaryTable[[#This Row],[DiffAmount20]]/SummaryTable[[#This Row],[OriginalBudget20]])</f>
        <v>0</v>
      </c>
      <c r="BS61" s="62">
        <f>IF(COUNTIFS(allFYsTable[Code], SummaryTable[[#This Row],[Code]], allFYsTable[year2], BS$3)=0, NotFound, SUMIFS(allFYsTable[OriginalBudget], allFYsTable[Code], SummaryTable[[#This Row],[Code]], allFYsTable[year2], BS$3))</f>
        <v>39335</v>
      </c>
      <c r="BT61" s="61">
        <f>SummaryTable[[#This Row],[OriginalBudget19]]-SummaryTable[[#This Row],[OriginalBudget18]]</f>
        <v>-8982</v>
      </c>
      <c r="BU61" s="54">
        <f>SummaryTable[[#This Row],[BudgetIncreaseAmount19]]/SummaryTable[[#This Row],[OriginalBudget18]]</f>
        <v>-0.18589730322660761</v>
      </c>
      <c r="BV61" s="61">
        <f>IF(COUNTIFS(allFYsTable[Code], SummaryTable[[#This Row],[Code]], allFYsTable[year2], BS$3)=0, NotFound, SUMIFS(allFYsTable[RevisedBudget], allFYsTable[Code], SummaryTable[[#This Row],[Code]], allFYsTable[year2], BS$3))</f>
        <v>36151</v>
      </c>
      <c r="BW61" s="61">
        <f>IF(COUNTIFS(allFYsTable[Code], SummaryTable[[#This Row],[Code]], allFYsTable[year2], BS$3)=0, NotFound, SUMIFS(allFYsTable[Actual], allFYsTable[Code], SummaryTable[[#This Row],[Code]], allFYsTable[year2], BS$3))</f>
        <v>36151</v>
      </c>
      <c r="BX61" s="61">
        <f>IF(COUNTIFS(allFYsTable[Code], SummaryTable[[#This Row],[Code]], allFYsTable[year2], BS$3)=0, NotFound, SUMIFS(allFYsTable[DiffAmount], allFYsTable[Code], SummaryTable[[#This Row],[Code]], allFYsTable[year2], BS$3))</f>
        <v>-3184</v>
      </c>
      <c r="BY61" s="63">
        <f>IF(SummaryTable[[#This Row],[OriginalBudget19]]=0, IF(SummaryTable[[#This Row],[DiffAmount19]]=0, ZeroBudgetNoSpending, ZeroBudgetWithSpending), SummaryTable[[#This Row],[DiffAmount19]]/SummaryTable[[#This Row],[OriginalBudget19]])</f>
        <v>-8.0945722638871231E-2</v>
      </c>
      <c r="BZ61" s="62">
        <f>IF(COUNTIFS(allFYsTable[Code], SummaryTable[[#This Row],[Code]], allFYsTable[year2], BZ$3)=0, NotFound, SUMIFS(allFYsTable[OriginalBudget], allFYsTable[Code], SummaryTable[[#This Row],[Code]], allFYsTable[year2], BZ$3))</f>
        <v>48317</v>
      </c>
      <c r="CA61" s="61">
        <f>SummaryTable[[#This Row],[OriginalBudget18]]-SummaryTable[[#This Row],[OriginalBudget17]]</f>
        <v>-6737</v>
      </c>
      <c r="CB61" s="54">
        <f>SummaryTable[[#This Row],[BudgetIncreaseAmount18]]/SummaryTable[[#This Row],[OriginalBudget17]]</f>
        <v>-0.12237076325062665</v>
      </c>
      <c r="CC61" s="61">
        <f>IF(COUNTIFS(allFYsTable[Code], SummaryTable[[#This Row],[Code]], allFYsTable[year2], BZ$3)=0, NotFound, SUMIFS(allFYsTable[RevisedBudget], allFYsTable[Code], SummaryTable[[#This Row],[Code]], allFYsTable[year2], BZ$3))</f>
        <v>12516</v>
      </c>
      <c r="CD61" s="61">
        <f>IF(COUNTIFS(allFYsTable[Code], SummaryTable[[#This Row],[Code]], allFYsTable[year2], BZ$3)=0, NotFound, SUMIFS(allFYsTable[Actual], allFYsTable[Code], SummaryTable[[#This Row],[Code]], allFYsTable[year2], BZ$3))</f>
        <v>12516</v>
      </c>
      <c r="CE61" s="61">
        <f>IF(COUNTIFS(allFYsTable[Code], SummaryTable[[#This Row],[Code]], allFYsTable[year2], BZ$3)=0, NotFound, SUMIFS(allFYsTable[DiffAmount], allFYsTable[Code], SummaryTable[[#This Row],[Code]], allFYsTable[year2], BZ$3))</f>
        <v>-35801</v>
      </c>
      <c r="CF61" s="63">
        <f>IF(SummaryTable[[#This Row],[OriginalBudget18]]=0, IF(SummaryTable[[#This Row],[DiffAmount18]]=0, ZeroBudgetNoSpending, ZeroBudgetWithSpending), SummaryTable[[#This Row],[DiffAmount18]]/SummaryTable[[#This Row],[OriginalBudget18]])</f>
        <v>-0.74096073845644395</v>
      </c>
      <c r="CG61" s="62">
        <f>IF(COUNTIFS(allFYsTable[Code], SummaryTable[[#This Row],[Code]], allFYsTable[year2], CG$3)=0, NotFound, SUMIFS(allFYsTable[OriginalBudget], allFYsTable[Code], SummaryTable[[#This Row],[Code]], allFYsTable[year2], CG$3))</f>
        <v>55054</v>
      </c>
      <c r="CH61" s="61">
        <f>SummaryTable[[#This Row],[OriginalBudget17]]-SummaryTable[[#This Row],[OriginalBudget16]]</f>
        <v>4875</v>
      </c>
      <c r="CI61" s="54">
        <f>SummaryTable[[#This Row],[BudgetIncreaseAmount17]]/SummaryTable[[#This Row],[OriginalBudget16]]</f>
        <v>9.715219514139381E-2</v>
      </c>
      <c r="CJ61" s="61">
        <f>IF(COUNTIFS(allFYsTable[Code], SummaryTable[[#This Row],[Code]], allFYsTable[year2], CG$3)=0, NotFound, SUMIFS(allFYsTable[RevisedBudget], allFYsTable[Code], SummaryTable[[#This Row],[Code]], allFYsTable[year2], CG$3))</f>
        <v>42732</v>
      </c>
      <c r="CK61" s="61">
        <f>IF(COUNTIFS(allFYsTable[Code], SummaryTable[[#This Row],[Code]], allFYsTable[year2], CG$3)=0, NotFound, SUMIFS(allFYsTable[Actual], allFYsTable[Code], SummaryTable[[#This Row],[Code]], allFYsTable[year2], CG$3))</f>
        <v>42732</v>
      </c>
      <c r="CL61" s="61">
        <f>IF(COUNTIFS(allFYsTable[Code], SummaryTable[[#This Row],[Code]], allFYsTable[year2], CG$3)=0, NotFound, SUMIFS(allFYsTable[DiffAmount], allFYsTable[Code], SummaryTable[[#This Row],[Code]], allFYsTable[year2], CG$3))</f>
        <v>-12322</v>
      </c>
      <c r="CM61" s="63">
        <f>IF(SummaryTable[[#This Row],[OriginalBudget17]]=0, IF(SummaryTable[[#This Row],[DiffAmount17]]=0, ZeroBudgetNoSpending, ZeroBudgetWithSpending), SummaryTable[[#This Row],[DiffAmount17]]/SummaryTable[[#This Row],[OriginalBudget17]])</f>
        <v>-0.22381661641297634</v>
      </c>
      <c r="CN61" s="62">
        <f>IF(COUNTIFS(allFYsTable[Code], SummaryTable[[#This Row],[Code]], allFYsTable[year2], CN$3)=0, NotFound, SUMIFS(allFYsTable[OriginalBudget], allFYsTable[Code], SummaryTable[[#This Row],[Code]], allFYsTable[year2], CN$3))</f>
        <v>50179</v>
      </c>
      <c r="CO61" s="61" t="e">
        <f>SummaryTable[[#This Row],[OriginalBudget16]]-SummaryTable[[#This Row],[OriginalBudget15]]</f>
        <v>#N/A</v>
      </c>
      <c r="CP61" s="54" t="e">
        <f>SummaryTable[[#This Row],[BudgetIncreaseAmount16]]/SummaryTable[[#This Row],[OriginalBudget15]]</f>
        <v>#N/A</v>
      </c>
      <c r="CQ61" s="61">
        <f>IF(COUNTIFS(allFYsTable[Code], SummaryTable[[#This Row],[Code]], allFYsTable[year2], CN$3)=0, NotFound, SUMIFS(allFYsTable[RevisedBudget], allFYsTable[Code], SummaryTable[[#This Row],[Code]], allFYsTable[year2], CN$3))</f>
        <v>90179</v>
      </c>
      <c r="CR61" s="61">
        <f>IF(COUNTIFS(allFYsTable[Code], SummaryTable[[#This Row],[Code]], allFYsTable[year2], CN$3)=0, NotFound, SUMIFS(allFYsTable[Actual], allFYsTable[Code], SummaryTable[[#This Row],[Code]], allFYsTable[year2], CN$3))</f>
        <v>90179</v>
      </c>
      <c r="CS61" s="61">
        <f>IF(COUNTIFS(allFYsTable[Code], SummaryTable[[#This Row],[Code]], allFYsTable[year2], CN$3)=0, NotFound, SUMIFS(allFYsTable[DiffAmount], allFYsTable[Code], SummaryTable[[#This Row],[Code]], allFYsTable[year2], CN$3))</f>
        <v>40000</v>
      </c>
      <c r="CT61" s="63">
        <f>IF(SummaryTable[[#This Row],[OriginalBudget16]]=0, IF(SummaryTable[[#This Row],[DiffAmount16]]=0, ZeroBudgetNoSpending, ZeroBudgetWithSpending), SummaryTable[[#This Row],[DiffAmount16]]/SummaryTable[[#This Row],[OriginalBudget16]])</f>
        <v>0.79714621654476969</v>
      </c>
      <c r="CU61" s="62" t="e">
        <f>IF(COUNTIFS(allFYsTable[Code], SummaryTable[[#This Row],[Code]], allFYsTable[year2], CU$3)=0, NotFound, SUMIFS(allFYsTable[OriginalBudget], allFYsTable[Code], SummaryTable[[#This Row],[Code]], allFYsTable[year2], CU$3))</f>
        <v>#N/A</v>
      </c>
      <c r="CV61" s="61" t="e">
        <f>SummaryTable[[#This Row],[OriginalBudget15]]-SummaryTable[[#This Row],[OriginalBudget14]]</f>
        <v>#N/A</v>
      </c>
      <c r="CW61" s="54" t="e">
        <f>SummaryTable[[#This Row],[BudgetIncreaseAmount15]]/SummaryTable[[#This Row],[OriginalBudget14]]</f>
        <v>#N/A</v>
      </c>
      <c r="CX61" s="61" t="e">
        <f>IF(COUNTIFS(allFYsTable[Code], SummaryTable[[#This Row],[Code]], allFYsTable[year2], CU$3)=0, NotFound, SUMIFS(allFYsTable[RevisedBudget], allFYsTable[Code], SummaryTable[[#This Row],[Code]], allFYsTable[year2], CU$3))</f>
        <v>#N/A</v>
      </c>
      <c r="CY61" s="61" t="e">
        <f>IF(COUNTIFS(allFYsTable[Code], SummaryTable[[#This Row],[Code]], allFYsTable[year2], CU$3)=0, NotFound, SUMIFS(allFYsTable[Actual], allFYsTable[Code], SummaryTable[[#This Row],[Code]], allFYsTable[year2], CU$3))</f>
        <v>#N/A</v>
      </c>
      <c r="CZ61" s="61" t="e">
        <f>IF(COUNTIFS(allFYsTable[Code], SummaryTable[[#This Row],[Code]], allFYsTable[year2], CU$3)=0, NotFound, SUMIFS(allFYsTable[DiffAmount], allFYsTable[Code], SummaryTable[[#This Row],[Code]], allFYsTable[year2], CU$3))</f>
        <v>#N/A</v>
      </c>
      <c r="DA61" s="63" t="e">
        <f>IF(SummaryTable[[#This Row],[OriginalBudget15]]=0, IF(SummaryTable[[#This Row],[DiffAmount15]]=0, ZeroBudgetNoSpending, ZeroBudgetWithSpending), SummaryTable[[#This Row],[DiffAmount15]]/SummaryTable[[#This Row],[OriginalBudget15]])</f>
        <v>#N/A</v>
      </c>
      <c r="DB61" s="62">
        <f>IF(COUNTIFS(allFYsTable[Code], SummaryTable[[#This Row],[Code]], allFYsTable[year2], DB$3)=0, NotFound, SUMIFS(allFYsTable[OriginalBudget], allFYsTable[Code], SummaryTable[[#This Row],[Code]], allFYsTable[year2], DB$3))</f>
        <v>0</v>
      </c>
      <c r="DC61" s="61">
        <f>SummaryTable[[#This Row],[OriginalBudget14]]-SummaryTable[[#This Row],[OriginalBudget13]]</f>
        <v>-15000</v>
      </c>
      <c r="DD61" s="54">
        <f>SummaryTable[[#This Row],[BudgetIncreaseAmount14]]/SummaryTable[[#This Row],[OriginalBudget13]]</f>
        <v>-1</v>
      </c>
      <c r="DE61" s="61">
        <f>IF(COUNTIFS(allFYsTable[Code], SummaryTable[[#This Row],[Code]], allFYsTable[year2], DB$3)=0, NotFound, SUMIFS(allFYsTable[RevisedBudget], allFYsTable[Code], SummaryTable[[#This Row],[Code]], allFYsTable[year2], DB$3))</f>
        <v>38966</v>
      </c>
      <c r="DF61" s="61">
        <f>IF(COUNTIFS(allFYsTable[Code], SummaryTable[[#This Row],[Code]], allFYsTable[year2], DB$3)=0, NotFound, SUMIFS(allFYsTable[Actual], allFYsTable[Code], SummaryTable[[#This Row],[Code]], allFYsTable[year2], DB$3))</f>
        <v>38966</v>
      </c>
      <c r="DG61" s="61">
        <f>IF(COUNTIFS(allFYsTable[Code], SummaryTable[[#This Row],[Code]], allFYsTable[year2], DB$3)=0, NotFound, SUMIFS(allFYsTable[DiffAmount], allFYsTable[Code], SummaryTable[[#This Row],[Code]], allFYsTable[year2], DB$3))</f>
        <v>38966</v>
      </c>
      <c r="DH61" s="63">
        <f>IF(SummaryTable[[#This Row],[OriginalBudget14]]=0, IF(SummaryTable[[#This Row],[DiffAmount14]]=0, ZeroBudgetNoSpending, ZeroBudgetWithSpending), SummaryTable[[#This Row],[DiffAmount14]]/SummaryTable[[#This Row],[OriginalBudget14]])</f>
        <v>99.99</v>
      </c>
      <c r="DI61" s="62">
        <f>IF(COUNTIFS(allFYsTable[Code], SummaryTable[[#This Row],[Code]], allFYsTable[year2], DI$3)=0, NotFound, SUMIFS(allFYsTable[OriginalBudget], allFYsTable[Code], SummaryTable[[#This Row],[Code]], allFYsTable[year2], DI$3))</f>
        <v>15000</v>
      </c>
      <c r="DJ61" s="61">
        <f>SummaryTable[[#This Row],[OriginalBudget13]]-SummaryTable[[#This Row],[OriginalBudget12]]</f>
        <v>-20109</v>
      </c>
      <c r="DK61" s="54">
        <f>SummaryTable[[#This Row],[BudgetIncreaseAmount13]]/SummaryTable[[#This Row],[OriginalBudget12]]</f>
        <v>-0.57275912159275399</v>
      </c>
      <c r="DL61" s="61">
        <f>IF(COUNTIFS(allFYsTable[Code], SummaryTable[[#This Row],[Code]], allFYsTable[year2], DI$3)=0, NotFound, SUMIFS(allFYsTable[RevisedBudget], allFYsTable[Code], SummaryTable[[#This Row],[Code]], allFYsTable[year2], DI$3))</f>
        <v>66931</v>
      </c>
      <c r="DM61" s="61">
        <f>IF(COUNTIFS(allFYsTable[Code], SummaryTable[[#This Row],[Code]], allFYsTable[year2], DI$3)=0, NotFound, SUMIFS(allFYsTable[Actual], allFYsTable[Code], SummaryTable[[#This Row],[Code]], allFYsTable[year2], DI$3))</f>
        <v>66931</v>
      </c>
      <c r="DN61" s="61">
        <f>IF(COUNTIFS(allFYsTable[Code], SummaryTable[[#This Row],[Code]], allFYsTable[year2], DI$3)=0, NotFound, SUMIFS(allFYsTable[DiffAmount], allFYsTable[Code], SummaryTable[[#This Row],[Code]], allFYsTable[year2], DI$3))</f>
        <v>51931</v>
      </c>
      <c r="DO61" s="63">
        <f>IF(SummaryTable[[#This Row],[OriginalBudget13]]=0, IF(SummaryTable[[#This Row],[DiffAmount13]]=0, ZeroBudgetNoSpending, ZeroBudgetWithSpending), SummaryTable[[#This Row],[DiffAmount13]]/SummaryTable[[#This Row],[OriginalBudget13]])</f>
        <v>3.4620666666666668</v>
      </c>
      <c r="DP61" s="62">
        <f>IF(COUNTIFS(allFYsTable[Code], SummaryTable[[#This Row],[Code]], allFYsTable[year2], DP$3)=0, NotFound, SUMIFS(allFYsTable[OriginalBudget], allFYsTable[Code], SummaryTable[[#This Row],[Code]], allFYsTable[year2], DP$3))</f>
        <v>35109</v>
      </c>
      <c r="DQ61" s="61">
        <f>SummaryTable[[#This Row],[OriginalBudget12]]-SummaryTable[[#This Row],[OriginalBudget11]]</f>
        <v>20725</v>
      </c>
      <c r="DR61" s="54">
        <f>SummaryTable[[#This Row],[BudgetIncreaseAmount12]]/SummaryTable[[#This Row],[OriginalBudget11]]</f>
        <v>1.440837041156841</v>
      </c>
      <c r="DS61" s="61">
        <f>IF(COUNTIFS(allFYsTable[Code], SummaryTable[[#This Row],[Code]], allFYsTable[year2], DP$3)=0, NotFound, SUMIFS(allFYsTable[RevisedBudget], allFYsTable[Code], SummaryTable[[#This Row],[Code]], allFYsTable[year2], DP$3))</f>
        <v>39012</v>
      </c>
      <c r="DT61" s="61">
        <f>IF(COUNTIFS(allFYsTable[Code], SummaryTable[[#This Row],[Code]], allFYsTable[year2], DP$3)=0, NotFound, SUMIFS(allFYsTable[Actual], allFYsTable[Code], SummaryTable[[#This Row],[Code]], allFYsTable[year2], DP$3))</f>
        <v>39012</v>
      </c>
      <c r="DU61" s="61">
        <f>IF(COUNTIFS(allFYsTable[Code], SummaryTable[[#This Row],[Code]], allFYsTable[year2], DP$3)=0, NotFound, SUMIFS(allFYsTable[DiffAmount], allFYsTable[Code], SummaryTable[[#This Row],[Code]], allFYsTable[year2], DP$3))</f>
        <v>3903</v>
      </c>
      <c r="DV61" s="63">
        <f>IF(SummaryTable[[#This Row],[OriginalBudget12]]=0, IF(SummaryTable[[#This Row],[DiffAmount12]]=0, ZeroBudgetNoSpending, ZeroBudgetWithSpending), SummaryTable[[#This Row],[DiffAmount12]]/SummaryTable[[#This Row],[OriginalBudget12]])</f>
        <v>0.11116807656156541</v>
      </c>
      <c r="DW61" s="62">
        <f>IF(COUNTIFS(allFYsTable[Code], SummaryTable[[#This Row],[Code]], allFYsTable[year2], DW$3)=0, NotFound, SUMIFS(allFYsTable[OriginalBudget], allFYsTable[Code], SummaryTable[[#This Row],[Code]], allFYsTable[year2], DW$3))</f>
        <v>14384</v>
      </c>
      <c r="DX61" s="61">
        <f>SummaryTable[[#This Row],[OriginalBudget11]]-SummaryTable[[#This Row],[OriginalBudget10]]</f>
        <v>1345</v>
      </c>
      <c r="DY61" s="54">
        <f>SummaryTable[[#This Row],[BudgetIncreaseAmount11]]/SummaryTable[[#This Row],[OriginalBudget10]]</f>
        <v>0.10315208221489378</v>
      </c>
      <c r="DZ61" s="61">
        <f>IF(COUNTIFS(allFYsTable[Code], SummaryTable[[#This Row],[Code]], allFYsTable[year2], DW$3)=0, NotFound, SUMIFS(allFYsTable[RevisedBudget], allFYsTable[Code], SummaryTable[[#This Row],[Code]], allFYsTable[year2], DW$3))</f>
        <v>34018</v>
      </c>
      <c r="EA61" s="61">
        <f>IF(COUNTIFS(allFYsTable[Code], SummaryTable[[#This Row],[Code]], allFYsTable[year2], DW$3)=0, NotFound, SUMIFS(allFYsTable[Actual], allFYsTable[Code], SummaryTable[[#This Row],[Code]], allFYsTable[year2], DW$3))</f>
        <v>34018</v>
      </c>
      <c r="EB61" s="61">
        <f>IF(COUNTIFS(allFYsTable[Code], SummaryTable[[#This Row],[Code]], allFYsTable[year2], DW$3)=0, NotFound, SUMIFS(allFYsTable[DiffAmount], allFYsTable[Code], SummaryTable[[#This Row],[Code]], allFYsTable[year2], DW$3))</f>
        <v>19634</v>
      </c>
      <c r="EC61" s="63">
        <f>IF(SummaryTable[[#This Row],[OriginalBudget11]]=0, IF(SummaryTable[[#This Row],[DiffAmount11]]=0, ZeroBudgetNoSpending, ZeroBudgetWithSpending), SummaryTable[[#This Row],[DiffAmount11]]/SummaryTable[[#This Row],[OriginalBudget11]])</f>
        <v>1.3649888765294771</v>
      </c>
      <c r="ED61" s="62">
        <f>IF(COUNTIFS(allFYsTable[Code], SummaryTable[[#This Row],[Code]], allFYsTable[year2], ED$3)=0, NotFound, SUMIFS(allFYsTable[OriginalBudget], allFYsTable[Code], SummaryTable[[#This Row],[Code]], allFYsTable[year2], ED$3))</f>
        <v>13039</v>
      </c>
      <c r="EE61" s="61">
        <f>SummaryTable[[#This Row],[OriginalBudget10]]-SummaryTable[[#This Row],[OriginalBudget09]]</f>
        <v>-9686</v>
      </c>
      <c r="EF61" s="54">
        <f>SummaryTable[[#This Row],[BudgetIncreaseAmount10]]/SummaryTable[[#This Row],[OriginalBudget09]]</f>
        <v>-0.42622662266226624</v>
      </c>
      <c r="EG61" s="61">
        <f>IF(COUNTIFS(allFYsTable[Code], SummaryTable[[#This Row],[Code]], allFYsTable[year2], ED$3)=0, NotFound, SUMIFS(allFYsTable[RevisedBudget], allFYsTable[Code], SummaryTable[[#This Row],[Code]], allFYsTable[year2], ED$3))</f>
        <v>13039</v>
      </c>
      <c r="EH61" s="61">
        <f>IF(COUNTIFS(allFYsTable[Code], SummaryTable[[#This Row],[Code]], allFYsTable[year2], ED$3)=0, NotFound, SUMIFS(allFYsTable[Actual], allFYsTable[Code], SummaryTable[[#This Row],[Code]], allFYsTable[year2], ED$3))</f>
        <v>13039</v>
      </c>
      <c r="EI61" s="61">
        <f>IF(COUNTIFS(allFYsTable[Code], SummaryTable[[#This Row],[Code]], allFYsTable[year2], ED$3)=0, NotFound, SUMIFS(allFYsTable[DiffAmount], allFYsTable[Code], SummaryTable[[#This Row],[Code]], allFYsTable[year2], ED$3))</f>
        <v>0</v>
      </c>
      <c r="EJ61" s="63">
        <f>IF(SummaryTable[[#This Row],[OriginalBudget10]]=0, IF(SummaryTable[[#This Row],[DiffAmount10]]=0, ZeroBudgetNoSpending, ZeroBudgetWithSpending), SummaryTable[[#This Row],[DiffAmount10]]/SummaryTable[[#This Row],[OriginalBudget10]])</f>
        <v>0</v>
      </c>
      <c r="EK61" s="62">
        <f>IF(COUNTIFS(allFYsTable[Code], SummaryTable[[#This Row],[Code]], allFYsTable[year2], EK$3)=0, NotFound, SUMIFS(allFYsTable[OriginalBudget], allFYsTable[Code], SummaryTable[[#This Row],[Code]], allFYsTable[year2], EK$3))</f>
        <v>22725</v>
      </c>
      <c r="EL61" s="61">
        <f>SummaryTable[[#This Row],[OriginalBudget09]]-SummaryTable[[#This Row],[OriginalBudget08]]</f>
        <v>-23808</v>
      </c>
      <c r="EM61" s="54">
        <f>SummaryTable[[#This Row],[BudgetIncreaseAmount09]]/SummaryTable[[#This Row],[OriginalBudget08]]</f>
        <v>-0.51163690284314356</v>
      </c>
      <c r="EN61" s="61">
        <f>IF(COUNTIFS(allFYsTable[Code], SummaryTable[[#This Row],[Code]], allFYsTable[year2], EK$3)=0, NotFound, SUMIFS(allFYsTable[RevisedBudget], allFYsTable[Code], SummaryTable[[#This Row],[Code]], allFYsTable[year2], EK$3))</f>
        <v>31744</v>
      </c>
      <c r="EO61" s="61">
        <f>IF(COUNTIFS(allFYsTable[Code], SummaryTable[[#This Row],[Code]], allFYsTable[year2], EK$3)=0, NotFound, SUMIFS(allFYsTable[Actual], allFYsTable[Code], SummaryTable[[#This Row],[Code]], allFYsTable[year2], EK$3))</f>
        <v>28244</v>
      </c>
      <c r="EP61" s="61">
        <f>IF(COUNTIFS(allFYsTable[Code], SummaryTable[[#This Row],[Code]], allFYsTable[year2], EK$3)=0, NotFound, SUMIFS(allFYsTable[DiffAmount], allFYsTable[Code], SummaryTable[[#This Row],[Code]], allFYsTable[year2], EK$3))</f>
        <v>5519</v>
      </c>
      <c r="EQ61" s="63">
        <f>IF(SummaryTable[[#This Row],[OriginalBudget09]]=0, IF(SummaryTable[[#This Row],[DiffAmount09]]=0, ZeroBudgetNoSpending, ZeroBudgetWithSpending), SummaryTable[[#This Row],[DiffAmount09]]/SummaryTable[[#This Row],[OriginalBudget09]])</f>
        <v>0.24286028602860285</v>
      </c>
      <c r="ER61" s="62">
        <f>IF(COUNTIFS(allFYsTable[Code], SummaryTable[[#This Row],[Code]], allFYsTable[year2], ER$3)=0, NotFound, SUMIFS(allFYsTable[OriginalBudget], allFYsTable[Code], SummaryTable[[#This Row],[Code]], allFYsTable[year2], ER$3))</f>
        <v>46533</v>
      </c>
      <c r="ES61" s="61">
        <f>SummaryTable[[#This Row],[OriginalBudget08]]-SummaryTable[[#This Row],[OriginalBudget07]]</f>
        <v>-19205</v>
      </c>
      <c r="ET61" s="54">
        <f>SummaryTable[[#This Row],[BudgetIncreaseAmount08]]/SummaryTable[[#This Row],[OriginalBudget07]]</f>
        <v>-0.29214457391463083</v>
      </c>
      <c r="EU61" s="61">
        <f>IF(COUNTIFS(allFYsTable[Code], SummaryTable[[#This Row],[Code]], allFYsTable[year2], ER$3)=0, NotFound, SUMIFS(allFYsTable[RevisedBudget], allFYsTable[Code], SummaryTable[[#This Row],[Code]], allFYsTable[year2], ER$3))</f>
        <v>76533</v>
      </c>
      <c r="EV61" s="61">
        <f>IF(COUNTIFS(allFYsTable[Code], SummaryTable[[#This Row],[Code]], allFYsTable[year2], ER$3)=0, NotFound, SUMIFS(allFYsTable[Actual], allFYsTable[Code], SummaryTable[[#This Row],[Code]], allFYsTable[year2], ER$3))</f>
        <v>70589</v>
      </c>
      <c r="EW61" s="61">
        <f>IF(COUNTIFS(allFYsTable[Code], SummaryTable[[#This Row],[Code]], allFYsTable[year2], ER$3)=0, NotFound, SUMIFS(allFYsTable[DiffAmount], allFYsTable[Code], SummaryTable[[#This Row],[Code]], allFYsTable[year2], ER$3))</f>
        <v>24056</v>
      </c>
      <c r="EX61" s="63">
        <f>IF(SummaryTable[[#This Row],[OriginalBudget08]]=0, IF(SummaryTable[[#This Row],[DiffAmount08]]=0, ZeroBudgetNoSpending, ZeroBudgetWithSpending), SummaryTable[[#This Row],[DiffAmount08]]/SummaryTable[[#This Row],[OriginalBudget08]])</f>
        <v>0.5169664539144263</v>
      </c>
      <c r="EY61" s="62">
        <f>IF(COUNTIFS(allFYsTable[Code], SummaryTable[[#This Row],[Code]], allFYsTable[year2], EY$3)=0, NotFound, SUMIFS(allFYsTable[OriginalBudget], allFYsTable[Code], SummaryTable[[#This Row],[Code]], allFYsTable[year2], EY$3))</f>
        <v>65738</v>
      </c>
      <c r="EZ61" s="61" t="e">
        <f>SummaryTable[[#This Row],[OriginalBudget07]]-SummaryTable[[#This Row],[OriginalBudget06]]</f>
        <v>#N/A</v>
      </c>
      <c r="FA61" s="54" t="e">
        <f>SummaryTable[[#This Row],[BudgetIncreaseAmount07]]/SummaryTable[[#This Row],[OriginalBudget06]]</f>
        <v>#N/A</v>
      </c>
      <c r="FB61" s="61">
        <f>IF(COUNTIFS(allFYsTable[Code], SummaryTable[[#This Row],[Code]], allFYsTable[year2], EY$3)=0, NotFound, SUMIFS(allFYsTable[RevisedBudget], allFYsTable[Code], SummaryTable[[#This Row],[Code]], allFYsTable[year2], EY$3))</f>
        <v>58731</v>
      </c>
      <c r="FC61" s="61">
        <f>IF(COUNTIFS(allFYsTable[Code], SummaryTable[[#This Row],[Code]], allFYsTable[year2], EY$3)=0, NotFound, SUMIFS(allFYsTable[Actual], allFYsTable[Code], SummaryTable[[#This Row],[Code]], allFYsTable[year2], EY$3))</f>
        <v>58731</v>
      </c>
      <c r="FD61" s="61">
        <f>IF(COUNTIFS(allFYsTable[Code], SummaryTable[[#This Row],[Code]], allFYsTable[year2], EY$3)=0, NotFound, SUMIFS(allFYsTable[DiffAmount], allFYsTable[Code], SummaryTable[[#This Row],[Code]], allFYsTable[year2], EY$3))</f>
        <v>-7007</v>
      </c>
      <c r="FE61" s="63">
        <f>IF(SummaryTable[[#This Row],[OriginalBudget07]]=0, IF(SummaryTable[[#This Row],[DiffAmount07]]=0, ZeroBudgetNoSpending, ZeroBudgetWithSpending), SummaryTable[[#This Row],[DiffAmount07]]/SummaryTable[[#This Row],[OriginalBudget07]])</f>
        <v>-0.10658979585627795</v>
      </c>
      <c r="FF61" s="62" t="e">
        <f>IF(COUNTIFS(allFYsTable[Code], SummaryTable[[#This Row],[Code]], allFYsTable[year2], FF$3)=0, NotFound, SUMIFS(allFYsTable[OriginalBudget], allFYsTable[Code], SummaryTable[[#This Row],[Code]], allFYsTable[year2], FF$3))</f>
        <v>#N/A</v>
      </c>
      <c r="FI61" s="61" t="e">
        <f>IF(COUNTIFS(allFYsTable[Code], SummaryTable[[#This Row],[Code]], allFYsTable[year2], FF$3)=0, NotFound, SUMIFS(allFYsTable[RevisedBudget], allFYsTable[Code], SummaryTable[[#This Row],[Code]], allFYsTable[year2], FF$3))</f>
        <v>#N/A</v>
      </c>
      <c r="FJ61" s="61" t="e">
        <f>IF(COUNTIFS(allFYsTable[Code], SummaryTable[[#This Row],[Code]], allFYsTable[year2], FF$3)=0, NotFound, SUMIFS(allFYsTable[Actual], allFYsTable[Code], SummaryTable[[#This Row],[Code]], allFYsTable[year2], FF$3))</f>
        <v>#N/A</v>
      </c>
      <c r="FK61" s="61" t="e">
        <f>IF(COUNTIFS(allFYsTable[Code], SummaryTable[[#This Row],[Code]], allFYsTable[year2], FF$3)=0, NotFound, SUMIFS(allFYsTable[DiffAmount], allFYsTable[Code], SummaryTable[[#This Row],[Code]], allFYsTable[year2], FF$3))</f>
        <v>#N/A</v>
      </c>
      <c r="FL61" s="63" t="e">
        <f>IF(SummaryTable[[#This Row],[OriginalBudget06]]=0, IF(SummaryTable[[#This Row],[DiffAmount06]]=0, ZeroBudgetNoSpending, ZeroBudgetWithSpending), SummaryTable[[#This Row],[DiffAmount06]]/SummaryTable[[#This Row],[OriginalBudget06]])</f>
        <v>#N/A</v>
      </c>
    </row>
    <row r="62" spans="1:168" x14ac:dyDescent="0.45">
      <c r="A62" t="s">
        <v>740</v>
      </c>
      <c r="B62">
        <f>_xlfn.MAXIFS(allFYsTable[year2], allFYsTable[Code], SummaryTable[[#This Row],[Code]])</f>
        <v>2025</v>
      </c>
      <c r="C62" t="str">
        <f>_xlfn.XLOOKUP(SummaryTable[[#This Row],[Code]], NameCodingTable[Code], NameCodingTable[Most Recent Category per allFYs])</f>
        <v>Economic development and regulation</v>
      </c>
      <c r="D62" t="str">
        <f>_xlfn.XLOOKUP(SummaryTable[[#This Row],[Code]], NameCodingTable[Code], NameCodingTable[Unit Display Name])</f>
        <v>Housing Production Trust Fund subsidy</v>
      </c>
      <c r="E62" t="str">
        <f>_xlfn.XLOOKUP(SummaryTable[[#This Row],[Code]], NameCodingTable[Code], NameCodingTable[Type])</f>
        <v>xother</v>
      </c>
      <c r="F6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18</v>
      </c>
      <c r="G6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9</v>
      </c>
      <c r="H62" s="54">
        <f>SummaryTable[[#This Row],['# Over]]/SummaryTable[[#This Row],[Count]]</f>
        <v>0.5</v>
      </c>
      <c r="I6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5</v>
      </c>
      <c r="J62" s="54">
        <f>SummaryTable[[#This Row],['# Under]]/SummaryTable[[#This Row],[Count]]</f>
        <v>0.27777777777777779</v>
      </c>
      <c r="K6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4</v>
      </c>
      <c r="L62" s="54">
        <f>SummaryTable[[#This Row],['# Equal]]/SummaryTable[[#This Row],[Count]]</f>
        <v>0.22222222222222221</v>
      </c>
      <c r="M62" s="61">
        <f>SUMIFS(allFYsTable[OriginalBudget],allFYsTable[Code],SummaryTable[[#This Row],[Code]])/SummaryTable[[#This Row],[Count]]</f>
        <v>46488.5</v>
      </c>
      <c r="N62" s="61">
        <f>SUMIFS(allFYsTable[Actual],allFYsTable[Code],SummaryTable[[#This Row],[Code]])/SummaryTable[[#This Row],[Count]]</f>
        <v>72192.277777777781</v>
      </c>
      <c r="O62" s="61">
        <f>SummaryTable[[#This Row],[AvgActAmt]]-SummaryTable[[#This Row],[AvgBudAmt]]</f>
        <v>25703.777777777781</v>
      </c>
      <c r="P62" s="54">
        <f>IF(SummaryTable[[#This Row],[AvgBudAmt]]=0, IF(SummaryTable[[#This Row],[AvgDiff'#]]=0, 0, NamedFields!$C$3), SummaryTable[[#This Row],[AvgDiff'#]]/SummaryTable[[#This Row],[AvgBudAmt]])</f>
        <v>0.55290615480770045</v>
      </c>
      <c r="Q62" s="61">
        <f>IFERROR(SUMIFS(allFYsTable[OriginalBudget],allFYsTable[Code],SummaryTable[[#This Row],[Code]],allFYsTable[DiffAmount], "&gt;0")/SummaryTable[[#This Row],['# Over]], 0)</f>
        <v>20436.666666666668</v>
      </c>
      <c r="R62" s="61">
        <f>IFERROR(SUMIFS(allFYsTable[Actual],allFYsTable[Code],SummaryTable[[#This Row],[Code]],allFYsTable[DiffAmount], "&gt;0")/SummaryTable[[#This Row],['# Over]], 0)</f>
        <v>80656.888888888891</v>
      </c>
      <c r="S62" s="61">
        <f>SummaryTable[[#This Row],[OverAvgAct]]-SummaryTable[[#This Row],[OverAvgBud]]</f>
        <v>60220.222222222219</v>
      </c>
      <c r="T62" s="54">
        <f>IF(SummaryTable[[#This Row],[OverAvgBud]]=0, IF(SummaryTable[[#This Row],[OverAvgDiff'#]]=0, ZeroBudgetNoSpending, ZeroBudgetWithSpending), SummaryTable[[#This Row],[OverAvgDiff'#]]/SummaryTable[[#This Row],[OverAvgBud]])</f>
        <v>2.9466753656282276</v>
      </c>
      <c r="U62" s="61">
        <f>IFERROR(SUMIFS(allFYsTable[OriginalBudget],allFYsTable[Code],SummaryTable[[#This Row],[Code]],allFYsTable[DiffAmount], "&lt;0")/SummaryTable[[#This Row],['# Under]], 0)</f>
        <v>45888.800000000003</v>
      </c>
      <c r="V62" s="61">
        <f>IFERROR( SUMIFS(allFYsTable[Actual],allFYsTable[Code],SummaryTable[[#This Row],[Code]],allFYsTable[DiffAmount], "&lt;0")/SummaryTable[[#This Row],['# Under]], 0)</f>
        <v>30026</v>
      </c>
      <c r="W62" s="61">
        <f>SummaryTable[[#This Row],[UnderAvgAct]]-SummaryTable[[#This Row],[UnderAvgBud]]</f>
        <v>-15862.800000000003</v>
      </c>
      <c r="X62" s="54">
        <f>IF(SummaryTable[[#This Row],[UnderAvgBud]]=0, IF(SummaryTable[[#This Row],[UnderAvgDiff'#]]=0, ZeroBudgetNoSpending, NamedFields!$C$3), SummaryTable[[#This Row],[UnderAvgDiff'#]]/SummaryTable[[#This Row],[UnderAvgBud]])</f>
        <v>-0.34567911995955442</v>
      </c>
      <c r="Y6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6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2</v>
      </c>
      <c r="AA62" s="54">
        <f>IF(SummaryTable[[#This Row],[IncreaseYears]]=0, ZeroBudgetNoSpending, SummaryTable[[#This Row],[OSinIncreaseYear'#]]/SummaryTable[[#This Row],[IncreaseYears]])</f>
        <v>1</v>
      </c>
      <c r="AB62" s="58" t="str">
        <f>SummaryTable[[#This Row],[Code]]</f>
        <v>HP0</v>
      </c>
      <c r="AC62" s="62">
        <f>IF(COUNTIFS(allFYsTable[Code], SummaryTable[[#This Row],[Code]], allFYsTable[year2], AC$3)=0, NotFound, SUMIFS(allFYsTable[OriginalBudget], allFYsTable[Code], SummaryTable[[#This Row],[Code]], allFYsTable[year2], AC$3))</f>
        <v>21000</v>
      </c>
      <c r="AD62" s="61">
        <f>SummaryTable[[#This Row],[OriginalBudget25]]-SummaryTable[[#This Row],[OriginalBudget24]]</f>
        <v>21000</v>
      </c>
      <c r="AE62" s="54" t="e">
        <f>SummaryTable[[#This Row],[BudgetIncreaseAmount25]]/SummaryTable[[#This Row],[OriginalBudget24]]</f>
        <v>#DIV/0!</v>
      </c>
      <c r="AF62" s="61">
        <f>IF(COUNTIFS(allFYsTable[Code], SummaryTable[[#This Row],[Code]], allFYsTable[year2], AC$3)=0, NotFound, SUMIFS(allFYsTable[RevisedBudget], allFYsTable[Code], SummaryTable[[#This Row],[Code]], allFYsTable[year2], AC$3))</f>
        <v>0</v>
      </c>
      <c r="AG62" s="61">
        <f>IF(COUNTIFS(allFYsTable[Code], SummaryTable[[#This Row],[Code]], allFYsTable[year2], AC$3)=0, NotFound, SUMIFS(allFYsTable[Actual], allFYsTable[Code], SummaryTable[[#This Row],[Code]], allFYsTable[year2], AC$3))</f>
        <v>0</v>
      </c>
      <c r="AH62" s="61">
        <f>IF(COUNTIFS(allFYsTable[Code], SummaryTable[[#This Row],[Code]], allFYsTable[year2], AC$3)=0, NotFound, SUMIFS(allFYsTable[DiffAmount], allFYsTable[Code], SummaryTable[[#This Row],[Code]], allFYsTable[year2], AC$3))</f>
        <v>-21000</v>
      </c>
      <c r="AI62" s="63">
        <f>IF(SummaryTable[[#This Row],[OriginalBudget25]]=0, IF(SummaryTable[[#This Row],[DiffAmount25]]=0, ZeroBudgetNoSpending, ZeroBudgetWithSpending), SummaryTable[[#This Row],[DiffAmount25]]/SummaryTable[[#This Row],[OriginalBudget25]])</f>
        <v>-1</v>
      </c>
      <c r="AJ62" s="62">
        <f>IF(COUNTIFS(allFYsTable[Code], SummaryTable[[#This Row],[Code]], allFYsTable[year2], AJ$3)=0, NotFound, SUMIFS(allFYsTable[OriginalBudget], allFYsTable[Code], SummaryTable[[#This Row],[Code]], allFYsTable[year2], AJ$3))</f>
        <v>0</v>
      </c>
      <c r="AK62" s="61">
        <f>SummaryTable[[#This Row],[OriginalBudget24]]-SummaryTable[[#This Row],[OriginalBudget23]]</f>
        <v>-354197</v>
      </c>
      <c r="AL62" s="54">
        <f>SummaryTable[[#This Row],[BudgetIncreaseAmount24]]/SummaryTable[[#This Row],[OriginalBudget23]]</f>
        <v>-1</v>
      </c>
      <c r="AM62" s="61">
        <f>IF(COUNTIFS(allFYsTable[Code], SummaryTable[[#This Row],[Code]], allFYsTable[year2], AK$3)=0, NotFound, SUMIFS(allFYsTable[RevisedBudget], allFYsTable[Code], SummaryTable[[#This Row],[Code]], allFYsTable[year2], AJ$3))</f>
        <v>191289</v>
      </c>
      <c r="AN62" s="61">
        <f>IF(COUNTIFS(allFYsTable[Code], SummaryTable[[#This Row],[Code]], allFYsTable[year2], AJ$3)=0, NotFound, SUMIFS(allFYsTable[Actual], allFYsTable[Code], SummaryTable[[#This Row],[Code]], allFYsTable[year2], AJ$3))</f>
        <v>191289</v>
      </c>
      <c r="AO62" s="61">
        <f>IF(COUNTIFS(allFYsTable[Code], SummaryTable[[#This Row],[Code]], allFYsTable[year2], AJ$3)=0, NotFound, SUMIFS(allFYsTable[DiffAmount], allFYsTable[Code], SummaryTable[[#This Row],[Code]], allFYsTable[year2], AJ$3))</f>
        <v>191289</v>
      </c>
      <c r="AP62" s="63">
        <f>IF(SummaryTable[[#This Row],[OriginalBudget24]]=0, IF(SummaryTable[[#This Row],[DiffAmount24]]=0, ZeroBudgetNoSpending, ZeroBudgetWithSpending), SummaryTable[[#This Row],[DiffAmount24]]/SummaryTable[[#This Row],[OriginalBudget24]])</f>
        <v>99.99</v>
      </c>
      <c r="AQ62" s="62">
        <f>IF(COUNTIFS(allFYsTable[Code], SummaryTable[[#This Row],[Code]], allFYsTable[year2], AQ$3)=0, NotFound, SUMIFS(allFYsTable[OriginalBudget], allFYsTable[Code], SummaryTable[[#This Row],[Code]], allFYsTable[year2], AQ$3))</f>
        <v>354197</v>
      </c>
      <c r="AR62" s="61">
        <f>SummaryTable[[#This Row],[OriginalBudget23]]-SummaryTable[[#This Row],[OriginalBudget22]]</f>
        <v>354197</v>
      </c>
      <c r="AS62" s="54" t="e">
        <f>SummaryTable[[#This Row],[BudgetIncreaseAmount23]]/SummaryTable[[#This Row],[OriginalBudget22]]</f>
        <v>#DIV/0!</v>
      </c>
      <c r="AT62" s="61">
        <f>IF(COUNTIFS(allFYsTable[Code], SummaryTable[[#This Row],[Code]], allFYsTable[year2], AQ$3)=0, NotFound, SUMIFS(allFYsTable[RevisedBudget], allFYsTable[Code], SummaryTable[[#This Row],[Code]], allFYsTable[year2], AQ$3))</f>
        <v>354197</v>
      </c>
      <c r="AU62" s="61">
        <f>IF(COUNTIFS(allFYsTable[Code], SummaryTable[[#This Row],[Code]], allFYsTable[year2], AQ$3)=0, NotFound, SUMIFS(allFYsTable[Actual], allFYsTable[Code], SummaryTable[[#This Row],[Code]], allFYsTable[year2], AQ$3))</f>
        <v>354197</v>
      </c>
      <c r="AV62" s="61">
        <f>IF(COUNTIFS(allFYsTable[Code], SummaryTable[[#This Row],[Code]], allFYsTable[year2], AQ$3)=0, NotFound, SUMIFS(allFYsTable[DiffAmount], allFYsTable[Code], SummaryTable[[#This Row],[Code]], allFYsTable[year2], AQ$3))</f>
        <v>0</v>
      </c>
      <c r="AW62" s="63">
        <f>IF(SummaryTable[[#This Row],[OriginalBudget23]]=0, IF(SummaryTable[[#This Row],[DiffAmount23]]=0, ZeroBudgetNoSpending, ZeroBudgetWithSpending), SummaryTable[[#This Row],[DiffAmount23]]/SummaryTable[[#This Row],[OriginalBudget23]])</f>
        <v>0</v>
      </c>
      <c r="AX62" s="62">
        <f>IF(COUNTIFS(allFYsTable[Code], SummaryTable[[#This Row],[Code]], allFYsTable[year2], AX$3)=0, NotFound, SUMIFS(allFYsTable[OriginalBudget], allFYsTable[Code], SummaryTable[[#This Row],[Code]], allFYsTable[year2], AX$3))</f>
        <v>0</v>
      </c>
      <c r="AY62" s="61">
        <f>SummaryTable[[#This Row],[OriginalBudget22]]-SummaryTable[[#This Row],[OriginalBudget21]]</f>
        <v>-17538</v>
      </c>
      <c r="AZ62" s="54">
        <f>SummaryTable[[#This Row],[BudgetIncreaseAmount22]]/SummaryTable[[#This Row],[OriginalBudget21]]</f>
        <v>-1</v>
      </c>
      <c r="BA62" s="61">
        <f>IF(COUNTIFS(allFYsTable[Code], SummaryTable[[#This Row],[Code]], allFYsTable[year2], AX$3)=0, NotFound, SUMIFS(allFYsTable[RevisedBudget], allFYsTable[Code], SummaryTable[[#This Row],[Code]], allFYsTable[year2], AX$3))</f>
        <v>166684</v>
      </c>
      <c r="BB62" s="61">
        <f>IF(COUNTIFS(allFYsTable[Code], SummaryTable[[#This Row],[Code]], allFYsTable[year2], AX$3)=0, NotFound, SUMIFS(allFYsTable[Actual], allFYsTable[Code], SummaryTable[[#This Row],[Code]], allFYsTable[year2], AX$3))</f>
        <v>166684</v>
      </c>
      <c r="BC62" s="61">
        <f>IF(COUNTIFS(allFYsTable[Code], SummaryTable[[#This Row],[Code]], allFYsTable[year2], AX$3)=0, NotFound, SUMIFS(allFYsTable[DiffAmount], allFYsTable[Code], SummaryTable[[#This Row],[Code]], allFYsTable[year2], AX$3))</f>
        <v>166684</v>
      </c>
      <c r="BD62" s="63">
        <f>IF(SummaryTable[[#This Row],[OriginalBudget22]]=0, IF(SummaryTable[[#This Row],[DiffAmount22]]=0, ZeroBudgetNoSpending, ZeroBudgetWithSpending), SummaryTable[[#This Row],[DiffAmount22]]/SummaryTable[[#This Row],[OriginalBudget22]])</f>
        <v>99.99</v>
      </c>
      <c r="BE62" s="62">
        <f>IF(COUNTIFS(allFYsTable[Code], SummaryTable[[#This Row],[Code]], allFYsTable[year2], BE$3)=0, NotFound, SUMIFS(allFYsTable[OriginalBudget], allFYsTable[Code], SummaryTable[[#This Row],[Code]], allFYsTable[year2], BE$3))</f>
        <v>17538</v>
      </c>
      <c r="BF62" s="61">
        <f>SummaryTable[[#This Row],[OriginalBudget21]]-SummaryTable[[#This Row],[OriginalBudget20]]</f>
        <v>-21107</v>
      </c>
      <c r="BG62" s="54">
        <f>SummaryTable[[#This Row],[BudgetIncreaseAmount21]]/SummaryTable[[#This Row],[OriginalBudget20]]</f>
        <v>-0.5461767369646785</v>
      </c>
      <c r="BH62" s="61">
        <f>IF(COUNTIFS(allFYsTable[Code], SummaryTable[[#This Row],[Code]], allFYsTable[year2], BE$3)=0, NotFound, SUMIFS(allFYsTable[RevisedBudget], allFYsTable[Code], SummaryTable[[#This Row],[Code]], allFYsTable[year2], BE$3))</f>
        <v>17538</v>
      </c>
      <c r="BI62" s="61">
        <f>IF(COUNTIFS(allFYsTable[Code], SummaryTable[[#This Row],[Code]], allFYsTable[year2], BE$3)=0, NotFound, SUMIFS(allFYsTable[Actual], allFYsTable[Code], SummaryTable[[#This Row],[Code]], allFYsTable[year2], BE$3))</f>
        <v>17538</v>
      </c>
      <c r="BJ62" s="61">
        <f>IF(COUNTIFS(allFYsTable[Code], SummaryTable[[#This Row],[Code]], allFYsTable[year2], BE$3)=0, NotFound, SUMIFS(allFYsTable[DiffAmount], allFYsTable[Code], SummaryTable[[#This Row],[Code]], allFYsTable[year2], BE$3))</f>
        <v>0</v>
      </c>
      <c r="BK62" s="63">
        <f>IF(SummaryTable[[#This Row],[OriginalBudget21]]=0, IF(SummaryTable[[#This Row],[DiffAmount21]]=0, ZeroBudgetNoSpending, ZeroBudgetWithSpending), SummaryTable[[#This Row],[DiffAmount21]]/SummaryTable[[#This Row],[OriginalBudget21]])</f>
        <v>0</v>
      </c>
      <c r="BL62" s="62">
        <f>IF(COUNTIFS(allFYsTable[Code], SummaryTable[[#This Row],[Code]], allFYsTable[year2], BL$3)=0, NotFound, SUMIFS(allFYsTable[OriginalBudget], allFYsTable[Code], SummaryTable[[#This Row],[Code]], allFYsTable[year2], BL$3))</f>
        <v>38645</v>
      </c>
      <c r="BM62" s="61">
        <f>SummaryTable[[#This Row],[OriginalBudget20]]-SummaryTable[[#This Row],[OriginalBudget19]]</f>
        <v>-690</v>
      </c>
      <c r="BN62" s="54">
        <f>SummaryTable[[#This Row],[BudgetIncreaseAmount20]]/SummaryTable[[#This Row],[OriginalBudget19]]</f>
        <v>-1.7541629591966441E-2</v>
      </c>
      <c r="BO62" s="61">
        <f>IF(COUNTIFS(allFYsTable[Code], SummaryTable[[#This Row],[Code]], allFYsTable[year2], BL$3)=0, NotFound, SUMIFS(allFYsTable[RevisedBudget], allFYsTable[Code], SummaryTable[[#This Row],[Code]], allFYsTable[year2], BL$3))</f>
        <v>38645</v>
      </c>
      <c r="BP62" s="61">
        <f>IF(COUNTIFS(allFYsTable[Code], SummaryTable[[#This Row],[Code]], allFYsTable[year2], BL$3)=0, NotFound, SUMIFS(allFYsTable[Actual], allFYsTable[Code], SummaryTable[[#This Row],[Code]], allFYsTable[year2], BL$3))</f>
        <v>38645</v>
      </c>
      <c r="BQ62" s="61">
        <f>IF(COUNTIFS(allFYsTable[Code], SummaryTable[[#This Row],[Code]], allFYsTable[year2], BL$3)=0, NotFound, SUMIFS(allFYsTable[DiffAmount], allFYsTable[Code], SummaryTable[[#This Row],[Code]], allFYsTable[year2], BL$3))</f>
        <v>0</v>
      </c>
      <c r="BR62" s="63">
        <f>IF(SummaryTable[[#This Row],[OriginalBudget20]]=0, IF(SummaryTable[[#This Row],[DiffAmount20]]=0, ZeroBudgetNoSpending, ZeroBudgetWithSpending), SummaryTable[[#This Row],[DiffAmount20]]/SummaryTable[[#This Row],[OriginalBudget20]])</f>
        <v>0</v>
      </c>
      <c r="BS62" s="62">
        <f>IF(COUNTIFS(allFYsTable[Code], SummaryTable[[#This Row],[Code]], allFYsTable[year2], BS$3)=0, NotFound, SUMIFS(allFYsTable[OriginalBudget], allFYsTable[Code], SummaryTable[[#This Row],[Code]], allFYsTable[year2], BS$3))</f>
        <v>39335</v>
      </c>
      <c r="BT62" s="61">
        <f>SummaryTable[[#This Row],[OriginalBudget19]]-SummaryTable[[#This Row],[OriginalBudget18]]</f>
        <v>-8982</v>
      </c>
      <c r="BU62" s="54">
        <f>SummaryTable[[#This Row],[BudgetIncreaseAmount19]]/SummaryTable[[#This Row],[OriginalBudget18]]</f>
        <v>-0.18589730322660761</v>
      </c>
      <c r="BV62" s="61">
        <f>IF(COUNTIFS(allFYsTable[Code], SummaryTable[[#This Row],[Code]], allFYsTable[year2], BS$3)=0, NotFound, SUMIFS(allFYsTable[RevisedBudget], allFYsTable[Code], SummaryTable[[#This Row],[Code]], allFYsTable[year2], BS$3))</f>
        <v>36151</v>
      </c>
      <c r="BW62" s="61">
        <f>IF(COUNTIFS(allFYsTable[Code], SummaryTable[[#This Row],[Code]], allFYsTable[year2], BS$3)=0, NotFound, SUMIFS(allFYsTable[Actual], allFYsTable[Code], SummaryTable[[#This Row],[Code]], allFYsTable[year2], BS$3))</f>
        <v>36151</v>
      </c>
      <c r="BX62" s="61">
        <f>IF(COUNTIFS(allFYsTable[Code], SummaryTable[[#This Row],[Code]], allFYsTable[year2], BS$3)=0, NotFound, SUMIFS(allFYsTable[DiffAmount], allFYsTable[Code], SummaryTable[[#This Row],[Code]], allFYsTable[year2], BS$3))</f>
        <v>-3184</v>
      </c>
      <c r="BY62" s="63">
        <f>IF(SummaryTable[[#This Row],[OriginalBudget19]]=0, IF(SummaryTable[[#This Row],[DiffAmount19]]=0, ZeroBudgetNoSpending, ZeroBudgetWithSpending), SummaryTable[[#This Row],[DiffAmount19]]/SummaryTable[[#This Row],[OriginalBudget19]])</f>
        <v>-8.0945722638871231E-2</v>
      </c>
      <c r="BZ62" s="62">
        <f>IF(COUNTIFS(allFYsTable[Code], SummaryTable[[#This Row],[Code]], allFYsTable[year2], BZ$3)=0, NotFound, SUMIFS(allFYsTable[OriginalBudget], allFYsTable[Code], SummaryTable[[#This Row],[Code]], allFYsTable[year2], BZ$3))</f>
        <v>48317</v>
      </c>
      <c r="CA62" s="61">
        <f>SummaryTable[[#This Row],[OriginalBudget18]]-SummaryTable[[#This Row],[OriginalBudget17]]</f>
        <v>-6737</v>
      </c>
      <c r="CB62" s="54">
        <f>SummaryTable[[#This Row],[BudgetIncreaseAmount18]]/SummaryTable[[#This Row],[OriginalBudget17]]</f>
        <v>-0.12237076325062665</v>
      </c>
      <c r="CC62" s="61">
        <f>IF(COUNTIFS(allFYsTable[Code], SummaryTable[[#This Row],[Code]], allFYsTable[year2], BZ$3)=0, NotFound, SUMIFS(allFYsTable[RevisedBudget], allFYsTable[Code], SummaryTable[[#This Row],[Code]], allFYsTable[year2], BZ$3))</f>
        <v>12516</v>
      </c>
      <c r="CD62" s="61">
        <f>IF(COUNTIFS(allFYsTable[Code], SummaryTable[[#This Row],[Code]], allFYsTable[year2], BZ$3)=0, NotFound, SUMIFS(allFYsTable[Actual], allFYsTable[Code], SummaryTable[[#This Row],[Code]], allFYsTable[year2], BZ$3))</f>
        <v>12516</v>
      </c>
      <c r="CE62" s="61">
        <f>IF(COUNTIFS(allFYsTable[Code], SummaryTable[[#This Row],[Code]], allFYsTable[year2], BZ$3)=0, NotFound, SUMIFS(allFYsTable[DiffAmount], allFYsTable[Code], SummaryTable[[#This Row],[Code]], allFYsTable[year2], BZ$3))</f>
        <v>-35801</v>
      </c>
      <c r="CF62" s="63">
        <f>IF(SummaryTable[[#This Row],[OriginalBudget18]]=0, IF(SummaryTable[[#This Row],[DiffAmount18]]=0, ZeroBudgetNoSpending, ZeroBudgetWithSpending), SummaryTable[[#This Row],[DiffAmount18]]/SummaryTable[[#This Row],[OriginalBudget18]])</f>
        <v>-0.74096073845644395</v>
      </c>
      <c r="CG62" s="62">
        <f>IF(COUNTIFS(allFYsTable[Code], SummaryTable[[#This Row],[Code]], allFYsTable[year2], CG$3)=0, NotFound, SUMIFS(allFYsTable[OriginalBudget], allFYsTable[Code], SummaryTable[[#This Row],[Code]], allFYsTable[year2], CG$3))</f>
        <v>55054</v>
      </c>
      <c r="CH62" s="61">
        <f>SummaryTable[[#This Row],[OriginalBudget17]]-SummaryTable[[#This Row],[OriginalBudget16]]</f>
        <v>4875</v>
      </c>
      <c r="CI62" s="54">
        <f>SummaryTable[[#This Row],[BudgetIncreaseAmount17]]/SummaryTable[[#This Row],[OriginalBudget16]]</f>
        <v>9.715219514139381E-2</v>
      </c>
      <c r="CJ62" s="61">
        <f>IF(COUNTIFS(allFYsTable[Code], SummaryTable[[#This Row],[Code]], allFYsTable[year2], CG$3)=0, NotFound, SUMIFS(allFYsTable[RevisedBudget], allFYsTable[Code], SummaryTable[[#This Row],[Code]], allFYsTable[year2], CG$3))</f>
        <v>42732</v>
      </c>
      <c r="CK62" s="61">
        <f>IF(COUNTIFS(allFYsTable[Code], SummaryTable[[#This Row],[Code]], allFYsTable[year2], CG$3)=0, NotFound, SUMIFS(allFYsTable[Actual], allFYsTable[Code], SummaryTable[[#This Row],[Code]], allFYsTable[year2], CG$3))</f>
        <v>42732</v>
      </c>
      <c r="CL62" s="61">
        <f>IF(COUNTIFS(allFYsTable[Code], SummaryTable[[#This Row],[Code]], allFYsTable[year2], CG$3)=0, NotFound, SUMIFS(allFYsTable[DiffAmount], allFYsTable[Code], SummaryTable[[#This Row],[Code]], allFYsTable[year2], CG$3))</f>
        <v>-12322</v>
      </c>
      <c r="CM62" s="63">
        <f>IF(SummaryTable[[#This Row],[OriginalBudget17]]=0, IF(SummaryTable[[#This Row],[DiffAmount17]]=0, ZeroBudgetNoSpending, ZeroBudgetWithSpending), SummaryTable[[#This Row],[DiffAmount17]]/SummaryTable[[#This Row],[OriginalBudget17]])</f>
        <v>-0.22381661641297634</v>
      </c>
      <c r="CN62" s="62">
        <f>IF(COUNTIFS(allFYsTable[Code], SummaryTable[[#This Row],[Code]], allFYsTable[year2], CN$3)=0, NotFound, SUMIFS(allFYsTable[OriginalBudget], allFYsTable[Code], SummaryTable[[#This Row],[Code]], allFYsTable[year2], CN$3))</f>
        <v>50179</v>
      </c>
      <c r="CO62" s="61" t="e">
        <f>SummaryTable[[#This Row],[OriginalBudget16]]-SummaryTable[[#This Row],[OriginalBudget15]]</f>
        <v>#N/A</v>
      </c>
      <c r="CP62" s="54" t="e">
        <f>SummaryTable[[#This Row],[BudgetIncreaseAmount16]]/SummaryTable[[#This Row],[OriginalBudget15]]</f>
        <v>#N/A</v>
      </c>
      <c r="CQ62" s="61">
        <f>IF(COUNTIFS(allFYsTable[Code], SummaryTable[[#This Row],[Code]], allFYsTable[year2], CN$3)=0, NotFound, SUMIFS(allFYsTable[RevisedBudget], allFYsTable[Code], SummaryTable[[#This Row],[Code]], allFYsTable[year2], CN$3))</f>
        <v>90179</v>
      </c>
      <c r="CR62" s="61">
        <f>IF(COUNTIFS(allFYsTable[Code], SummaryTable[[#This Row],[Code]], allFYsTable[year2], CN$3)=0, NotFound, SUMIFS(allFYsTable[Actual], allFYsTable[Code], SummaryTable[[#This Row],[Code]], allFYsTable[year2], CN$3))</f>
        <v>90179</v>
      </c>
      <c r="CS62" s="61">
        <f>IF(COUNTIFS(allFYsTable[Code], SummaryTable[[#This Row],[Code]], allFYsTable[year2], CN$3)=0, NotFound, SUMIFS(allFYsTable[DiffAmount], allFYsTable[Code], SummaryTable[[#This Row],[Code]], allFYsTable[year2], CN$3))</f>
        <v>40000</v>
      </c>
      <c r="CT62" s="63">
        <f>IF(SummaryTable[[#This Row],[OriginalBudget16]]=0, IF(SummaryTable[[#This Row],[DiffAmount16]]=0, ZeroBudgetNoSpending, ZeroBudgetWithSpending), SummaryTable[[#This Row],[DiffAmount16]]/SummaryTable[[#This Row],[OriginalBudget16]])</f>
        <v>0.79714621654476969</v>
      </c>
      <c r="CU62" s="62" t="e">
        <f>IF(COUNTIFS(allFYsTable[Code], SummaryTable[[#This Row],[Code]], allFYsTable[year2], CU$3)=0, NotFound, SUMIFS(allFYsTable[OriginalBudget], allFYsTable[Code], SummaryTable[[#This Row],[Code]], allFYsTable[year2], CU$3))</f>
        <v>#N/A</v>
      </c>
      <c r="CV62" s="61" t="e">
        <f>SummaryTable[[#This Row],[OriginalBudget15]]-SummaryTable[[#This Row],[OriginalBudget14]]</f>
        <v>#N/A</v>
      </c>
      <c r="CW62" s="54" t="e">
        <f>SummaryTable[[#This Row],[BudgetIncreaseAmount15]]/SummaryTable[[#This Row],[OriginalBudget14]]</f>
        <v>#N/A</v>
      </c>
      <c r="CX62" s="61" t="e">
        <f>IF(COUNTIFS(allFYsTable[Code], SummaryTable[[#This Row],[Code]], allFYsTable[year2], CU$3)=0, NotFound, SUMIFS(allFYsTable[RevisedBudget], allFYsTable[Code], SummaryTable[[#This Row],[Code]], allFYsTable[year2], CU$3))</f>
        <v>#N/A</v>
      </c>
      <c r="CY62" s="61" t="e">
        <f>IF(COUNTIFS(allFYsTable[Code], SummaryTable[[#This Row],[Code]], allFYsTable[year2], CU$3)=0, NotFound, SUMIFS(allFYsTable[Actual], allFYsTable[Code], SummaryTable[[#This Row],[Code]], allFYsTable[year2], CU$3))</f>
        <v>#N/A</v>
      </c>
      <c r="CZ62" s="61" t="e">
        <f>IF(COUNTIFS(allFYsTable[Code], SummaryTable[[#This Row],[Code]], allFYsTable[year2], CU$3)=0, NotFound, SUMIFS(allFYsTable[DiffAmount], allFYsTable[Code], SummaryTable[[#This Row],[Code]], allFYsTable[year2], CU$3))</f>
        <v>#N/A</v>
      </c>
      <c r="DA62" s="63" t="e">
        <f>IF(SummaryTable[[#This Row],[OriginalBudget15]]=0, IF(SummaryTable[[#This Row],[DiffAmount15]]=0, ZeroBudgetNoSpending, ZeroBudgetWithSpending), SummaryTable[[#This Row],[DiffAmount15]]/SummaryTable[[#This Row],[OriginalBudget15]])</f>
        <v>#N/A</v>
      </c>
      <c r="DB62" s="62">
        <f>IF(COUNTIFS(allFYsTable[Code], SummaryTable[[#This Row],[Code]], allFYsTable[year2], DB$3)=0, NotFound, SUMIFS(allFYsTable[OriginalBudget], allFYsTable[Code], SummaryTable[[#This Row],[Code]], allFYsTable[year2], DB$3))</f>
        <v>0</v>
      </c>
      <c r="DC62" s="61">
        <f>SummaryTable[[#This Row],[OriginalBudget14]]-SummaryTable[[#This Row],[OriginalBudget13]]</f>
        <v>-15000</v>
      </c>
      <c r="DD62" s="54">
        <f>SummaryTable[[#This Row],[BudgetIncreaseAmount14]]/SummaryTable[[#This Row],[OriginalBudget13]]</f>
        <v>-1</v>
      </c>
      <c r="DE62" s="61">
        <f>IF(COUNTIFS(allFYsTable[Code], SummaryTable[[#This Row],[Code]], allFYsTable[year2], DB$3)=0, NotFound, SUMIFS(allFYsTable[RevisedBudget], allFYsTable[Code], SummaryTable[[#This Row],[Code]], allFYsTable[year2], DB$3))</f>
        <v>38966</v>
      </c>
      <c r="DF62" s="61">
        <f>IF(COUNTIFS(allFYsTable[Code], SummaryTable[[#This Row],[Code]], allFYsTable[year2], DB$3)=0, NotFound, SUMIFS(allFYsTable[Actual], allFYsTable[Code], SummaryTable[[#This Row],[Code]], allFYsTable[year2], DB$3))</f>
        <v>38966</v>
      </c>
      <c r="DG62" s="61">
        <f>IF(COUNTIFS(allFYsTable[Code], SummaryTable[[#This Row],[Code]], allFYsTable[year2], DB$3)=0, NotFound, SUMIFS(allFYsTable[DiffAmount], allFYsTable[Code], SummaryTable[[#This Row],[Code]], allFYsTable[year2], DB$3))</f>
        <v>38966</v>
      </c>
      <c r="DH62" s="63">
        <f>IF(SummaryTable[[#This Row],[OriginalBudget14]]=0, IF(SummaryTable[[#This Row],[DiffAmount14]]=0, ZeroBudgetNoSpending, ZeroBudgetWithSpending), SummaryTable[[#This Row],[DiffAmount14]]/SummaryTable[[#This Row],[OriginalBudget14]])</f>
        <v>99.99</v>
      </c>
      <c r="DI62" s="62">
        <f>IF(COUNTIFS(allFYsTable[Code], SummaryTable[[#This Row],[Code]], allFYsTable[year2], DI$3)=0, NotFound, SUMIFS(allFYsTable[OriginalBudget], allFYsTable[Code], SummaryTable[[#This Row],[Code]], allFYsTable[year2], DI$3))</f>
        <v>15000</v>
      </c>
      <c r="DJ62" s="61">
        <f>SummaryTable[[#This Row],[OriginalBudget13]]-SummaryTable[[#This Row],[OriginalBudget12]]</f>
        <v>-20109</v>
      </c>
      <c r="DK62" s="54">
        <f>SummaryTable[[#This Row],[BudgetIncreaseAmount13]]/SummaryTable[[#This Row],[OriginalBudget12]]</f>
        <v>-0.57275912159275399</v>
      </c>
      <c r="DL62" s="61">
        <f>IF(COUNTIFS(allFYsTable[Code], SummaryTable[[#This Row],[Code]], allFYsTable[year2], DI$3)=0, NotFound, SUMIFS(allFYsTable[RevisedBudget], allFYsTable[Code], SummaryTable[[#This Row],[Code]], allFYsTable[year2], DI$3))</f>
        <v>66931</v>
      </c>
      <c r="DM62" s="61">
        <f>IF(COUNTIFS(allFYsTable[Code], SummaryTable[[#This Row],[Code]], allFYsTable[year2], DI$3)=0, NotFound, SUMIFS(allFYsTable[Actual], allFYsTable[Code], SummaryTable[[#This Row],[Code]], allFYsTable[year2], DI$3))</f>
        <v>66931</v>
      </c>
      <c r="DN62" s="61">
        <f>IF(COUNTIFS(allFYsTable[Code], SummaryTable[[#This Row],[Code]], allFYsTable[year2], DI$3)=0, NotFound, SUMIFS(allFYsTable[DiffAmount], allFYsTable[Code], SummaryTable[[#This Row],[Code]], allFYsTable[year2], DI$3))</f>
        <v>51931</v>
      </c>
      <c r="DO62" s="63">
        <f>IF(SummaryTable[[#This Row],[OriginalBudget13]]=0, IF(SummaryTable[[#This Row],[DiffAmount13]]=0, ZeroBudgetNoSpending, ZeroBudgetWithSpending), SummaryTable[[#This Row],[DiffAmount13]]/SummaryTable[[#This Row],[OriginalBudget13]])</f>
        <v>3.4620666666666668</v>
      </c>
      <c r="DP62" s="62">
        <f>IF(COUNTIFS(allFYsTable[Code], SummaryTable[[#This Row],[Code]], allFYsTable[year2], DP$3)=0, NotFound, SUMIFS(allFYsTable[OriginalBudget], allFYsTable[Code], SummaryTable[[#This Row],[Code]], allFYsTable[year2], DP$3))</f>
        <v>35109</v>
      </c>
      <c r="DQ62" s="61">
        <f>SummaryTable[[#This Row],[OriginalBudget12]]-SummaryTable[[#This Row],[OriginalBudget11]]</f>
        <v>20725</v>
      </c>
      <c r="DR62" s="54">
        <f>SummaryTable[[#This Row],[BudgetIncreaseAmount12]]/SummaryTable[[#This Row],[OriginalBudget11]]</f>
        <v>1.440837041156841</v>
      </c>
      <c r="DS62" s="61">
        <f>IF(COUNTIFS(allFYsTable[Code], SummaryTable[[#This Row],[Code]], allFYsTable[year2], DP$3)=0, NotFound, SUMIFS(allFYsTable[RevisedBudget], allFYsTable[Code], SummaryTable[[#This Row],[Code]], allFYsTable[year2], DP$3))</f>
        <v>39012</v>
      </c>
      <c r="DT62" s="61">
        <f>IF(COUNTIFS(allFYsTable[Code], SummaryTable[[#This Row],[Code]], allFYsTable[year2], DP$3)=0, NotFound, SUMIFS(allFYsTable[Actual], allFYsTable[Code], SummaryTable[[#This Row],[Code]], allFYsTable[year2], DP$3))</f>
        <v>39012</v>
      </c>
      <c r="DU62" s="61">
        <f>IF(COUNTIFS(allFYsTable[Code], SummaryTable[[#This Row],[Code]], allFYsTable[year2], DP$3)=0, NotFound, SUMIFS(allFYsTable[DiffAmount], allFYsTable[Code], SummaryTable[[#This Row],[Code]], allFYsTable[year2], DP$3))</f>
        <v>3903</v>
      </c>
      <c r="DV62" s="63">
        <f>IF(SummaryTable[[#This Row],[OriginalBudget12]]=0, IF(SummaryTable[[#This Row],[DiffAmount12]]=0, ZeroBudgetNoSpending, ZeroBudgetWithSpending), SummaryTable[[#This Row],[DiffAmount12]]/SummaryTable[[#This Row],[OriginalBudget12]])</f>
        <v>0.11116807656156541</v>
      </c>
      <c r="DW62" s="62">
        <f>IF(COUNTIFS(allFYsTable[Code], SummaryTable[[#This Row],[Code]], allFYsTable[year2], DW$3)=0, NotFound, SUMIFS(allFYsTable[OriginalBudget], allFYsTable[Code], SummaryTable[[#This Row],[Code]], allFYsTable[year2], DW$3))</f>
        <v>14384</v>
      </c>
      <c r="DX62" s="61">
        <f>SummaryTable[[#This Row],[OriginalBudget11]]-SummaryTable[[#This Row],[OriginalBudget10]]</f>
        <v>1345</v>
      </c>
      <c r="DY62" s="54">
        <f>SummaryTable[[#This Row],[BudgetIncreaseAmount11]]/SummaryTable[[#This Row],[OriginalBudget10]]</f>
        <v>0.10315208221489378</v>
      </c>
      <c r="DZ62" s="61">
        <f>IF(COUNTIFS(allFYsTable[Code], SummaryTable[[#This Row],[Code]], allFYsTable[year2], DW$3)=0, NotFound, SUMIFS(allFYsTable[RevisedBudget], allFYsTable[Code], SummaryTable[[#This Row],[Code]], allFYsTable[year2], DW$3))</f>
        <v>34018</v>
      </c>
      <c r="EA62" s="61">
        <f>IF(COUNTIFS(allFYsTable[Code], SummaryTable[[#This Row],[Code]], allFYsTable[year2], DW$3)=0, NotFound, SUMIFS(allFYsTable[Actual], allFYsTable[Code], SummaryTable[[#This Row],[Code]], allFYsTable[year2], DW$3))</f>
        <v>34018</v>
      </c>
      <c r="EB62" s="61">
        <f>IF(COUNTIFS(allFYsTable[Code], SummaryTable[[#This Row],[Code]], allFYsTable[year2], DW$3)=0, NotFound, SUMIFS(allFYsTable[DiffAmount], allFYsTable[Code], SummaryTable[[#This Row],[Code]], allFYsTable[year2], DW$3))</f>
        <v>19634</v>
      </c>
      <c r="EC62" s="63">
        <f>IF(SummaryTable[[#This Row],[OriginalBudget11]]=0, IF(SummaryTable[[#This Row],[DiffAmount11]]=0, ZeroBudgetNoSpending, ZeroBudgetWithSpending), SummaryTable[[#This Row],[DiffAmount11]]/SummaryTable[[#This Row],[OriginalBudget11]])</f>
        <v>1.3649888765294771</v>
      </c>
      <c r="ED62" s="62">
        <f>IF(COUNTIFS(allFYsTable[Code], SummaryTable[[#This Row],[Code]], allFYsTable[year2], ED$3)=0, NotFound, SUMIFS(allFYsTable[OriginalBudget], allFYsTable[Code], SummaryTable[[#This Row],[Code]], allFYsTable[year2], ED$3))</f>
        <v>13039</v>
      </c>
      <c r="EE62" s="61">
        <f>SummaryTable[[#This Row],[OriginalBudget10]]-SummaryTable[[#This Row],[OriginalBudget09]]</f>
        <v>-9686</v>
      </c>
      <c r="EF62" s="54">
        <f>SummaryTable[[#This Row],[BudgetIncreaseAmount10]]/SummaryTable[[#This Row],[OriginalBudget09]]</f>
        <v>-0.42622662266226624</v>
      </c>
      <c r="EG62" s="61">
        <f>IF(COUNTIFS(allFYsTable[Code], SummaryTable[[#This Row],[Code]], allFYsTable[year2], ED$3)=0, NotFound, SUMIFS(allFYsTable[RevisedBudget], allFYsTable[Code], SummaryTable[[#This Row],[Code]], allFYsTable[year2], ED$3))</f>
        <v>13039</v>
      </c>
      <c r="EH62" s="61">
        <f>IF(COUNTIFS(allFYsTable[Code], SummaryTable[[#This Row],[Code]], allFYsTable[year2], ED$3)=0, NotFound, SUMIFS(allFYsTable[Actual], allFYsTable[Code], SummaryTable[[#This Row],[Code]], allFYsTable[year2], ED$3))</f>
        <v>13039</v>
      </c>
      <c r="EI62" s="61">
        <f>IF(COUNTIFS(allFYsTable[Code], SummaryTable[[#This Row],[Code]], allFYsTable[year2], ED$3)=0, NotFound, SUMIFS(allFYsTable[DiffAmount], allFYsTable[Code], SummaryTable[[#This Row],[Code]], allFYsTable[year2], ED$3))</f>
        <v>0</v>
      </c>
      <c r="EJ62" s="63">
        <f>IF(SummaryTable[[#This Row],[OriginalBudget10]]=0, IF(SummaryTable[[#This Row],[DiffAmount10]]=0, ZeroBudgetNoSpending, ZeroBudgetWithSpending), SummaryTable[[#This Row],[DiffAmount10]]/SummaryTable[[#This Row],[OriginalBudget10]])</f>
        <v>0</v>
      </c>
      <c r="EK62" s="62">
        <f>IF(COUNTIFS(allFYsTable[Code], SummaryTable[[#This Row],[Code]], allFYsTable[year2], EK$3)=0, NotFound, SUMIFS(allFYsTable[OriginalBudget], allFYsTable[Code], SummaryTable[[#This Row],[Code]], allFYsTable[year2], EK$3))</f>
        <v>22725</v>
      </c>
      <c r="EL62" s="61">
        <f>SummaryTable[[#This Row],[OriginalBudget09]]-SummaryTable[[#This Row],[OriginalBudget08]]</f>
        <v>-23808</v>
      </c>
      <c r="EM62" s="54">
        <f>SummaryTable[[#This Row],[BudgetIncreaseAmount09]]/SummaryTable[[#This Row],[OriginalBudget08]]</f>
        <v>-0.51163690284314356</v>
      </c>
      <c r="EN62" s="61">
        <f>IF(COUNTIFS(allFYsTable[Code], SummaryTable[[#This Row],[Code]], allFYsTable[year2], EK$3)=0, NotFound, SUMIFS(allFYsTable[RevisedBudget], allFYsTable[Code], SummaryTable[[#This Row],[Code]], allFYsTable[year2], EK$3))</f>
        <v>31744</v>
      </c>
      <c r="EO62" s="61">
        <f>IF(COUNTIFS(allFYsTable[Code], SummaryTable[[#This Row],[Code]], allFYsTable[year2], EK$3)=0, NotFound, SUMIFS(allFYsTable[Actual], allFYsTable[Code], SummaryTable[[#This Row],[Code]], allFYsTable[year2], EK$3))</f>
        <v>28244</v>
      </c>
      <c r="EP62" s="61">
        <f>IF(COUNTIFS(allFYsTable[Code], SummaryTable[[#This Row],[Code]], allFYsTable[year2], EK$3)=0, NotFound, SUMIFS(allFYsTable[DiffAmount], allFYsTable[Code], SummaryTable[[#This Row],[Code]], allFYsTable[year2], EK$3))</f>
        <v>5519</v>
      </c>
      <c r="EQ62" s="63">
        <f>IF(SummaryTable[[#This Row],[OriginalBudget09]]=0, IF(SummaryTable[[#This Row],[DiffAmount09]]=0, ZeroBudgetNoSpending, ZeroBudgetWithSpending), SummaryTable[[#This Row],[DiffAmount09]]/SummaryTable[[#This Row],[OriginalBudget09]])</f>
        <v>0.24286028602860285</v>
      </c>
      <c r="ER62" s="62">
        <f>IF(COUNTIFS(allFYsTable[Code], SummaryTable[[#This Row],[Code]], allFYsTable[year2], ER$3)=0, NotFound, SUMIFS(allFYsTable[OriginalBudget], allFYsTable[Code], SummaryTable[[#This Row],[Code]], allFYsTable[year2], ER$3))</f>
        <v>46533</v>
      </c>
      <c r="ES62" s="61">
        <f>SummaryTable[[#This Row],[OriginalBudget08]]-SummaryTable[[#This Row],[OriginalBudget07]]</f>
        <v>-19205</v>
      </c>
      <c r="ET62" s="54">
        <f>SummaryTable[[#This Row],[BudgetIncreaseAmount08]]/SummaryTable[[#This Row],[OriginalBudget07]]</f>
        <v>-0.29214457391463083</v>
      </c>
      <c r="EU62" s="61">
        <f>IF(COUNTIFS(allFYsTable[Code], SummaryTable[[#This Row],[Code]], allFYsTable[year2], ER$3)=0, NotFound, SUMIFS(allFYsTable[RevisedBudget], allFYsTable[Code], SummaryTable[[#This Row],[Code]], allFYsTable[year2], ER$3))</f>
        <v>76533</v>
      </c>
      <c r="EV62" s="61">
        <f>IF(COUNTIFS(allFYsTable[Code], SummaryTable[[#This Row],[Code]], allFYsTable[year2], ER$3)=0, NotFound, SUMIFS(allFYsTable[Actual], allFYsTable[Code], SummaryTable[[#This Row],[Code]], allFYsTable[year2], ER$3))</f>
        <v>70589</v>
      </c>
      <c r="EW62" s="61">
        <f>IF(COUNTIFS(allFYsTable[Code], SummaryTable[[#This Row],[Code]], allFYsTable[year2], ER$3)=0, NotFound, SUMIFS(allFYsTable[DiffAmount], allFYsTable[Code], SummaryTable[[#This Row],[Code]], allFYsTable[year2], ER$3))</f>
        <v>24056</v>
      </c>
      <c r="EX62" s="63">
        <f>IF(SummaryTable[[#This Row],[OriginalBudget08]]=0, IF(SummaryTable[[#This Row],[DiffAmount08]]=0, ZeroBudgetNoSpending, ZeroBudgetWithSpending), SummaryTable[[#This Row],[DiffAmount08]]/SummaryTable[[#This Row],[OriginalBudget08]])</f>
        <v>0.5169664539144263</v>
      </c>
      <c r="EY62" s="62">
        <f>IF(COUNTIFS(allFYsTable[Code], SummaryTable[[#This Row],[Code]], allFYsTable[year2], EY$3)=0, NotFound, SUMIFS(allFYsTable[OriginalBudget], allFYsTable[Code], SummaryTable[[#This Row],[Code]], allFYsTable[year2], EY$3))</f>
        <v>65738</v>
      </c>
      <c r="EZ62" s="61" t="e">
        <f>SummaryTable[[#This Row],[OriginalBudget07]]-SummaryTable[[#This Row],[OriginalBudget06]]</f>
        <v>#N/A</v>
      </c>
      <c r="FA62" s="54" t="e">
        <f>SummaryTable[[#This Row],[BudgetIncreaseAmount07]]/SummaryTable[[#This Row],[OriginalBudget06]]</f>
        <v>#N/A</v>
      </c>
      <c r="FB62" s="61">
        <f>IF(COUNTIFS(allFYsTable[Code], SummaryTable[[#This Row],[Code]], allFYsTable[year2], EY$3)=0, NotFound, SUMIFS(allFYsTable[RevisedBudget], allFYsTable[Code], SummaryTable[[#This Row],[Code]], allFYsTable[year2], EY$3))</f>
        <v>58731</v>
      </c>
      <c r="FC62" s="61">
        <f>IF(COUNTIFS(allFYsTable[Code], SummaryTable[[#This Row],[Code]], allFYsTable[year2], EY$3)=0, NotFound, SUMIFS(allFYsTable[Actual], allFYsTable[Code], SummaryTable[[#This Row],[Code]], allFYsTable[year2], EY$3))</f>
        <v>58731</v>
      </c>
      <c r="FD62" s="61">
        <f>IF(COUNTIFS(allFYsTable[Code], SummaryTable[[#This Row],[Code]], allFYsTable[year2], EY$3)=0, NotFound, SUMIFS(allFYsTable[DiffAmount], allFYsTable[Code], SummaryTable[[#This Row],[Code]], allFYsTable[year2], EY$3))</f>
        <v>-7007</v>
      </c>
      <c r="FE62" s="63">
        <f>IF(SummaryTable[[#This Row],[OriginalBudget07]]=0, IF(SummaryTable[[#This Row],[DiffAmount07]]=0, ZeroBudgetNoSpending, ZeroBudgetWithSpending), SummaryTable[[#This Row],[DiffAmount07]]/SummaryTable[[#This Row],[OriginalBudget07]])</f>
        <v>-0.10658979585627795</v>
      </c>
      <c r="FF62" s="62" t="e">
        <f>IF(COUNTIFS(allFYsTable[Code], SummaryTable[[#This Row],[Code]], allFYsTable[year2], FF$3)=0, NotFound, SUMIFS(allFYsTable[OriginalBudget], allFYsTable[Code], SummaryTable[[#This Row],[Code]], allFYsTable[year2], FF$3))</f>
        <v>#N/A</v>
      </c>
      <c r="FI62" s="61" t="e">
        <f>IF(COUNTIFS(allFYsTable[Code], SummaryTable[[#This Row],[Code]], allFYsTable[year2], FF$3)=0, NotFound, SUMIFS(allFYsTable[RevisedBudget], allFYsTable[Code], SummaryTable[[#This Row],[Code]], allFYsTable[year2], FF$3))</f>
        <v>#N/A</v>
      </c>
      <c r="FJ62" s="61" t="e">
        <f>IF(COUNTIFS(allFYsTable[Code], SummaryTable[[#This Row],[Code]], allFYsTable[year2], FF$3)=0, NotFound, SUMIFS(allFYsTable[Actual], allFYsTable[Code], SummaryTable[[#This Row],[Code]], allFYsTable[year2], FF$3))</f>
        <v>#N/A</v>
      </c>
      <c r="FK62" s="61" t="e">
        <f>IF(COUNTIFS(allFYsTable[Code], SummaryTable[[#This Row],[Code]], allFYsTable[year2], FF$3)=0, NotFound, SUMIFS(allFYsTable[DiffAmount], allFYsTable[Code], SummaryTable[[#This Row],[Code]], allFYsTable[year2], FF$3))</f>
        <v>#N/A</v>
      </c>
      <c r="FL62" s="63" t="e">
        <f>IF(SummaryTable[[#This Row],[OriginalBudget06]]=0, IF(SummaryTable[[#This Row],[DiffAmount06]]=0, ZeroBudgetNoSpending, ZeroBudgetWithSpending), SummaryTable[[#This Row],[DiffAmount06]]/SummaryTable[[#This Row],[OriginalBudget06]])</f>
        <v>#N/A</v>
      </c>
    </row>
    <row r="63" spans="1:168" x14ac:dyDescent="0.45">
      <c r="A63" t="s">
        <v>822</v>
      </c>
      <c r="B63">
        <f>_xlfn.MAXIFS(allFYsTable[year2], allFYsTable[Code], SummaryTable[[#This Row],[Code]])</f>
        <v>2025</v>
      </c>
      <c r="C63" t="str">
        <f>_xlfn.XLOOKUP(SummaryTable[[#This Row],[Code]], NameCodingTable[Code], NameCodingTable[Most Recent Category per allFYs])</f>
        <v>Governmental direction and support</v>
      </c>
      <c r="D63" t="str">
        <f>_xlfn.XLOOKUP(SummaryTable[[#This Row],[Code]], NameCodingTable[Code], NameCodingTable[Unit Display Name])</f>
        <v>Inaugural Expenses</v>
      </c>
      <c r="E63" t="str">
        <f>_xlfn.XLOOKUP(SummaryTable[[#This Row],[Code]], NameCodingTable[Code], NameCodingTable[Type])</f>
        <v>xother</v>
      </c>
      <c r="F6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6</v>
      </c>
      <c r="G6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63" s="54">
        <f>SummaryTable[[#This Row],['# Over]]/SummaryTable[[#This Row],[Count]]</f>
        <v>0.16666666666666666</v>
      </c>
      <c r="I6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63" s="54">
        <f>SummaryTable[[#This Row],['# Under]]/SummaryTable[[#This Row],[Count]]</f>
        <v>0</v>
      </c>
      <c r="K6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5</v>
      </c>
      <c r="L63" s="54">
        <f>SummaryTable[[#This Row],['# Equal]]/SummaryTable[[#This Row],[Count]]</f>
        <v>0.83333333333333337</v>
      </c>
      <c r="M63" s="61">
        <f>SUMIFS(allFYsTable[OriginalBudget],allFYsTable[Code],SummaryTable[[#This Row],[Code]])/SummaryTable[[#This Row],[Count]]</f>
        <v>0</v>
      </c>
      <c r="N63" s="61">
        <f>SUMIFS(allFYsTable[Actual],allFYsTable[Code],SummaryTable[[#This Row],[Code]])/SummaryTable[[#This Row],[Count]]</f>
        <v>1483.1666666666667</v>
      </c>
      <c r="O63" s="61">
        <f>SummaryTable[[#This Row],[AvgActAmt]]-SummaryTable[[#This Row],[AvgBudAmt]]</f>
        <v>1483.1666666666667</v>
      </c>
      <c r="P63" s="54">
        <f>IF(SummaryTable[[#This Row],[AvgBudAmt]]=0, IF(SummaryTable[[#This Row],[AvgDiff'#]]=0, 0, NamedFields!$C$3), SummaryTable[[#This Row],[AvgDiff'#]]/SummaryTable[[#This Row],[AvgBudAmt]])</f>
        <v>99.99</v>
      </c>
      <c r="Q63" s="61">
        <f>IFERROR(SUMIFS(allFYsTable[OriginalBudget],allFYsTable[Code],SummaryTable[[#This Row],[Code]],allFYsTable[DiffAmount], "&gt;0")/SummaryTable[[#This Row],['# Over]], 0)</f>
        <v>0</v>
      </c>
      <c r="R63" s="61">
        <f>IFERROR(SUMIFS(allFYsTable[Actual],allFYsTable[Code],SummaryTable[[#This Row],[Code]],allFYsTable[DiffAmount], "&gt;0")/SummaryTable[[#This Row],['# Over]], 0)</f>
        <v>8899</v>
      </c>
      <c r="S63" s="61">
        <f>SummaryTable[[#This Row],[OverAvgAct]]-SummaryTable[[#This Row],[OverAvgBud]]</f>
        <v>8899</v>
      </c>
      <c r="T63" s="54">
        <f>IF(SummaryTable[[#This Row],[OverAvgBud]]=0, IF(SummaryTable[[#This Row],[OverAvgDiff'#]]=0, ZeroBudgetNoSpending, ZeroBudgetWithSpending), SummaryTable[[#This Row],[OverAvgDiff'#]]/SummaryTable[[#This Row],[OverAvgBud]])</f>
        <v>99.99</v>
      </c>
      <c r="U63" s="61">
        <f>IFERROR(SUMIFS(allFYsTable[OriginalBudget],allFYsTable[Code],SummaryTable[[#This Row],[Code]],allFYsTable[DiffAmount], "&lt;0")/SummaryTable[[#This Row],['# Under]], 0)</f>
        <v>0</v>
      </c>
      <c r="V63" s="61">
        <f>IFERROR( SUMIFS(allFYsTable[Actual],allFYsTable[Code],SummaryTable[[#This Row],[Code]],allFYsTable[DiffAmount], "&lt;0")/SummaryTable[[#This Row],['# Under]], 0)</f>
        <v>0</v>
      </c>
      <c r="W63" s="61">
        <f>SummaryTable[[#This Row],[UnderAvgAct]]-SummaryTable[[#This Row],[UnderAvgBud]]</f>
        <v>0</v>
      </c>
      <c r="X63" s="54">
        <f>IF(SummaryTable[[#This Row],[UnderAvgBud]]=0, IF(SummaryTable[[#This Row],[UnderAvgDiff'#]]=0, ZeroBudgetNoSpending, NamedFields!$C$3), SummaryTable[[#This Row],[UnderAvgDiff'#]]/SummaryTable[[#This Row],[UnderAvgBud]])</f>
        <v>0</v>
      </c>
      <c r="Y6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6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63" s="54">
        <f>IF(SummaryTable[[#This Row],[IncreaseYears]]=0, ZeroBudgetNoSpending, SummaryTable[[#This Row],[OSinIncreaseYear'#]]/SummaryTable[[#This Row],[IncreaseYears]])</f>
        <v>0</v>
      </c>
      <c r="AB63" s="58" t="str">
        <f>SummaryTable[[#This Row],[Code]]</f>
        <v>SB0</v>
      </c>
      <c r="AC63" s="62">
        <f>IF(COUNTIFS(allFYsTable[Code], SummaryTable[[#This Row],[Code]], allFYsTable[year2], AC$3)=0, NotFound, SUMIFS(allFYsTable[OriginalBudget], allFYsTable[Code], SummaryTable[[#This Row],[Code]], allFYsTable[year2], AC$3))</f>
        <v>0</v>
      </c>
      <c r="AD63" s="61" t="e">
        <f>SummaryTable[[#This Row],[OriginalBudget25]]-SummaryTable[[#This Row],[OriginalBudget24]]</f>
        <v>#N/A</v>
      </c>
      <c r="AE63" s="54" t="e">
        <f>SummaryTable[[#This Row],[BudgetIncreaseAmount25]]/SummaryTable[[#This Row],[OriginalBudget24]]</f>
        <v>#N/A</v>
      </c>
      <c r="AF63" s="61">
        <f>IF(COUNTIFS(allFYsTable[Code], SummaryTable[[#This Row],[Code]], allFYsTable[year2], AC$3)=0, NotFound, SUMIFS(allFYsTable[RevisedBudget], allFYsTable[Code], SummaryTable[[#This Row],[Code]], allFYsTable[year2], AC$3))</f>
        <v>0</v>
      </c>
      <c r="AG63" s="61">
        <f>IF(COUNTIFS(allFYsTable[Code], SummaryTable[[#This Row],[Code]], allFYsTable[year2], AC$3)=0, NotFound, SUMIFS(allFYsTable[Actual], allFYsTable[Code], SummaryTable[[#This Row],[Code]], allFYsTable[year2], AC$3))</f>
        <v>0</v>
      </c>
      <c r="AH63" s="61">
        <f>IF(COUNTIFS(allFYsTable[Code], SummaryTable[[#This Row],[Code]], allFYsTable[year2], AC$3)=0, NotFound, SUMIFS(allFYsTable[DiffAmount], allFYsTable[Code], SummaryTable[[#This Row],[Code]], allFYsTable[year2], AC$3))</f>
        <v>0</v>
      </c>
      <c r="AI63" s="63">
        <f>IF(SummaryTable[[#This Row],[OriginalBudget25]]=0, IF(SummaryTable[[#This Row],[DiffAmount25]]=0, ZeroBudgetNoSpending, ZeroBudgetWithSpending), SummaryTable[[#This Row],[DiffAmount25]]/SummaryTable[[#This Row],[OriginalBudget25]])</f>
        <v>0</v>
      </c>
      <c r="AJ63" s="62" t="e">
        <f>IF(COUNTIFS(allFYsTable[Code], SummaryTable[[#This Row],[Code]], allFYsTable[year2], AJ$3)=0, NotFound, SUMIFS(allFYsTable[OriginalBudget], allFYsTable[Code], SummaryTable[[#This Row],[Code]], allFYsTable[year2], AJ$3))</f>
        <v>#N/A</v>
      </c>
      <c r="AK63" s="61" t="e">
        <f>SummaryTable[[#This Row],[OriginalBudget24]]-SummaryTable[[#This Row],[OriginalBudget23]]</f>
        <v>#N/A</v>
      </c>
      <c r="AL63" s="54" t="e">
        <f>SummaryTable[[#This Row],[BudgetIncreaseAmount24]]/SummaryTable[[#This Row],[OriginalBudget23]]</f>
        <v>#N/A</v>
      </c>
      <c r="AM63" s="61" t="e">
        <f>IF(COUNTIFS(allFYsTable[Code], SummaryTable[[#This Row],[Code]], allFYsTable[year2], AK$3)=0, NotFound, SUMIFS(allFYsTable[RevisedBudget], allFYsTable[Code], SummaryTable[[#This Row],[Code]], allFYsTable[year2], AJ$3))</f>
        <v>#N/A</v>
      </c>
      <c r="AN63" s="61" t="e">
        <f>IF(COUNTIFS(allFYsTable[Code], SummaryTable[[#This Row],[Code]], allFYsTable[year2], AJ$3)=0, NotFound, SUMIFS(allFYsTable[Actual], allFYsTable[Code], SummaryTable[[#This Row],[Code]], allFYsTable[year2], AJ$3))</f>
        <v>#N/A</v>
      </c>
      <c r="AO63" s="61" t="e">
        <f>IF(COUNTIFS(allFYsTable[Code], SummaryTable[[#This Row],[Code]], allFYsTable[year2], AJ$3)=0, NotFound, SUMIFS(allFYsTable[DiffAmount], allFYsTable[Code], SummaryTable[[#This Row],[Code]], allFYsTable[year2], AJ$3))</f>
        <v>#N/A</v>
      </c>
      <c r="AP63" s="63" t="e">
        <f>IF(SummaryTable[[#This Row],[OriginalBudget24]]=0, IF(SummaryTable[[#This Row],[DiffAmount24]]=0, ZeroBudgetNoSpending, ZeroBudgetWithSpending), SummaryTable[[#This Row],[DiffAmount24]]/SummaryTable[[#This Row],[OriginalBudget24]])</f>
        <v>#N/A</v>
      </c>
      <c r="AQ63" s="62" t="e">
        <f>IF(COUNTIFS(allFYsTable[Code], SummaryTable[[#This Row],[Code]], allFYsTable[year2], AQ$3)=0, NotFound, SUMIFS(allFYsTable[OriginalBudget], allFYsTable[Code], SummaryTable[[#This Row],[Code]], allFYsTable[year2], AQ$3))</f>
        <v>#N/A</v>
      </c>
      <c r="AR63" s="61" t="e">
        <f>SummaryTable[[#This Row],[OriginalBudget23]]-SummaryTable[[#This Row],[OriginalBudget22]]</f>
        <v>#N/A</v>
      </c>
      <c r="AS63" s="54" t="e">
        <f>SummaryTable[[#This Row],[BudgetIncreaseAmount23]]/SummaryTable[[#This Row],[OriginalBudget22]]</f>
        <v>#N/A</v>
      </c>
      <c r="AT63" s="61" t="e">
        <f>IF(COUNTIFS(allFYsTable[Code], SummaryTable[[#This Row],[Code]], allFYsTable[year2], AQ$3)=0, NotFound, SUMIFS(allFYsTable[RevisedBudget], allFYsTable[Code], SummaryTable[[#This Row],[Code]], allFYsTable[year2], AQ$3))</f>
        <v>#N/A</v>
      </c>
      <c r="AU63" s="61" t="e">
        <f>IF(COUNTIFS(allFYsTable[Code], SummaryTable[[#This Row],[Code]], allFYsTable[year2], AQ$3)=0, NotFound, SUMIFS(allFYsTable[Actual], allFYsTable[Code], SummaryTable[[#This Row],[Code]], allFYsTable[year2], AQ$3))</f>
        <v>#N/A</v>
      </c>
      <c r="AV63" s="61" t="e">
        <f>IF(COUNTIFS(allFYsTable[Code], SummaryTable[[#This Row],[Code]], allFYsTable[year2], AQ$3)=0, NotFound, SUMIFS(allFYsTable[DiffAmount], allFYsTable[Code], SummaryTable[[#This Row],[Code]], allFYsTable[year2], AQ$3))</f>
        <v>#N/A</v>
      </c>
      <c r="AW63" s="63" t="e">
        <f>IF(SummaryTable[[#This Row],[OriginalBudget23]]=0, IF(SummaryTable[[#This Row],[DiffAmount23]]=0, ZeroBudgetNoSpending, ZeroBudgetWithSpending), SummaryTable[[#This Row],[DiffAmount23]]/SummaryTable[[#This Row],[OriginalBudget23]])</f>
        <v>#N/A</v>
      </c>
      <c r="AX63" s="62" t="e">
        <f>IF(COUNTIFS(allFYsTable[Code], SummaryTable[[#This Row],[Code]], allFYsTable[year2], AX$3)=0, NotFound, SUMIFS(allFYsTable[OriginalBudget], allFYsTable[Code], SummaryTable[[#This Row],[Code]], allFYsTable[year2], AX$3))</f>
        <v>#N/A</v>
      </c>
      <c r="AY63" s="61" t="e">
        <f>SummaryTable[[#This Row],[OriginalBudget22]]-SummaryTable[[#This Row],[OriginalBudget21]]</f>
        <v>#N/A</v>
      </c>
      <c r="AZ63" s="54" t="e">
        <f>SummaryTable[[#This Row],[BudgetIncreaseAmount22]]/SummaryTable[[#This Row],[OriginalBudget21]]</f>
        <v>#N/A</v>
      </c>
      <c r="BA63" s="61" t="e">
        <f>IF(COUNTIFS(allFYsTable[Code], SummaryTable[[#This Row],[Code]], allFYsTable[year2], AX$3)=0, NotFound, SUMIFS(allFYsTable[RevisedBudget], allFYsTable[Code], SummaryTable[[#This Row],[Code]], allFYsTable[year2], AX$3))</f>
        <v>#N/A</v>
      </c>
      <c r="BB63" s="61" t="e">
        <f>IF(COUNTIFS(allFYsTable[Code], SummaryTable[[#This Row],[Code]], allFYsTable[year2], AX$3)=0, NotFound, SUMIFS(allFYsTable[Actual], allFYsTable[Code], SummaryTable[[#This Row],[Code]], allFYsTable[year2], AX$3))</f>
        <v>#N/A</v>
      </c>
      <c r="BC63" s="61" t="e">
        <f>IF(COUNTIFS(allFYsTable[Code], SummaryTable[[#This Row],[Code]], allFYsTable[year2], AX$3)=0, NotFound, SUMIFS(allFYsTable[DiffAmount], allFYsTable[Code], SummaryTable[[#This Row],[Code]], allFYsTable[year2], AX$3))</f>
        <v>#N/A</v>
      </c>
      <c r="BD63" s="63" t="e">
        <f>IF(SummaryTable[[#This Row],[OriginalBudget22]]=0, IF(SummaryTable[[#This Row],[DiffAmount22]]=0, ZeroBudgetNoSpending, ZeroBudgetWithSpending), SummaryTable[[#This Row],[DiffAmount22]]/SummaryTable[[#This Row],[OriginalBudget22]])</f>
        <v>#N/A</v>
      </c>
      <c r="BE63" s="62">
        <f>IF(COUNTIFS(allFYsTable[Code], SummaryTable[[#This Row],[Code]], allFYsTable[year2], BE$3)=0, NotFound, SUMIFS(allFYsTable[OriginalBudget], allFYsTable[Code], SummaryTable[[#This Row],[Code]], allFYsTable[year2], BE$3))</f>
        <v>0</v>
      </c>
      <c r="BF63" s="61" t="e">
        <f>SummaryTable[[#This Row],[OriginalBudget21]]-SummaryTable[[#This Row],[OriginalBudget20]]</f>
        <v>#N/A</v>
      </c>
      <c r="BG63" s="54" t="e">
        <f>SummaryTable[[#This Row],[BudgetIncreaseAmount21]]/SummaryTable[[#This Row],[OriginalBudget20]]</f>
        <v>#N/A</v>
      </c>
      <c r="BH63" s="61">
        <f>IF(COUNTIFS(allFYsTable[Code], SummaryTable[[#This Row],[Code]], allFYsTable[year2], BE$3)=0, NotFound, SUMIFS(allFYsTable[RevisedBudget], allFYsTable[Code], SummaryTable[[#This Row],[Code]], allFYsTable[year2], BE$3))</f>
        <v>0</v>
      </c>
      <c r="BI63" s="61">
        <f>IF(COUNTIFS(allFYsTable[Code], SummaryTable[[#This Row],[Code]], allFYsTable[year2], BE$3)=0, NotFound, SUMIFS(allFYsTable[Actual], allFYsTable[Code], SummaryTable[[#This Row],[Code]], allFYsTable[year2], BE$3))</f>
        <v>0</v>
      </c>
      <c r="BJ63" s="61">
        <f>IF(COUNTIFS(allFYsTable[Code], SummaryTable[[#This Row],[Code]], allFYsTable[year2], BE$3)=0, NotFound, SUMIFS(allFYsTable[DiffAmount], allFYsTable[Code], SummaryTable[[#This Row],[Code]], allFYsTable[year2], BE$3))</f>
        <v>0</v>
      </c>
      <c r="BK63" s="63">
        <f>IF(SummaryTable[[#This Row],[OriginalBudget21]]=0, IF(SummaryTable[[#This Row],[DiffAmount21]]=0, ZeroBudgetNoSpending, ZeroBudgetWithSpending), SummaryTable[[#This Row],[DiffAmount21]]/SummaryTable[[#This Row],[OriginalBudget21]])</f>
        <v>0</v>
      </c>
      <c r="BL63" s="62" t="e">
        <f>IF(COUNTIFS(allFYsTable[Code], SummaryTable[[#This Row],[Code]], allFYsTable[year2], BL$3)=0, NotFound, SUMIFS(allFYsTable[OriginalBudget], allFYsTable[Code], SummaryTable[[#This Row],[Code]], allFYsTable[year2], BL$3))</f>
        <v>#N/A</v>
      </c>
      <c r="BM63" s="61" t="e">
        <f>SummaryTable[[#This Row],[OriginalBudget20]]-SummaryTable[[#This Row],[OriginalBudget19]]</f>
        <v>#N/A</v>
      </c>
      <c r="BN63" s="54" t="e">
        <f>SummaryTable[[#This Row],[BudgetIncreaseAmount20]]/SummaryTable[[#This Row],[OriginalBudget19]]</f>
        <v>#N/A</v>
      </c>
      <c r="BO63" s="61" t="e">
        <f>IF(COUNTIFS(allFYsTable[Code], SummaryTable[[#This Row],[Code]], allFYsTable[year2], BL$3)=0, NotFound, SUMIFS(allFYsTable[RevisedBudget], allFYsTable[Code], SummaryTable[[#This Row],[Code]], allFYsTable[year2], BL$3))</f>
        <v>#N/A</v>
      </c>
      <c r="BP63" s="61" t="e">
        <f>IF(COUNTIFS(allFYsTable[Code], SummaryTable[[#This Row],[Code]], allFYsTable[year2], BL$3)=0, NotFound, SUMIFS(allFYsTable[Actual], allFYsTable[Code], SummaryTable[[#This Row],[Code]], allFYsTable[year2], BL$3))</f>
        <v>#N/A</v>
      </c>
      <c r="BQ63" s="61" t="e">
        <f>IF(COUNTIFS(allFYsTable[Code], SummaryTable[[#This Row],[Code]], allFYsTable[year2], BL$3)=0, NotFound, SUMIFS(allFYsTable[DiffAmount], allFYsTable[Code], SummaryTable[[#This Row],[Code]], allFYsTable[year2], BL$3))</f>
        <v>#N/A</v>
      </c>
      <c r="BR63" s="63" t="e">
        <f>IF(SummaryTable[[#This Row],[OriginalBudget20]]=0, IF(SummaryTable[[#This Row],[DiffAmount20]]=0, ZeroBudgetNoSpending, ZeroBudgetWithSpending), SummaryTable[[#This Row],[DiffAmount20]]/SummaryTable[[#This Row],[OriginalBudget20]])</f>
        <v>#N/A</v>
      </c>
      <c r="BS63" s="62" t="e">
        <f>IF(COUNTIFS(allFYsTable[Code], SummaryTable[[#This Row],[Code]], allFYsTable[year2], BS$3)=0, NotFound, SUMIFS(allFYsTable[OriginalBudget], allFYsTable[Code], SummaryTable[[#This Row],[Code]], allFYsTable[year2], BS$3))</f>
        <v>#N/A</v>
      </c>
      <c r="BT63" s="61" t="e">
        <f>SummaryTable[[#This Row],[OriginalBudget19]]-SummaryTable[[#This Row],[OriginalBudget18]]</f>
        <v>#N/A</v>
      </c>
      <c r="BU63" s="54" t="e">
        <f>SummaryTable[[#This Row],[BudgetIncreaseAmount19]]/SummaryTable[[#This Row],[OriginalBudget18]]</f>
        <v>#N/A</v>
      </c>
      <c r="BV63" s="61" t="e">
        <f>IF(COUNTIFS(allFYsTable[Code], SummaryTable[[#This Row],[Code]], allFYsTable[year2], BS$3)=0, NotFound, SUMIFS(allFYsTable[RevisedBudget], allFYsTable[Code], SummaryTable[[#This Row],[Code]], allFYsTable[year2], BS$3))</f>
        <v>#N/A</v>
      </c>
      <c r="BW63" s="61" t="e">
        <f>IF(COUNTIFS(allFYsTable[Code], SummaryTable[[#This Row],[Code]], allFYsTable[year2], BS$3)=0, NotFound, SUMIFS(allFYsTable[Actual], allFYsTable[Code], SummaryTable[[#This Row],[Code]], allFYsTable[year2], BS$3))</f>
        <v>#N/A</v>
      </c>
      <c r="BX63" s="61" t="e">
        <f>IF(COUNTIFS(allFYsTable[Code], SummaryTable[[#This Row],[Code]], allFYsTable[year2], BS$3)=0, NotFound, SUMIFS(allFYsTable[DiffAmount], allFYsTable[Code], SummaryTable[[#This Row],[Code]], allFYsTable[year2], BS$3))</f>
        <v>#N/A</v>
      </c>
      <c r="BY63" s="63" t="e">
        <f>IF(SummaryTable[[#This Row],[OriginalBudget19]]=0, IF(SummaryTable[[#This Row],[DiffAmount19]]=0, ZeroBudgetNoSpending, ZeroBudgetWithSpending), SummaryTable[[#This Row],[DiffAmount19]]/SummaryTable[[#This Row],[OriginalBudget19]])</f>
        <v>#N/A</v>
      </c>
      <c r="BZ63" s="62" t="e">
        <f>IF(COUNTIFS(allFYsTable[Code], SummaryTable[[#This Row],[Code]], allFYsTable[year2], BZ$3)=0, NotFound, SUMIFS(allFYsTable[OriginalBudget], allFYsTable[Code], SummaryTable[[#This Row],[Code]], allFYsTable[year2], BZ$3))</f>
        <v>#N/A</v>
      </c>
      <c r="CA63" s="61" t="e">
        <f>SummaryTable[[#This Row],[OriginalBudget18]]-SummaryTable[[#This Row],[OriginalBudget17]]</f>
        <v>#N/A</v>
      </c>
      <c r="CB63" s="54" t="e">
        <f>SummaryTable[[#This Row],[BudgetIncreaseAmount18]]/SummaryTable[[#This Row],[OriginalBudget17]]</f>
        <v>#N/A</v>
      </c>
      <c r="CC63" s="61" t="e">
        <f>IF(COUNTIFS(allFYsTable[Code], SummaryTable[[#This Row],[Code]], allFYsTable[year2], BZ$3)=0, NotFound, SUMIFS(allFYsTable[RevisedBudget], allFYsTable[Code], SummaryTable[[#This Row],[Code]], allFYsTable[year2], BZ$3))</f>
        <v>#N/A</v>
      </c>
      <c r="CD63" s="61" t="e">
        <f>IF(COUNTIFS(allFYsTable[Code], SummaryTable[[#This Row],[Code]], allFYsTable[year2], BZ$3)=0, NotFound, SUMIFS(allFYsTable[Actual], allFYsTable[Code], SummaryTable[[#This Row],[Code]], allFYsTable[year2], BZ$3))</f>
        <v>#N/A</v>
      </c>
      <c r="CE63" s="61" t="e">
        <f>IF(COUNTIFS(allFYsTable[Code], SummaryTable[[#This Row],[Code]], allFYsTable[year2], BZ$3)=0, NotFound, SUMIFS(allFYsTable[DiffAmount], allFYsTable[Code], SummaryTable[[#This Row],[Code]], allFYsTable[year2], BZ$3))</f>
        <v>#N/A</v>
      </c>
      <c r="CF63" s="63" t="e">
        <f>IF(SummaryTable[[#This Row],[OriginalBudget18]]=0, IF(SummaryTable[[#This Row],[DiffAmount18]]=0, ZeroBudgetNoSpending, ZeroBudgetWithSpending), SummaryTable[[#This Row],[DiffAmount18]]/SummaryTable[[#This Row],[OriginalBudget18]])</f>
        <v>#N/A</v>
      </c>
      <c r="CG63" s="62">
        <f>IF(COUNTIFS(allFYsTable[Code], SummaryTable[[#This Row],[Code]], allFYsTable[year2], CG$3)=0, NotFound, SUMIFS(allFYsTable[OriginalBudget], allFYsTable[Code], SummaryTable[[#This Row],[Code]], allFYsTable[year2], CG$3))</f>
        <v>0</v>
      </c>
      <c r="CH63" s="61" t="e">
        <f>SummaryTable[[#This Row],[OriginalBudget17]]-SummaryTable[[#This Row],[OriginalBudget16]]</f>
        <v>#N/A</v>
      </c>
      <c r="CI63" s="54" t="e">
        <f>SummaryTable[[#This Row],[BudgetIncreaseAmount17]]/SummaryTable[[#This Row],[OriginalBudget16]]</f>
        <v>#N/A</v>
      </c>
      <c r="CJ63" s="61">
        <f>IF(COUNTIFS(allFYsTable[Code], SummaryTable[[#This Row],[Code]], allFYsTable[year2], CG$3)=0, NotFound, SUMIFS(allFYsTable[RevisedBudget], allFYsTable[Code], SummaryTable[[#This Row],[Code]], allFYsTable[year2], CG$3))</f>
        <v>0</v>
      </c>
      <c r="CK63" s="61">
        <f>IF(COUNTIFS(allFYsTable[Code], SummaryTable[[#This Row],[Code]], allFYsTable[year2], CG$3)=0, NotFound, SUMIFS(allFYsTable[Actual], allFYsTable[Code], SummaryTable[[#This Row],[Code]], allFYsTable[year2], CG$3))</f>
        <v>0</v>
      </c>
      <c r="CL63" s="61">
        <f>IF(COUNTIFS(allFYsTable[Code], SummaryTable[[#This Row],[Code]], allFYsTable[year2], CG$3)=0, NotFound, SUMIFS(allFYsTable[DiffAmount], allFYsTable[Code], SummaryTable[[#This Row],[Code]], allFYsTable[year2], CG$3))</f>
        <v>0</v>
      </c>
      <c r="CM63" s="63">
        <f>IF(SummaryTable[[#This Row],[OriginalBudget17]]=0, IF(SummaryTable[[#This Row],[DiffAmount17]]=0, ZeroBudgetNoSpending, ZeroBudgetWithSpending), SummaryTable[[#This Row],[DiffAmount17]]/SummaryTable[[#This Row],[OriginalBudget17]])</f>
        <v>0</v>
      </c>
      <c r="CN63" s="62" t="e">
        <f>IF(COUNTIFS(allFYsTable[Code], SummaryTable[[#This Row],[Code]], allFYsTable[year2], CN$3)=0, NotFound, SUMIFS(allFYsTable[OriginalBudget], allFYsTable[Code], SummaryTable[[#This Row],[Code]], allFYsTable[year2], CN$3))</f>
        <v>#N/A</v>
      </c>
      <c r="CO63" s="61" t="e">
        <f>SummaryTable[[#This Row],[OriginalBudget16]]-SummaryTable[[#This Row],[OriginalBudget15]]</f>
        <v>#N/A</v>
      </c>
      <c r="CP63" s="54" t="e">
        <f>SummaryTable[[#This Row],[BudgetIncreaseAmount16]]/SummaryTable[[#This Row],[OriginalBudget15]]</f>
        <v>#N/A</v>
      </c>
      <c r="CQ63" s="61" t="e">
        <f>IF(COUNTIFS(allFYsTable[Code], SummaryTable[[#This Row],[Code]], allFYsTable[year2], CN$3)=0, NotFound, SUMIFS(allFYsTable[RevisedBudget], allFYsTable[Code], SummaryTable[[#This Row],[Code]], allFYsTable[year2], CN$3))</f>
        <v>#N/A</v>
      </c>
      <c r="CR63" s="61" t="e">
        <f>IF(COUNTIFS(allFYsTable[Code], SummaryTable[[#This Row],[Code]], allFYsTable[year2], CN$3)=0, NotFound, SUMIFS(allFYsTable[Actual], allFYsTable[Code], SummaryTable[[#This Row],[Code]], allFYsTable[year2], CN$3))</f>
        <v>#N/A</v>
      </c>
      <c r="CS63" s="61" t="e">
        <f>IF(COUNTIFS(allFYsTable[Code], SummaryTable[[#This Row],[Code]], allFYsTable[year2], CN$3)=0, NotFound, SUMIFS(allFYsTable[DiffAmount], allFYsTable[Code], SummaryTable[[#This Row],[Code]], allFYsTable[year2], CN$3))</f>
        <v>#N/A</v>
      </c>
      <c r="CT63" s="63" t="e">
        <f>IF(SummaryTable[[#This Row],[OriginalBudget16]]=0, IF(SummaryTable[[#This Row],[DiffAmount16]]=0, ZeroBudgetNoSpending, ZeroBudgetWithSpending), SummaryTable[[#This Row],[DiffAmount16]]/SummaryTable[[#This Row],[OriginalBudget16]])</f>
        <v>#N/A</v>
      </c>
      <c r="CU63" s="62" t="e">
        <f>IF(COUNTIFS(allFYsTable[Code], SummaryTable[[#This Row],[Code]], allFYsTable[year2], CU$3)=0, NotFound, SUMIFS(allFYsTable[OriginalBudget], allFYsTable[Code], SummaryTable[[#This Row],[Code]], allFYsTable[year2], CU$3))</f>
        <v>#N/A</v>
      </c>
      <c r="CV63" s="61" t="e">
        <f>SummaryTable[[#This Row],[OriginalBudget15]]-SummaryTable[[#This Row],[OriginalBudget14]]</f>
        <v>#N/A</v>
      </c>
      <c r="CW63" s="54" t="e">
        <f>SummaryTable[[#This Row],[BudgetIncreaseAmount15]]/SummaryTable[[#This Row],[OriginalBudget14]]</f>
        <v>#N/A</v>
      </c>
      <c r="CX63" s="61" t="e">
        <f>IF(COUNTIFS(allFYsTable[Code], SummaryTable[[#This Row],[Code]], allFYsTable[year2], CU$3)=0, NotFound, SUMIFS(allFYsTable[RevisedBudget], allFYsTable[Code], SummaryTable[[#This Row],[Code]], allFYsTable[year2], CU$3))</f>
        <v>#N/A</v>
      </c>
      <c r="CY63" s="61" t="e">
        <f>IF(COUNTIFS(allFYsTable[Code], SummaryTable[[#This Row],[Code]], allFYsTable[year2], CU$3)=0, NotFound, SUMIFS(allFYsTable[Actual], allFYsTable[Code], SummaryTable[[#This Row],[Code]], allFYsTable[year2], CU$3))</f>
        <v>#N/A</v>
      </c>
      <c r="CZ63" s="61" t="e">
        <f>IF(COUNTIFS(allFYsTable[Code], SummaryTable[[#This Row],[Code]], allFYsTable[year2], CU$3)=0, NotFound, SUMIFS(allFYsTable[DiffAmount], allFYsTable[Code], SummaryTable[[#This Row],[Code]], allFYsTable[year2], CU$3))</f>
        <v>#N/A</v>
      </c>
      <c r="DA63" s="63" t="e">
        <f>IF(SummaryTable[[#This Row],[OriginalBudget15]]=0, IF(SummaryTable[[#This Row],[DiffAmount15]]=0, ZeroBudgetNoSpending, ZeroBudgetWithSpending), SummaryTable[[#This Row],[DiffAmount15]]/SummaryTable[[#This Row],[OriginalBudget15]])</f>
        <v>#N/A</v>
      </c>
      <c r="DB63" s="62" t="e">
        <f>IF(COUNTIFS(allFYsTable[Code], SummaryTable[[#This Row],[Code]], allFYsTable[year2], DB$3)=0, NotFound, SUMIFS(allFYsTable[OriginalBudget], allFYsTable[Code], SummaryTable[[#This Row],[Code]], allFYsTable[year2], DB$3))</f>
        <v>#N/A</v>
      </c>
      <c r="DC63" s="61" t="e">
        <f>SummaryTable[[#This Row],[OriginalBudget14]]-SummaryTable[[#This Row],[OriginalBudget13]]</f>
        <v>#N/A</v>
      </c>
      <c r="DD63" s="54" t="e">
        <f>SummaryTable[[#This Row],[BudgetIncreaseAmount14]]/SummaryTable[[#This Row],[OriginalBudget13]]</f>
        <v>#N/A</v>
      </c>
      <c r="DE63" s="61" t="e">
        <f>IF(COUNTIFS(allFYsTable[Code], SummaryTable[[#This Row],[Code]], allFYsTable[year2], DB$3)=0, NotFound, SUMIFS(allFYsTable[RevisedBudget], allFYsTable[Code], SummaryTable[[#This Row],[Code]], allFYsTable[year2], DB$3))</f>
        <v>#N/A</v>
      </c>
      <c r="DF63" s="61" t="e">
        <f>IF(COUNTIFS(allFYsTable[Code], SummaryTable[[#This Row],[Code]], allFYsTable[year2], DB$3)=0, NotFound, SUMIFS(allFYsTable[Actual], allFYsTable[Code], SummaryTable[[#This Row],[Code]], allFYsTable[year2], DB$3))</f>
        <v>#N/A</v>
      </c>
      <c r="DG63" s="61" t="e">
        <f>IF(COUNTIFS(allFYsTable[Code], SummaryTable[[#This Row],[Code]], allFYsTable[year2], DB$3)=0, NotFound, SUMIFS(allFYsTable[DiffAmount], allFYsTable[Code], SummaryTable[[#This Row],[Code]], allFYsTable[year2], DB$3))</f>
        <v>#N/A</v>
      </c>
      <c r="DH63" s="63" t="e">
        <f>IF(SummaryTable[[#This Row],[OriginalBudget14]]=0, IF(SummaryTable[[#This Row],[DiffAmount14]]=0, ZeroBudgetNoSpending, ZeroBudgetWithSpending), SummaryTable[[#This Row],[DiffAmount14]]/SummaryTable[[#This Row],[OriginalBudget14]])</f>
        <v>#N/A</v>
      </c>
      <c r="DI63" s="62">
        <f>IF(COUNTIFS(allFYsTable[Code], SummaryTable[[#This Row],[Code]], allFYsTable[year2], DI$3)=0, NotFound, SUMIFS(allFYsTable[OriginalBudget], allFYsTable[Code], SummaryTable[[#This Row],[Code]], allFYsTable[year2], DI$3))</f>
        <v>0</v>
      </c>
      <c r="DJ63" s="61" t="e">
        <f>SummaryTable[[#This Row],[OriginalBudget13]]-SummaryTable[[#This Row],[OriginalBudget12]]</f>
        <v>#N/A</v>
      </c>
      <c r="DK63" s="54" t="e">
        <f>SummaryTable[[#This Row],[BudgetIncreaseAmount13]]/SummaryTable[[#This Row],[OriginalBudget12]]</f>
        <v>#N/A</v>
      </c>
      <c r="DL63" s="61">
        <f>IF(COUNTIFS(allFYsTable[Code], SummaryTable[[#This Row],[Code]], allFYsTable[year2], DI$3)=0, NotFound, SUMIFS(allFYsTable[RevisedBudget], allFYsTable[Code], SummaryTable[[#This Row],[Code]], allFYsTable[year2], DI$3))</f>
        <v>11286</v>
      </c>
      <c r="DM63" s="61">
        <f>IF(COUNTIFS(allFYsTable[Code], SummaryTable[[#This Row],[Code]], allFYsTable[year2], DI$3)=0, NotFound, SUMIFS(allFYsTable[Actual], allFYsTable[Code], SummaryTable[[#This Row],[Code]], allFYsTable[year2], DI$3))</f>
        <v>8899</v>
      </c>
      <c r="DN63" s="61">
        <f>IF(COUNTIFS(allFYsTable[Code], SummaryTable[[#This Row],[Code]], allFYsTable[year2], DI$3)=0, NotFound, SUMIFS(allFYsTable[DiffAmount], allFYsTable[Code], SummaryTable[[#This Row],[Code]], allFYsTable[year2], DI$3))</f>
        <v>8899</v>
      </c>
      <c r="DO63" s="63">
        <f>IF(SummaryTable[[#This Row],[OriginalBudget13]]=0, IF(SummaryTable[[#This Row],[DiffAmount13]]=0, ZeroBudgetNoSpending, ZeroBudgetWithSpending), SummaryTable[[#This Row],[DiffAmount13]]/SummaryTable[[#This Row],[OriginalBudget13]])</f>
        <v>99.99</v>
      </c>
      <c r="DP63" s="62" t="e">
        <f>IF(COUNTIFS(allFYsTable[Code], SummaryTable[[#This Row],[Code]], allFYsTable[year2], DP$3)=0, NotFound, SUMIFS(allFYsTable[OriginalBudget], allFYsTable[Code], SummaryTable[[#This Row],[Code]], allFYsTable[year2], DP$3))</f>
        <v>#N/A</v>
      </c>
      <c r="DQ63" s="61" t="e">
        <f>SummaryTable[[#This Row],[OriginalBudget12]]-SummaryTable[[#This Row],[OriginalBudget11]]</f>
        <v>#N/A</v>
      </c>
      <c r="DR63" s="54" t="e">
        <f>SummaryTable[[#This Row],[BudgetIncreaseAmount12]]/SummaryTable[[#This Row],[OriginalBudget11]]</f>
        <v>#N/A</v>
      </c>
      <c r="DS63" s="61" t="e">
        <f>IF(COUNTIFS(allFYsTable[Code], SummaryTable[[#This Row],[Code]], allFYsTable[year2], DP$3)=0, NotFound, SUMIFS(allFYsTable[RevisedBudget], allFYsTable[Code], SummaryTable[[#This Row],[Code]], allFYsTable[year2], DP$3))</f>
        <v>#N/A</v>
      </c>
      <c r="DT63" s="61" t="e">
        <f>IF(COUNTIFS(allFYsTable[Code], SummaryTable[[#This Row],[Code]], allFYsTable[year2], DP$3)=0, NotFound, SUMIFS(allFYsTable[Actual], allFYsTable[Code], SummaryTable[[#This Row],[Code]], allFYsTable[year2], DP$3))</f>
        <v>#N/A</v>
      </c>
      <c r="DU63" s="61" t="e">
        <f>IF(COUNTIFS(allFYsTable[Code], SummaryTable[[#This Row],[Code]], allFYsTable[year2], DP$3)=0, NotFound, SUMIFS(allFYsTable[DiffAmount], allFYsTable[Code], SummaryTable[[#This Row],[Code]], allFYsTable[year2], DP$3))</f>
        <v>#N/A</v>
      </c>
      <c r="DV63" s="63" t="e">
        <f>IF(SummaryTable[[#This Row],[OriginalBudget12]]=0, IF(SummaryTable[[#This Row],[DiffAmount12]]=0, ZeroBudgetNoSpending, ZeroBudgetWithSpending), SummaryTable[[#This Row],[DiffAmount12]]/SummaryTable[[#This Row],[OriginalBudget12]])</f>
        <v>#N/A</v>
      </c>
      <c r="DW63" s="62" t="e">
        <f>IF(COUNTIFS(allFYsTable[Code], SummaryTable[[#This Row],[Code]], allFYsTable[year2], DW$3)=0, NotFound, SUMIFS(allFYsTable[OriginalBudget], allFYsTable[Code], SummaryTable[[#This Row],[Code]], allFYsTable[year2], DW$3))</f>
        <v>#N/A</v>
      </c>
      <c r="DX63" s="61" t="e">
        <f>SummaryTable[[#This Row],[OriginalBudget11]]-SummaryTable[[#This Row],[OriginalBudget10]]</f>
        <v>#N/A</v>
      </c>
      <c r="DY63" s="54" t="e">
        <f>SummaryTable[[#This Row],[BudgetIncreaseAmount11]]/SummaryTable[[#This Row],[OriginalBudget10]]</f>
        <v>#N/A</v>
      </c>
      <c r="DZ63" s="61" t="e">
        <f>IF(COUNTIFS(allFYsTable[Code], SummaryTable[[#This Row],[Code]], allFYsTable[year2], DW$3)=0, NotFound, SUMIFS(allFYsTable[RevisedBudget], allFYsTable[Code], SummaryTable[[#This Row],[Code]], allFYsTable[year2], DW$3))</f>
        <v>#N/A</v>
      </c>
      <c r="EA63" s="61" t="e">
        <f>IF(COUNTIFS(allFYsTable[Code], SummaryTable[[#This Row],[Code]], allFYsTable[year2], DW$3)=0, NotFound, SUMIFS(allFYsTable[Actual], allFYsTable[Code], SummaryTable[[#This Row],[Code]], allFYsTable[year2], DW$3))</f>
        <v>#N/A</v>
      </c>
      <c r="EB63" s="61" t="e">
        <f>IF(COUNTIFS(allFYsTable[Code], SummaryTable[[#This Row],[Code]], allFYsTable[year2], DW$3)=0, NotFound, SUMIFS(allFYsTable[DiffAmount], allFYsTable[Code], SummaryTable[[#This Row],[Code]], allFYsTable[year2], DW$3))</f>
        <v>#N/A</v>
      </c>
      <c r="EC63" s="63" t="e">
        <f>IF(SummaryTable[[#This Row],[OriginalBudget11]]=0, IF(SummaryTable[[#This Row],[DiffAmount11]]=0, ZeroBudgetNoSpending, ZeroBudgetWithSpending), SummaryTable[[#This Row],[DiffAmount11]]/SummaryTable[[#This Row],[OriginalBudget11]])</f>
        <v>#N/A</v>
      </c>
      <c r="ED63" s="62">
        <f>IF(COUNTIFS(allFYsTable[Code], SummaryTable[[#This Row],[Code]], allFYsTable[year2], ED$3)=0, NotFound, SUMIFS(allFYsTable[OriginalBudget], allFYsTable[Code], SummaryTable[[#This Row],[Code]], allFYsTable[year2], ED$3))</f>
        <v>0</v>
      </c>
      <c r="EE63" s="61">
        <f>SummaryTable[[#This Row],[OriginalBudget10]]-SummaryTable[[#This Row],[OriginalBudget09]]</f>
        <v>0</v>
      </c>
      <c r="EF63" s="54" t="e">
        <f>SummaryTable[[#This Row],[BudgetIncreaseAmount10]]/SummaryTable[[#This Row],[OriginalBudget09]]</f>
        <v>#DIV/0!</v>
      </c>
      <c r="EG63" s="61">
        <f>IF(COUNTIFS(allFYsTable[Code], SummaryTable[[#This Row],[Code]], allFYsTable[year2], ED$3)=0, NotFound, SUMIFS(allFYsTable[RevisedBudget], allFYsTable[Code], SummaryTable[[#This Row],[Code]], allFYsTable[year2], ED$3))</f>
        <v>0</v>
      </c>
      <c r="EH63" s="61">
        <f>IF(COUNTIFS(allFYsTable[Code], SummaryTable[[#This Row],[Code]], allFYsTable[year2], ED$3)=0, NotFound, SUMIFS(allFYsTable[Actual], allFYsTable[Code], SummaryTable[[#This Row],[Code]], allFYsTable[year2], ED$3))</f>
        <v>0</v>
      </c>
      <c r="EI63" s="61">
        <f>IF(COUNTIFS(allFYsTable[Code], SummaryTable[[#This Row],[Code]], allFYsTable[year2], ED$3)=0, NotFound, SUMIFS(allFYsTable[DiffAmount], allFYsTable[Code], SummaryTable[[#This Row],[Code]], allFYsTable[year2], ED$3))</f>
        <v>0</v>
      </c>
      <c r="EJ63" s="63">
        <f>IF(SummaryTable[[#This Row],[OriginalBudget10]]=0, IF(SummaryTable[[#This Row],[DiffAmount10]]=0, ZeroBudgetNoSpending, ZeroBudgetWithSpending), SummaryTable[[#This Row],[DiffAmount10]]/SummaryTable[[#This Row],[OriginalBudget10]])</f>
        <v>0</v>
      </c>
      <c r="EK63" s="62">
        <f>IF(COUNTIFS(allFYsTable[Code], SummaryTable[[#This Row],[Code]], allFYsTable[year2], EK$3)=0, NotFound, SUMIFS(allFYsTable[OriginalBudget], allFYsTable[Code], SummaryTable[[#This Row],[Code]], allFYsTable[year2], EK$3))</f>
        <v>0</v>
      </c>
      <c r="EL63" s="61" t="e">
        <f>SummaryTable[[#This Row],[OriginalBudget09]]-SummaryTable[[#This Row],[OriginalBudget08]]</f>
        <v>#N/A</v>
      </c>
      <c r="EM63" s="54" t="e">
        <f>SummaryTable[[#This Row],[BudgetIncreaseAmount09]]/SummaryTable[[#This Row],[OriginalBudget08]]</f>
        <v>#N/A</v>
      </c>
      <c r="EN63" s="61">
        <f>IF(COUNTIFS(allFYsTable[Code], SummaryTable[[#This Row],[Code]], allFYsTable[year2], EK$3)=0, NotFound, SUMIFS(allFYsTable[RevisedBudget], allFYsTable[Code], SummaryTable[[#This Row],[Code]], allFYsTable[year2], EK$3))</f>
        <v>0</v>
      </c>
      <c r="EO63" s="61">
        <f>IF(COUNTIFS(allFYsTable[Code], SummaryTable[[#This Row],[Code]], allFYsTable[year2], EK$3)=0, NotFound, SUMIFS(allFYsTable[Actual], allFYsTable[Code], SummaryTable[[#This Row],[Code]], allFYsTable[year2], EK$3))</f>
        <v>0</v>
      </c>
      <c r="EP63" s="61">
        <f>IF(COUNTIFS(allFYsTable[Code], SummaryTable[[#This Row],[Code]], allFYsTable[year2], EK$3)=0, NotFound, SUMIFS(allFYsTable[DiffAmount], allFYsTable[Code], SummaryTable[[#This Row],[Code]], allFYsTable[year2], EK$3))</f>
        <v>0</v>
      </c>
      <c r="EQ63" s="63">
        <f>IF(SummaryTable[[#This Row],[OriginalBudget09]]=0, IF(SummaryTable[[#This Row],[DiffAmount09]]=0, ZeroBudgetNoSpending, ZeroBudgetWithSpending), SummaryTable[[#This Row],[DiffAmount09]]/SummaryTable[[#This Row],[OriginalBudget09]])</f>
        <v>0</v>
      </c>
      <c r="ER63" s="62" t="e">
        <f>IF(COUNTIFS(allFYsTable[Code], SummaryTable[[#This Row],[Code]], allFYsTable[year2], ER$3)=0, NotFound, SUMIFS(allFYsTable[OriginalBudget], allFYsTable[Code], SummaryTable[[#This Row],[Code]], allFYsTable[year2], ER$3))</f>
        <v>#N/A</v>
      </c>
      <c r="ES63" s="61" t="e">
        <f>SummaryTable[[#This Row],[OriginalBudget08]]-SummaryTable[[#This Row],[OriginalBudget07]]</f>
        <v>#N/A</v>
      </c>
      <c r="ET63" s="54" t="e">
        <f>SummaryTable[[#This Row],[BudgetIncreaseAmount08]]/SummaryTable[[#This Row],[OriginalBudget07]]</f>
        <v>#N/A</v>
      </c>
      <c r="EU63" s="61" t="e">
        <f>IF(COUNTIFS(allFYsTable[Code], SummaryTable[[#This Row],[Code]], allFYsTable[year2], ER$3)=0, NotFound, SUMIFS(allFYsTable[RevisedBudget], allFYsTable[Code], SummaryTable[[#This Row],[Code]], allFYsTable[year2], ER$3))</f>
        <v>#N/A</v>
      </c>
      <c r="EV63" s="61" t="e">
        <f>IF(COUNTIFS(allFYsTable[Code], SummaryTable[[#This Row],[Code]], allFYsTable[year2], ER$3)=0, NotFound, SUMIFS(allFYsTable[Actual], allFYsTable[Code], SummaryTable[[#This Row],[Code]], allFYsTable[year2], ER$3))</f>
        <v>#N/A</v>
      </c>
      <c r="EW63" s="61" t="e">
        <f>IF(COUNTIFS(allFYsTable[Code], SummaryTable[[#This Row],[Code]], allFYsTable[year2], ER$3)=0, NotFound, SUMIFS(allFYsTable[DiffAmount], allFYsTable[Code], SummaryTable[[#This Row],[Code]], allFYsTable[year2], ER$3))</f>
        <v>#N/A</v>
      </c>
      <c r="EX63" s="63" t="e">
        <f>IF(SummaryTable[[#This Row],[OriginalBudget08]]=0, IF(SummaryTable[[#This Row],[DiffAmount08]]=0, ZeroBudgetNoSpending, ZeroBudgetWithSpending), SummaryTable[[#This Row],[DiffAmount08]]/SummaryTable[[#This Row],[OriginalBudget08]])</f>
        <v>#N/A</v>
      </c>
      <c r="EY63" s="62" t="e">
        <f>IF(COUNTIFS(allFYsTable[Code], SummaryTable[[#This Row],[Code]], allFYsTable[year2], EY$3)=0, NotFound, SUMIFS(allFYsTable[OriginalBudget], allFYsTable[Code], SummaryTable[[#This Row],[Code]], allFYsTable[year2], EY$3))</f>
        <v>#N/A</v>
      </c>
      <c r="EZ63" s="61" t="e">
        <f>SummaryTable[[#This Row],[OriginalBudget07]]-SummaryTable[[#This Row],[OriginalBudget06]]</f>
        <v>#N/A</v>
      </c>
      <c r="FA63" s="54" t="e">
        <f>SummaryTable[[#This Row],[BudgetIncreaseAmount07]]/SummaryTable[[#This Row],[OriginalBudget06]]</f>
        <v>#N/A</v>
      </c>
      <c r="FB63" s="61" t="e">
        <f>IF(COUNTIFS(allFYsTable[Code], SummaryTable[[#This Row],[Code]], allFYsTable[year2], EY$3)=0, NotFound, SUMIFS(allFYsTable[RevisedBudget], allFYsTable[Code], SummaryTable[[#This Row],[Code]], allFYsTable[year2], EY$3))</f>
        <v>#N/A</v>
      </c>
      <c r="FC63" s="61" t="e">
        <f>IF(COUNTIFS(allFYsTable[Code], SummaryTable[[#This Row],[Code]], allFYsTable[year2], EY$3)=0, NotFound, SUMIFS(allFYsTable[Actual], allFYsTable[Code], SummaryTable[[#This Row],[Code]], allFYsTable[year2], EY$3))</f>
        <v>#N/A</v>
      </c>
      <c r="FD63" s="61" t="e">
        <f>IF(COUNTIFS(allFYsTable[Code], SummaryTable[[#This Row],[Code]], allFYsTable[year2], EY$3)=0, NotFound, SUMIFS(allFYsTable[DiffAmount], allFYsTable[Code], SummaryTable[[#This Row],[Code]], allFYsTable[year2], EY$3))</f>
        <v>#N/A</v>
      </c>
      <c r="FE63" s="63" t="e">
        <f>IF(SummaryTable[[#This Row],[OriginalBudget07]]=0, IF(SummaryTable[[#This Row],[DiffAmount07]]=0, ZeroBudgetNoSpending, ZeroBudgetWithSpending), SummaryTable[[#This Row],[DiffAmount07]]/SummaryTable[[#This Row],[OriginalBudget07]])</f>
        <v>#N/A</v>
      </c>
      <c r="FF63" s="62" t="e">
        <f>IF(COUNTIFS(allFYsTable[Code], SummaryTable[[#This Row],[Code]], allFYsTable[year2], FF$3)=0, NotFound, SUMIFS(allFYsTable[OriginalBudget], allFYsTable[Code], SummaryTable[[#This Row],[Code]], allFYsTable[year2], FF$3))</f>
        <v>#N/A</v>
      </c>
      <c r="FI63" s="61" t="e">
        <f>IF(COUNTIFS(allFYsTable[Code], SummaryTable[[#This Row],[Code]], allFYsTable[year2], FF$3)=0, NotFound, SUMIFS(allFYsTable[RevisedBudget], allFYsTable[Code], SummaryTable[[#This Row],[Code]], allFYsTable[year2], FF$3))</f>
        <v>#N/A</v>
      </c>
      <c r="FJ63" s="61" t="e">
        <f>IF(COUNTIFS(allFYsTable[Code], SummaryTable[[#This Row],[Code]], allFYsTable[year2], FF$3)=0, NotFound, SUMIFS(allFYsTable[Actual], allFYsTable[Code], SummaryTable[[#This Row],[Code]], allFYsTable[year2], FF$3))</f>
        <v>#N/A</v>
      </c>
      <c r="FK63" s="61" t="e">
        <f>IF(COUNTIFS(allFYsTable[Code], SummaryTable[[#This Row],[Code]], allFYsTable[year2], FF$3)=0, NotFound, SUMIFS(allFYsTable[DiffAmount], allFYsTable[Code], SummaryTable[[#This Row],[Code]], allFYsTable[year2], FF$3))</f>
        <v>#N/A</v>
      </c>
      <c r="FL63" s="63" t="e">
        <f>IF(SummaryTable[[#This Row],[OriginalBudget06]]=0, IF(SummaryTable[[#This Row],[DiffAmount06]]=0, ZeroBudgetNoSpending, ZeroBudgetWithSpending), SummaryTable[[#This Row],[DiffAmount06]]/SummaryTable[[#This Row],[OriginalBudget06]])</f>
        <v>#N/A</v>
      </c>
    </row>
    <row r="64" spans="1:168" x14ac:dyDescent="0.45">
      <c r="A64" t="s">
        <v>814</v>
      </c>
      <c r="B64">
        <f>_xlfn.MAXIFS(allFYsTable[year2], allFYsTable[Code], SummaryTable[[#This Row],[Code]])</f>
        <v>2025</v>
      </c>
      <c r="C64" t="str">
        <f>_xlfn.XLOOKUP(SummaryTable[[#This Row],[Code]], NameCodingTable[Code], NameCodingTable[Most Recent Category per allFYs])</f>
        <v>Governmental direction and support</v>
      </c>
      <c r="D64" t="str">
        <f>_xlfn.XLOOKUP(SummaryTable[[#This Row],[Code]], NameCodingTable[Code], NameCodingTable[Unit Display Name])</f>
        <v>John A. Wilson Building fund</v>
      </c>
      <c r="E64" t="str">
        <f>_xlfn.XLOOKUP(SummaryTable[[#This Row],[Code]], NameCodingTable[Code], NameCodingTable[Type])</f>
        <v>xother</v>
      </c>
      <c r="F6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6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64" s="54">
        <f>SummaryTable[[#This Row],['# Over]]/SummaryTable[[#This Row],[Count]]</f>
        <v>0.1</v>
      </c>
      <c r="I6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18</v>
      </c>
      <c r="J64" s="54">
        <f>SummaryTable[[#This Row],['# Under]]/SummaryTable[[#This Row],[Count]]</f>
        <v>0.9</v>
      </c>
      <c r="K6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64" s="54">
        <f>SummaryTable[[#This Row],['# Equal]]/SummaryTable[[#This Row],[Count]]</f>
        <v>0</v>
      </c>
      <c r="M64" s="61">
        <f>SUMIFS(allFYsTable[OriginalBudget],allFYsTable[Code],SummaryTable[[#This Row],[Code]])/SummaryTable[[#This Row],[Count]]</f>
        <v>4552.1499999999996</v>
      </c>
      <c r="N64" s="61">
        <f>SUMIFS(allFYsTable[Actual],allFYsTable[Code],SummaryTable[[#This Row],[Code]])/SummaryTable[[#This Row],[Count]]</f>
        <v>4239.3500000000004</v>
      </c>
      <c r="O64" s="61">
        <f>SummaryTable[[#This Row],[AvgActAmt]]-SummaryTable[[#This Row],[AvgBudAmt]]</f>
        <v>-312.79999999999927</v>
      </c>
      <c r="P64" s="54">
        <f>IF(SummaryTable[[#This Row],[AvgBudAmt]]=0, IF(SummaryTable[[#This Row],[AvgDiff'#]]=0, 0, NamedFields!$C$3), SummaryTable[[#This Row],[AvgDiff'#]]/SummaryTable[[#This Row],[AvgBudAmt]])</f>
        <v>-6.8714783124457515E-2</v>
      </c>
      <c r="Q64" s="61">
        <f>IFERROR(SUMIFS(allFYsTable[OriginalBudget],allFYsTable[Code],SummaryTable[[#This Row],[Code]],allFYsTable[DiffAmount], "&gt;0")/SummaryTable[[#This Row],['# Over]], 0)</f>
        <v>3773.5</v>
      </c>
      <c r="R64" s="61">
        <f>IFERROR(SUMIFS(allFYsTable[Actual],allFYsTable[Code],SummaryTable[[#This Row],[Code]],allFYsTable[DiffAmount], "&gt;0")/SummaryTable[[#This Row],['# Over]], 0)</f>
        <v>3955.5</v>
      </c>
      <c r="S64" s="61">
        <f>SummaryTable[[#This Row],[OverAvgAct]]-SummaryTable[[#This Row],[OverAvgBud]]</f>
        <v>182</v>
      </c>
      <c r="T64" s="54">
        <f>IF(SummaryTable[[#This Row],[OverAvgBud]]=0, IF(SummaryTable[[#This Row],[OverAvgDiff'#]]=0, ZeroBudgetNoSpending, ZeroBudgetWithSpending), SummaryTable[[#This Row],[OverAvgDiff'#]]/SummaryTable[[#This Row],[OverAvgBud]])</f>
        <v>4.823108519941699E-2</v>
      </c>
      <c r="U64" s="61">
        <f>IFERROR(SUMIFS(allFYsTable[OriginalBudget],allFYsTable[Code],SummaryTable[[#This Row],[Code]],allFYsTable[DiffAmount], "&lt;0")/SummaryTable[[#This Row],['# Under]], 0)</f>
        <v>4638.666666666667</v>
      </c>
      <c r="V64" s="61">
        <f>IFERROR( SUMIFS(allFYsTable[Actual],allFYsTable[Code],SummaryTable[[#This Row],[Code]],allFYsTable[DiffAmount], "&lt;0")/SummaryTable[[#This Row],['# Under]], 0)</f>
        <v>4270.8888888888887</v>
      </c>
      <c r="W64" s="61">
        <f>SummaryTable[[#This Row],[UnderAvgAct]]-SummaryTable[[#This Row],[UnderAvgBud]]</f>
        <v>-367.77777777777828</v>
      </c>
      <c r="X64" s="54">
        <f>IF(SummaryTable[[#This Row],[UnderAvgBud]]=0, IF(SummaryTable[[#This Row],[UnderAvgDiff'#]]=0, ZeroBudgetNoSpending, NamedFields!$C$3), SummaryTable[[#This Row],[UnderAvgDiff'#]]/SummaryTable[[#This Row],[UnderAvgBud]])</f>
        <v>-7.9285235220849001E-2</v>
      </c>
      <c r="Y6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6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64" s="54">
        <f>IF(SummaryTable[[#This Row],[IncreaseYears]]=0, ZeroBudgetNoSpending, SummaryTable[[#This Row],[OSinIncreaseYear'#]]/SummaryTable[[#This Row],[IncreaseYears]])</f>
        <v>0</v>
      </c>
      <c r="AB64" s="58" t="str">
        <f>SummaryTable[[#This Row],[Code]]</f>
        <v>ZZ0</v>
      </c>
      <c r="AC64" s="62">
        <f>IF(COUNTIFS(allFYsTable[Code], SummaryTable[[#This Row],[Code]], allFYsTable[year2], AC$3)=0, NotFound, SUMIFS(allFYsTable[OriginalBudget], allFYsTable[Code], SummaryTable[[#This Row],[Code]], allFYsTable[year2], AC$3))</f>
        <v>5516</v>
      </c>
      <c r="AD64" s="61">
        <f>SummaryTable[[#This Row],[OriginalBudget25]]-SummaryTable[[#This Row],[OriginalBudget24]]</f>
        <v>482</v>
      </c>
      <c r="AE64" s="54">
        <f>SummaryTable[[#This Row],[BudgetIncreaseAmount25]]/SummaryTable[[#This Row],[OriginalBudget24]]</f>
        <v>9.5748907429479543E-2</v>
      </c>
      <c r="AF64" s="61">
        <f>IF(COUNTIFS(allFYsTable[Code], SummaryTable[[#This Row],[Code]], allFYsTable[year2], AC$3)=0, NotFound, SUMIFS(allFYsTable[RevisedBudget], allFYsTable[Code], SummaryTable[[#This Row],[Code]], allFYsTable[year2], AC$3))</f>
        <v>5516</v>
      </c>
      <c r="AG64" s="61">
        <f>IF(COUNTIFS(allFYsTable[Code], SummaryTable[[#This Row],[Code]], allFYsTable[year2], AC$3)=0, NotFound, SUMIFS(allFYsTable[Actual], allFYsTable[Code], SummaryTable[[#This Row],[Code]], allFYsTable[year2], AC$3))</f>
        <v>5355</v>
      </c>
      <c r="AH64" s="61">
        <f>IF(COUNTIFS(allFYsTable[Code], SummaryTable[[#This Row],[Code]], allFYsTable[year2], AC$3)=0, NotFound, SUMIFS(allFYsTable[DiffAmount], allFYsTable[Code], SummaryTable[[#This Row],[Code]], allFYsTable[year2], AC$3))</f>
        <v>-161</v>
      </c>
      <c r="AI64" s="63">
        <f>IF(SummaryTable[[#This Row],[OriginalBudget25]]=0, IF(SummaryTable[[#This Row],[DiffAmount25]]=0, ZeroBudgetNoSpending, ZeroBudgetWithSpending), SummaryTable[[#This Row],[DiffAmount25]]/SummaryTable[[#This Row],[OriginalBudget25]])</f>
        <v>-2.9187817258883249E-2</v>
      </c>
      <c r="AJ64" s="62">
        <f>IF(COUNTIFS(allFYsTable[Code], SummaryTable[[#This Row],[Code]], allFYsTable[year2], AJ$3)=0, NotFound, SUMIFS(allFYsTable[OriginalBudget], allFYsTable[Code], SummaryTable[[#This Row],[Code]], allFYsTable[year2], AJ$3))</f>
        <v>5034</v>
      </c>
      <c r="AK64" s="61">
        <f>SummaryTable[[#This Row],[OriginalBudget24]]-SummaryTable[[#This Row],[OriginalBudget23]]</f>
        <v>-199</v>
      </c>
      <c r="AL64" s="54">
        <f>SummaryTable[[#This Row],[BudgetIncreaseAmount24]]/SummaryTable[[#This Row],[OriginalBudget23]]</f>
        <v>-3.8027899866233519E-2</v>
      </c>
      <c r="AM64" s="61">
        <f>IF(COUNTIFS(allFYsTable[Code], SummaryTable[[#This Row],[Code]], allFYsTable[year2], AK$3)=0, NotFound, SUMIFS(allFYsTable[RevisedBudget], allFYsTable[Code], SummaryTable[[#This Row],[Code]], allFYsTable[year2], AJ$3))</f>
        <v>5571</v>
      </c>
      <c r="AN64" s="61">
        <f>IF(COUNTIFS(allFYsTable[Code], SummaryTable[[#This Row],[Code]], allFYsTable[year2], AJ$3)=0, NotFound, SUMIFS(allFYsTable[Actual], allFYsTable[Code], SummaryTable[[#This Row],[Code]], allFYsTable[year2], AJ$3))</f>
        <v>4576</v>
      </c>
      <c r="AO64" s="61">
        <f>IF(COUNTIFS(allFYsTable[Code], SummaryTable[[#This Row],[Code]], allFYsTable[year2], AJ$3)=0, NotFound, SUMIFS(allFYsTable[DiffAmount], allFYsTable[Code], SummaryTable[[#This Row],[Code]], allFYsTable[year2], AJ$3))</f>
        <v>-458</v>
      </c>
      <c r="AP64" s="63">
        <f>IF(SummaryTable[[#This Row],[OriginalBudget24]]=0, IF(SummaryTable[[#This Row],[DiffAmount24]]=0, ZeroBudgetNoSpending, ZeroBudgetWithSpending), SummaryTable[[#This Row],[DiffAmount24]]/SummaryTable[[#This Row],[OriginalBudget24]])</f>
        <v>-9.098132697655939E-2</v>
      </c>
      <c r="AQ64" s="62">
        <f>IF(COUNTIFS(allFYsTable[Code], SummaryTable[[#This Row],[Code]], allFYsTable[year2], AQ$3)=0, NotFound, SUMIFS(allFYsTable[OriginalBudget], allFYsTable[Code], SummaryTable[[#This Row],[Code]], allFYsTable[year2], AQ$3))</f>
        <v>5233</v>
      </c>
      <c r="AR64" s="61">
        <f>SummaryTable[[#This Row],[OriginalBudget23]]-SummaryTable[[#This Row],[OriginalBudget22]]</f>
        <v>346</v>
      </c>
      <c r="AS64" s="54">
        <f>SummaryTable[[#This Row],[BudgetIncreaseAmount23]]/SummaryTable[[#This Row],[OriginalBudget22]]</f>
        <v>7.0800081849805602E-2</v>
      </c>
      <c r="AT64" s="61">
        <f>IF(COUNTIFS(allFYsTable[Code], SummaryTable[[#This Row],[Code]], allFYsTable[year2], AQ$3)=0, NotFound, SUMIFS(allFYsTable[RevisedBudget], allFYsTable[Code], SummaryTable[[#This Row],[Code]], allFYsTable[year2], AQ$3))</f>
        <v>5233</v>
      </c>
      <c r="AU64" s="61">
        <f>IF(COUNTIFS(allFYsTable[Code], SummaryTable[[#This Row],[Code]], allFYsTable[year2], AQ$3)=0, NotFound, SUMIFS(allFYsTable[Actual], allFYsTable[Code], SummaryTable[[#This Row],[Code]], allFYsTable[year2], AQ$3))</f>
        <v>5017</v>
      </c>
      <c r="AV64" s="61">
        <f>IF(COUNTIFS(allFYsTable[Code], SummaryTable[[#This Row],[Code]], allFYsTable[year2], AQ$3)=0, NotFound, SUMIFS(allFYsTable[DiffAmount], allFYsTable[Code], SummaryTable[[#This Row],[Code]], allFYsTable[year2], AQ$3))</f>
        <v>-216</v>
      </c>
      <c r="AW64" s="63">
        <f>IF(SummaryTable[[#This Row],[OriginalBudget23]]=0, IF(SummaryTable[[#This Row],[DiffAmount23]]=0, ZeroBudgetNoSpending, ZeroBudgetWithSpending), SummaryTable[[#This Row],[DiffAmount23]]/SummaryTable[[#This Row],[OriginalBudget23]])</f>
        <v>-4.1276514427670552E-2</v>
      </c>
      <c r="AX64" s="62">
        <f>IF(COUNTIFS(allFYsTable[Code], SummaryTable[[#This Row],[Code]], allFYsTable[year2], AX$3)=0, NotFound, SUMIFS(allFYsTable[OriginalBudget], allFYsTable[Code], SummaryTable[[#This Row],[Code]], allFYsTable[year2], AX$3))</f>
        <v>4887</v>
      </c>
      <c r="AY64" s="61">
        <f>SummaryTable[[#This Row],[OriginalBudget22]]-SummaryTable[[#This Row],[OriginalBudget21]]</f>
        <v>423</v>
      </c>
      <c r="AZ64" s="54">
        <f>SummaryTable[[#This Row],[BudgetIncreaseAmount22]]/SummaryTable[[#This Row],[OriginalBudget21]]</f>
        <v>9.4758064516129031E-2</v>
      </c>
      <c r="BA64" s="61">
        <f>IF(COUNTIFS(allFYsTable[Code], SummaryTable[[#This Row],[Code]], allFYsTable[year2], AX$3)=0, NotFound, SUMIFS(allFYsTable[RevisedBudget], allFYsTable[Code], SummaryTable[[#This Row],[Code]], allFYsTable[year2], AX$3))</f>
        <v>4887</v>
      </c>
      <c r="BB64" s="61">
        <f>IF(COUNTIFS(allFYsTable[Code], SummaryTable[[#This Row],[Code]], allFYsTable[year2], AX$3)=0, NotFound, SUMIFS(allFYsTable[Actual], allFYsTable[Code], SummaryTable[[#This Row],[Code]], allFYsTable[year2], AX$3))</f>
        <v>3957</v>
      </c>
      <c r="BC64" s="61">
        <f>IF(COUNTIFS(allFYsTable[Code], SummaryTable[[#This Row],[Code]], allFYsTable[year2], AX$3)=0, NotFound, SUMIFS(allFYsTable[DiffAmount], allFYsTable[Code], SummaryTable[[#This Row],[Code]], allFYsTable[year2], AX$3))</f>
        <v>-930</v>
      </c>
      <c r="BD64" s="63">
        <f>IF(SummaryTable[[#This Row],[OriginalBudget22]]=0, IF(SummaryTable[[#This Row],[DiffAmount22]]=0, ZeroBudgetNoSpending, ZeroBudgetWithSpending), SummaryTable[[#This Row],[DiffAmount22]]/SummaryTable[[#This Row],[OriginalBudget22]])</f>
        <v>-0.19030079803560468</v>
      </c>
      <c r="BE64" s="62">
        <f>IF(COUNTIFS(allFYsTable[Code], SummaryTable[[#This Row],[Code]], allFYsTable[year2], BE$3)=0, NotFound, SUMIFS(allFYsTable[OriginalBudget], allFYsTable[Code], SummaryTable[[#This Row],[Code]], allFYsTable[year2], BE$3))</f>
        <v>4464</v>
      </c>
      <c r="BF64" s="61">
        <f>SummaryTable[[#This Row],[OriginalBudget21]]-SummaryTable[[#This Row],[OriginalBudget20]]</f>
        <v>657</v>
      </c>
      <c r="BG64" s="54">
        <f>SummaryTable[[#This Row],[BudgetIncreaseAmount21]]/SummaryTable[[#This Row],[OriginalBudget20]]</f>
        <v>0.17257683215130024</v>
      </c>
      <c r="BH64" s="61">
        <f>IF(COUNTIFS(allFYsTable[Code], SummaryTable[[#This Row],[Code]], allFYsTable[year2], BE$3)=0, NotFound, SUMIFS(allFYsTable[RevisedBudget], allFYsTable[Code], SummaryTable[[#This Row],[Code]], allFYsTable[year2], BE$3))</f>
        <v>4121</v>
      </c>
      <c r="BI64" s="61">
        <f>IF(COUNTIFS(allFYsTable[Code], SummaryTable[[#This Row],[Code]], allFYsTable[year2], BE$3)=0, NotFound, SUMIFS(allFYsTable[Actual], allFYsTable[Code], SummaryTable[[#This Row],[Code]], allFYsTable[year2], BE$3))</f>
        <v>3823</v>
      </c>
      <c r="BJ64" s="61">
        <f>IF(COUNTIFS(allFYsTable[Code], SummaryTable[[#This Row],[Code]], allFYsTable[year2], BE$3)=0, NotFound, SUMIFS(allFYsTable[DiffAmount], allFYsTable[Code], SummaryTable[[#This Row],[Code]], allFYsTable[year2], BE$3))</f>
        <v>-641</v>
      </c>
      <c r="BK64" s="63">
        <f>IF(SummaryTable[[#This Row],[OriginalBudget21]]=0, IF(SummaryTable[[#This Row],[DiffAmount21]]=0, ZeroBudgetNoSpending, ZeroBudgetWithSpending), SummaryTable[[#This Row],[DiffAmount21]]/SummaryTable[[#This Row],[OriginalBudget21]])</f>
        <v>-0.14359318996415771</v>
      </c>
      <c r="BL64" s="62">
        <f>IF(COUNTIFS(allFYsTable[Code], SummaryTable[[#This Row],[Code]], allFYsTable[year2], BL$3)=0, NotFound, SUMIFS(allFYsTable[OriginalBudget], allFYsTable[Code], SummaryTable[[#This Row],[Code]], allFYsTable[year2], BL$3))</f>
        <v>3807</v>
      </c>
      <c r="BM64" s="61">
        <f>SummaryTable[[#This Row],[OriginalBudget20]]-SummaryTable[[#This Row],[OriginalBudget19]]</f>
        <v>-919</v>
      </c>
      <c r="BN64" s="54">
        <f>SummaryTable[[#This Row],[BudgetIncreaseAmount20]]/SummaryTable[[#This Row],[OriginalBudget19]]</f>
        <v>-0.1944561997460855</v>
      </c>
      <c r="BO64" s="61">
        <f>IF(COUNTIFS(allFYsTable[Code], SummaryTable[[#This Row],[Code]], allFYsTable[year2], BL$3)=0, NotFound, SUMIFS(allFYsTable[RevisedBudget], allFYsTable[Code], SummaryTable[[#This Row],[Code]], allFYsTable[year2], BL$3))</f>
        <v>4540</v>
      </c>
      <c r="BP64" s="61">
        <f>IF(COUNTIFS(allFYsTable[Code], SummaryTable[[#This Row],[Code]], allFYsTable[year2], BL$3)=0, NotFound, SUMIFS(allFYsTable[Actual], allFYsTable[Code], SummaryTable[[#This Row],[Code]], allFYsTable[year2], BL$3))</f>
        <v>4081</v>
      </c>
      <c r="BQ64" s="61">
        <f>IF(COUNTIFS(allFYsTable[Code], SummaryTable[[#This Row],[Code]], allFYsTable[year2], BL$3)=0, NotFound, SUMIFS(allFYsTable[DiffAmount], allFYsTable[Code], SummaryTable[[#This Row],[Code]], allFYsTable[year2], BL$3))</f>
        <v>274</v>
      </c>
      <c r="BR64" s="63">
        <f>IF(SummaryTable[[#This Row],[OriginalBudget20]]=0, IF(SummaryTable[[#This Row],[DiffAmount20]]=0, ZeroBudgetNoSpending, ZeroBudgetWithSpending), SummaryTable[[#This Row],[DiffAmount20]]/SummaryTable[[#This Row],[OriginalBudget20]])</f>
        <v>7.1972681901759913E-2</v>
      </c>
      <c r="BS64" s="62">
        <f>IF(COUNTIFS(allFYsTable[Code], SummaryTable[[#This Row],[Code]], allFYsTable[year2], BS$3)=0, NotFound, SUMIFS(allFYsTable[OriginalBudget], allFYsTable[Code], SummaryTable[[#This Row],[Code]], allFYsTable[year2], BS$3))</f>
        <v>4726</v>
      </c>
      <c r="BT64" s="61">
        <f>SummaryTable[[#This Row],[OriginalBudget19]]-SummaryTable[[#This Row],[OriginalBudget18]]</f>
        <v>644</v>
      </c>
      <c r="BU64" s="54">
        <f>SummaryTable[[#This Row],[BudgetIncreaseAmount19]]/SummaryTable[[#This Row],[OriginalBudget18]]</f>
        <v>0.157765801077903</v>
      </c>
      <c r="BV64" s="61">
        <f>IF(COUNTIFS(allFYsTable[Code], SummaryTable[[#This Row],[Code]], allFYsTable[year2], BS$3)=0, NotFound, SUMIFS(allFYsTable[RevisedBudget], allFYsTable[Code], SummaryTable[[#This Row],[Code]], allFYsTable[year2], BS$3))</f>
        <v>4726</v>
      </c>
      <c r="BW64" s="61">
        <f>IF(COUNTIFS(allFYsTable[Code], SummaryTable[[#This Row],[Code]], allFYsTable[year2], BS$3)=0, NotFound, SUMIFS(allFYsTable[Actual], allFYsTable[Code], SummaryTable[[#This Row],[Code]], allFYsTable[year2], BS$3))</f>
        <v>4256</v>
      </c>
      <c r="BX64" s="61">
        <f>IF(COUNTIFS(allFYsTable[Code], SummaryTable[[#This Row],[Code]], allFYsTable[year2], BS$3)=0, NotFound, SUMIFS(allFYsTable[DiffAmount], allFYsTable[Code], SummaryTable[[#This Row],[Code]], allFYsTable[year2], BS$3))</f>
        <v>-470</v>
      </c>
      <c r="BY64" s="63">
        <f>IF(SummaryTable[[#This Row],[OriginalBudget19]]=0, IF(SummaryTable[[#This Row],[DiffAmount19]]=0, ZeroBudgetNoSpending, ZeroBudgetWithSpending), SummaryTable[[#This Row],[DiffAmount19]]/SummaryTable[[#This Row],[OriginalBudget19]])</f>
        <v>-9.9449851883199325E-2</v>
      </c>
      <c r="BZ64" s="62">
        <f>IF(COUNTIFS(allFYsTable[Code], SummaryTable[[#This Row],[Code]], allFYsTable[year2], BZ$3)=0, NotFound, SUMIFS(allFYsTable[OriginalBudget], allFYsTable[Code], SummaryTable[[#This Row],[Code]], allFYsTable[year2], BZ$3))</f>
        <v>4082</v>
      </c>
      <c r="CA64" s="61">
        <f>SummaryTable[[#This Row],[OriginalBudget18]]-SummaryTable[[#This Row],[OriginalBudget17]]</f>
        <v>-287</v>
      </c>
      <c r="CB64" s="54">
        <f>SummaryTable[[#This Row],[BudgetIncreaseAmount18]]/SummaryTable[[#This Row],[OriginalBudget17]]</f>
        <v>-6.5690089265278098E-2</v>
      </c>
      <c r="CC64" s="61">
        <f>IF(COUNTIFS(allFYsTable[Code], SummaryTable[[#This Row],[Code]], allFYsTable[year2], BZ$3)=0, NotFound, SUMIFS(allFYsTable[RevisedBudget], allFYsTable[Code], SummaryTable[[#This Row],[Code]], allFYsTable[year2], BZ$3))</f>
        <v>4082</v>
      </c>
      <c r="CD64" s="61">
        <f>IF(COUNTIFS(allFYsTable[Code], SummaryTable[[#This Row],[Code]], allFYsTable[year2], BZ$3)=0, NotFound, SUMIFS(allFYsTable[Actual], allFYsTable[Code], SummaryTable[[#This Row],[Code]], allFYsTable[year2], BZ$3))</f>
        <v>4014</v>
      </c>
      <c r="CE64" s="61">
        <f>IF(COUNTIFS(allFYsTable[Code], SummaryTable[[#This Row],[Code]], allFYsTable[year2], BZ$3)=0, NotFound, SUMIFS(allFYsTable[DiffAmount], allFYsTable[Code], SummaryTable[[#This Row],[Code]], allFYsTable[year2], BZ$3))</f>
        <v>-68</v>
      </c>
      <c r="CF64" s="63">
        <f>IF(SummaryTable[[#This Row],[OriginalBudget18]]=0, IF(SummaryTable[[#This Row],[DiffAmount18]]=0, ZeroBudgetNoSpending, ZeroBudgetWithSpending), SummaryTable[[#This Row],[DiffAmount18]]/SummaryTable[[#This Row],[OriginalBudget18]])</f>
        <v>-1.6658500734933857E-2</v>
      </c>
      <c r="CG64" s="62">
        <f>IF(COUNTIFS(allFYsTable[Code], SummaryTable[[#This Row],[Code]], allFYsTable[year2], CG$3)=0, NotFound, SUMIFS(allFYsTable[OriginalBudget], allFYsTable[Code], SummaryTable[[#This Row],[Code]], allFYsTable[year2], CG$3))</f>
        <v>4369</v>
      </c>
      <c r="CH64" s="61">
        <f>SummaryTable[[#This Row],[OriginalBudget17]]-SummaryTable[[#This Row],[OriginalBudget16]]</f>
        <v>-376</v>
      </c>
      <c r="CI64" s="54">
        <f>SummaryTable[[#This Row],[BudgetIncreaseAmount17]]/SummaryTable[[#This Row],[OriginalBudget16]]</f>
        <v>-7.9241306638566919E-2</v>
      </c>
      <c r="CJ64" s="61">
        <f>IF(COUNTIFS(allFYsTable[Code], SummaryTable[[#This Row],[Code]], allFYsTable[year2], CG$3)=0, NotFound, SUMIFS(allFYsTable[RevisedBudget], allFYsTable[Code], SummaryTable[[#This Row],[Code]], allFYsTable[year2], CG$3))</f>
        <v>4369</v>
      </c>
      <c r="CK64" s="61">
        <f>IF(COUNTIFS(allFYsTable[Code], SummaryTable[[#This Row],[Code]], allFYsTable[year2], CG$3)=0, NotFound, SUMIFS(allFYsTable[Actual], allFYsTable[Code], SummaryTable[[#This Row],[Code]], allFYsTable[year2], CG$3))</f>
        <v>4210</v>
      </c>
      <c r="CL64" s="61">
        <f>IF(COUNTIFS(allFYsTable[Code], SummaryTable[[#This Row],[Code]], allFYsTable[year2], CG$3)=0, NotFound, SUMIFS(allFYsTable[DiffAmount], allFYsTable[Code], SummaryTable[[#This Row],[Code]], allFYsTable[year2], CG$3))</f>
        <v>-159</v>
      </c>
      <c r="CM64" s="63">
        <f>IF(SummaryTable[[#This Row],[OriginalBudget17]]=0, IF(SummaryTable[[#This Row],[DiffAmount17]]=0, ZeroBudgetNoSpending, ZeroBudgetWithSpending), SummaryTable[[#This Row],[DiffAmount17]]/SummaryTable[[#This Row],[OriginalBudget17]])</f>
        <v>-3.6392767223620968E-2</v>
      </c>
      <c r="CN64" s="62">
        <f>IF(COUNTIFS(allFYsTable[Code], SummaryTable[[#This Row],[Code]], allFYsTable[year2], CN$3)=0, NotFound, SUMIFS(allFYsTable[OriginalBudget], allFYsTable[Code], SummaryTable[[#This Row],[Code]], allFYsTable[year2], CN$3))</f>
        <v>4745</v>
      </c>
      <c r="CO64" s="61">
        <f>SummaryTable[[#This Row],[OriginalBudget16]]-SummaryTable[[#This Row],[OriginalBudget15]]</f>
        <v>276</v>
      </c>
      <c r="CP64" s="54">
        <f>SummaryTable[[#This Row],[BudgetIncreaseAmount16]]/SummaryTable[[#This Row],[OriginalBudget15]]</f>
        <v>6.1758782725441934E-2</v>
      </c>
      <c r="CQ64" s="61">
        <f>IF(COUNTIFS(allFYsTable[Code], SummaryTable[[#This Row],[Code]], allFYsTable[year2], CN$3)=0, NotFound, SUMIFS(allFYsTable[RevisedBudget], allFYsTable[Code], SummaryTable[[#This Row],[Code]], allFYsTable[year2], CN$3))</f>
        <v>4503</v>
      </c>
      <c r="CR64" s="61">
        <f>IF(COUNTIFS(allFYsTable[Code], SummaryTable[[#This Row],[Code]], allFYsTable[year2], CN$3)=0, NotFound, SUMIFS(allFYsTable[Actual], allFYsTable[Code], SummaryTable[[#This Row],[Code]], allFYsTable[year2], CN$3))</f>
        <v>4289</v>
      </c>
      <c r="CS64" s="61">
        <f>IF(COUNTIFS(allFYsTable[Code], SummaryTable[[#This Row],[Code]], allFYsTable[year2], CN$3)=0, NotFound, SUMIFS(allFYsTable[DiffAmount], allFYsTable[Code], SummaryTable[[#This Row],[Code]], allFYsTable[year2], CN$3))</f>
        <v>-456</v>
      </c>
      <c r="CT64" s="63">
        <f>IF(SummaryTable[[#This Row],[OriginalBudget16]]=0, IF(SummaryTable[[#This Row],[DiffAmount16]]=0, ZeroBudgetNoSpending, ZeroBudgetWithSpending), SummaryTable[[#This Row],[DiffAmount16]]/SummaryTable[[#This Row],[OriginalBudget16]])</f>
        <v>-9.610115911485774E-2</v>
      </c>
      <c r="CU64" s="62">
        <f>IF(COUNTIFS(allFYsTable[Code], SummaryTable[[#This Row],[Code]], allFYsTable[year2], CU$3)=0, NotFound, SUMIFS(allFYsTable[OriginalBudget], allFYsTable[Code], SummaryTable[[#This Row],[Code]], allFYsTable[year2], CU$3))</f>
        <v>4469</v>
      </c>
      <c r="CV64" s="61">
        <f>SummaryTable[[#This Row],[OriginalBudget15]]-SummaryTable[[#This Row],[OriginalBudget14]]</f>
        <v>-26</v>
      </c>
      <c r="CW64" s="54">
        <f>SummaryTable[[#This Row],[BudgetIncreaseAmount15]]/SummaryTable[[#This Row],[OriginalBudget14]]</f>
        <v>-5.7842046718576193E-3</v>
      </c>
      <c r="CX64" s="61">
        <f>IF(COUNTIFS(allFYsTable[Code], SummaryTable[[#This Row],[Code]], allFYsTable[year2], CU$3)=0, NotFound, SUMIFS(allFYsTable[RevisedBudget], allFYsTable[Code], SummaryTable[[#This Row],[Code]], allFYsTable[year2], CU$3))</f>
        <v>4469</v>
      </c>
      <c r="CY64" s="61">
        <f>IF(COUNTIFS(allFYsTable[Code], SummaryTable[[#This Row],[Code]], allFYsTable[year2], CU$3)=0, NotFound, SUMIFS(allFYsTable[Actual], allFYsTable[Code], SummaryTable[[#This Row],[Code]], allFYsTable[year2], CU$3))</f>
        <v>4336</v>
      </c>
      <c r="CZ64" s="61">
        <f>IF(COUNTIFS(allFYsTable[Code], SummaryTable[[#This Row],[Code]], allFYsTable[year2], CU$3)=0, NotFound, SUMIFS(allFYsTable[DiffAmount], allFYsTable[Code], SummaryTable[[#This Row],[Code]], allFYsTable[year2], CU$3))</f>
        <v>-133</v>
      </c>
      <c r="DA64" s="63">
        <f>IF(SummaryTable[[#This Row],[OriginalBudget15]]=0, IF(SummaryTable[[#This Row],[DiffAmount15]]=0, ZeroBudgetNoSpending, ZeroBudgetWithSpending), SummaryTable[[#This Row],[DiffAmount15]]/SummaryTable[[#This Row],[OriginalBudget15]])</f>
        <v>-2.9760572835086149E-2</v>
      </c>
      <c r="DB64" s="62">
        <f>IF(COUNTIFS(allFYsTable[Code], SummaryTable[[#This Row],[Code]], allFYsTable[year2], DB$3)=0, NotFound, SUMIFS(allFYsTable[OriginalBudget], allFYsTable[Code], SummaryTable[[#This Row],[Code]], allFYsTable[year2], DB$3))</f>
        <v>4495</v>
      </c>
      <c r="DC64" s="61">
        <f>SummaryTable[[#This Row],[OriginalBudget14]]-SummaryTable[[#This Row],[OriginalBudget13]]</f>
        <v>302</v>
      </c>
      <c r="DD64" s="54">
        <f>SummaryTable[[#This Row],[BudgetIncreaseAmount14]]/SummaryTable[[#This Row],[OriginalBudget13]]</f>
        <v>7.2024803243501079E-2</v>
      </c>
      <c r="DE64" s="61">
        <f>IF(COUNTIFS(allFYsTable[Code], SummaryTable[[#This Row],[Code]], allFYsTable[year2], DB$3)=0, NotFound, SUMIFS(allFYsTable[RevisedBudget], allFYsTable[Code], SummaryTable[[#This Row],[Code]], allFYsTable[year2], DB$3))</f>
        <v>4495</v>
      </c>
      <c r="DF64" s="61">
        <f>IF(COUNTIFS(allFYsTable[Code], SummaryTable[[#This Row],[Code]], allFYsTable[year2], DB$3)=0, NotFound, SUMIFS(allFYsTable[Actual], allFYsTable[Code], SummaryTable[[#This Row],[Code]], allFYsTable[year2], DB$3))</f>
        <v>3926</v>
      </c>
      <c r="DG64" s="61">
        <f>IF(COUNTIFS(allFYsTable[Code], SummaryTable[[#This Row],[Code]], allFYsTable[year2], DB$3)=0, NotFound, SUMIFS(allFYsTable[DiffAmount], allFYsTable[Code], SummaryTable[[#This Row],[Code]], allFYsTable[year2], DB$3))</f>
        <v>-569</v>
      </c>
      <c r="DH64" s="63">
        <f>IF(SummaryTable[[#This Row],[OriginalBudget14]]=0, IF(SummaryTable[[#This Row],[DiffAmount14]]=0, ZeroBudgetNoSpending, ZeroBudgetWithSpending), SummaryTable[[#This Row],[DiffAmount14]]/SummaryTable[[#This Row],[OriginalBudget14]])</f>
        <v>-0.12658509454949946</v>
      </c>
      <c r="DI64" s="62">
        <f>IF(COUNTIFS(allFYsTable[Code], SummaryTable[[#This Row],[Code]], allFYsTable[year2], DI$3)=0, NotFound, SUMIFS(allFYsTable[OriginalBudget], allFYsTable[Code], SummaryTable[[#This Row],[Code]], allFYsTable[year2], DI$3))</f>
        <v>4193</v>
      </c>
      <c r="DJ64" s="61">
        <f>SummaryTable[[#This Row],[OriginalBudget13]]-SummaryTable[[#This Row],[OriginalBudget12]]</f>
        <v>225</v>
      </c>
      <c r="DK64" s="54">
        <f>SummaryTable[[#This Row],[BudgetIncreaseAmount13]]/SummaryTable[[#This Row],[OriginalBudget12]]</f>
        <v>5.6703629032258063E-2</v>
      </c>
      <c r="DL64" s="61">
        <f>IF(COUNTIFS(allFYsTable[Code], SummaryTable[[#This Row],[Code]], allFYsTable[year2], DI$3)=0, NotFound, SUMIFS(allFYsTable[RevisedBudget], allFYsTable[Code], SummaryTable[[#This Row],[Code]], allFYsTable[year2], DI$3))</f>
        <v>4193</v>
      </c>
      <c r="DM64" s="61">
        <f>IF(COUNTIFS(allFYsTable[Code], SummaryTable[[#This Row],[Code]], allFYsTable[year2], DI$3)=0, NotFound, SUMIFS(allFYsTable[Actual], allFYsTable[Code], SummaryTable[[#This Row],[Code]], allFYsTable[year2], DI$3))</f>
        <v>3690</v>
      </c>
      <c r="DN64" s="61">
        <f>IF(COUNTIFS(allFYsTable[Code], SummaryTable[[#This Row],[Code]], allFYsTable[year2], DI$3)=0, NotFound, SUMIFS(allFYsTable[DiffAmount], allFYsTable[Code], SummaryTable[[#This Row],[Code]], allFYsTable[year2], DI$3))</f>
        <v>-503</v>
      </c>
      <c r="DO64" s="63">
        <f>IF(SummaryTable[[#This Row],[OriginalBudget13]]=0, IF(SummaryTable[[#This Row],[DiffAmount13]]=0, ZeroBudgetNoSpending, ZeroBudgetWithSpending), SummaryTable[[#This Row],[DiffAmount13]]/SummaryTable[[#This Row],[OriginalBudget13]])</f>
        <v>-0.11996184116384451</v>
      </c>
      <c r="DP64" s="62">
        <f>IF(COUNTIFS(allFYsTable[Code], SummaryTable[[#This Row],[Code]], allFYsTable[year2], DP$3)=0, NotFound, SUMIFS(allFYsTable[OriginalBudget], allFYsTable[Code], SummaryTable[[#This Row],[Code]], allFYsTable[year2], DP$3))</f>
        <v>3968</v>
      </c>
      <c r="DQ64" s="61">
        <f>SummaryTable[[#This Row],[OriginalBudget12]]-SummaryTable[[#This Row],[OriginalBudget11]]</f>
        <v>370</v>
      </c>
      <c r="DR64" s="54">
        <f>SummaryTable[[#This Row],[BudgetIncreaseAmount12]]/SummaryTable[[#This Row],[OriginalBudget11]]</f>
        <v>0.10283490828237909</v>
      </c>
      <c r="DS64" s="61">
        <f>IF(COUNTIFS(allFYsTable[Code], SummaryTable[[#This Row],[Code]], allFYsTable[year2], DP$3)=0, NotFound, SUMIFS(allFYsTable[RevisedBudget], allFYsTable[Code], SummaryTable[[#This Row],[Code]], allFYsTable[year2], DP$3))</f>
        <v>3968</v>
      </c>
      <c r="DT64" s="61">
        <f>IF(COUNTIFS(allFYsTable[Code], SummaryTable[[#This Row],[Code]], allFYsTable[year2], DP$3)=0, NotFound, SUMIFS(allFYsTable[Actual], allFYsTable[Code], SummaryTable[[#This Row],[Code]], allFYsTable[year2], DP$3))</f>
        <v>3458</v>
      </c>
      <c r="DU64" s="61">
        <f>IF(COUNTIFS(allFYsTable[Code], SummaryTable[[#This Row],[Code]], allFYsTable[year2], DP$3)=0, NotFound, SUMIFS(allFYsTable[DiffAmount], allFYsTable[Code], SummaryTable[[#This Row],[Code]], allFYsTable[year2], DP$3))</f>
        <v>-510</v>
      </c>
      <c r="DV64" s="63">
        <f>IF(SummaryTable[[#This Row],[OriginalBudget12]]=0, IF(SummaryTable[[#This Row],[DiffAmount12]]=0, ZeroBudgetNoSpending, ZeroBudgetWithSpending), SummaryTable[[#This Row],[DiffAmount12]]/SummaryTable[[#This Row],[OriginalBudget12]])</f>
        <v>-0.12852822580645162</v>
      </c>
      <c r="DW64" s="62">
        <f>IF(COUNTIFS(allFYsTable[Code], SummaryTable[[#This Row],[Code]], allFYsTable[year2], DW$3)=0, NotFound, SUMIFS(allFYsTable[OriginalBudget], allFYsTable[Code], SummaryTable[[#This Row],[Code]], allFYsTable[year2], DW$3))</f>
        <v>3598</v>
      </c>
      <c r="DX64" s="61">
        <f>SummaryTable[[#This Row],[OriginalBudget11]]-SummaryTable[[#This Row],[OriginalBudget10]]</f>
        <v>-27</v>
      </c>
      <c r="DY64" s="54">
        <f>SummaryTable[[#This Row],[BudgetIncreaseAmount11]]/SummaryTable[[#This Row],[OriginalBudget10]]</f>
        <v>-7.4482758620689656E-3</v>
      </c>
      <c r="DZ64" s="61">
        <f>IF(COUNTIFS(allFYsTable[Code], SummaryTable[[#This Row],[Code]], allFYsTable[year2], DW$3)=0, NotFound, SUMIFS(allFYsTable[RevisedBudget], allFYsTable[Code], SummaryTable[[#This Row],[Code]], allFYsTable[year2], DW$3))</f>
        <v>3598</v>
      </c>
      <c r="EA64" s="61">
        <f>IF(COUNTIFS(allFYsTable[Code], SummaryTable[[#This Row],[Code]], allFYsTable[year2], DW$3)=0, NotFound, SUMIFS(allFYsTable[Actual], allFYsTable[Code], SummaryTable[[#This Row],[Code]], allFYsTable[year2], DW$3))</f>
        <v>3566</v>
      </c>
      <c r="EB64" s="61">
        <f>IF(COUNTIFS(allFYsTable[Code], SummaryTable[[#This Row],[Code]], allFYsTable[year2], DW$3)=0, NotFound, SUMIFS(allFYsTable[DiffAmount], allFYsTable[Code], SummaryTable[[#This Row],[Code]], allFYsTable[year2], DW$3))</f>
        <v>-32</v>
      </c>
      <c r="EC64" s="63">
        <f>IF(SummaryTable[[#This Row],[OriginalBudget11]]=0, IF(SummaryTable[[#This Row],[DiffAmount11]]=0, ZeroBudgetNoSpending, ZeroBudgetWithSpending), SummaryTable[[#This Row],[DiffAmount11]]/SummaryTable[[#This Row],[OriginalBudget11]])</f>
        <v>-8.8938299055030569E-3</v>
      </c>
      <c r="ED64" s="62">
        <f>IF(COUNTIFS(allFYsTable[Code], SummaryTable[[#This Row],[Code]], allFYsTable[year2], ED$3)=0, NotFound, SUMIFS(allFYsTable[OriginalBudget], allFYsTable[Code], SummaryTable[[#This Row],[Code]], allFYsTable[year2], ED$3))</f>
        <v>3625</v>
      </c>
      <c r="EE64" s="61">
        <f>SummaryTable[[#This Row],[OriginalBudget10]]-SummaryTable[[#This Row],[OriginalBudget09]]</f>
        <v>-433</v>
      </c>
      <c r="EF64" s="54">
        <f>SummaryTable[[#This Row],[BudgetIncreaseAmount10]]/SummaryTable[[#This Row],[OriginalBudget09]]</f>
        <v>-0.1067028092656481</v>
      </c>
      <c r="EG64" s="61">
        <f>IF(COUNTIFS(allFYsTable[Code], SummaryTable[[#This Row],[Code]], allFYsTable[year2], ED$3)=0, NotFound, SUMIFS(allFYsTable[RevisedBudget], allFYsTable[Code], SummaryTable[[#This Row],[Code]], allFYsTable[year2], ED$3))</f>
        <v>3242</v>
      </c>
      <c r="EH64" s="61">
        <f>IF(COUNTIFS(allFYsTable[Code], SummaryTable[[#This Row],[Code]], allFYsTable[year2], ED$3)=0, NotFound, SUMIFS(allFYsTable[Actual], allFYsTable[Code], SummaryTable[[#This Row],[Code]], allFYsTable[year2], ED$3))</f>
        <v>3226</v>
      </c>
      <c r="EI64" s="61">
        <f>IF(COUNTIFS(allFYsTable[Code], SummaryTable[[#This Row],[Code]], allFYsTable[year2], ED$3)=0, NotFound, SUMIFS(allFYsTable[DiffAmount], allFYsTable[Code], SummaryTable[[#This Row],[Code]], allFYsTable[year2], ED$3))</f>
        <v>-399</v>
      </c>
      <c r="EJ64" s="63">
        <f>IF(SummaryTable[[#This Row],[OriginalBudget10]]=0, IF(SummaryTable[[#This Row],[DiffAmount10]]=0, ZeroBudgetNoSpending, ZeroBudgetWithSpending), SummaryTable[[#This Row],[DiffAmount10]]/SummaryTable[[#This Row],[OriginalBudget10]])</f>
        <v>-0.11006896551724138</v>
      </c>
      <c r="EK64" s="62">
        <f>IF(COUNTIFS(allFYsTable[Code], SummaryTable[[#This Row],[Code]], allFYsTable[year2], EK$3)=0, NotFound, SUMIFS(allFYsTable[OriginalBudget], allFYsTable[Code], SummaryTable[[#This Row],[Code]], allFYsTable[year2], EK$3))</f>
        <v>4058</v>
      </c>
      <c r="EL64" s="61">
        <f>SummaryTable[[#This Row],[OriginalBudget09]]-SummaryTable[[#This Row],[OriginalBudget08]]</f>
        <v>-132</v>
      </c>
      <c r="EM64" s="54">
        <f>SummaryTable[[#This Row],[BudgetIncreaseAmount09]]/SummaryTable[[#This Row],[OriginalBudget08]]</f>
        <v>-3.1503579952267304E-2</v>
      </c>
      <c r="EN64" s="61">
        <f>IF(COUNTIFS(allFYsTable[Code], SummaryTable[[#This Row],[Code]], allFYsTable[year2], EK$3)=0, NotFound, SUMIFS(allFYsTable[RevisedBudget], allFYsTable[Code], SummaryTable[[#This Row],[Code]], allFYsTable[year2], EK$3))</f>
        <v>4058</v>
      </c>
      <c r="EO64" s="61">
        <f>IF(COUNTIFS(allFYsTable[Code], SummaryTable[[#This Row],[Code]], allFYsTable[year2], EK$3)=0, NotFound, SUMIFS(allFYsTable[Actual], allFYsTable[Code], SummaryTable[[#This Row],[Code]], allFYsTable[year2], EK$3))</f>
        <v>4008</v>
      </c>
      <c r="EP64" s="61">
        <f>IF(COUNTIFS(allFYsTable[Code], SummaryTable[[#This Row],[Code]], allFYsTable[year2], EK$3)=0, NotFound, SUMIFS(allFYsTable[DiffAmount], allFYsTable[Code], SummaryTable[[#This Row],[Code]], allFYsTable[year2], EK$3))</f>
        <v>-50</v>
      </c>
      <c r="EQ64" s="63">
        <f>IF(SummaryTable[[#This Row],[OriginalBudget09]]=0, IF(SummaryTable[[#This Row],[DiffAmount09]]=0, ZeroBudgetNoSpending, ZeroBudgetWithSpending), SummaryTable[[#This Row],[DiffAmount09]]/SummaryTable[[#This Row],[OriginalBudget09]])</f>
        <v>-1.232134056185313E-2</v>
      </c>
      <c r="ER64" s="62">
        <f>IF(COUNTIFS(allFYsTable[Code], SummaryTable[[#This Row],[Code]], allFYsTable[year2], ER$3)=0, NotFound, SUMIFS(allFYsTable[OriginalBudget], allFYsTable[Code], SummaryTable[[#This Row],[Code]], allFYsTable[year2], ER$3))</f>
        <v>4190</v>
      </c>
      <c r="ES64" s="61">
        <f>SummaryTable[[#This Row],[OriginalBudget08]]-SummaryTable[[#This Row],[OriginalBudget07]]</f>
        <v>-21</v>
      </c>
      <c r="ET64" s="54">
        <f>SummaryTable[[#This Row],[BudgetIncreaseAmount08]]/SummaryTable[[#This Row],[OriginalBudget07]]</f>
        <v>-4.9869389693659467E-3</v>
      </c>
      <c r="EU64" s="61">
        <f>IF(COUNTIFS(allFYsTable[Code], SummaryTable[[#This Row],[Code]], allFYsTable[year2], ER$3)=0, NotFound, SUMIFS(allFYsTable[RevisedBudget], allFYsTable[Code], SummaryTable[[#This Row],[Code]], allFYsTable[year2], ER$3))</f>
        <v>4190</v>
      </c>
      <c r="EV64" s="61">
        <f>IF(COUNTIFS(allFYsTable[Code], SummaryTable[[#This Row],[Code]], allFYsTable[year2], ER$3)=0, NotFound, SUMIFS(allFYsTable[Actual], allFYsTable[Code], SummaryTable[[#This Row],[Code]], allFYsTable[year2], ER$3))</f>
        <v>4147</v>
      </c>
      <c r="EW64" s="61">
        <f>IF(COUNTIFS(allFYsTable[Code], SummaryTable[[#This Row],[Code]], allFYsTable[year2], ER$3)=0, NotFound, SUMIFS(allFYsTable[DiffAmount], allFYsTable[Code], SummaryTable[[#This Row],[Code]], allFYsTable[year2], ER$3))</f>
        <v>-43</v>
      </c>
      <c r="EX64" s="63">
        <f>IF(SummaryTable[[#This Row],[OriginalBudget08]]=0, IF(SummaryTable[[#This Row],[DiffAmount08]]=0, ZeroBudgetNoSpending, ZeroBudgetWithSpending), SummaryTable[[#This Row],[DiffAmount08]]/SummaryTable[[#This Row],[OriginalBudget08]])</f>
        <v>-1.026252983293556E-2</v>
      </c>
      <c r="EY64" s="62">
        <f>IF(COUNTIFS(allFYsTable[Code], SummaryTable[[#This Row],[Code]], allFYsTable[year2], EY$3)=0, NotFound, SUMIFS(allFYsTable[OriginalBudget], allFYsTable[Code], SummaryTable[[#This Row],[Code]], allFYsTable[year2], EY$3))</f>
        <v>4211</v>
      </c>
      <c r="EZ64" s="61">
        <f>SummaryTable[[#This Row],[OriginalBudget07]]-SummaryTable[[#This Row],[OriginalBudget06]]</f>
        <v>471</v>
      </c>
      <c r="FA64" s="54">
        <f>SummaryTable[[#This Row],[BudgetIncreaseAmount07]]/SummaryTable[[#This Row],[OriginalBudget06]]</f>
        <v>0.12593582887700536</v>
      </c>
      <c r="FB64" s="61">
        <f>IF(COUNTIFS(allFYsTable[Code], SummaryTable[[#This Row],[Code]], allFYsTable[year2], EY$3)=0, NotFound, SUMIFS(allFYsTable[RevisedBudget], allFYsTable[Code], SummaryTable[[#This Row],[Code]], allFYsTable[year2], EY$3))</f>
        <v>3961</v>
      </c>
      <c r="FC64" s="61">
        <f>IF(COUNTIFS(allFYsTable[Code], SummaryTable[[#This Row],[Code]], allFYsTable[year2], EY$3)=0, NotFound, SUMIFS(allFYsTable[Actual], allFYsTable[Code], SummaryTable[[#This Row],[Code]], allFYsTable[year2], EY$3))</f>
        <v>3763</v>
      </c>
      <c r="FD64" s="61">
        <f>IF(COUNTIFS(allFYsTable[Code], SummaryTable[[#This Row],[Code]], allFYsTable[year2], EY$3)=0, NotFound, SUMIFS(allFYsTable[DiffAmount], allFYsTable[Code], SummaryTable[[#This Row],[Code]], allFYsTable[year2], EY$3))</f>
        <v>-448</v>
      </c>
      <c r="FE64" s="63">
        <f>IF(SummaryTable[[#This Row],[OriginalBudget07]]=0, IF(SummaryTable[[#This Row],[DiffAmount07]]=0, ZeroBudgetNoSpending, ZeroBudgetWithSpending), SummaryTable[[#This Row],[DiffAmount07]]/SummaryTable[[#This Row],[OriginalBudget07]])</f>
        <v>-0.10638803134647352</v>
      </c>
      <c r="FF64" s="62">
        <f>IF(COUNTIFS(allFYsTable[Code], SummaryTable[[#This Row],[Code]], allFYsTable[year2], FF$3)=0, NotFound, SUMIFS(allFYsTable[OriginalBudget], allFYsTable[Code], SummaryTable[[#This Row],[Code]], allFYsTable[year2], FF$3))</f>
        <v>3740</v>
      </c>
      <c r="FI64" s="61">
        <f>IF(COUNTIFS(allFYsTable[Code], SummaryTable[[#This Row],[Code]], allFYsTable[year2], FF$3)=0, NotFound, SUMIFS(allFYsTable[RevisedBudget], allFYsTable[Code], SummaryTable[[#This Row],[Code]], allFYsTable[year2], FF$3))</f>
        <v>4050</v>
      </c>
      <c r="FJ64" s="61">
        <f>IF(COUNTIFS(allFYsTable[Code], SummaryTable[[#This Row],[Code]], allFYsTable[year2], FF$3)=0, NotFound, SUMIFS(allFYsTable[Actual], allFYsTable[Code], SummaryTable[[#This Row],[Code]], allFYsTable[year2], FF$3))</f>
        <v>3830</v>
      </c>
      <c r="FK64" s="61">
        <f>IF(COUNTIFS(allFYsTable[Code], SummaryTable[[#This Row],[Code]], allFYsTable[year2], FF$3)=0, NotFound, SUMIFS(allFYsTable[DiffAmount], allFYsTable[Code], SummaryTable[[#This Row],[Code]], allFYsTable[year2], FF$3))</f>
        <v>90</v>
      </c>
      <c r="FL64" s="63">
        <f>IF(SummaryTable[[#This Row],[OriginalBudget06]]=0, IF(SummaryTable[[#This Row],[DiffAmount06]]=0, ZeroBudgetNoSpending, ZeroBudgetWithSpending), SummaryTable[[#This Row],[DiffAmount06]]/SummaryTable[[#This Row],[OriginalBudget06]])</f>
        <v>2.4064171122994651E-2</v>
      </c>
    </row>
    <row r="65" spans="1:168" x14ac:dyDescent="0.45">
      <c r="A65" t="s">
        <v>757</v>
      </c>
      <c r="B65">
        <f>_xlfn.MAXIFS(allFYsTable[year2], allFYsTable[Code], SummaryTable[[#This Row],[Code]])</f>
        <v>2025</v>
      </c>
      <c r="C65" t="str">
        <f>_xlfn.XLOOKUP(SummaryTable[[#This Row],[Code]], NameCodingTable[Code], NameCodingTable[Most Recent Category per allFYs])</f>
        <v>Public safety and justice</v>
      </c>
      <c r="D65" t="str">
        <f>_xlfn.XLOOKUP(SummaryTable[[#This Row],[Code]], NameCodingTable[Code], NameCodingTable[Unit Display Name])</f>
        <v>Judicial Nomination Commission</v>
      </c>
      <c r="E65" t="str">
        <f>_xlfn.XLOOKUP(SummaryTable[[#This Row],[Code]], NameCodingTable[Code], NameCodingTable[Type])</f>
        <v>agency</v>
      </c>
      <c r="F6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6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65" s="54">
        <f>SummaryTable[[#This Row],['# Over]]/SummaryTable[[#This Row],[Count]]</f>
        <v>0.15</v>
      </c>
      <c r="I6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6</v>
      </c>
      <c r="J65" s="54">
        <f>SummaryTable[[#This Row],['# Under]]/SummaryTable[[#This Row],[Count]]</f>
        <v>0.3</v>
      </c>
      <c r="K6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11</v>
      </c>
      <c r="L65" s="54">
        <f>SummaryTable[[#This Row],['# Equal]]/SummaryTable[[#This Row],[Count]]</f>
        <v>0.55000000000000004</v>
      </c>
      <c r="M65" s="61">
        <f>SUMIFS(allFYsTable[OriginalBudget],allFYsTable[Code],SummaryTable[[#This Row],[Code]])/SummaryTable[[#This Row],[Count]]</f>
        <v>43.5</v>
      </c>
      <c r="N65" s="61">
        <f>SUMIFS(allFYsTable[Actual],allFYsTable[Code],SummaryTable[[#This Row],[Code]])/SummaryTable[[#This Row],[Count]]</f>
        <v>40.75</v>
      </c>
      <c r="O65" s="61">
        <f>SummaryTable[[#This Row],[AvgActAmt]]-SummaryTable[[#This Row],[AvgBudAmt]]</f>
        <v>-2.75</v>
      </c>
      <c r="P65" s="54">
        <f>IF(SummaryTable[[#This Row],[AvgBudAmt]]=0, IF(SummaryTable[[#This Row],[AvgDiff'#]]=0, 0, NamedFields!$C$3), SummaryTable[[#This Row],[AvgDiff'#]]/SummaryTable[[#This Row],[AvgBudAmt]])</f>
        <v>-6.3218390804597707E-2</v>
      </c>
      <c r="Q65" s="61">
        <f>IFERROR(SUMIFS(allFYsTable[OriginalBudget],allFYsTable[Code],SummaryTable[[#This Row],[Code]],allFYsTable[DiffAmount], "&gt;0")/SummaryTable[[#This Row],['# Over]], 0)</f>
        <v>58.666666666666664</v>
      </c>
      <c r="R65" s="61">
        <f>IFERROR(SUMIFS(allFYsTable[Actual],allFYsTable[Code],SummaryTable[[#This Row],[Code]],allFYsTable[DiffAmount], "&gt;0")/SummaryTable[[#This Row],['# Over]], 0)</f>
        <v>74</v>
      </c>
      <c r="S65" s="61">
        <f>SummaryTable[[#This Row],[OverAvgAct]]-SummaryTable[[#This Row],[OverAvgBud]]</f>
        <v>15.333333333333336</v>
      </c>
      <c r="T65" s="54">
        <f>IF(SummaryTable[[#This Row],[OverAvgBud]]=0, IF(SummaryTable[[#This Row],[OverAvgDiff'#]]=0, ZeroBudgetNoSpending, ZeroBudgetWithSpending), SummaryTable[[#This Row],[OverAvgDiff'#]]/SummaryTable[[#This Row],[OverAvgBud]])</f>
        <v>0.26136363636363641</v>
      </c>
      <c r="U65" s="61">
        <f>IFERROR(SUMIFS(allFYsTable[OriginalBudget],allFYsTable[Code],SummaryTable[[#This Row],[Code]],allFYsTable[DiffAmount], "&lt;0")/SummaryTable[[#This Row],['# Under]], 0)</f>
        <v>113</v>
      </c>
      <c r="V65" s="61">
        <f>IFERROR( SUMIFS(allFYsTable[Actual],allFYsTable[Code],SummaryTable[[#This Row],[Code]],allFYsTable[DiffAmount], "&lt;0")/SummaryTable[[#This Row],['# Under]], 0)</f>
        <v>96.166666666666671</v>
      </c>
      <c r="W65" s="61">
        <f>SummaryTable[[#This Row],[UnderAvgAct]]-SummaryTable[[#This Row],[UnderAvgBud]]</f>
        <v>-16.833333333333329</v>
      </c>
      <c r="X65" s="54">
        <f>IF(SummaryTable[[#This Row],[UnderAvgBud]]=0, IF(SummaryTable[[#This Row],[UnderAvgDiff'#]]=0, ZeroBudgetNoSpending, NamedFields!$C$3), SummaryTable[[#This Row],[UnderAvgDiff'#]]/SummaryTable[[#This Row],[UnderAvgBud]])</f>
        <v>-0.14896755162241884</v>
      </c>
      <c r="Y6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6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65" s="54">
        <f>IF(SummaryTable[[#This Row],[IncreaseYears]]=0, ZeroBudgetNoSpending, SummaryTable[[#This Row],[OSinIncreaseYear'#]]/SummaryTable[[#This Row],[IncreaseYears]])</f>
        <v>0</v>
      </c>
      <c r="AB65" s="58" t="str">
        <f>SummaryTable[[#This Row],[Code]]</f>
        <v>DV0</v>
      </c>
      <c r="AC65" s="62">
        <f>IF(COUNTIFS(allFYsTable[Code], SummaryTable[[#This Row],[Code]], allFYsTable[year2], AC$3)=0, NotFound, SUMIFS(allFYsTable[OriginalBudget], allFYsTable[Code], SummaryTable[[#This Row],[Code]], allFYsTable[year2], AC$3))</f>
        <v>37</v>
      </c>
      <c r="AD65" s="61">
        <f>SummaryTable[[#This Row],[OriginalBudget25]]-SummaryTable[[#This Row],[OriginalBudget24]]</f>
        <v>0</v>
      </c>
      <c r="AE65" s="54">
        <f>SummaryTable[[#This Row],[BudgetIncreaseAmount25]]/SummaryTable[[#This Row],[OriginalBudget24]]</f>
        <v>0</v>
      </c>
      <c r="AF65" s="61">
        <f>IF(COUNTIFS(allFYsTable[Code], SummaryTable[[#This Row],[Code]], allFYsTable[year2], AC$3)=0, NotFound, SUMIFS(allFYsTable[RevisedBudget], allFYsTable[Code], SummaryTable[[#This Row],[Code]], allFYsTable[year2], AC$3))</f>
        <v>62</v>
      </c>
      <c r="AG65" s="61">
        <f>IF(COUNTIFS(allFYsTable[Code], SummaryTable[[#This Row],[Code]], allFYsTable[year2], AC$3)=0, NotFound, SUMIFS(allFYsTable[Actual], allFYsTable[Code], SummaryTable[[#This Row],[Code]], allFYsTable[year2], AC$3))</f>
        <v>50</v>
      </c>
      <c r="AH65" s="61">
        <f>IF(COUNTIFS(allFYsTable[Code], SummaryTable[[#This Row],[Code]], allFYsTable[year2], AC$3)=0, NotFound, SUMIFS(allFYsTable[DiffAmount], allFYsTable[Code], SummaryTable[[#This Row],[Code]], allFYsTable[year2], AC$3))</f>
        <v>13</v>
      </c>
      <c r="AI65" s="63">
        <f>IF(SummaryTable[[#This Row],[OriginalBudget25]]=0, IF(SummaryTable[[#This Row],[DiffAmount25]]=0, ZeroBudgetNoSpending, ZeroBudgetWithSpending), SummaryTable[[#This Row],[DiffAmount25]]/SummaryTable[[#This Row],[OriginalBudget25]])</f>
        <v>0.35135135135135137</v>
      </c>
      <c r="AJ65" s="62">
        <f>IF(COUNTIFS(allFYsTable[Code], SummaryTable[[#This Row],[Code]], allFYsTable[year2], AJ$3)=0, NotFound, SUMIFS(allFYsTable[OriginalBudget], allFYsTable[Code], SummaryTable[[#This Row],[Code]], allFYsTable[year2], AJ$3))</f>
        <v>37</v>
      </c>
      <c r="AK65" s="61">
        <f>SummaryTable[[#This Row],[OriginalBudget24]]-SummaryTable[[#This Row],[OriginalBudget23]]</f>
        <v>29</v>
      </c>
      <c r="AL65" s="54">
        <f>SummaryTable[[#This Row],[BudgetIncreaseAmount24]]/SummaryTable[[#This Row],[OriginalBudget23]]</f>
        <v>3.625</v>
      </c>
      <c r="AM65" s="61">
        <f>IF(COUNTIFS(allFYsTable[Code], SummaryTable[[#This Row],[Code]], allFYsTable[year2], AK$3)=0, NotFound, SUMIFS(allFYsTable[RevisedBudget], allFYsTable[Code], SummaryTable[[#This Row],[Code]], allFYsTable[year2], AJ$3))</f>
        <v>56</v>
      </c>
      <c r="AN65" s="61">
        <f>IF(COUNTIFS(allFYsTable[Code], SummaryTable[[#This Row],[Code]], allFYsTable[year2], AJ$3)=0, NotFound, SUMIFS(allFYsTable[Actual], allFYsTable[Code], SummaryTable[[#This Row],[Code]], allFYsTable[year2], AJ$3))</f>
        <v>27</v>
      </c>
      <c r="AO65" s="61">
        <f>IF(COUNTIFS(allFYsTable[Code], SummaryTable[[#This Row],[Code]], allFYsTable[year2], AJ$3)=0, NotFound, SUMIFS(allFYsTable[DiffAmount], allFYsTable[Code], SummaryTable[[#This Row],[Code]], allFYsTable[year2], AJ$3))</f>
        <v>-10</v>
      </c>
      <c r="AP65" s="63">
        <f>IF(SummaryTable[[#This Row],[OriginalBudget24]]=0, IF(SummaryTable[[#This Row],[DiffAmount24]]=0, ZeroBudgetNoSpending, ZeroBudgetWithSpending), SummaryTable[[#This Row],[DiffAmount24]]/SummaryTable[[#This Row],[OriginalBudget24]])</f>
        <v>-0.27027027027027029</v>
      </c>
      <c r="AQ65" s="62">
        <f>IF(COUNTIFS(allFYsTable[Code], SummaryTable[[#This Row],[Code]], allFYsTable[year2], AQ$3)=0, NotFound, SUMIFS(allFYsTable[OriginalBudget], allFYsTable[Code], SummaryTable[[#This Row],[Code]], allFYsTable[year2], AQ$3))</f>
        <v>8</v>
      </c>
      <c r="AR65" s="61">
        <f>SummaryTable[[#This Row],[OriginalBudget23]]-SummaryTable[[#This Row],[OriginalBudget22]]</f>
        <v>0</v>
      </c>
      <c r="AS65" s="54">
        <f>SummaryTable[[#This Row],[BudgetIncreaseAmount23]]/SummaryTable[[#This Row],[OriginalBudget22]]</f>
        <v>0</v>
      </c>
      <c r="AT65" s="61">
        <f>IF(COUNTIFS(allFYsTable[Code], SummaryTable[[#This Row],[Code]], allFYsTable[year2], AQ$3)=0, NotFound, SUMIFS(allFYsTable[RevisedBudget], allFYsTable[Code], SummaryTable[[#This Row],[Code]], allFYsTable[year2], AQ$3))</f>
        <v>37</v>
      </c>
      <c r="AU65" s="61">
        <f>IF(COUNTIFS(allFYsTable[Code], SummaryTable[[#This Row],[Code]], allFYsTable[year2], AQ$3)=0, NotFound, SUMIFS(allFYsTable[Actual], allFYsTable[Code], SummaryTable[[#This Row],[Code]], allFYsTable[year2], AQ$3))</f>
        <v>37</v>
      </c>
      <c r="AV65" s="61">
        <f>IF(COUNTIFS(allFYsTable[Code], SummaryTable[[#This Row],[Code]], allFYsTable[year2], AQ$3)=0, NotFound, SUMIFS(allFYsTable[DiffAmount], allFYsTable[Code], SummaryTable[[#This Row],[Code]], allFYsTable[year2], AQ$3))</f>
        <v>29</v>
      </c>
      <c r="AW65" s="63">
        <f>IF(SummaryTable[[#This Row],[OriginalBudget23]]=0, IF(SummaryTable[[#This Row],[DiffAmount23]]=0, ZeroBudgetNoSpending, ZeroBudgetWithSpending), SummaryTable[[#This Row],[DiffAmount23]]/SummaryTable[[#This Row],[OriginalBudget23]])</f>
        <v>3.625</v>
      </c>
      <c r="AX65" s="62">
        <f>IF(COUNTIFS(allFYsTable[Code], SummaryTable[[#This Row],[Code]], allFYsTable[year2], AX$3)=0, NotFound, SUMIFS(allFYsTable[OriginalBudget], allFYsTable[Code], SummaryTable[[#This Row],[Code]], allFYsTable[year2], AX$3))</f>
        <v>8</v>
      </c>
      <c r="AY65" s="61">
        <f>SummaryTable[[#This Row],[OriginalBudget22]]-SummaryTable[[#This Row],[OriginalBudget21]]</f>
        <v>-28</v>
      </c>
      <c r="AZ65" s="54">
        <f>SummaryTable[[#This Row],[BudgetIncreaseAmount22]]/SummaryTable[[#This Row],[OriginalBudget21]]</f>
        <v>-0.77777777777777779</v>
      </c>
      <c r="BA65" s="61">
        <f>IF(COUNTIFS(allFYsTable[Code], SummaryTable[[#This Row],[Code]], allFYsTable[year2], AX$3)=0, NotFound, SUMIFS(allFYsTable[RevisedBudget], allFYsTable[Code], SummaryTable[[#This Row],[Code]], allFYsTable[year2], AX$3))</f>
        <v>8</v>
      </c>
      <c r="BB65" s="61">
        <f>IF(COUNTIFS(allFYsTable[Code], SummaryTable[[#This Row],[Code]], allFYsTable[year2], AX$3)=0, NotFound, SUMIFS(allFYsTable[Actual], allFYsTable[Code], SummaryTable[[#This Row],[Code]], allFYsTable[year2], AX$3))</f>
        <v>8</v>
      </c>
      <c r="BC65" s="61">
        <f>IF(COUNTIFS(allFYsTable[Code], SummaryTable[[#This Row],[Code]], allFYsTable[year2], AX$3)=0, NotFound, SUMIFS(allFYsTable[DiffAmount], allFYsTable[Code], SummaryTable[[#This Row],[Code]], allFYsTable[year2], AX$3))</f>
        <v>0</v>
      </c>
      <c r="BD65" s="63">
        <f>IF(SummaryTable[[#This Row],[OriginalBudget22]]=0, IF(SummaryTable[[#This Row],[DiffAmount22]]=0, ZeroBudgetNoSpending, ZeroBudgetWithSpending), SummaryTable[[#This Row],[DiffAmount22]]/SummaryTable[[#This Row],[OriginalBudget22]])</f>
        <v>0</v>
      </c>
      <c r="BE65" s="62">
        <f>IF(COUNTIFS(allFYsTable[Code], SummaryTable[[#This Row],[Code]], allFYsTable[year2], BE$3)=0, NotFound, SUMIFS(allFYsTable[OriginalBudget], allFYsTable[Code], SummaryTable[[#This Row],[Code]], allFYsTable[year2], BE$3))</f>
        <v>36</v>
      </c>
      <c r="BF65" s="61">
        <f>SummaryTable[[#This Row],[OriginalBudget21]]-SummaryTable[[#This Row],[OriginalBudget20]]</f>
        <v>28</v>
      </c>
      <c r="BG65" s="54">
        <f>SummaryTable[[#This Row],[BudgetIncreaseAmount21]]/SummaryTable[[#This Row],[OriginalBudget20]]</f>
        <v>3.5</v>
      </c>
      <c r="BH65" s="61">
        <f>IF(COUNTIFS(allFYsTable[Code], SummaryTable[[#This Row],[Code]], allFYsTable[year2], BE$3)=0, NotFound, SUMIFS(allFYsTable[RevisedBudget], allFYsTable[Code], SummaryTable[[#This Row],[Code]], allFYsTable[year2], BE$3))</f>
        <v>36</v>
      </c>
      <c r="BI65" s="61">
        <f>IF(COUNTIFS(allFYsTable[Code], SummaryTable[[#This Row],[Code]], allFYsTable[year2], BE$3)=0, NotFound, SUMIFS(allFYsTable[Actual], allFYsTable[Code], SummaryTable[[#This Row],[Code]], allFYsTable[year2], BE$3))</f>
        <v>29</v>
      </c>
      <c r="BJ65" s="61">
        <f>IF(COUNTIFS(allFYsTable[Code], SummaryTable[[#This Row],[Code]], allFYsTable[year2], BE$3)=0, NotFound, SUMIFS(allFYsTable[DiffAmount], allFYsTable[Code], SummaryTable[[#This Row],[Code]], allFYsTable[year2], BE$3))</f>
        <v>-7</v>
      </c>
      <c r="BK65" s="63">
        <f>IF(SummaryTable[[#This Row],[OriginalBudget21]]=0, IF(SummaryTable[[#This Row],[DiffAmount21]]=0, ZeroBudgetNoSpending, ZeroBudgetWithSpending), SummaryTable[[#This Row],[DiffAmount21]]/SummaryTable[[#This Row],[OriginalBudget21]])</f>
        <v>-0.19444444444444445</v>
      </c>
      <c r="BL65" s="62">
        <f>IF(COUNTIFS(allFYsTable[Code], SummaryTable[[#This Row],[Code]], allFYsTable[year2], BL$3)=0, NotFound, SUMIFS(allFYsTable[OriginalBudget], allFYsTable[Code], SummaryTable[[#This Row],[Code]], allFYsTable[year2], BL$3))</f>
        <v>8</v>
      </c>
      <c r="BM65" s="61">
        <f>SummaryTable[[#This Row],[OriginalBudget20]]-SummaryTable[[#This Row],[OriginalBudget19]]</f>
        <v>8</v>
      </c>
      <c r="BN65" s="54" t="e">
        <f>SummaryTable[[#This Row],[BudgetIncreaseAmount20]]/SummaryTable[[#This Row],[OriginalBudget19]]</f>
        <v>#DIV/0!</v>
      </c>
      <c r="BO65" s="61">
        <f>IF(COUNTIFS(allFYsTable[Code], SummaryTable[[#This Row],[Code]], allFYsTable[year2], BL$3)=0, NotFound, SUMIFS(allFYsTable[RevisedBudget], allFYsTable[Code], SummaryTable[[#This Row],[Code]], allFYsTable[year2], BL$3))</f>
        <v>8</v>
      </c>
      <c r="BP65" s="61">
        <f>IF(COUNTIFS(allFYsTable[Code], SummaryTable[[#This Row],[Code]], allFYsTable[year2], BL$3)=0, NotFound, SUMIFS(allFYsTable[Actual], allFYsTable[Code], SummaryTable[[#This Row],[Code]], allFYsTable[year2], BL$3))</f>
        <v>8</v>
      </c>
      <c r="BQ65" s="61">
        <f>IF(COUNTIFS(allFYsTable[Code], SummaryTable[[#This Row],[Code]], allFYsTable[year2], BL$3)=0, NotFound, SUMIFS(allFYsTable[DiffAmount], allFYsTable[Code], SummaryTable[[#This Row],[Code]], allFYsTable[year2], BL$3))</f>
        <v>0</v>
      </c>
      <c r="BR65" s="63">
        <f>IF(SummaryTable[[#This Row],[OriginalBudget20]]=0, IF(SummaryTable[[#This Row],[DiffAmount20]]=0, ZeroBudgetNoSpending, ZeroBudgetWithSpending), SummaryTable[[#This Row],[DiffAmount20]]/SummaryTable[[#This Row],[OriginalBudget20]])</f>
        <v>0</v>
      </c>
      <c r="BS65" s="62">
        <f>IF(COUNTIFS(allFYsTable[Code], SummaryTable[[#This Row],[Code]], allFYsTable[year2], BS$3)=0, NotFound, SUMIFS(allFYsTable[OriginalBudget], allFYsTable[Code], SummaryTable[[#This Row],[Code]], allFYsTable[year2], BS$3))</f>
        <v>0</v>
      </c>
      <c r="BT65" s="61">
        <f>SummaryTable[[#This Row],[OriginalBudget19]]-SummaryTable[[#This Row],[OriginalBudget18]]</f>
        <v>0</v>
      </c>
      <c r="BU65" s="54" t="e">
        <f>SummaryTable[[#This Row],[BudgetIncreaseAmount19]]/SummaryTable[[#This Row],[OriginalBudget18]]</f>
        <v>#DIV/0!</v>
      </c>
      <c r="BV65" s="61">
        <f>IF(COUNTIFS(allFYsTable[Code], SummaryTable[[#This Row],[Code]], allFYsTable[year2], BS$3)=0, NotFound, SUMIFS(allFYsTable[RevisedBudget], allFYsTable[Code], SummaryTable[[#This Row],[Code]], allFYsTable[year2], BS$3))</f>
        <v>0</v>
      </c>
      <c r="BW65" s="61">
        <f>IF(COUNTIFS(allFYsTable[Code], SummaryTable[[#This Row],[Code]], allFYsTable[year2], BS$3)=0, NotFound, SUMIFS(allFYsTable[Actual], allFYsTable[Code], SummaryTable[[#This Row],[Code]], allFYsTable[year2], BS$3))</f>
        <v>0</v>
      </c>
      <c r="BX65" s="61">
        <f>IF(COUNTIFS(allFYsTable[Code], SummaryTable[[#This Row],[Code]], allFYsTable[year2], BS$3)=0, NotFound, SUMIFS(allFYsTable[DiffAmount], allFYsTable[Code], SummaryTable[[#This Row],[Code]], allFYsTable[year2], BS$3))</f>
        <v>0</v>
      </c>
      <c r="BY65" s="63">
        <f>IF(SummaryTable[[#This Row],[OriginalBudget19]]=0, IF(SummaryTable[[#This Row],[DiffAmount19]]=0, ZeroBudgetNoSpending, ZeroBudgetWithSpending), SummaryTable[[#This Row],[DiffAmount19]]/SummaryTable[[#This Row],[OriginalBudget19]])</f>
        <v>0</v>
      </c>
      <c r="BZ65" s="62">
        <f>IF(COUNTIFS(allFYsTable[Code], SummaryTable[[#This Row],[Code]], allFYsTable[year2], BZ$3)=0, NotFound, SUMIFS(allFYsTable[OriginalBudget], allFYsTable[Code], SummaryTable[[#This Row],[Code]], allFYsTable[year2], BZ$3))</f>
        <v>0</v>
      </c>
      <c r="CA65" s="61">
        <f>SummaryTable[[#This Row],[OriginalBudget18]]-SummaryTable[[#This Row],[OriginalBudget17]]</f>
        <v>0</v>
      </c>
      <c r="CB65" s="54" t="e">
        <f>SummaryTable[[#This Row],[BudgetIncreaseAmount18]]/SummaryTable[[#This Row],[OriginalBudget17]]</f>
        <v>#DIV/0!</v>
      </c>
      <c r="CC65" s="61">
        <f>IF(COUNTIFS(allFYsTable[Code], SummaryTable[[#This Row],[Code]], allFYsTable[year2], BZ$3)=0, NotFound, SUMIFS(allFYsTable[RevisedBudget], allFYsTable[Code], SummaryTable[[#This Row],[Code]], allFYsTable[year2], BZ$3))</f>
        <v>0</v>
      </c>
      <c r="CD65" s="61">
        <f>IF(COUNTIFS(allFYsTable[Code], SummaryTable[[#This Row],[Code]], allFYsTable[year2], BZ$3)=0, NotFound, SUMIFS(allFYsTable[Actual], allFYsTable[Code], SummaryTable[[#This Row],[Code]], allFYsTable[year2], BZ$3))</f>
        <v>0</v>
      </c>
      <c r="CE65" s="61">
        <f>IF(COUNTIFS(allFYsTable[Code], SummaryTable[[#This Row],[Code]], allFYsTable[year2], BZ$3)=0, NotFound, SUMIFS(allFYsTable[DiffAmount], allFYsTable[Code], SummaryTable[[#This Row],[Code]], allFYsTable[year2], BZ$3))</f>
        <v>0</v>
      </c>
      <c r="CF65" s="63">
        <f>IF(SummaryTable[[#This Row],[OriginalBudget18]]=0, IF(SummaryTable[[#This Row],[DiffAmount18]]=0, ZeroBudgetNoSpending, ZeroBudgetWithSpending), SummaryTable[[#This Row],[DiffAmount18]]/SummaryTable[[#This Row],[OriginalBudget18]])</f>
        <v>0</v>
      </c>
      <c r="CG65" s="62">
        <f>IF(COUNTIFS(allFYsTable[Code], SummaryTable[[#This Row],[Code]], allFYsTable[year2], CG$3)=0, NotFound, SUMIFS(allFYsTable[OriginalBudget], allFYsTable[Code], SummaryTable[[#This Row],[Code]], allFYsTable[year2], CG$3))</f>
        <v>0</v>
      </c>
      <c r="CH65" s="61">
        <f>SummaryTable[[#This Row],[OriginalBudget17]]-SummaryTable[[#This Row],[OriginalBudget16]]</f>
        <v>0</v>
      </c>
      <c r="CI65" s="54" t="e">
        <f>SummaryTable[[#This Row],[BudgetIncreaseAmount17]]/SummaryTable[[#This Row],[OriginalBudget16]]</f>
        <v>#DIV/0!</v>
      </c>
      <c r="CJ65" s="61">
        <f>IF(COUNTIFS(allFYsTable[Code], SummaryTable[[#This Row],[Code]], allFYsTable[year2], CG$3)=0, NotFound, SUMIFS(allFYsTable[RevisedBudget], allFYsTable[Code], SummaryTable[[#This Row],[Code]], allFYsTable[year2], CG$3))</f>
        <v>0</v>
      </c>
      <c r="CK65" s="61">
        <f>IF(COUNTIFS(allFYsTable[Code], SummaryTable[[#This Row],[Code]], allFYsTable[year2], CG$3)=0, NotFound, SUMIFS(allFYsTable[Actual], allFYsTable[Code], SummaryTable[[#This Row],[Code]], allFYsTable[year2], CG$3))</f>
        <v>0</v>
      </c>
      <c r="CL65" s="61">
        <f>IF(COUNTIFS(allFYsTable[Code], SummaryTable[[#This Row],[Code]], allFYsTable[year2], CG$3)=0, NotFound, SUMIFS(allFYsTable[DiffAmount], allFYsTable[Code], SummaryTable[[#This Row],[Code]], allFYsTable[year2], CG$3))</f>
        <v>0</v>
      </c>
      <c r="CM65" s="63">
        <f>IF(SummaryTable[[#This Row],[OriginalBudget17]]=0, IF(SummaryTable[[#This Row],[DiffAmount17]]=0, ZeroBudgetNoSpending, ZeroBudgetWithSpending), SummaryTable[[#This Row],[DiffAmount17]]/SummaryTable[[#This Row],[OriginalBudget17]])</f>
        <v>0</v>
      </c>
      <c r="CN65" s="62">
        <f>IF(COUNTIFS(allFYsTable[Code], SummaryTable[[#This Row],[Code]], allFYsTable[year2], CN$3)=0, NotFound, SUMIFS(allFYsTable[OriginalBudget], allFYsTable[Code], SummaryTable[[#This Row],[Code]], allFYsTable[year2], CN$3))</f>
        <v>0</v>
      </c>
      <c r="CO65" s="61">
        <f>SummaryTable[[#This Row],[OriginalBudget16]]-SummaryTable[[#This Row],[OriginalBudget15]]</f>
        <v>0</v>
      </c>
      <c r="CP65" s="54" t="e">
        <f>SummaryTable[[#This Row],[BudgetIncreaseAmount16]]/SummaryTable[[#This Row],[OriginalBudget15]]</f>
        <v>#DIV/0!</v>
      </c>
      <c r="CQ65" s="61">
        <f>IF(COUNTIFS(allFYsTable[Code], SummaryTable[[#This Row],[Code]], allFYsTable[year2], CN$3)=0, NotFound, SUMIFS(allFYsTable[RevisedBudget], allFYsTable[Code], SummaryTable[[#This Row],[Code]], allFYsTable[year2], CN$3))</f>
        <v>0</v>
      </c>
      <c r="CR65" s="61">
        <f>IF(COUNTIFS(allFYsTable[Code], SummaryTable[[#This Row],[Code]], allFYsTable[year2], CN$3)=0, NotFound, SUMIFS(allFYsTable[Actual], allFYsTable[Code], SummaryTable[[#This Row],[Code]], allFYsTable[year2], CN$3))</f>
        <v>0</v>
      </c>
      <c r="CS65" s="61">
        <f>IF(COUNTIFS(allFYsTable[Code], SummaryTable[[#This Row],[Code]], allFYsTable[year2], CN$3)=0, NotFound, SUMIFS(allFYsTable[DiffAmount], allFYsTable[Code], SummaryTable[[#This Row],[Code]], allFYsTable[year2], CN$3))</f>
        <v>0</v>
      </c>
      <c r="CT65" s="63">
        <f>IF(SummaryTable[[#This Row],[OriginalBudget16]]=0, IF(SummaryTable[[#This Row],[DiffAmount16]]=0, ZeroBudgetNoSpending, ZeroBudgetWithSpending), SummaryTable[[#This Row],[DiffAmount16]]/SummaryTable[[#This Row],[OriginalBudget16]])</f>
        <v>0</v>
      </c>
      <c r="CU65" s="62">
        <f>IF(COUNTIFS(allFYsTable[Code], SummaryTable[[#This Row],[Code]], allFYsTable[year2], CU$3)=0, NotFound, SUMIFS(allFYsTable[OriginalBudget], allFYsTable[Code], SummaryTable[[#This Row],[Code]], allFYsTable[year2], CU$3))</f>
        <v>0</v>
      </c>
      <c r="CV65" s="61">
        <f>SummaryTable[[#This Row],[OriginalBudget15]]-SummaryTable[[#This Row],[OriginalBudget14]]</f>
        <v>-65</v>
      </c>
      <c r="CW65" s="54">
        <f>SummaryTable[[#This Row],[BudgetIncreaseAmount15]]/SummaryTable[[#This Row],[OriginalBudget14]]</f>
        <v>-1</v>
      </c>
      <c r="CX65" s="61">
        <f>IF(COUNTIFS(allFYsTable[Code], SummaryTable[[#This Row],[Code]], allFYsTable[year2], CU$3)=0, NotFound, SUMIFS(allFYsTable[RevisedBudget], allFYsTable[Code], SummaryTable[[#This Row],[Code]], allFYsTable[year2], CU$3))</f>
        <v>0</v>
      </c>
      <c r="CY65" s="61">
        <f>IF(COUNTIFS(allFYsTable[Code], SummaryTable[[#This Row],[Code]], allFYsTable[year2], CU$3)=0, NotFound, SUMIFS(allFYsTable[Actual], allFYsTable[Code], SummaryTable[[#This Row],[Code]], allFYsTable[year2], CU$3))</f>
        <v>0</v>
      </c>
      <c r="CZ65" s="61">
        <f>IF(COUNTIFS(allFYsTable[Code], SummaryTable[[#This Row],[Code]], allFYsTable[year2], CU$3)=0, NotFound, SUMIFS(allFYsTable[DiffAmount], allFYsTable[Code], SummaryTable[[#This Row],[Code]], allFYsTable[year2], CU$3))</f>
        <v>0</v>
      </c>
      <c r="DA65" s="63">
        <f>IF(SummaryTable[[#This Row],[OriginalBudget15]]=0, IF(SummaryTable[[#This Row],[DiffAmount15]]=0, ZeroBudgetNoSpending, ZeroBudgetWithSpending), SummaryTable[[#This Row],[DiffAmount15]]/SummaryTable[[#This Row],[OriginalBudget15]])</f>
        <v>0</v>
      </c>
      <c r="DB65" s="62">
        <f>IF(COUNTIFS(allFYsTable[Code], SummaryTable[[#This Row],[Code]], allFYsTable[year2], DB$3)=0, NotFound, SUMIFS(allFYsTable[OriginalBudget], allFYsTable[Code], SummaryTable[[#This Row],[Code]], allFYsTable[year2], DB$3))</f>
        <v>65</v>
      </c>
      <c r="DC65" s="61">
        <f>SummaryTable[[#This Row],[OriginalBudget14]]-SummaryTable[[#This Row],[OriginalBudget13]]</f>
        <v>65</v>
      </c>
      <c r="DD65" s="54" t="e">
        <f>SummaryTable[[#This Row],[BudgetIncreaseAmount14]]/SummaryTable[[#This Row],[OriginalBudget13]]</f>
        <v>#DIV/0!</v>
      </c>
      <c r="DE65" s="61">
        <f>IF(COUNTIFS(allFYsTable[Code], SummaryTable[[#This Row],[Code]], allFYsTable[year2], DB$3)=0, NotFound, SUMIFS(allFYsTable[RevisedBudget], allFYsTable[Code], SummaryTable[[#This Row],[Code]], allFYsTable[year2], DB$3))</f>
        <v>65</v>
      </c>
      <c r="DF65" s="61">
        <f>IF(COUNTIFS(allFYsTable[Code], SummaryTable[[#This Row],[Code]], allFYsTable[year2], DB$3)=0, NotFound, SUMIFS(allFYsTable[Actual], allFYsTable[Code], SummaryTable[[#This Row],[Code]], allFYsTable[year2], DB$3))</f>
        <v>59</v>
      </c>
      <c r="DG65" s="61">
        <f>IF(COUNTIFS(allFYsTable[Code], SummaryTable[[#This Row],[Code]], allFYsTable[year2], DB$3)=0, NotFound, SUMIFS(allFYsTable[DiffAmount], allFYsTable[Code], SummaryTable[[#This Row],[Code]], allFYsTable[year2], DB$3))</f>
        <v>-6</v>
      </c>
      <c r="DH65" s="63">
        <f>IF(SummaryTable[[#This Row],[OriginalBudget14]]=0, IF(SummaryTable[[#This Row],[DiffAmount14]]=0, ZeroBudgetNoSpending, ZeroBudgetWithSpending), SummaryTable[[#This Row],[DiffAmount14]]/SummaryTable[[#This Row],[OriginalBudget14]])</f>
        <v>-9.2307692307692313E-2</v>
      </c>
      <c r="DI65" s="62">
        <f>IF(COUNTIFS(allFYsTable[Code], SummaryTable[[#This Row],[Code]], allFYsTable[year2], DI$3)=0, NotFound, SUMIFS(allFYsTable[OriginalBudget], allFYsTable[Code], SummaryTable[[#This Row],[Code]], allFYsTable[year2], DI$3))</f>
        <v>0</v>
      </c>
      <c r="DJ65" s="61">
        <f>SummaryTable[[#This Row],[OriginalBudget13]]-SummaryTable[[#This Row],[OriginalBudget12]]</f>
        <v>0</v>
      </c>
      <c r="DK65" s="54" t="e">
        <f>SummaryTable[[#This Row],[BudgetIncreaseAmount13]]/SummaryTable[[#This Row],[OriginalBudget12]]</f>
        <v>#DIV/0!</v>
      </c>
      <c r="DL65" s="61">
        <f>IF(COUNTIFS(allFYsTable[Code], SummaryTable[[#This Row],[Code]], allFYsTable[year2], DI$3)=0, NotFound, SUMIFS(allFYsTable[RevisedBudget], allFYsTable[Code], SummaryTable[[#This Row],[Code]], allFYsTable[year2], DI$3))</f>
        <v>0</v>
      </c>
      <c r="DM65" s="61">
        <f>IF(COUNTIFS(allFYsTable[Code], SummaryTable[[#This Row],[Code]], allFYsTable[year2], DI$3)=0, NotFound, SUMIFS(allFYsTable[Actual], allFYsTable[Code], SummaryTable[[#This Row],[Code]], allFYsTable[year2], DI$3))</f>
        <v>0</v>
      </c>
      <c r="DN65" s="61">
        <f>IF(COUNTIFS(allFYsTable[Code], SummaryTable[[#This Row],[Code]], allFYsTable[year2], DI$3)=0, NotFound, SUMIFS(allFYsTable[DiffAmount], allFYsTable[Code], SummaryTable[[#This Row],[Code]], allFYsTable[year2], DI$3))</f>
        <v>0</v>
      </c>
      <c r="DO65" s="63">
        <f>IF(SummaryTable[[#This Row],[OriginalBudget13]]=0, IF(SummaryTable[[#This Row],[DiffAmount13]]=0, ZeroBudgetNoSpending, ZeroBudgetWithSpending), SummaryTable[[#This Row],[DiffAmount13]]/SummaryTable[[#This Row],[OriginalBudget13]])</f>
        <v>0</v>
      </c>
      <c r="DP65" s="62">
        <f>IF(COUNTIFS(allFYsTable[Code], SummaryTable[[#This Row],[Code]], allFYsTable[year2], DP$3)=0, NotFound, SUMIFS(allFYsTable[OriginalBudget], allFYsTable[Code], SummaryTable[[#This Row],[Code]], allFYsTable[year2], DP$3))</f>
        <v>0</v>
      </c>
      <c r="DQ65" s="61">
        <f>SummaryTable[[#This Row],[OriginalBudget12]]-SummaryTable[[#This Row],[OriginalBudget11]]</f>
        <v>0</v>
      </c>
      <c r="DR65" s="54" t="e">
        <f>SummaryTable[[#This Row],[BudgetIncreaseAmount12]]/SummaryTable[[#This Row],[OriginalBudget11]]</f>
        <v>#DIV/0!</v>
      </c>
      <c r="DS65" s="61">
        <f>IF(COUNTIFS(allFYsTable[Code], SummaryTable[[#This Row],[Code]], allFYsTable[year2], DP$3)=0, NotFound, SUMIFS(allFYsTable[RevisedBudget], allFYsTable[Code], SummaryTable[[#This Row],[Code]], allFYsTable[year2], DP$3))</f>
        <v>0</v>
      </c>
      <c r="DT65" s="61">
        <f>IF(COUNTIFS(allFYsTable[Code], SummaryTable[[#This Row],[Code]], allFYsTable[year2], DP$3)=0, NotFound, SUMIFS(allFYsTable[Actual], allFYsTable[Code], SummaryTable[[#This Row],[Code]], allFYsTable[year2], DP$3))</f>
        <v>0</v>
      </c>
      <c r="DU65" s="61">
        <f>IF(COUNTIFS(allFYsTable[Code], SummaryTable[[#This Row],[Code]], allFYsTable[year2], DP$3)=0, NotFound, SUMIFS(allFYsTable[DiffAmount], allFYsTable[Code], SummaryTable[[#This Row],[Code]], allFYsTable[year2], DP$3))</f>
        <v>0</v>
      </c>
      <c r="DV65" s="63">
        <f>IF(SummaryTable[[#This Row],[OriginalBudget12]]=0, IF(SummaryTable[[#This Row],[DiffAmount12]]=0, ZeroBudgetNoSpending, ZeroBudgetWithSpending), SummaryTable[[#This Row],[DiffAmount12]]/SummaryTable[[#This Row],[OriginalBudget12]])</f>
        <v>0</v>
      </c>
      <c r="DW65" s="62">
        <f>IF(COUNTIFS(allFYsTable[Code], SummaryTable[[#This Row],[Code]], allFYsTable[year2], DW$3)=0, NotFound, SUMIFS(allFYsTable[OriginalBudget], allFYsTable[Code], SummaryTable[[#This Row],[Code]], allFYsTable[year2], DW$3))</f>
        <v>0</v>
      </c>
      <c r="DX65" s="61">
        <f>SummaryTable[[#This Row],[OriginalBudget11]]-SummaryTable[[#This Row],[OriginalBudget10]]</f>
        <v>0</v>
      </c>
      <c r="DY65" s="54" t="e">
        <f>SummaryTable[[#This Row],[BudgetIncreaseAmount11]]/SummaryTable[[#This Row],[OriginalBudget10]]</f>
        <v>#DIV/0!</v>
      </c>
      <c r="DZ65" s="61">
        <f>IF(COUNTIFS(allFYsTable[Code], SummaryTable[[#This Row],[Code]], allFYsTable[year2], DW$3)=0, NotFound, SUMIFS(allFYsTable[RevisedBudget], allFYsTable[Code], SummaryTable[[#This Row],[Code]], allFYsTable[year2], DW$3))</f>
        <v>0</v>
      </c>
      <c r="EA65" s="61">
        <f>IF(COUNTIFS(allFYsTable[Code], SummaryTable[[#This Row],[Code]], allFYsTable[year2], DW$3)=0, NotFound, SUMIFS(allFYsTable[Actual], allFYsTable[Code], SummaryTable[[#This Row],[Code]], allFYsTable[year2], DW$3))</f>
        <v>0</v>
      </c>
      <c r="EB65" s="61">
        <f>IF(COUNTIFS(allFYsTable[Code], SummaryTable[[#This Row],[Code]], allFYsTable[year2], DW$3)=0, NotFound, SUMIFS(allFYsTable[DiffAmount], allFYsTable[Code], SummaryTable[[#This Row],[Code]], allFYsTable[year2], DW$3))</f>
        <v>0</v>
      </c>
      <c r="EC65" s="63">
        <f>IF(SummaryTable[[#This Row],[OriginalBudget11]]=0, IF(SummaryTable[[#This Row],[DiffAmount11]]=0, ZeroBudgetNoSpending, ZeroBudgetWithSpending), SummaryTable[[#This Row],[DiffAmount11]]/SummaryTable[[#This Row],[OriginalBudget11]])</f>
        <v>0</v>
      </c>
      <c r="ED65" s="62">
        <f>IF(COUNTIFS(allFYsTable[Code], SummaryTable[[#This Row],[Code]], allFYsTable[year2], ED$3)=0, NotFound, SUMIFS(allFYsTable[OriginalBudget], allFYsTable[Code], SummaryTable[[#This Row],[Code]], allFYsTable[year2], ED$3))</f>
        <v>0</v>
      </c>
      <c r="EE65" s="61">
        <f>SummaryTable[[#This Row],[OriginalBudget10]]-SummaryTable[[#This Row],[OriginalBudget09]]</f>
        <v>-152</v>
      </c>
      <c r="EF65" s="54">
        <f>SummaryTable[[#This Row],[BudgetIncreaseAmount10]]/SummaryTable[[#This Row],[OriginalBudget09]]</f>
        <v>-1</v>
      </c>
      <c r="EG65" s="61">
        <f>IF(COUNTIFS(allFYsTable[Code], SummaryTable[[#This Row],[Code]], allFYsTable[year2], ED$3)=0, NotFound, SUMIFS(allFYsTable[RevisedBudget], allFYsTable[Code], SummaryTable[[#This Row],[Code]], allFYsTable[year2], ED$3))</f>
        <v>0</v>
      </c>
      <c r="EH65" s="61">
        <f>IF(COUNTIFS(allFYsTable[Code], SummaryTable[[#This Row],[Code]], allFYsTable[year2], ED$3)=0, NotFound, SUMIFS(allFYsTable[Actual], allFYsTable[Code], SummaryTable[[#This Row],[Code]], allFYsTable[year2], ED$3))</f>
        <v>0</v>
      </c>
      <c r="EI65" s="61">
        <f>IF(COUNTIFS(allFYsTable[Code], SummaryTable[[#This Row],[Code]], allFYsTable[year2], ED$3)=0, NotFound, SUMIFS(allFYsTable[DiffAmount], allFYsTable[Code], SummaryTable[[#This Row],[Code]], allFYsTable[year2], ED$3))</f>
        <v>0</v>
      </c>
      <c r="EJ65" s="63">
        <f>IF(SummaryTable[[#This Row],[OriginalBudget10]]=0, IF(SummaryTable[[#This Row],[DiffAmount10]]=0, ZeroBudgetNoSpending, ZeroBudgetWithSpending), SummaryTable[[#This Row],[DiffAmount10]]/SummaryTable[[#This Row],[OriginalBudget10]])</f>
        <v>0</v>
      </c>
      <c r="EK65" s="62">
        <f>IF(COUNTIFS(allFYsTable[Code], SummaryTable[[#This Row],[Code]], allFYsTable[year2], EK$3)=0, NotFound, SUMIFS(allFYsTable[OriginalBudget], allFYsTable[Code], SummaryTable[[#This Row],[Code]], allFYsTable[year2], EK$3))</f>
        <v>152</v>
      </c>
      <c r="EL65" s="61">
        <f>SummaryTable[[#This Row],[OriginalBudget09]]-SummaryTable[[#This Row],[OriginalBudget08]]</f>
        <v>8</v>
      </c>
      <c r="EM65" s="54">
        <f>SummaryTable[[#This Row],[BudgetIncreaseAmount09]]/SummaryTable[[#This Row],[OriginalBudget08]]</f>
        <v>5.5555555555555552E-2</v>
      </c>
      <c r="EN65" s="61">
        <f>IF(COUNTIFS(allFYsTable[Code], SummaryTable[[#This Row],[Code]], allFYsTable[year2], EK$3)=0, NotFound, SUMIFS(allFYsTable[RevisedBudget], allFYsTable[Code], SummaryTable[[#This Row],[Code]], allFYsTable[year2], EK$3))</f>
        <v>152</v>
      </c>
      <c r="EO65" s="61">
        <f>IF(COUNTIFS(allFYsTable[Code], SummaryTable[[#This Row],[Code]], allFYsTable[year2], EK$3)=0, NotFound, SUMIFS(allFYsTable[Actual], allFYsTable[Code], SummaryTable[[#This Row],[Code]], allFYsTable[year2], EK$3))</f>
        <v>134</v>
      </c>
      <c r="EP65" s="61">
        <f>IF(COUNTIFS(allFYsTable[Code], SummaryTable[[#This Row],[Code]], allFYsTable[year2], EK$3)=0, NotFound, SUMIFS(allFYsTable[DiffAmount], allFYsTable[Code], SummaryTable[[#This Row],[Code]], allFYsTable[year2], EK$3))</f>
        <v>-18</v>
      </c>
      <c r="EQ65" s="63">
        <f>IF(SummaryTable[[#This Row],[OriginalBudget09]]=0, IF(SummaryTable[[#This Row],[DiffAmount09]]=0, ZeroBudgetNoSpending, ZeroBudgetWithSpending), SummaryTable[[#This Row],[DiffAmount09]]/SummaryTable[[#This Row],[OriginalBudget09]])</f>
        <v>-0.11842105263157894</v>
      </c>
      <c r="ER65" s="62">
        <f>IF(COUNTIFS(allFYsTable[Code], SummaryTable[[#This Row],[Code]], allFYsTable[year2], ER$3)=0, NotFound, SUMIFS(allFYsTable[OriginalBudget], allFYsTable[Code], SummaryTable[[#This Row],[Code]], allFYsTable[year2], ER$3))</f>
        <v>144</v>
      </c>
      <c r="ES65" s="61">
        <f>SummaryTable[[#This Row],[OriginalBudget08]]-SummaryTable[[#This Row],[OriginalBudget07]]</f>
        <v>13</v>
      </c>
      <c r="ET65" s="54">
        <f>SummaryTable[[#This Row],[BudgetIncreaseAmount08]]/SummaryTable[[#This Row],[OriginalBudget07]]</f>
        <v>9.9236641221374045E-2</v>
      </c>
      <c r="EU65" s="61">
        <f>IF(COUNTIFS(allFYsTable[Code], SummaryTable[[#This Row],[Code]], allFYsTable[year2], ER$3)=0, NotFound, SUMIFS(allFYsTable[RevisedBudget], allFYsTable[Code], SummaryTable[[#This Row],[Code]], allFYsTable[year2], ER$3))</f>
        <v>144</v>
      </c>
      <c r="EV65" s="61">
        <f>IF(COUNTIFS(allFYsTable[Code], SummaryTable[[#This Row],[Code]], allFYsTable[year2], ER$3)=0, NotFound, SUMIFS(allFYsTable[Actual], allFYsTable[Code], SummaryTable[[#This Row],[Code]], allFYsTable[year2], ER$3))</f>
        <v>103</v>
      </c>
      <c r="EW65" s="61">
        <f>IF(COUNTIFS(allFYsTable[Code], SummaryTable[[#This Row],[Code]], allFYsTable[year2], ER$3)=0, NotFound, SUMIFS(allFYsTable[DiffAmount], allFYsTable[Code], SummaryTable[[#This Row],[Code]], allFYsTable[year2], ER$3))</f>
        <v>-41</v>
      </c>
      <c r="EX65" s="63">
        <f>IF(SummaryTable[[#This Row],[OriginalBudget08]]=0, IF(SummaryTable[[#This Row],[DiffAmount08]]=0, ZeroBudgetNoSpending, ZeroBudgetWithSpending), SummaryTable[[#This Row],[DiffAmount08]]/SummaryTable[[#This Row],[OriginalBudget08]])</f>
        <v>-0.28472222222222221</v>
      </c>
      <c r="EY65" s="62">
        <f>IF(COUNTIFS(allFYsTable[Code], SummaryTable[[#This Row],[Code]], allFYsTable[year2], EY$3)=0, NotFound, SUMIFS(allFYsTable[OriginalBudget], allFYsTable[Code], SummaryTable[[#This Row],[Code]], allFYsTable[year2], EY$3))</f>
        <v>131</v>
      </c>
      <c r="EZ65" s="61">
        <f>SummaryTable[[#This Row],[OriginalBudget07]]-SummaryTable[[#This Row],[OriginalBudget06]]</f>
        <v>5</v>
      </c>
      <c r="FA65" s="54">
        <f>SummaryTable[[#This Row],[BudgetIncreaseAmount07]]/SummaryTable[[#This Row],[OriginalBudget06]]</f>
        <v>3.968253968253968E-2</v>
      </c>
      <c r="FB65" s="61">
        <f>IF(COUNTIFS(allFYsTable[Code], SummaryTable[[#This Row],[Code]], allFYsTable[year2], EY$3)=0, NotFound, SUMIFS(allFYsTable[RevisedBudget], allFYsTable[Code], SummaryTable[[#This Row],[Code]], allFYsTable[year2], EY$3))</f>
        <v>144</v>
      </c>
      <c r="FC65" s="61">
        <f>IF(COUNTIFS(allFYsTable[Code], SummaryTable[[#This Row],[Code]], allFYsTable[year2], EY$3)=0, NotFound, SUMIFS(allFYsTable[Actual], allFYsTable[Code], SummaryTable[[#This Row],[Code]], allFYsTable[year2], EY$3))</f>
        <v>135</v>
      </c>
      <c r="FD65" s="61">
        <f>IF(COUNTIFS(allFYsTable[Code], SummaryTable[[#This Row],[Code]], allFYsTable[year2], EY$3)=0, NotFound, SUMIFS(allFYsTable[DiffAmount], allFYsTable[Code], SummaryTable[[#This Row],[Code]], allFYsTable[year2], EY$3))</f>
        <v>4</v>
      </c>
      <c r="FE65" s="63">
        <f>IF(SummaryTable[[#This Row],[OriginalBudget07]]=0, IF(SummaryTable[[#This Row],[DiffAmount07]]=0, ZeroBudgetNoSpending, ZeroBudgetWithSpending), SummaryTable[[#This Row],[DiffAmount07]]/SummaryTable[[#This Row],[OriginalBudget07]])</f>
        <v>3.0534351145038167E-2</v>
      </c>
      <c r="FF65" s="62">
        <f>IF(COUNTIFS(allFYsTable[Code], SummaryTable[[#This Row],[Code]], allFYsTable[year2], FF$3)=0, NotFound, SUMIFS(allFYsTable[OriginalBudget], allFYsTable[Code], SummaryTable[[#This Row],[Code]], allFYsTable[year2], FF$3))</f>
        <v>126</v>
      </c>
      <c r="FI65" s="61">
        <f>IF(COUNTIFS(allFYsTable[Code], SummaryTable[[#This Row],[Code]], allFYsTable[year2], FF$3)=0, NotFound, SUMIFS(allFYsTable[RevisedBudget], allFYsTable[Code], SummaryTable[[#This Row],[Code]], allFYsTable[year2], FF$3))</f>
        <v>131</v>
      </c>
      <c r="FJ65" s="61">
        <f>IF(COUNTIFS(allFYsTable[Code], SummaryTable[[#This Row],[Code]], allFYsTable[year2], FF$3)=0, NotFound, SUMIFS(allFYsTable[Actual], allFYsTable[Code], SummaryTable[[#This Row],[Code]], allFYsTable[year2], FF$3))</f>
        <v>122</v>
      </c>
      <c r="FK65" s="61">
        <f>IF(COUNTIFS(allFYsTable[Code], SummaryTable[[#This Row],[Code]], allFYsTable[year2], FF$3)=0, NotFound, SUMIFS(allFYsTable[DiffAmount], allFYsTable[Code], SummaryTable[[#This Row],[Code]], allFYsTable[year2], FF$3))</f>
        <v>-4</v>
      </c>
      <c r="FL65" s="63">
        <f>IF(SummaryTable[[#This Row],[OriginalBudget06]]=0, IF(SummaryTable[[#This Row],[DiffAmount06]]=0, ZeroBudgetNoSpending, ZeroBudgetWithSpending), SummaryTable[[#This Row],[DiffAmount06]]/SummaryTable[[#This Row],[OriginalBudget06]])</f>
        <v>-3.1746031746031744E-2</v>
      </c>
    </row>
    <row r="66" spans="1:168" x14ac:dyDescent="0.45">
      <c r="A66" t="s">
        <v>708</v>
      </c>
      <c r="B66">
        <f>_xlfn.MAXIFS(allFYsTable[year2], allFYsTable[Code], SummaryTable[[#This Row],[Code]])</f>
        <v>2025</v>
      </c>
      <c r="C66" t="str">
        <f>_xlfn.XLOOKUP(SummaryTable[[#This Row],[Code]], NameCodingTable[Code], NameCodingTable[Most Recent Category per allFYs])</f>
        <v>Governmental direction and support</v>
      </c>
      <c r="D66" t="str">
        <f>_xlfn.XLOOKUP(SummaryTable[[#This Row],[Code]], NameCodingTable[Code], NameCodingTable[Unit Display Name])</f>
        <v>Mayor's Office of Legal Counsel</v>
      </c>
      <c r="E66" t="str">
        <f>_xlfn.XLOOKUP(SummaryTable[[#This Row],[Code]], NameCodingTable[Code], NameCodingTable[Type])</f>
        <v>agency</v>
      </c>
      <c r="F6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10</v>
      </c>
      <c r="G6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66" s="54">
        <f>SummaryTable[[#This Row],['# Over]]/SummaryTable[[#This Row],[Count]]</f>
        <v>0</v>
      </c>
      <c r="I6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66" s="54">
        <f>SummaryTable[[#This Row],['# Under]]/SummaryTable[[#This Row],[Count]]</f>
        <v>1</v>
      </c>
      <c r="K6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66" s="54">
        <f>SummaryTable[[#This Row],['# Equal]]/SummaryTable[[#This Row],[Count]]</f>
        <v>0</v>
      </c>
      <c r="M66" s="61">
        <f>SUMIFS(allFYsTable[OriginalBudget],allFYsTable[Code],SummaryTable[[#This Row],[Code]])/SummaryTable[[#This Row],[Count]]</f>
        <v>1683.6</v>
      </c>
      <c r="N66" s="61">
        <f>SUMIFS(allFYsTable[Actual],allFYsTable[Code],SummaryTable[[#This Row],[Code]])/SummaryTable[[#This Row],[Count]]</f>
        <v>1391.9</v>
      </c>
      <c r="O66" s="61">
        <f>SummaryTable[[#This Row],[AvgActAmt]]-SummaryTable[[#This Row],[AvgBudAmt]]</f>
        <v>-291.69999999999982</v>
      </c>
      <c r="P66" s="54">
        <f>IF(SummaryTable[[#This Row],[AvgBudAmt]]=0, IF(SummaryTable[[#This Row],[AvgDiff'#]]=0, 0, NamedFields!$C$3), SummaryTable[[#This Row],[AvgDiff'#]]/SummaryTable[[#This Row],[AvgBudAmt]])</f>
        <v>-0.17325968163459243</v>
      </c>
      <c r="Q66" s="61">
        <f>IFERROR(SUMIFS(allFYsTable[OriginalBudget],allFYsTable[Code],SummaryTable[[#This Row],[Code]],allFYsTable[DiffAmount], "&gt;0")/SummaryTable[[#This Row],['# Over]], 0)</f>
        <v>0</v>
      </c>
      <c r="R66" s="61">
        <f>IFERROR(SUMIFS(allFYsTable[Actual],allFYsTable[Code],SummaryTable[[#This Row],[Code]],allFYsTable[DiffAmount], "&gt;0")/SummaryTable[[#This Row],['# Over]], 0)</f>
        <v>0</v>
      </c>
      <c r="S66" s="61">
        <f>SummaryTable[[#This Row],[OverAvgAct]]-SummaryTable[[#This Row],[OverAvgBud]]</f>
        <v>0</v>
      </c>
      <c r="T66" s="54">
        <f>IF(SummaryTable[[#This Row],[OverAvgBud]]=0, IF(SummaryTable[[#This Row],[OverAvgDiff'#]]=0, ZeroBudgetNoSpending, ZeroBudgetWithSpending), SummaryTable[[#This Row],[OverAvgDiff'#]]/SummaryTable[[#This Row],[OverAvgBud]])</f>
        <v>0</v>
      </c>
      <c r="U66" s="61">
        <f>IFERROR(SUMIFS(allFYsTable[OriginalBudget],allFYsTable[Code],SummaryTable[[#This Row],[Code]],allFYsTable[DiffAmount], "&lt;0")/SummaryTable[[#This Row],['# Under]], 0)</f>
        <v>1683.6</v>
      </c>
      <c r="V66" s="61">
        <f>IFERROR( SUMIFS(allFYsTable[Actual],allFYsTable[Code],SummaryTable[[#This Row],[Code]],allFYsTable[DiffAmount], "&lt;0")/SummaryTable[[#This Row],['# Under]], 0)</f>
        <v>1391.9</v>
      </c>
      <c r="W66" s="61">
        <f>SummaryTable[[#This Row],[UnderAvgAct]]-SummaryTable[[#This Row],[UnderAvgBud]]</f>
        <v>-291.69999999999982</v>
      </c>
      <c r="X66" s="54">
        <f>IF(SummaryTable[[#This Row],[UnderAvgBud]]=0, IF(SummaryTable[[#This Row],[UnderAvgDiff'#]]=0, ZeroBudgetNoSpending, NamedFields!$C$3), SummaryTable[[#This Row],[UnderAvgDiff'#]]/SummaryTable[[#This Row],[UnderAvgBud]])</f>
        <v>-0.17325968163459243</v>
      </c>
      <c r="Y6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6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66" s="54">
        <f>IF(SummaryTable[[#This Row],[IncreaseYears]]=0, ZeroBudgetNoSpending, SummaryTable[[#This Row],[OSinIncreaseYear'#]]/SummaryTable[[#This Row],[IncreaseYears]])</f>
        <v>0</v>
      </c>
      <c r="AB66" s="58" t="str">
        <f>SummaryTable[[#This Row],[Code]]</f>
        <v>AH0</v>
      </c>
      <c r="AC66" s="62">
        <f>IF(COUNTIFS(allFYsTable[Code], SummaryTable[[#This Row],[Code]], allFYsTable[year2], AC$3)=0, NotFound, SUMIFS(allFYsTable[OriginalBudget], allFYsTable[Code], SummaryTable[[#This Row],[Code]], allFYsTable[year2], AC$3))</f>
        <v>1835</v>
      </c>
      <c r="AD66" s="61">
        <f>SummaryTable[[#This Row],[OriginalBudget25]]-SummaryTable[[#This Row],[OriginalBudget24]]</f>
        <v>28</v>
      </c>
      <c r="AE66" s="54">
        <f>SummaryTable[[#This Row],[BudgetIncreaseAmount25]]/SummaryTable[[#This Row],[OriginalBudget24]]</f>
        <v>1.549529607083564E-2</v>
      </c>
      <c r="AF66" s="61">
        <f>IF(COUNTIFS(allFYsTable[Code], SummaryTable[[#This Row],[Code]], allFYsTable[year2], AC$3)=0, NotFound, SUMIFS(allFYsTable[RevisedBudget], allFYsTable[Code], SummaryTable[[#This Row],[Code]], allFYsTable[year2], AC$3))</f>
        <v>1718</v>
      </c>
      <c r="AG66" s="61">
        <f>IF(COUNTIFS(allFYsTable[Code], SummaryTable[[#This Row],[Code]], allFYsTable[year2], AC$3)=0, NotFound, SUMIFS(allFYsTable[Actual], allFYsTable[Code], SummaryTable[[#This Row],[Code]], allFYsTable[year2], AC$3))</f>
        <v>1704</v>
      </c>
      <c r="AH66" s="61">
        <f>IF(COUNTIFS(allFYsTable[Code], SummaryTable[[#This Row],[Code]], allFYsTable[year2], AC$3)=0, NotFound, SUMIFS(allFYsTable[DiffAmount], allFYsTable[Code], SummaryTable[[#This Row],[Code]], allFYsTable[year2], AC$3))</f>
        <v>-131</v>
      </c>
      <c r="AI66" s="63">
        <f>IF(SummaryTable[[#This Row],[OriginalBudget25]]=0, IF(SummaryTable[[#This Row],[DiffAmount25]]=0, ZeroBudgetNoSpending, ZeroBudgetWithSpending), SummaryTable[[#This Row],[DiffAmount25]]/SummaryTable[[#This Row],[OriginalBudget25]])</f>
        <v>-7.1389645776566757E-2</v>
      </c>
      <c r="AJ66" s="62">
        <f>IF(COUNTIFS(allFYsTable[Code], SummaryTable[[#This Row],[Code]], allFYsTable[year2], AJ$3)=0, NotFound, SUMIFS(allFYsTable[OriginalBudget], allFYsTable[Code], SummaryTable[[#This Row],[Code]], allFYsTable[year2], AJ$3))</f>
        <v>1807</v>
      </c>
      <c r="AK66" s="61">
        <f>SummaryTable[[#This Row],[OriginalBudget24]]-SummaryTable[[#This Row],[OriginalBudget23]]</f>
        <v>52</v>
      </c>
      <c r="AL66" s="54">
        <f>SummaryTable[[#This Row],[BudgetIncreaseAmount24]]/SummaryTable[[#This Row],[OriginalBudget23]]</f>
        <v>2.9629629629629631E-2</v>
      </c>
      <c r="AM66" s="61">
        <f>IF(COUNTIFS(allFYsTable[Code], SummaryTable[[#This Row],[Code]], allFYsTable[year2], AK$3)=0, NotFound, SUMIFS(allFYsTable[RevisedBudget], allFYsTable[Code], SummaryTable[[#This Row],[Code]], allFYsTable[year2], AJ$3))</f>
        <v>1807</v>
      </c>
      <c r="AN66" s="61">
        <f>IF(COUNTIFS(allFYsTable[Code], SummaryTable[[#This Row],[Code]], allFYsTable[year2], AJ$3)=0, NotFound, SUMIFS(allFYsTable[Actual], allFYsTable[Code], SummaryTable[[#This Row],[Code]], allFYsTable[year2], AJ$3))</f>
        <v>1575</v>
      </c>
      <c r="AO66" s="61">
        <f>IF(COUNTIFS(allFYsTable[Code], SummaryTable[[#This Row],[Code]], allFYsTable[year2], AJ$3)=0, NotFound, SUMIFS(allFYsTable[DiffAmount], allFYsTable[Code], SummaryTable[[#This Row],[Code]], allFYsTable[year2], AJ$3))</f>
        <v>-232</v>
      </c>
      <c r="AP66" s="63">
        <f>IF(SummaryTable[[#This Row],[OriginalBudget24]]=0, IF(SummaryTable[[#This Row],[DiffAmount24]]=0, ZeroBudgetNoSpending, ZeroBudgetWithSpending), SummaryTable[[#This Row],[DiffAmount24]]/SummaryTable[[#This Row],[OriginalBudget24]])</f>
        <v>-0.12838959601549529</v>
      </c>
      <c r="AQ66" s="62">
        <f>IF(COUNTIFS(allFYsTable[Code], SummaryTable[[#This Row],[Code]], allFYsTable[year2], AQ$3)=0, NotFound, SUMIFS(allFYsTable[OriginalBudget], allFYsTable[Code], SummaryTable[[#This Row],[Code]], allFYsTable[year2], AQ$3))</f>
        <v>1755</v>
      </c>
      <c r="AR66" s="61">
        <f>SummaryTable[[#This Row],[OriginalBudget23]]-SummaryTable[[#This Row],[OriginalBudget22]]</f>
        <v>117</v>
      </c>
      <c r="AS66" s="54">
        <f>SummaryTable[[#This Row],[BudgetIncreaseAmount23]]/SummaryTable[[#This Row],[OriginalBudget22]]</f>
        <v>7.1428571428571425E-2</v>
      </c>
      <c r="AT66" s="61">
        <f>IF(COUNTIFS(allFYsTable[Code], SummaryTable[[#This Row],[Code]], allFYsTable[year2], AQ$3)=0, NotFound, SUMIFS(allFYsTable[RevisedBudget], allFYsTable[Code], SummaryTable[[#This Row],[Code]], allFYsTable[year2], AQ$3))</f>
        <v>1655</v>
      </c>
      <c r="AU66" s="61">
        <f>IF(COUNTIFS(allFYsTable[Code], SummaryTable[[#This Row],[Code]], allFYsTable[year2], AQ$3)=0, NotFound, SUMIFS(allFYsTable[Actual], allFYsTable[Code], SummaryTable[[#This Row],[Code]], allFYsTable[year2], AQ$3))</f>
        <v>1408</v>
      </c>
      <c r="AV66" s="61">
        <f>IF(COUNTIFS(allFYsTable[Code], SummaryTable[[#This Row],[Code]], allFYsTable[year2], AQ$3)=0, NotFound, SUMIFS(allFYsTable[DiffAmount], allFYsTable[Code], SummaryTable[[#This Row],[Code]], allFYsTable[year2], AQ$3))</f>
        <v>-347</v>
      </c>
      <c r="AW66" s="63">
        <f>IF(SummaryTable[[#This Row],[OriginalBudget23]]=0, IF(SummaryTable[[#This Row],[DiffAmount23]]=0, ZeroBudgetNoSpending, ZeroBudgetWithSpending), SummaryTable[[#This Row],[DiffAmount23]]/SummaryTable[[#This Row],[OriginalBudget23]])</f>
        <v>-0.19772079772079773</v>
      </c>
      <c r="AX66" s="62">
        <f>IF(COUNTIFS(allFYsTable[Code], SummaryTable[[#This Row],[Code]], allFYsTable[year2], AX$3)=0, NotFound, SUMIFS(allFYsTable[OriginalBudget], allFYsTable[Code], SummaryTable[[#This Row],[Code]], allFYsTable[year2], AX$3))</f>
        <v>1638</v>
      </c>
      <c r="AY66" s="61">
        <f>SummaryTable[[#This Row],[OriginalBudget22]]-SummaryTable[[#This Row],[OriginalBudget21]]</f>
        <v>0</v>
      </c>
      <c r="AZ66" s="54">
        <f>SummaryTable[[#This Row],[BudgetIncreaseAmount22]]/SummaryTable[[#This Row],[OriginalBudget21]]</f>
        <v>0</v>
      </c>
      <c r="BA66" s="61">
        <f>IF(COUNTIFS(allFYsTable[Code], SummaryTable[[#This Row],[Code]], allFYsTable[year2], AX$3)=0, NotFound, SUMIFS(allFYsTable[RevisedBudget], allFYsTable[Code], SummaryTable[[#This Row],[Code]], allFYsTable[year2], AX$3))</f>
        <v>1638</v>
      </c>
      <c r="BB66" s="61">
        <f>IF(COUNTIFS(allFYsTable[Code], SummaryTable[[#This Row],[Code]], allFYsTable[year2], AX$3)=0, NotFound, SUMIFS(allFYsTable[Actual], allFYsTable[Code], SummaryTable[[#This Row],[Code]], allFYsTable[year2], AX$3))</f>
        <v>1506</v>
      </c>
      <c r="BC66" s="61">
        <f>IF(COUNTIFS(allFYsTable[Code], SummaryTable[[#This Row],[Code]], allFYsTable[year2], AX$3)=0, NotFound, SUMIFS(allFYsTable[DiffAmount], allFYsTable[Code], SummaryTable[[#This Row],[Code]], allFYsTable[year2], AX$3))</f>
        <v>-132</v>
      </c>
      <c r="BD66" s="63">
        <f>IF(SummaryTable[[#This Row],[OriginalBudget22]]=0, IF(SummaryTable[[#This Row],[DiffAmount22]]=0, ZeroBudgetNoSpending, ZeroBudgetWithSpending), SummaryTable[[#This Row],[DiffAmount22]]/SummaryTable[[#This Row],[OriginalBudget22]])</f>
        <v>-8.0586080586080591E-2</v>
      </c>
      <c r="BE66" s="62">
        <f>IF(COUNTIFS(allFYsTable[Code], SummaryTable[[#This Row],[Code]], allFYsTable[year2], BE$3)=0, NotFound, SUMIFS(allFYsTable[OriginalBudget], allFYsTable[Code], SummaryTable[[#This Row],[Code]], allFYsTable[year2], BE$3))</f>
        <v>1638</v>
      </c>
      <c r="BF66" s="61">
        <f>SummaryTable[[#This Row],[OriginalBudget21]]-SummaryTable[[#This Row],[OriginalBudget20]]</f>
        <v>-19</v>
      </c>
      <c r="BG66" s="54">
        <f>SummaryTable[[#This Row],[BudgetIncreaseAmount21]]/SummaryTable[[#This Row],[OriginalBudget20]]</f>
        <v>-1.1466505733252867E-2</v>
      </c>
      <c r="BH66" s="61">
        <f>IF(COUNTIFS(allFYsTable[Code], SummaryTable[[#This Row],[Code]], allFYsTable[year2], BE$3)=0, NotFound, SUMIFS(allFYsTable[RevisedBudget], allFYsTable[Code], SummaryTable[[#This Row],[Code]], allFYsTable[year2], BE$3))</f>
        <v>1570</v>
      </c>
      <c r="BI66" s="61">
        <f>IF(COUNTIFS(allFYsTable[Code], SummaryTable[[#This Row],[Code]], allFYsTable[year2], BE$3)=0, NotFound, SUMIFS(allFYsTable[Actual], allFYsTable[Code], SummaryTable[[#This Row],[Code]], allFYsTable[year2], BE$3))</f>
        <v>1567</v>
      </c>
      <c r="BJ66" s="61">
        <f>IF(COUNTIFS(allFYsTable[Code], SummaryTable[[#This Row],[Code]], allFYsTable[year2], BE$3)=0, NotFound, SUMIFS(allFYsTable[DiffAmount], allFYsTable[Code], SummaryTable[[#This Row],[Code]], allFYsTable[year2], BE$3))</f>
        <v>-71</v>
      </c>
      <c r="BK66" s="63">
        <f>IF(SummaryTable[[#This Row],[OriginalBudget21]]=0, IF(SummaryTable[[#This Row],[DiffAmount21]]=0, ZeroBudgetNoSpending, ZeroBudgetWithSpending), SummaryTable[[#This Row],[DiffAmount21]]/SummaryTable[[#This Row],[OriginalBudget21]])</f>
        <v>-4.3345543345543344E-2</v>
      </c>
      <c r="BL66" s="62">
        <f>IF(COUNTIFS(allFYsTable[Code], SummaryTable[[#This Row],[Code]], allFYsTable[year2], BL$3)=0, NotFound, SUMIFS(allFYsTable[OriginalBudget], allFYsTable[Code], SummaryTable[[#This Row],[Code]], allFYsTable[year2], BL$3))</f>
        <v>1657</v>
      </c>
      <c r="BM66" s="61">
        <f>SummaryTable[[#This Row],[OriginalBudget20]]-SummaryTable[[#This Row],[OriginalBudget19]]</f>
        <v>23</v>
      </c>
      <c r="BN66" s="54">
        <f>SummaryTable[[#This Row],[BudgetIncreaseAmount20]]/SummaryTable[[#This Row],[OriginalBudget19]]</f>
        <v>1.4075887392900856E-2</v>
      </c>
      <c r="BO66" s="61">
        <f>IF(COUNTIFS(allFYsTable[Code], SummaryTable[[#This Row],[Code]], allFYsTable[year2], BL$3)=0, NotFound, SUMIFS(allFYsTable[RevisedBudget], allFYsTable[Code], SummaryTable[[#This Row],[Code]], allFYsTable[year2], BL$3))</f>
        <v>1232</v>
      </c>
      <c r="BP66" s="61">
        <f>IF(COUNTIFS(allFYsTable[Code], SummaryTable[[#This Row],[Code]], allFYsTable[year2], BL$3)=0, NotFound, SUMIFS(allFYsTable[Actual], allFYsTable[Code], SummaryTable[[#This Row],[Code]], allFYsTable[year2], BL$3))</f>
        <v>1092</v>
      </c>
      <c r="BQ66" s="61">
        <f>IF(COUNTIFS(allFYsTable[Code], SummaryTable[[#This Row],[Code]], allFYsTable[year2], BL$3)=0, NotFound, SUMIFS(allFYsTable[DiffAmount], allFYsTable[Code], SummaryTable[[#This Row],[Code]], allFYsTable[year2], BL$3))</f>
        <v>-565</v>
      </c>
      <c r="BR66" s="63">
        <f>IF(SummaryTable[[#This Row],[OriginalBudget20]]=0, IF(SummaryTable[[#This Row],[DiffAmount20]]=0, ZeroBudgetNoSpending, ZeroBudgetWithSpending), SummaryTable[[#This Row],[DiffAmount20]]/SummaryTable[[#This Row],[OriginalBudget20]])</f>
        <v>-0.34097767048883526</v>
      </c>
      <c r="BS66" s="62">
        <f>IF(COUNTIFS(allFYsTable[Code], SummaryTable[[#This Row],[Code]], allFYsTable[year2], BS$3)=0, NotFound, SUMIFS(allFYsTable[OriginalBudget], allFYsTable[Code], SummaryTable[[#This Row],[Code]], allFYsTable[year2], BS$3))</f>
        <v>1634</v>
      </c>
      <c r="BT66" s="61">
        <f>SummaryTable[[#This Row],[OriginalBudget19]]-SummaryTable[[#This Row],[OriginalBudget18]]</f>
        <v>0</v>
      </c>
      <c r="BU66" s="54">
        <f>SummaryTable[[#This Row],[BudgetIncreaseAmount19]]/SummaryTable[[#This Row],[OriginalBudget18]]</f>
        <v>0</v>
      </c>
      <c r="BV66" s="61">
        <f>IF(COUNTIFS(allFYsTable[Code], SummaryTable[[#This Row],[Code]], allFYsTable[year2], BS$3)=0, NotFound, SUMIFS(allFYsTable[RevisedBudget], allFYsTable[Code], SummaryTable[[#This Row],[Code]], allFYsTable[year2], BS$3))</f>
        <v>1384</v>
      </c>
      <c r="BW66" s="61">
        <f>IF(COUNTIFS(allFYsTable[Code], SummaryTable[[#This Row],[Code]], allFYsTable[year2], BS$3)=0, NotFound, SUMIFS(allFYsTable[Actual], allFYsTable[Code], SummaryTable[[#This Row],[Code]], allFYsTable[year2], BS$3))</f>
        <v>1326</v>
      </c>
      <c r="BX66" s="61">
        <f>IF(COUNTIFS(allFYsTable[Code], SummaryTable[[#This Row],[Code]], allFYsTable[year2], BS$3)=0, NotFound, SUMIFS(allFYsTable[DiffAmount], allFYsTable[Code], SummaryTable[[#This Row],[Code]], allFYsTable[year2], BS$3))</f>
        <v>-308</v>
      </c>
      <c r="BY66" s="63">
        <f>IF(SummaryTable[[#This Row],[OriginalBudget19]]=0, IF(SummaryTable[[#This Row],[DiffAmount19]]=0, ZeroBudgetNoSpending, ZeroBudgetWithSpending), SummaryTable[[#This Row],[DiffAmount19]]/SummaryTable[[#This Row],[OriginalBudget19]])</f>
        <v>-0.18849449204406366</v>
      </c>
      <c r="BZ66" s="62">
        <f>IF(COUNTIFS(allFYsTable[Code], SummaryTable[[#This Row],[Code]], allFYsTable[year2], BZ$3)=0, NotFound, SUMIFS(allFYsTable[OriginalBudget], allFYsTable[Code], SummaryTable[[#This Row],[Code]], allFYsTable[year2], BZ$3))</f>
        <v>1634</v>
      </c>
      <c r="CA66" s="61">
        <f>SummaryTable[[#This Row],[OriginalBudget18]]-SummaryTable[[#This Row],[OriginalBudget17]]</f>
        <v>-8</v>
      </c>
      <c r="CB66" s="54">
        <f>SummaryTable[[#This Row],[BudgetIncreaseAmount18]]/SummaryTable[[#This Row],[OriginalBudget17]]</f>
        <v>-4.8721071863580996E-3</v>
      </c>
      <c r="CC66" s="61">
        <f>IF(COUNTIFS(allFYsTable[Code], SummaryTable[[#This Row],[Code]], allFYsTable[year2], BZ$3)=0, NotFound, SUMIFS(allFYsTable[RevisedBudget], allFYsTable[Code], SummaryTable[[#This Row],[Code]], allFYsTable[year2], BZ$3))</f>
        <v>1377</v>
      </c>
      <c r="CD66" s="61">
        <f>IF(COUNTIFS(allFYsTable[Code], SummaryTable[[#This Row],[Code]], allFYsTable[year2], BZ$3)=0, NotFound, SUMIFS(allFYsTable[Actual], allFYsTable[Code], SummaryTable[[#This Row],[Code]], allFYsTable[year2], BZ$3))</f>
        <v>1327</v>
      </c>
      <c r="CE66" s="61">
        <f>IF(COUNTIFS(allFYsTable[Code], SummaryTable[[#This Row],[Code]], allFYsTable[year2], BZ$3)=0, NotFound, SUMIFS(allFYsTable[DiffAmount], allFYsTable[Code], SummaryTable[[#This Row],[Code]], allFYsTable[year2], BZ$3))</f>
        <v>-307</v>
      </c>
      <c r="CF66" s="63">
        <f>IF(SummaryTable[[#This Row],[OriginalBudget18]]=0, IF(SummaryTable[[#This Row],[DiffAmount18]]=0, ZeroBudgetNoSpending, ZeroBudgetWithSpending), SummaryTable[[#This Row],[DiffAmount18]]/SummaryTable[[#This Row],[OriginalBudget18]])</f>
        <v>-0.18788249694002448</v>
      </c>
      <c r="CG66" s="62">
        <f>IF(COUNTIFS(allFYsTable[Code], SummaryTable[[#This Row],[Code]], allFYsTable[year2], CG$3)=0, NotFound, SUMIFS(allFYsTable[OriginalBudget], allFYsTable[Code], SummaryTable[[#This Row],[Code]], allFYsTable[year2], CG$3))</f>
        <v>1642</v>
      </c>
      <c r="CH66" s="61">
        <f>SummaryTable[[#This Row],[OriginalBudget17]]-SummaryTable[[#This Row],[OriginalBudget16]]</f>
        <v>46</v>
      </c>
      <c r="CI66" s="54">
        <f>SummaryTable[[#This Row],[BudgetIncreaseAmount17]]/SummaryTable[[#This Row],[OriginalBudget16]]</f>
        <v>2.882205513784461E-2</v>
      </c>
      <c r="CJ66" s="61">
        <f>IF(COUNTIFS(allFYsTable[Code], SummaryTable[[#This Row],[Code]], allFYsTable[year2], CG$3)=0, NotFound, SUMIFS(allFYsTable[RevisedBudget], allFYsTable[Code], SummaryTable[[#This Row],[Code]], allFYsTable[year2], CG$3))</f>
        <v>1335</v>
      </c>
      <c r="CK66" s="61">
        <f>IF(COUNTIFS(allFYsTable[Code], SummaryTable[[#This Row],[Code]], allFYsTable[year2], CG$3)=0, NotFound, SUMIFS(allFYsTable[Actual], allFYsTable[Code], SummaryTable[[#This Row],[Code]], allFYsTable[year2], CG$3))</f>
        <v>1322</v>
      </c>
      <c r="CL66" s="61">
        <f>IF(COUNTIFS(allFYsTable[Code], SummaryTable[[#This Row],[Code]], allFYsTable[year2], CG$3)=0, NotFound, SUMIFS(allFYsTable[DiffAmount], allFYsTable[Code], SummaryTable[[#This Row],[Code]], allFYsTable[year2], CG$3))</f>
        <v>-320</v>
      </c>
      <c r="CM66" s="63">
        <f>IF(SummaryTable[[#This Row],[OriginalBudget17]]=0, IF(SummaryTable[[#This Row],[DiffAmount17]]=0, ZeroBudgetNoSpending, ZeroBudgetWithSpending), SummaryTable[[#This Row],[DiffAmount17]]/SummaryTable[[#This Row],[OriginalBudget17]])</f>
        <v>-0.19488428745432398</v>
      </c>
      <c r="CN66" s="62">
        <f>IF(COUNTIFS(allFYsTable[Code], SummaryTable[[#This Row],[Code]], allFYsTable[year2], CN$3)=0, NotFound, SUMIFS(allFYsTable[OriginalBudget], allFYsTable[Code], SummaryTable[[#This Row],[Code]], allFYsTable[year2], CN$3))</f>
        <v>1596</v>
      </c>
      <c r="CO66" s="61" t="e">
        <f>SummaryTable[[#This Row],[OriginalBudget16]]-SummaryTable[[#This Row],[OriginalBudget15]]</f>
        <v>#N/A</v>
      </c>
      <c r="CP66" s="54" t="e">
        <f>SummaryTable[[#This Row],[BudgetIncreaseAmount16]]/SummaryTable[[#This Row],[OriginalBudget15]]</f>
        <v>#N/A</v>
      </c>
      <c r="CQ66" s="61">
        <f>IF(COUNTIFS(allFYsTable[Code], SummaryTable[[#This Row],[Code]], allFYsTable[year2], CN$3)=0, NotFound, SUMIFS(allFYsTable[RevisedBudget], allFYsTable[Code], SummaryTable[[#This Row],[Code]], allFYsTable[year2], CN$3))</f>
        <v>1096</v>
      </c>
      <c r="CR66" s="61">
        <f>IF(COUNTIFS(allFYsTable[Code], SummaryTable[[#This Row],[Code]], allFYsTable[year2], CN$3)=0, NotFound, SUMIFS(allFYsTable[Actual], allFYsTable[Code], SummaryTable[[#This Row],[Code]], allFYsTable[year2], CN$3))</f>
        <v>1092</v>
      </c>
      <c r="CS66" s="61">
        <f>IF(COUNTIFS(allFYsTable[Code], SummaryTable[[#This Row],[Code]], allFYsTable[year2], CN$3)=0, NotFound, SUMIFS(allFYsTable[DiffAmount], allFYsTable[Code], SummaryTable[[#This Row],[Code]], allFYsTable[year2], CN$3))</f>
        <v>-504</v>
      </c>
      <c r="CT66" s="63">
        <f>IF(SummaryTable[[#This Row],[OriginalBudget16]]=0, IF(SummaryTable[[#This Row],[DiffAmount16]]=0, ZeroBudgetNoSpending, ZeroBudgetWithSpending), SummaryTable[[#This Row],[DiffAmount16]]/SummaryTable[[#This Row],[OriginalBudget16]])</f>
        <v>-0.31578947368421051</v>
      </c>
      <c r="CU66" s="62" t="e">
        <f>IF(COUNTIFS(allFYsTable[Code], SummaryTable[[#This Row],[Code]], allFYsTable[year2], CU$3)=0, NotFound, SUMIFS(allFYsTable[OriginalBudget], allFYsTable[Code], SummaryTable[[#This Row],[Code]], allFYsTable[year2], CU$3))</f>
        <v>#N/A</v>
      </c>
      <c r="CV66" s="61" t="e">
        <f>SummaryTable[[#This Row],[OriginalBudget15]]-SummaryTable[[#This Row],[OriginalBudget14]]</f>
        <v>#N/A</v>
      </c>
      <c r="CW66" s="54" t="e">
        <f>SummaryTable[[#This Row],[BudgetIncreaseAmount15]]/SummaryTable[[#This Row],[OriginalBudget14]]</f>
        <v>#N/A</v>
      </c>
      <c r="CX66" s="61" t="e">
        <f>IF(COUNTIFS(allFYsTable[Code], SummaryTable[[#This Row],[Code]], allFYsTable[year2], CU$3)=0, NotFound, SUMIFS(allFYsTable[RevisedBudget], allFYsTable[Code], SummaryTable[[#This Row],[Code]], allFYsTable[year2], CU$3))</f>
        <v>#N/A</v>
      </c>
      <c r="CY66" s="61" t="e">
        <f>IF(COUNTIFS(allFYsTable[Code], SummaryTable[[#This Row],[Code]], allFYsTable[year2], CU$3)=0, NotFound, SUMIFS(allFYsTable[Actual], allFYsTable[Code], SummaryTable[[#This Row],[Code]], allFYsTable[year2], CU$3))</f>
        <v>#N/A</v>
      </c>
      <c r="CZ66" s="61" t="e">
        <f>IF(COUNTIFS(allFYsTable[Code], SummaryTable[[#This Row],[Code]], allFYsTable[year2], CU$3)=0, NotFound, SUMIFS(allFYsTable[DiffAmount], allFYsTable[Code], SummaryTable[[#This Row],[Code]], allFYsTable[year2], CU$3))</f>
        <v>#N/A</v>
      </c>
      <c r="DA66" s="63" t="e">
        <f>IF(SummaryTable[[#This Row],[OriginalBudget15]]=0, IF(SummaryTable[[#This Row],[DiffAmount15]]=0, ZeroBudgetNoSpending, ZeroBudgetWithSpending), SummaryTable[[#This Row],[DiffAmount15]]/SummaryTable[[#This Row],[OriginalBudget15]])</f>
        <v>#N/A</v>
      </c>
      <c r="DB66" s="62" t="e">
        <f>IF(COUNTIFS(allFYsTable[Code], SummaryTable[[#This Row],[Code]], allFYsTable[year2], DB$3)=0, NotFound, SUMIFS(allFYsTable[OriginalBudget], allFYsTable[Code], SummaryTable[[#This Row],[Code]], allFYsTable[year2], DB$3))</f>
        <v>#N/A</v>
      </c>
      <c r="DC66" s="61" t="e">
        <f>SummaryTable[[#This Row],[OriginalBudget14]]-SummaryTable[[#This Row],[OriginalBudget13]]</f>
        <v>#N/A</v>
      </c>
      <c r="DD66" s="54" t="e">
        <f>SummaryTable[[#This Row],[BudgetIncreaseAmount14]]/SummaryTable[[#This Row],[OriginalBudget13]]</f>
        <v>#N/A</v>
      </c>
      <c r="DE66" s="61" t="e">
        <f>IF(COUNTIFS(allFYsTable[Code], SummaryTable[[#This Row],[Code]], allFYsTable[year2], DB$3)=0, NotFound, SUMIFS(allFYsTable[RevisedBudget], allFYsTable[Code], SummaryTable[[#This Row],[Code]], allFYsTable[year2], DB$3))</f>
        <v>#N/A</v>
      </c>
      <c r="DF66" s="61" t="e">
        <f>IF(COUNTIFS(allFYsTable[Code], SummaryTable[[#This Row],[Code]], allFYsTable[year2], DB$3)=0, NotFound, SUMIFS(allFYsTable[Actual], allFYsTable[Code], SummaryTable[[#This Row],[Code]], allFYsTable[year2], DB$3))</f>
        <v>#N/A</v>
      </c>
      <c r="DG66" s="61" t="e">
        <f>IF(COUNTIFS(allFYsTable[Code], SummaryTable[[#This Row],[Code]], allFYsTable[year2], DB$3)=0, NotFound, SUMIFS(allFYsTable[DiffAmount], allFYsTable[Code], SummaryTable[[#This Row],[Code]], allFYsTable[year2], DB$3))</f>
        <v>#N/A</v>
      </c>
      <c r="DH66" s="63" t="e">
        <f>IF(SummaryTable[[#This Row],[OriginalBudget14]]=0, IF(SummaryTable[[#This Row],[DiffAmount14]]=0, ZeroBudgetNoSpending, ZeroBudgetWithSpending), SummaryTable[[#This Row],[DiffAmount14]]/SummaryTable[[#This Row],[OriginalBudget14]])</f>
        <v>#N/A</v>
      </c>
      <c r="DI66" s="62" t="e">
        <f>IF(COUNTIFS(allFYsTable[Code], SummaryTable[[#This Row],[Code]], allFYsTable[year2], DI$3)=0, NotFound, SUMIFS(allFYsTable[OriginalBudget], allFYsTable[Code], SummaryTable[[#This Row],[Code]], allFYsTable[year2], DI$3))</f>
        <v>#N/A</v>
      </c>
      <c r="DJ66" s="61" t="e">
        <f>SummaryTable[[#This Row],[OriginalBudget13]]-SummaryTable[[#This Row],[OriginalBudget12]]</f>
        <v>#N/A</v>
      </c>
      <c r="DK66" s="54" t="e">
        <f>SummaryTable[[#This Row],[BudgetIncreaseAmount13]]/SummaryTable[[#This Row],[OriginalBudget12]]</f>
        <v>#N/A</v>
      </c>
      <c r="DL66" s="61" t="e">
        <f>IF(COUNTIFS(allFYsTable[Code], SummaryTable[[#This Row],[Code]], allFYsTable[year2], DI$3)=0, NotFound, SUMIFS(allFYsTable[RevisedBudget], allFYsTable[Code], SummaryTable[[#This Row],[Code]], allFYsTable[year2], DI$3))</f>
        <v>#N/A</v>
      </c>
      <c r="DM66" s="61" t="e">
        <f>IF(COUNTIFS(allFYsTable[Code], SummaryTable[[#This Row],[Code]], allFYsTable[year2], DI$3)=0, NotFound, SUMIFS(allFYsTable[Actual], allFYsTable[Code], SummaryTable[[#This Row],[Code]], allFYsTable[year2], DI$3))</f>
        <v>#N/A</v>
      </c>
      <c r="DN66" s="61" t="e">
        <f>IF(COUNTIFS(allFYsTable[Code], SummaryTable[[#This Row],[Code]], allFYsTable[year2], DI$3)=0, NotFound, SUMIFS(allFYsTable[DiffAmount], allFYsTable[Code], SummaryTable[[#This Row],[Code]], allFYsTable[year2], DI$3))</f>
        <v>#N/A</v>
      </c>
      <c r="DO66" s="63" t="e">
        <f>IF(SummaryTable[[#This Row],[OriginalBudget13]]=0, IF(SummaryTable[[#This Row],[DiffAmount13]]=0, ZeroBudgetNoSpending, ZeroBudgetWithSpending), SummaryTable[[#This Row],[DiffAmount13]]/SummaryTable[[#This Row],[OriginalBudget13]])</f>
        <v>#N/A</v>
      </c>
      <c r="DP66" s="62" t="e">
        <f>IF(COUNTIFS(allFYsTable[Code], SummaryTable[[#This Row],[Code]], allFYsTable[year2], DP$3)=0, NotFound, SUMIFS(allFYsTable[OriginalBudget], allFYsTable[Code], SummaryTable[[#This Row],[Code]], allFYsTable[year2], DP$3))</f>
        <v>#N/A</v>
      </c>
      <c r="DQ66" s="61" t="e">
        <f>SummaryTable[[#This Row],[OriginalBudget12]]-SummaryTable[[#This Row],[OriginalBudget11]]</f>
        <v>#N/A</v>
      </c>
      <c r="DR66" s="54" t="e">
        <f>SummaryTable[[#This Row],[BudgetIncreaseAmount12]]/SummaryTable[[#This Row],[OriginalBudget11]]</f>
        <v>#N/A</v>
      </c>
      <c r="DS66" s="61" t="e">
        <f>IF(COUNTIFS(allFYsTable[Code], SummaryTable[[#This Row],[Code]], allFYsTable[year2], DP$3)=0, NotFound, SUMIFS(allFYsTable[RevisedBudget], allFYsTable[Code], SummaryTable[[#This Row],[Code]], allFYsTable[year2], DP$3))</f>
        <v>#N/A</v>
      </c>
      <c r="DT66" s="61" t="e">
        <f>IF(COUNTIFS(allFYsTable[Code], SummaryTable[[#This Row],[Code]], allFYsTable[year2], DP$3)=0, NotFound, SUMIFS(allFYsTable[Actual], allFYsTable[Code], SummaryTable[[#This Row],[Code]], allFYsTable[year2], DP$3))</f>
        <v>#N/A</v>
      </c>
      <c r="DU66" s="61" t="e">
        <f>IF(COUNTIFS(allFYsTable[Code], SummaryTable[[#This Row],[Code]], allFYsTable[year2], DP$3)=0, NotFound, SUMIFS(allFYsTable[DiffAmount], allFYsTable[Code], SummaryTable[[#This Row],[Code]], allFYsTable[year2], DP$3))</f>
        <v>#N/A</v>
      </c>
      <c r="DV66" s="63" t="e">
        <f>IF(SummaryTable[[#This Row],[OriginalBudget12]]=0, IF(SummaryTable[[#This Row],[DiffAmount12]]=0, ZeroBudgetNoSpending, ZeroBudgetWithSpending), SummaryTable[[#This Row],[DiffAmount12]]/SummaryTable[[#This Row],[OriginalBudget12]])</f>
        <v>#N/A</v>
      </c>
      <c r="DW66" s="62" t="e">
        <f>IF(COUNTIFS(allFYsTable[Code], SummaryTable[[#This Row],[Code]], allFYsTable[year2], DW$3)=0, NotFound, SUMIFS(allFYsTable[OriginalBudget], allFYsTable[Code], SummaryTable[[#This Row],[Code]], allFYsTable[year2], DW$3))</f>
        <v>#N/A</v>
      </c>
      <c r="DX66" s="61" t="e">
        <f>SummaryTable[[#This Row],[OriginalBudget11]]-SummaryTable[[#This Row],[OriginalBudget10]]</f>
        <v>#N/A</v>
      </c>
      <c r="DY66" s="54" t="e">
        <f>SummaryTable[[#This Row],[BudgetIncreaseAmount11]]/SummaryTable[[#This Row],[OriginalBudget10]]</f>
        <v>#N/A</v>
      </c>
      <c r="DZ66" s="61" t="e">
        <f>IF(COUNTIFS(allFYsTable[Code], SummaryTable[[#This Row],[Code]], allFYsTable[year2], DW$3)=0, NotFound, SUMIFS(allFYsTable[RevisedBudget], allFYsTable[Code], SummaryTable[[#This Row],[Code]], allFYsTable[year2], DW$3))</f>
        <v>#N/A</v>
      </c>
      <c r="EA66" s="61" t="e">
        <f>IF(COUNTIFS(allFYsTable[Code], SummaryTable[[#This Row],[Code]], allFYsTable[year2], DW$3)=0, NotFound, SUMIFS(allFYsTable[Actual], allFYsTable[Code], SummaryTable[[#This Row],[Code]], allFYsTable[year2], DW$3))</f>
        <v>#N/A</v>
      </c>
      <c r="EB66" s="61" t="e">
        <f>IF(COUNTIFS(allFYsTable[Code], SummaryTable[[#This Row],[Code]], allFYsTable[year2], DW$3)=0, NotFound, SUMIFS(allFYsTable[DiffAmount], allFYsTable[Code], SummaryTable[[#This Row],[Code]], allFYsTable[year2], DW$3))</f>
        <v>#N/A</v>
      </c>
      <c r="EC66" s="63" t="e">
        <f>IF(SummaryTable[[#This Row],[OriginalBudget11]]=0, IF(SummaryTable[[#This Row],[DiffAmount11]]=0, ZeroBudgetNoSpending, ZeroBudgetWithSpending), SummaryTable[[#This Row],[DiffAmount11]]/SummaryTable[[#This Row],[OriginalBudget11]])</f>
        <v>#N/A</v>
      </c>
      <c r="ED66" s="62" t="e">
        <f>IF(COUNTIFS(allFYsTable[Code], SummaryTable[[#This Row],[Code]], allFYsTable[year2], ED$3)=0, NotFound, SUMIFS(allFYsTable[OriginalBudget], allFYsTable[Code], SummaryTable[[#This Row],[Code]], allFYsTable[year2], ED$3))</f>
        <v>#N/A</v>
      </c>
      <c r="EE66" s="61" t="e">
        <f>SummaryTable[[#This Row],[OriginalBudget10]]-SummaryTable[[#This Row],[OriginalBudget09]]</f>
        <v>#N/A</v>
      </c>
      <c r="EF66" s="54" t="e">
        <f>SummaryTable[[#This Row],[BudgetIncreaseAmount10]]/SummaryTable[[#This Row],[OriginalBudget09]]</f>
        <v>#N/A</v>
      </c>
      <c r="EG66" s="61" t="e">
        <f>IF(COUNTIFS(allFYsTable[Code], SummaryTable[[#This Row],[Code]], allFYsTable[year2], ED$3)=0, NotFound, SUMIFS(allFYsTable[RevisedBudget], allFYsTable[Code], SummaryTable[[#This Row],[Code]], allFYsTable[year2], ED$3))</f>
        <v>#N/A</v>
      </c>
      <c r="EH66" s="61" t="e">
        <f>IF(COUNTIFS(allFYsTable[Code], SummaryTable[[#This Row],[Code]], allFYsTable[year2], ED$3)=0, NotFound, SUMIFS(allFYsTable[Actual], allFYsTable[Code], SummaryTable[[#This Row],[Code]], allFYsTable[year2], ED$3))</f>
        <v>#N/A</v>
      </c>
      <c r="EI66" s="61" t="e">
        <f>IF(COUNTIFS(allFYsTable[Code], SummaryTable[[#This Row],[Code]], allFYsTable[year2], ED$3)=0, NotFound, SUMIFS(allFYsTable[DiffAmount], allFYsTable[Code], SummaryTable[[#This Row],[Code]], allFYsTable[year2], ED$3))</f>
        <v>#N/A</v>
      </c>
      <c r="EJ66" s="63" t="e">
        <f>IF(SummaryTable[[#This Row],[OriginalBudget10]]=0, IF(SummaryTable[[#This Row],[DiffAmount10]]=0, ZeroBudgetNoSpending, ZeroBudgetWithSpending), SummaryTable[[#This Row],[DiffAmount10]]/SummaryTable[[#This Row],[OriginalBudget10]])</f>
        <v>#N/A</v>
      </c>
      <c r="EK66" s="62" t="e">
        <f>IF(COUNTIFS(allFYsTable[Code], SummaryTable[[#This Row],[Code]], allFYsTable[year2], EK$3)=0, NotFound, SUMIFS(allFYsTable[OriginalBudget], allFYsTable[Code], SummaryTable[[#This Row],[Code]], allFYsTable[year2], EK$3))</f>
        <v>#N/A</v>
      </c>
      <c r="EL66" s="61" t="e">
        <f>SummaryTable[[#This Row],[OriginalBudget09]]-SummaryTable[[#This Row],[OriginalBudget08]]</f>
        <v>#N/A</v>
      </c>
      <c r="EM66" s="54" t="e">
        <f>SummaryTable[[#This Row],[BudgetIncreaseAmount09]]/SummaryTable[[#This Row],[OriginalBudget08]]</f>
        <v>#N/A</v>
      </c>
      <c r="EN66" s="61" t="e">
        <f>IF(COUNTIFS(allFYsTable[Code], SummaryTable[[#This Row],[Code]], allFYsTable[year2], EK$3)=0, NotFound, SUMIFS(allFYsTable[RevisedBudget], allFYsTable[Code], SummaryTable[[#This Row],[Code]], allFYsTable[year2], EK$3))</f>
        <v>#N/A</v>
      </c>
      <c r="EO66" s="61" t="e">
        <f>IF(COUNTIFS(allFYsTable[Code], SummaryTable[[#This Row],[Code]], allFYsTable[year2], EK$3)=0, NotFound, SUMIFS(allFYsTable[Actual], allFYsTable[Code], SummaryTable[[#This Row],[Code]], allFYsTable[year2], EK$3))</f>
        <v>#N/A</v>
      </c>
      <c r="EP66" s="61" t="e">
        <f>IF(COUNTIFS(allFYsTable[Code], SummaryTable[[#This Row],[Code]], allFYsTable[year2], EK$3)=0, NotFound, SUMIFS(allFYsTable[DiffAmount], allFYsTable[Code], SummaryTable[[#This Row],[Code]], allFYsTable[year2], EK$3))</f>
        <v>#N/A</v>
      </c>
      <c r="EQ66" s="63" t="e">
        <f>IF(SummaryTable[[#This Row],[OriginalBudget09]]=0, IF(SummaryTable[[#This Row],[DiffAmount09]]=0, ZeroBudgetNoSpending, ZeroBudgetWithSpending), SummaryTable[[#This Row],[DiffAmount09]]/SummaryTable[[#This Row],[OriginalBudget09]])</f>
        <v>#N/A</v>
      </c>
      <c r="ER66" s="62" t="e">
        <f>IF(COUNTIFS(allFYsTable[Code], SummaryTable[[#This Row],[Code]], allFYsTable[year2], ER$3)=0, NotFound, SUMIFS(allFYsTable[OriginalBudget], allFYsTable[Code], SummaryTable[[#This Row],[Code]], allFYsTable[year2], ER$3))</f>
        <v>#N/A</v>
      </c>
      <c r="ES66" s="61" t="e">
        <f>SummaryTable[[#This Row],[OriginalBudget08]]-SummaryTable[[#This Row],[OriginalBudget07]]</f>
        <v>#N/A</v>
      </c>
      <c r="ET66" s="54" t="e">
        <f>SummaryTable[[#This Row],[BudgetIncreaseAmount08]]/SummaryTable[[#This Row],[OriginalBudget07]]</f>
        <v>#N/A</v>
      </c>
      <c r="EU66" s="61" t="e">
        <f>IF(COUNTIFS(allFYsTable[Code], SummaryTable[[#This Row],[Code]], allFYsTable[year2], ER$3)=0, NotFound, SUMIFS(allFYsTable[RevisedBudget], allFYsTable[Code], SummaryTable[[#This Row],[Code]], allFYsTable[year2], ER$3))</f>
        <v>#N/A</v>
      </c>
      <c r="EV66" s="61" t="e">
        <f>IF(COUNTIFS(allFYsTable[Code], SummaryTable[[#This Row],[Code]], allFYsTable[year2], ER$3)=0, NotFound, SUMIFS(allFYsTable[Actual], allFYsTable[Code], SummaryTable[[#This Row],[Code]], allFYsTable[year2], ER$3))</f>
        <v>#N/A</v>
      </c>
      <c r="EW66" s="61" t="e">
        <f>IF(COUNTIFS(allFYsTable[Code], SummaryTable[[#This Row],[Code]], allFYsTable[year2], ER$3)=0, NotFound, SUMIFS(allFYsTable[DiffAmount], allFYsTable[Code], SummaryTable[[#This Row],[Code]], allFYsTable[year2], ER$3))</f>
        <v>#N/A</v>
      </c>
      <c r="EX66" s="63" t="e">
        <f>IF(SummaryTable[[#This Row],[OriginalBudget08]]=0, IF(SummaryTable[[#This Row],[DiffAmount08]]=0, ZeroBudgetNoSpending, ZeroBudgetWithSpending), SummaryTable[[#This Row],[DiffAmount08]]/SummaryTable[[#This Row],[OriginalBudget08]])</f>
        <v>#N/A</v>
      </c>
      <c r="EY66" s="62" t="e">
        <f>IF(COUNTIFS(allFYsTable[Code], SummaryTable[[#This Row],[Code]], allFYsTable[year2], EY$3)=0, NotFound, SUMIFS(allFYsTable[OriginalBudget], allFYsTable[Code], SummaryTable[[#This Row],[Code]], allFYsTable[year2], EY$3))</f>
        <v>#N/A</v>
      </c>
      <c r="EZ66" s="61" t="e">
        <f>SummaryTable[[#This Row],[OriginalBudget07]]-SummaryTable[[#This Row],[OriginalBudget06]]</f>
        <v>#N/A</v>
      </c>
      <c r="FA66" s="54" t="e">
        <f>SummaryTable[[#This Row],[BudgetIncreaseAmount07]]/SummaryTable[[#This Row],[OriginalBudget06]]</f>
        <v>#N/A</v>
      </c>
      <c r="FB66" s="61" t="e">
        <f>IF(COUNTIFS(allFYsTable[Code], SummaryTable[[#This Row],[Code]], allFYsTable[year2], EY$3)=0, NotFound, SUMIFS(allFYsTable[RevisedBudget], allFYsTable[Code], SummaryTable[[#This Row],[Code]], allFYsTable[year2], EY$3))</f>
        <v>#N/A</v>
      </c>
      <c r="FC66" s="61" t="e">
        <f>IF(COUNTIFS(allFYsTable[Code], SummaryTable[[#This Row],[Code]], allFYsTable[year2], EY$3)=0, NotFound, SUMIFS(allFYsTable[Actual], allFYsTable[Code], SummaryTable[[#This Row],[Code]], allFYsTable[year2], EY$3))</f>
        <v>#N/A</v>
      </c>
      <c r="FD66" s="61" t="e">
        <f>IF(COUNTIFS(allFYsTable[Code], SummaryTable[[#This Row],[Code]], allFYsTable[year2], EY$3)=0, NotFound, SUMIFS(allFYsTable[DiffAmount], allFYsTable[Code], SummaryTable[[#This Row],[Code]], allFYsTable[year2], EY$3))</f>
        <v>#N/A</v>
      </c>
      <c r="FE66" s="63" t="e">
        <f>IF(SummaryTable[[#This Row],[OriginalBudget07]]=0, IF(SummaryTable[[#This Row],[DiffAmount07]]=0, ZeroBudgetNoSpending, ZeroBudgetWithSpending), SummaryTable[[#This Row],[DiffAmount07]]/SummaryTable[[#This Row],[OriginalBudget07]])</f>
        <v>#N/A</v>
      </c>
      <c r="FF66" s="62" t="e">
        <f>IF(COUNTIFS(allFYsTable[Code], SummaryTable[[#This Row],[Code]], allFYsTable[year2], FF$3)=0, NotFound, SUMIFS(allFYsTable[OriginalBudget], allFYsTable[Code], SummaryTable[[#This Row],[Code]], allFYsTable[year2], FF$3))</f>
        <v>#N/A</v>
      </c>
      <c r="FI66" s="61" t="e">
        <f>IF(COUNTIFS(allFYsTable[Code], SummaryTable[[#This Row],[Code]], allFYsTable[year2], FF$3)=0, NotFound, SUMIFS(allFYsTable[RevisedBudget], allFYsTable[Code], SummaryTable[[#This Row],[Code]], allFYsTable[year2], FF$3))</f>
        <v>#N/A</v>
      </c>
      <c r="FJ66" s="61" t="e">
        <f>IF(COUNTIFS(allFYsTable[Code], SummaryTable[[#This Row],[Code]], allFYsTable[year2], FF$3)=0, NotFound, SUMIFS(allFYsTable[Actual], allFYsTable[Code], SummaryTable[[#This Row],[Code]], allFYsTable[year2], FF$3))</f>
        <v>#N/A</v>
      </c>
      <c r="FK66" s="61" t="e">
        <f>IF(COUNTIFS(allFYsTable[Code], SummaryTable[[#This Row],[Code]], allFYsTable[year2], FF$3)=0, NotFound, SUMIFS(allFYsTable[DiffAmount], allFYsTable[Code], SummaryTable[[#This Row],[Code]], allFYsTable[year2], FF$3))</f>
        <v>#N/A</v>
      </c>
      <c r="FL66" s="63" t="e">
        <f>IF(SummaryTable[[#This Row],[OriginalBudget06]]=0, IF(SummaryTable[[#This Row],[DiffAmount06]]=0, ZeroBudgetNoSpending, ZeroBudgetWithSpending), SummaryTable[[#This Row],[DiffAmount06]]/SummaryTable[[#This Row],[OriginalBudget06]])</f>
        <v>#N/A</v>
      </c>
    </row>
    <row r="67" spans="1:168" x14ac:dyDescent="0.45">
      <c r="A67" t="s">
        <v>758</v>
      </c>
      <c r="B67">
        <f>_xlfn.MAXIFS(allFYsTable[year2], allFYsTable[Code], SummaryTable[[#This Row],[Code]])</f>
        <v>2025</v>
      </c>
      <c r="C67" t="str">
        <f>_xlfn.XLOOKUP(SummaryTable[[#This Row],[Code]], NameCodingTable[Code], NameCodingTable[Most Recent Category per allFYs])</f>
        <v>Public safety and justice</v>
      </c>
      <c r="D67" t="str">
        <f>_xlfn.XLOOKUP(SummaryTable[[#This Row],[Code]], NameCodingTable[Code], NameCodingTable[Unit Display Name])</f>
        <v>Metropolitan Police Department (MPD)</v>
      </c>
      <c r="E67" t="str">
        <f>_xlfn.XLOOKUP(SummaryTable[[#This Row],[Code]], NameCodingTable[Code], NameCodingTable[Type])</f>
        <v>agency</v>
      </c>
      <c r="F6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6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13</v>
      </c>
      <c r="H67" s="54">
        <f>SummaryTable[[#This Row],['# Over]]/SummaryTable[[#This Row],[Count]]</f>
        <v>0.65</v>
      </c>
      <c r="I6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7</v>
      </c>
      <c r="J67" s="54">
        <f>SummaryTable[[#This Row],['# Under]]/SummaryTable[[#This Row],[Count]]</f>
        <v>0.35</v>
      </c>
      <c r="K6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67" s="54">
        <f>SummaryTable[[#This Row],['# Equal]]/SummaryTable[[#This Row],[Count]]</f>
        <v>0</v>
      </c>
      <c r="M67" s="61">
        <f>SUMIFS(allFYsTable[OriginalBudget],allFYsTable[Code],SummaryTable[[#This Row],[Code]])/SummaryTable[[#This Row],[Count]]</f>
        <v>494969.45</v>
      </c>
      <c r="N67" s="61">
        <f>SUMIFS(allFYsTable[Actual],allFYsTable[Code],SummaryTable[[#This Row],[Code]])/SummaryTable[[#This Row],[Count]]</f>
        <v>515129.75</v>
      </c>
      <c r="O67" s="61">
        <f>SummaryTable[[#This Row],[AvgActAmt]]-SummaryTable[[#This Row],[AvgBudAmt]]</f>
        <v>20160.299999999988</v>
      </c>
      <c r="P67" s="54">
        <f>IF(SummaryTable[[#This Row],[AvgBudAmt]]=0, IF(SummaryTable[[#This Row],[AvgDiff'#]]=0, 0, NamedFields!$C$3), SummaryTable[[#This Row],[AvgDiff'#]]/SummaryTable[[#This Row],[AvgBudAmt]])</f>
        <v>4.0730392552510035E-2</v>
      </c>
      <c r="Q67" s="61">
        <f>IFERROR(SUMIFS(allFYsTable[OriginalBudget],allFYsTable[Code],SummaryTable[[#This Row],[Code]],allFYsTable[DiffAmount], "&gt;0")/SummaryTable[[#This Row],['# Over]], 0)</f>
        <v>497496.46153846156</v>
      </c>
      <c r="R67" s="61">
        <f>IFERROR(SUMIFS(allFYsTable[Actual],allFYsTable[Code],SummaryTable[[#This Row],[Code]],allFYsTable[DiffAmount], "&gt;0")/SummaryTable[[#This Row],['# Over]], 0)</f>
        <v>537012.4615384615</v>
      </c>
      <c r="S67" s="61">
        <f>SummaryTable[[#This Row],[OverAvgAct]]-SummaryTable[[#This Row],[OverAvgBud]]</f>
        <v>39515.999999999942</v>
      </c>
      <c r="T67" s="54">
        <f>IF(SummaryTable[[#This Row],[OverAvgBud]]=0, IF(SummaryTable[[#This Row],[OverAvgDiff'#]]=0, ZeroBudgetNoSpending, ZeroBudgetWithSpending), SummaryTable[[#This Row],[OverAvgDiff'#]]/SummaryTable[[#This Row],[OverAvgBud]])</f>
        <v>7.942971067130887E-2</v>
      </c>
      <c r="U67" s="61">
        <f>IFERROR(SUMIFS(allFYsTable[OriginalBudget],allFYsTable[Code],SummaryTable[[#This Row],[Code]],allFYsTable[DiffAmount], "&lt;0")/SummaryTable[[#This Row],['# Under]], 0)</f>
        <v>490276.42857142858</v>
      </c>
      <c r="V67" s="61">
        <f>IFERROR( SUMIFS(allFYsTable[Actual],allFYsTable[Code],SummaryTable[[#This Row],[Code]],allFYsTable[DiffAmount], "&lt;0")/SummaryTable[[#This Row],['# Under]], 0)</f>
        <v>474490.42857142858</v>
      </c>
      <c r="W67" s="61">
        <f>SummaryTable[[#This Row],[UnderAvgAct]]-SummaryTable[[#This Row],[UnderAvgBud]]</f>
        <v>-15786</v>
      </c>
      <c r="X67" s="54">
        <f>IF(SummaryTable[[#This Row],[UnderAvgBud]]=0, IF(SummaryTable[[#This Row],[UnderAvgDiff'#]]=0, ZeroBudgetNoSpending, NamedFields!$C$3), SummaryTable[[#This Row],[UnderAvgDiff'#]]/SummaryTable[[#This Row],[UnderAvgBud]])</f>
        <v>-3.2198162261231636E-2</v>
      </c>
      <c r="Y6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6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67" s="54">
        <f>IF(SummaryTable[[#This Row],[IncreaseYears]]=0, ZeroBudgetNoSpending, SummaryTable[[#This Row],[OSinIncreaseYear'#]]/SummaryTable[[#This Row],[IncreaseYears]])</f>
        <v>0.33333333333333331</v>
      </c>
      <c r="AB67" s="58" t="str">
        <f>SummaryTable[[#This Row],[Code]]</f>
        <v>FA0</v>
      </c>
      <c r="AC67" s="62">
        <f>IF(COUNTIFS(allFYsTable[Code], SummaryTable[[#This Row],[Code]], allFYsTable[year2], AC$3)=0, NotFound, SUMIFS(allFYsTable[OriginalBudget], allFYsTable[Code], SummaryTable[[#This Row],[Code]], allFYsTable[year2], AC$3))</f>
        <v>561636</v>
      </c>
      <c r="AD67" s="61">
        <f>SummaryTable[[#This Row],[OriginalBudget25]]-SummaryTable[[#This Row],[OriginalBudget24]]</f>
        <v>75623</v>
      </c>
      <c r="AE67" s="54">
        <f>SummaryTable[[#This Row],[BudgetIncreaseAmount25]]/SummaryTable[[#This Row],[OriginalBudget24]]</f>
        <v>0.15559871855279592</v>
      </c>
      <c r="AF67" s="61">
        <f>IF(COUNTIFS(allFYsTable[Code], SummaryTable[[#This Row],[Code]], allFYsTable[year2], AC$3)=0, NotFound, SUMIFS(allFYsTable[RevisedBudget], allFYsTable[Code], SummaryTable[[#This Row],[Code]], allFYsTable[year2], AC$3))</f>
        <v>642925</v>
      </c>
      <c r="AG67" s="61">
        <f>IF(COUNTIFS(allFYsTable[Code], SummaryTable[[#This Row],[Code]], allFYsTable[year2], AC$3)=0, NotFound, SUMIFS(allFYsTable[Actual], allFYsTable[Code], SummaryTable[[#This Row],[Code]], allFYsTable[year2], AC$3))</f>
        <v>642796</v>
      </c>
      <c r="AH67" s="61">
        <f>IF(COUNTIFS(allFYsTable[Code], SummaryTable[[#This Row],[Code]], allFYsTable[year2], AC$3)=0, NotFound, SUMIFS(allFYsTable[DiffAmount], allFYsTable[Code], SummaryTable[[#This Row],[Code]], allFYsTable[year2], AC$3))</f>
        <v>81160</v>
      </c>
      <c r="AI67" s="63">
        <f>IF(SummaryTable[[#This Row],[OriginalBudget25]]=0, IF(SummaryTable[[#This Row],[DiffAmount25]]=0, ZeroBudgetNoSpending, ZeroBudgetWithSpending), SummaryTable[[#This Row],[DiffAmount25]]/SummaryTable[[#This Row],[OriginalBudget25]])</f>
        <v>0.14450640628449743</v>
      </c>
      <c r="AJ67" s="62">
        <f>IF(COUNTIFS(allFYsTable[Code], SummaryTable[[#This Row],[Code]], allFYsTable[year2], AJ$3)=0, NotFound, SUMIFS(allFYsTable[OriginalBudget], allFYsTable[Code], SummaryTable[[#This Row],[Code]], allFYsTable[year2], AJ$3))</f>
        <v>486013</v>
      </c>
      <c r="AK67" s="61">
        <f>SummaryTable[[#This Row],[OriginalBudget24]]-SummaryTable[[#This Row],[OriginalBudget23]]</f>
        <v>-29683</v>
      </c>
      <c r="AL67" s="54">
        <f>SummaryTable[[#This Row],[BudgetIncreaseAmount24]]/SummaryTable[[#This Row],[OriginalBudget23]]</f>
        <v>-5.7559104588749958E-2</v>
      </c>
      <c r="AM67" s="61">
        <f>IF(COUNTIFS(allFYsTable[Code], SummaryTable[[#This Row],[Code]], allFYsTable[year2], AK$3)=0, NotFound, SUMIFS(allFYsTable[RevisedBudget], allFYsTable[Code], SummaryTable[[#This Row],[Code]], allFYsTable[year2], AJ$3))</f>
        <v>609118</v>
      </c>
      <c r="AN67" s="61">
        <f>IF(COUNTIFS(allFYsTable[Code], SummaryTable[[#This Row],[Code]], allFYsTable[year2], AJ$3)=0, NotFound, SUMIFS(allFYsTable[Actual], allFYsTable[Code], SummaryTable[[#This Row],[Code]], allFYsTable[year2], AJ$3))</f>
        <v>607752</v>
      </c>
      <c r="AO67" s="61">
        <f>IF(COUNTIFS(allFYsTable[Code], SummaryTable[[#This Row],[Code]], allFYsTable[year2], AJ$3)=0, NotFound, SUMIFS(allFYsTable[DiffAmount], allFYsTable[Code], SummaryTable[[#This Row],[Code]], allFYsTable[year2], AJ$3))</f>
        <v>121739</v>
      </c>
      <c r="AP67" s="63">
        <f>IF(SummaryTable[[#This Row],[OriginalBudget24]]=0, IF(SummaryTable[[#This Row],[DiffAmount24]]=0, ZeroBudgetNoSpending, ZeroBudgetWithSpending), SummaryTable[[#This Row],[DiffAmount24]]/SummaryTable[[#This Row],[OriginalBudget24]])</f>
        <v>0.25048506932942122</v>
      </c>
      <c r="AQ67" s="62">
        <f>IF(COUNTIFS(allFYsTable[Code], SummaryTable[[#This Row],[Code]], allFYsTable[year2], AQ$3)=0, NotFound, SUMIFS(allFYsTable[OriginalBudget], allFYsTable[Code], SummaryTable[[#This Row],[Code]], allFYsTable[year2], AQ$3))</f>
        <v>515696</v>
      </c>
      <c r="AR67" s="61">
        <f>SummaryTable[[#This Row],[OriginalBudget23]]-SummaryTable[[#This Row],[OriginalBudget22]]</f>
        <v>21882</v>
      </c>
      <c r="AS67" s="54">
        <f>SummaryTable[[#This Row],[BudgetIncreaseAmount23]]/SummaryTable[[#This Row],[OriginalBudget22]]</f>
        <v>4.4312230920954043E-2</v>
      </c>
      <c r="AT67" s="61">
        <f>IF(COUNTIFS(allFYsTable[Code], SummaryTable[[#This Row],[Code]], allFYsTable[year2], AQ$3)=0, NotFound, SUMIFS(allFYsTable[RevisedBudget], allFYsTable[Code], SummaryTable[[#This Row],[Code]], allFYsTable[year2], AQ$3))</f>
        <v>633673</v>
      </c>
      <c r="AU67" s="61">
        <f>IF(COUNTIFS(allFYsTable[Code], SummaryTable[[#This Row],[Code]], allFYsTable[year2], AQ$3)=0, NotFound, SUMIFS(allFYsTable[Actual], allFYsTable[Code], SummaryTable[[#This Row],[Code]], allFYsTable[year2], AQ$3))</f>
        <v>633411</v>
      </c>
      <c r="AV67" s="61">
        <f>IF(COUNTIFS(allFYsTable[Code], SummaryTable[[#This Row],[Code]], allFYsTable[year2], AQ$3)=0, NotFound, SUMIFS(allFYsTable[DiffAmount], allFYsTable[Code], SummaryTable[[#This Row],[Code]], allFYsTable[year2], AQ$3))</f>
        <v>117715</v>
      </c>
      <c r="AW67" s="63">
        <f>IF(SummaryTable[[#This Row],[OriginalBudget23]]=0, IF(SummaryTable[[#This Row],[DiffAmount23]]=0, ZeroBudgetNoSpending, ZeroBudgetWithSpending), SummaryTable[[#This Row],[DiffAmount23]]/SummaryTable[[#This Row],[OriginalBudget23]])</f>
        <v>0.2282643262697403</v>
      </c>
      <c r="AX67" s="62">
        <f>IF(COUNTIFS(allFYsTable[Code], SummaryTable[[#This Row],[Code]], allFYsTable[year2], AX$3)=0, NotFound, SUMIFS(allFYsTable[OriginalBudget], allFYsTable[Code], SummaryTable[[#This Row],[Code]], allFYsTable[year2], AX$3))</f>
        <v>493814</v>
      </c>
      <c r="AY67" s="61">
        <f>SummaryTable[[#This Row],[OriginalBudget22]]-SummaryTable[[#This Row],[OriginalBudget21]]</f>
        <v>-29403</v>
      </c>
      <c r="AZ67" s="54">
        <f>SummaryTable[[#This Row],[BudgetIncreaseAmount22]]/SummaryTable[[#This Row],[OriginalBudget21]]</f>
        <v>-5.6196568536572782E-2</v>
      </c>
      <c r="BA67" s="61">
        <f>IF(COUNTIFS(allFYsTable[Code], SummaryTable[[#This Row],[Code]], allFYsTable[year2], AX$3)=0, NotFound, SUMIFS(allFYsTable[RevisedBudget], allFYsTable[Code], SummaryTable[[#This Row],[Code]], allFYsTable[year2], AX$3))</f>
        <v>512300</v>
      </c>
      <c r="BB67" s="61">
        <f>IF(COUNTIFS(allFYsTable[Code], SummaryTable[[#This Row],[Code]], allFYsTable[year2], AX$3)=0, NotFound, SUMIFS(allFYsTable[Actual], allFYsTable[Code], SummaryTable[[#This Row],[Code]], allFYsTable[year2], AX$3))</f>
        <v>510491</v>
      </c>
      <c r="BC67" s="61">
        <f>IF(COUNTIFS(allFYsTable[Code], SummaryTable[[#This Row],[Code]], allFYsTable[year2], AX$3)=0, NotFound, SUMIFS(allFYsTable[DiffAmount], allFYsTable[Code], SummaryTable[[#This Row],[Code]], allFYsTable[year2], AX$3))</f>
        <v>16677</v>
      </c>
      <c r="BD67" s="63">
        <f>IF(SummaryTable[[#This Row],[OriginalBudget22]]=0, IF(SummaryTable[[#This Row],[DiffAmount22]]=0, ZeroBudgetNoSpending, ZeroBudgetWithSpending), SummaryTable[[#This Row],[DiffAmount22]]/SummaryTable[[#This Row],[OriginalBudget22]])</f>
        <v>3.377182501913676E-2</v>
      </c>
      <c r="BE67" s="62">
        <f>IF(COUNTIFS(allFYsTable[Code], SummaryTable[[#This Row],[Code]], allFYsTable[year2], BE$3)=0, NotFound, SUMIFS(allFYsTable[OriginalBudget], allFYsTable[Code], SummaryTable[[#This Row],[Code]], allFYsTable[year2], BE$3))</f>
        <v>523217</v>
      </c>
      <c r="BF67" s="61">
        <f>SummaryTable[[#This Row],[OriginalBudget21]]-SummaryTable[[#This Row],[OriginalBudget20]]</f>
        <v>7843</v>
      </c>
      <c r="BG67" s="54">
        <f>SummaryTable[[#This Row],[BudgetIncreaseAmount21]]/SummaryTable[[#This Row],[OriginalBudget20]]</f>
        <v>1.5218074640940365E-2</v>
      </c>
      <c r="BH67" s="61">
        <f>IF(COUNTIFS(allFYsTable[Code], SummaryTable[[#This Row],[Code]], allFYsTable[year2], BE$3)=0, NotFound, SUMIFS(allFYsTable[RevisedBudget], allFYsTable[Code], SummaryTable[[#This Row],[Code]], allFYsTable[year2], BE$3))</f>
        <v>520216</v>
      </c>
      <c r="BI67" s="61">
        <f>IF(COUNTIFS(allFYsTable[Code], SummaryTable[[#This Row],[Code]], allFYsTable[year2], BE$3)=0, NotFound, SUMIFS(allFYsTable[Actual], allFYsTable[Code], SummaryTable[[#This Row],[Code]], allFYsTable[year2], BE$3))</f>
        <v>518537</v>
      </c>
      <c r="BJ67" s="61">
        <f>IF(COUNTIFS(allFYsTable[Code], SummaryTable[[#This Row],[Code]], allFYsTable[year2], BE$3)=0, NotFound, SUMIFS(allFYsTable[DiffAmount], allFYsTable[Code], SummaryTable[[#This Row],[Code]], allFYsTable[year2], BE$3))</f>
        <v>-4680</v>
      </c>
      <c r="BK67" s="63">
        <f>IF(SummaryTable[[#This Row],[OriginalBudget21]]=0, IF(SummaryTable[[#This Row],[DiffAmount21]]=0, ZeroBudgetNoSpending, ZeroBudgetWithSpending), SummaryTable[[#This Row],[DiffAmount21]]/SummaryTable[[#This Row],[OriginalBudget21]])</f>
        <v>-8.9446634952610477E-3</v>
      </c>
      <c r="BL67" s="62">
        <f>IF(COUNTIFS(allFYsTable[Code], SummaryTable[[#This Row],[Code]], allFYsTable[year2], BL$3)=0, NotFound, SUMIFS(allFYsTable[OriginalBudget], allFYsTable[Code], SummaryTable[[#This Row],[Code]], allFYsTable[year2], BL$3))</f>
        <v>515374</v>
      </c>
      <c r="BM67" s="61">
        <f>SummaryTable[[#This Row],[OriginalBudget20]]-SummaryTable[[#This Row],[OriginalBudget19]]</f>
        <v>5294</v>
      </c>
      <c r="BN67" s="54">
        <f>SummaryTable[[#This Row],[BudgetIncreaseAmount20]]/SummaryTable[[#This Row],[OriginalBudget19]]</f>
        <v>1.0378764115432874E-2</v>
      </c>
      <c r="BO67" s="61">
        <f>IF(COUNTIFS(allFYsTable[Code], SummaryTable[[#This Row],[Code]], allFYsTable[year2], BL$3)=0, NotFound, SUMIFS(allFYsTable[RevisedBudget], allFYsTable[Code], SummaryTable[[#This Row],[Code]], allFYsTable[year2], BL$3))</f>
        <v>448389</v>
      </c>
      <c r="BP67" s="61">
        <f>IF(COUNTIFS(allFYsTable[Code], SummaryTable[[#This Row],[Code]], allFYsTable[year2], BL$3)=0, NotFound, SUMIFS(allFYsTable[Actual], allFYsTable[Code], SummaryTable[[#This Row],[Code]], allFYsTable[year2], BL$3))</f>
        <v>445416</v>
      </c>
      <c r="BQ67" s="61">
        <f>IF(COUNTIFS(allFYsTable[Code], SummaryTable[[#This Row],[Code]], allFYsTable[year2], BL$3)=0, NotFound, SUMIFS(allFYsTable[DiffAmount], allFYsTable[Code], SummaryTable[[#This Row],[Code]], allFYsTable[year2], BL$3))</f>
        <v>-69958</v>
      </c>
      <c r="BR67" s="63">
        <f>IF(SummaryTable[[#This Row],[OriginalBudget20]]=0, IF(SummaryTable[[#This Row],[DiffAmount20]]=0, ZeroBudgetNoSpending, ZeroBudgetWithSpending), SummaryTable[[#This Row],[DiffAmount20]]/SummaryTable[[#This Row],[OriginalBudget20]])</f>
        <v>-0.13574219886917074</v>
      </c>
      <c r="BS67" s="62">
        <f>IF(COUNTIFS(allFYsTable[Code], SummaryTable[[#This Row],[Code]], allFYsTable[year2], BS$3)=0, NotFound, SUMIFS(allFYsTable[OriginalBudget], allFYsTable[Code], SummaryTable[[#This Row],[Code]], allFYsTable[year2], BS$3))</f>
        <v>510080</v>
      </c>
      <c r="BT67" s="61">
        <f>SummaryTable[[#This Row],[OriginalBudget19]]-SummaryTable[[#This Row],[OriginalBudget18]]</f>
        <v>6351</v>
      </c>
      <c r="BU67" s="54">
        <f>SummaryTable[[#This Row],[BudgetIncreaseAmount19]]/SummaryTable[[#This Row],[OriginalBudget18]]</f>
        <v>1.2607969761518595E-2</v>
      </c>
      <c r="BV67" s="61">
        <f>IF(COUNTIFS(allFYsTable[Code], SummaryTable[[#This Row],[Code]], allFYsTable[year2], BS$3)=0, NotFound, SUMIFS(allFYsTable[RevisedBudget], allFYsTable[Code], SummaryTable[[#This Row],[Code]], allFYsTable[year2], BS$3))</f>
        <v>545588</v>
      </c>
      <c r="BW67" s="61">
        <f>IF(COUNTIFS(allFYsTable[Code], SummaryTable[[#This Row],[Code]], allFYsTable[year2], BS$3)=0, NotFound, SUMIFS(allFYsTable[Actual], allFYsTable[Code], SummaryTable[[#This Row],[Code]], allFYsTable[year2], BS$3))</f>
        <v>543350</v>
      </c>
      <c r="BX67" s="61">
        <f>IF(COUNTIFS(allFYsTable[Code], SummaryTable[[#This Row],[Code]], allFYsTable[year2], BS$3)=0, NotFound, SUMIFS(allFYsTable[DiffAmount], allFYsTable[Code], SummaryTable[[#This Row],[Code]], allFYsTable[year2], BS$3))</f>
        <v>33270</v>
      </c>
      <c r="BY67" s="63">
        <f>IF(SummaryTable[[#This Row],[OriginalBudget19]]=0, IF(SummaryTable[[#This Row],[DiffAmount19]]=0, ZeroBudgetNoSpending, ZeroBudgetWithSpending), SummaryTable[[#This Row],[DiffAmount19]]/SummaryTable[[#This Row],[OriginalBudget19]])</f>
        <v>6.5225062735257217E-2</v>
      </c>
      <c r="BZ67" s="62">
        <f>IF(COUNTIFS(allFYsTable[Code], SummaryTable[[#This Row],[Code]], allFYsTable[year2], BZ$3)=0, NotFound, SUMIFS(allFYsTable[OriginalBudget], allFYsTable[Code], SummaryTable[[#This Row],[Code]], allFYsTable[year2], BZ$3))</f>
        <v>503729</v>
      </c>
      <c r="CA67" s="61">
        <f>SummaryTable[[#This Row],[OriginalBudget18]]-SummaryTable[[#This Row],[OriginalBudget17]]</f>
        <v>-12741</v>
      </c>
      <c r="CB67" s="54">
        <f>SummaryTable[[#This Row],[BudgetIncreaseAmount18]]/SummaryTable[[#This Row],[OriginalBudget17]]</f>
        <v>-2.4669390284043604E-2</v>
      </c>
      <c r="CC67" s="61">
        <f>IF(COUNTIFS(allFYsTable[Code], SummaryTable[[#This Row],[Code]], allFYsTable[year2], BZ$3)=0, NotFound, SUMIFS(allFYsTable[RevisedBudget], allFYsTable[Code], SummaryTable[[#This Row],[Code]], allFYsTable[year2], BZ$3))</f>
        <v>519382</v>
      </c>
      <c r="CD67" s="61">
        <f>IF(COUNTIFS(allFYsTable[Code], SummaryTable[[#This Row],[Code]], allFYsTable[year2], BZ$3)=0, NotFound, SUMIFS(allFYsTable[Actual], allFYsTable[Code], SummaryTable[[#This Row],[Code]], allFYsTable[year2], BZ$3))</f>
        <v>519365</v>
      </c>
      <c r="CE67" s="61">
        <f>IF(COUNTIFS(allFYsTable[Code], SummaryTable[[#This Row],[Code]], allFYsTable[year2], BZ$3)=0, NotFound, SUMIFS(allFYsTable[DiffAmount], allFYsTable[Code], SummaryTable[[#This Row],[Code]], allFYsTable[year2], BZ$3))</f>
        <v>15636</v>
      </c>
      <c r="CF67" s="63">
        <f>IF(SummaryTable[[#This Row],[OriginalBudget18]]=0, IF(SummaryTable[[#This Row],[DiffAmount18]]=0, ZeroBudgetNoSpending, ZeroBudgetWithSpending), SummaryTable[[#This Row],[DiffAmount18]]/SummaryTable[[#This Row],[OriginalBudget18]])</f>
        <v>3.1040499951362738E-2</v>
      </c>
      <c r="CG67" s="62">
        <f>IF(COUNTIFS(allFYsTable[Code], SummaryTable[[#This Row],[Code]], allFYsTable[year2], CG$3)=0, NotFound, SUMIFS(allFYsTable[OriginalBudget], allFYsTable[Code], SummaryTable[[#This Row],[Code]], allFYsTable[year2], CG$3))</f>
        <v>516470</v>
      </c>
      <c r="CH67" s="61">
        <f>SummaryTable[[#This Row],[OriginalBudget17]]-SummaryTable[[#This Row],[OriginalBudget16]]</f>
        <v>10633</v>
      </c>
      <c r="CI67" s="54">
        <f>SummaryTable[[#This Row],[BudgetIncreaseAmount17]]/SummaryTable[[#This Row],[OriginalBudget16]]</f>
        <v>2.1020605451953889E-2</v>
      </c>
      <c r="CJ67" s="61">
        <f>IF(COUNTIFS(allFYsTable[Code], SummaryTable[[#This Row],[Code]], allFYsTable[year2], CG$3)=0, NotFound, SUMIFS(allFYsTable[RevisedBudget], allFYsTable[Code], SummaryTable[[#This Row],[Code]], allFYsTable[year2], CG$3))</f>
        <v>513272</v>
      </c>
      <c r="CK67" s="61">
        <f>IF(COUNTIFS(allFYsTable[Code], SummaryTable[[#This Row],[Code]], allFYsTable[year2], CG$3)=0, NotFound, SUMIFS(allFYsTable[Actual], allFYsTable[Code], SummaryTable[[#This Row],[Code]], allFYsTable[year2], CG$3))</f>
        <v>507188</v>
      </c>
      <c r="CL67" s="61">
        <f>IF(COUNTIFS(allFYsTable[Code], SummaryTable[[#This Row],[Code]], allFYsTable[year2], CG$3)=0, NotFound, SUMIFS(allFYsTable[DiffAmount], allFYsTable[Code], SummaryTable[[#This Row],[Code]], allFYsTable[year2], CG$3))</f>
        <v>-9282</v>
      </c>
      <c r="CM67" s="63">
        <f>IF(SummaryTable[[#This Row],[OriginalBudget17]]=0, IF(SummaryTable[[#This Row],[DiffAmount17]]=0, ZeroBudgetNoSpending, ZeroBudgetWithSpending), SummaryTable[[#This Row],[DiffAmount17]]/SummaryTable[[#This Row],[OriginalBudget17]])</f>
        <v>-1.7972002246016226E-2</v>
      </c>
      <c r="CN67" s="62">
        <f>IF(COUNTIFS(allFYsTable[Code], SummaryTable[[#This Row],[Code]], allFYsTable[year2], CN$3)=0, NotFound, SUMIFS(allFYsTable[OriginalBudget], allFYsTable[Code], SummaryTable[[#This Row],[Code]], allFYsTable[year2], CN$3))</f>
        <v>505837</v>
      </c>
      <c r="CO67" s="61">
        <f>SummaryTable[[#This Row],[OriginalBudget16]]-SummaryTable[[#This Row],[OriginalBudget15]]</f>
        <v>28337</v>
      </c>
      <c r="CP67" s="54">
        <f>SummaryTable[[#This Row],[BudgetIncreaseAmount16]]/SummaryTable[[#This Row],[OriginalBudget15]]</f>
        <v>5.9344502617801047E-2</v>
      </c>
      <c r="CQ67" s="61">
        <f>IF(COUNTIFS(allFYsTable[Code], SummaryTable[[#This Row],[Code]], allFYsTable[year2], CN$3)=0, NotFound, SUMIFS(allFYsTable[RevisedBudget], allFYsTable[Code], SummaryTable[[#This Row],[Code]], allFYsTable[year2], CN$3))</f>
        <v>497141</v>
      </c>
      <c r="CR67" s="61">
        <f>IF(COUNTIFS(allFYsTable[Code], SummaryTable[[#This Row],[Code]], allFYsTable[year2], CN$3)=0, NotFound, SUMIFS(allFYsTable[Actual], allFYsTable[Code], SummaryTable[[#This Row],[Code]], allFYsTable[year2], CN$3))</f>
        <v>496864</v>
      </c>
      <c r="CS67" s="61">
        <f>IF(COUNTIFS(allFYsTable[Code], SummaryTable[[#This Row],[Code]], allFYsTable[year2], CN$3)=0, NotFound, SUMIFS(allFYsTable[DiffAmount], allFYsTable[Code], SummaryTable[[#This Row],[Code]], allFYsTable[year2], CN$3))</f>
        <v>-8973</v>
      </c>
      <c r="CT67" s="63">
        <f>IF(SummaryTable[[#This Row],[OriginalBudget16]]=0, IF(SummaryTable[[#This Row],[DiffAmount16]]=0, ZeroBudgetNoSpending, ZeroBudgetWithSpending), SummaryTable[[#This Row],[DiffAmount16]]/SummaryTable[[#This Row],[OriginalBudget16]])</f>
        <v>-1.7738915895832055E-2</v>
      </c>
      <c r="CU67" s="62">
        <f>IF(COUNTIFS(allFYsTable[Code], SummaryTable[[#This Row],[Code]], allFYsTable[year2], CU$3)=0, NotFound, SUMIFS(allFYsTable[OriginalBudget], allFYsTable[Code], SummaryTable[[#This Row],[Code]], allFYsTable[year2], CU$3))</f>
        <v>477500</v>
      </c>
      <c r="CV67" s="61">
        <f>SummaryTable[[#This Row],[OriginalBudget15]]-SummaryTable[[#This Row],[OriginalBudget14]]</f>
        <v>1211</v>
      </c>
      <c r="CW67" s="54">
        <f>SummaryTable[[#This Row],[BudgetIncreaseAmount15]]/SummaryTable[[#This Row],[OriginalBudget14]]</f>
        <v>2.5425739414515138E-3</v>
      </c>
      <c r="CX67" s="61">
        <f>IF(COUNTIFS(allFYsTable[Code], SummaryTable[[#This Row],[Code]], allFYsTable[year2], CU$3)=0, NotFound, SUMIFS(allFYsTable[RevisedBudget], allFYsTable[Code], SummaryTable[[#This Row],[Code]], allFYsTable[year2], CU$3))</f>
        <v>482001</v>
      </c>
      <c r="CY67" s="61">
        <f>IF(COUNTIFS(allFYsTable[Code], SummaryTable[[#This Row],[Code]], allFYsTable[year2], CU$3)=0, NotFound, SUMIFS(allFYsTable[Actual], allFYsTable[Code], SummaryTable[[#This Row],[Code]], allFYsTable[year2], CU$3))</f>
        <v>478360</v>
      </c>
      <c r="CZ67" s="61">
        <f>IF(COUNTIFS(allFYsTable[Code], SummaryTable[[#This Row],[Code]], allFYsTable[year2], CU$3)=0, NotFound, SUMIFS(allFYsTable[DiffAmount], allFYsTable[Code], SummaryTable[[#This Row],[Code]], allFYsTable[year2], CU$3))</f>
        <v>860</v>
      </c>
      <c r="DA67" s="63">
        <f>IF(SummaryTable[[#This Row],[OriginalBudget15]]=0, IF(SummaryTable[[#This Row],[DiffAmount15]]=0, ZeroBudgetNoSpending, ZeroBudgetWithSpending), SummaryTable[[#This Row],[DiffAmount15]]/SummaryTable[[#This Row],[OriginalBudget15]])</f>
        <v>1.8010471204188481E-3</v>
      </c>
      <c r="DB67" s="62">
        <f>IF(COUNTIFS(allFYsTable[Code], SummaryTable[[#This Row],[Code]], allFYsTable[year2], DB$3)=0, NotFound, SUMIFS(allFYsTable[OriginalBudget], allFYsTable[Code], SummaryTable[[#This Row],[Code]], allFYsTable[year2], DB$3))</f>
        <v>476289</v>
      </c>
      <c r="DC67" s="61">
        <f>SummaryTable[[#This Row],[OriginalBudget14]]-SummaryTable[[#This Row],[OriginalBudget13]]</f>
        <v>13899</v>
      </c>
      <c r="DD67" s="54">
        <f>SummaryTable[[#This Row],[BudgetIncreaseAmount14]]/SummaryTable[[#This Row],[OriginalBudget13]]</f>
        <v>3.0059041069227275E-2</v>
      </c>
      <c r="DE67" s="61">
        <f>IF(COUNTIFS(allFYsTable[Code], SummaryTable[[#This Row],[Code]], allFYsTable[year2], DB$3)=0, NotFound, SUMIFS(allFYsTable[RevisedBudget], allFYsTable[Code], SummaryTable[[#This Row],[Code]], allFYsTable[year2], DB$3))</f>
        <v>491520</v>
      </c>
      <c r="DF67" s="61">
        <f>IF(COUNTIFS(allFYsTable[Code], SummaryTable[[#This Row],[Code]], allFYsTable[year2], DB$3)=0, NotFound, SUMIFS(allFYsTable[Actual], allFYsTable[Code], SummaryTable[[#This Row],[Code]], allFYsTable[year2], DB$3))</f>
        <v>490703</v>
      </c>
      <c r="DG67" s="61">
        <f>IF(COUNTIFS(allFYsTable[Code], SummaryTable[[#This Row],[Code]], allFYsTable[year2], DB$3)=0, NotFound, SUMIFS(allFYsTable[DiffAmount], allFYsTable[Code], SummaryTable[[#This Row],[Code]], allFYsTable[year2], DB$3))</f>
        <v>14414</v>
      </c>
      <c r="DH67" s="63">
        <f>IF(SummaryTable[[#This Row],[OriginalBudget14]]=0, IF(SummaryTable[[#This Row],[DiffAmount14]]=0, ZeroBudgetNoSpending, ZeroBudgetWithSpending), SummaryTable[[#This Row],[DiffAmount14]]/SummaryTable[[#This Row],[OriginalBudget14]])</f>
        <v>3.0263138556632634E-2</v>
      </c>
      <c r="DI67" s="62">
        <f>IF(COUNTIFS(allFYsTable[Code], SummaryTable[[#This Row],[Code]], allFYsTable[year2], DI$3)=0, NotFound, SUMIFS(allFYsTable[OriginalBudget], allFYsTable[Code], SummaryTable[[#This Row],[Code]], allFYsTable[year2], DI$3))</f>
        <v>462390</v>
      </c>
      <c r="DJ67" s="61">
        <f>SummaryTable[[#This Row],[OriginalBudget13]]-SummaryTable[[#This Row],[OriginalBudget12]]</f>
        <v>20319</v>
      </c>
      <c r="DK67" s="54">
        <f>SummaryTable[[#This Row],[BudgetIncreaseAmount13]]/SummaryTable[[#This Row],[OriginalBudget12]]</f>
        <v>4.5963205005530784E-2</v>
      </c>
      <c r="DL67" s="61">
        <f>IF(COUNTIFS(allFYsTable[Code], SummaryTable[[#This Row],[Code]], allFYsTable[year2], DI$3)=0, NotFound, SUMIFS(allFYsTable[RevisedBudget], allFYsTable[Code], SummaryTable[[#This Row],[Code]], allFYsTable[year2], DI$3))</f>
        <v>462049</v>
      </c>
      <c r="DM67" s="61">
        <f>IF(COUNTIFS(allFYsTable[Code], SummaryTable[[#This Row],[Code]], allFYsTable[year2], DI$3)=0, NotFound, SUMIFS(allFYsTable[Actual], allFYsTable[Code], SummaryTable[[#This Row],[Code]], allFYsTable[year2], DI$3))</f>
        <v>462043</v>
      </c>
      <c r="DN67" s="61">
        <f>IF(COUNTIFS(allFYsTable[Code], SummaryTable[[#This Row],[Code]], allFYsTable[year2], DI$3)=0, NotFound, SUMIFS(allFYsTable[DiffAmount], allFYsTable[Code], SummaryTable[[#This Row],[Code]], allFYsTable[year2], DI$3))</f>
        <v>-347</v>
      </c>
      <c r="DO67" s="63">
        <f>IF(SummaryTable[[#This Row],[OriginalBudget13]]=0, IF(SummaryTable[[#This Row],[DiffAmount13]]=0, ZeroBudgetNoSpending, ZeroBudgetWithSpending), SummaryTable[[#This Row],[DiffAmount13]]/SummaryTable[[#This Row],[OriginalBudget13]])</f>
        <v>-7.5044875537965783E-4</v>
      </c>
      <c r="DP67" s="62">
        <f>IF(COUNTIFS(allFYsTable[Code], SummaryTable[[#This Row],[Code]], allFYsTable[year2], DP$3)=0, NotFound, SUMIFS(allFYsTable[OriginalBudget], allFYsTable[Code], SummaryTable[[#This Row],[Code]], allFYsTable[year2], DP$3))</f>
        <v>442071</v>
      </c>
      <c r="DQ67" s="61">
        <f>SummaryTable[[#This Row],[OriginalBudget12]]-SummaryTable[[#This Row],[OriginalBudget11]]</f>
        <v>34655</v>
      </c>
      <c r="DR67" s="54">
        <f>SummaryTable[[#This Row],[BudgetIncreaseAmount12]]/SummaryTable[[#This Row],[OriginalBudget11]]</f>
        <v>8.5060478724448718E-2</v>
      </c>
      <c r="DS67" s="61">
        <f>IF(COUNTIFS(allFYsTable[Code], SummaryTable[[#This Row],[Code]], allFYsTable[year2], DP$3)=0, NotFound, SUMIFS(allFYsTable[RevisedBudget], allFYsTable[Code], SummaryTable[[#This Row],[Code]], allFYsTable[year2], DP$3))</f>
        <v>443421</v>
      </c>
      <c r="DT67" s="61">
        <f>IF(COUNTIFS(allFYsTable[Code], SummaryTable[[#This Row],[Code]], allFYsTable[year2], DP$3)=0, NotFound, SUMIFS(allFYsTable[Actual], allFYsTable[Code], SummaryTable[[#This Row],[Code]], allFYsTable[year2], DP$3))</f>
        <v>443372</v>
      </c>
      <c r="DU67" s="61">
        <f>IF(COUNTIFS(allFYsTable[Code], SummaryTable[[#This Row],[Code]], allFYsTable[year2], DP$3)=0, NotFound, SUMIFS(allFYsTable[DiffAmount], allFYsTable[Code], SummaryTable[[#This Row],[Code]], allFYsTable[year2], DP$3))</f>
        <v>1301</v>
      </c>
      <c r="DV67" s="63">
        <f>IF(SummaryTable[[#This Row],[OriginalBudget12]]=0, IF(SummaryTable[[#This Row],[DiffAmount12]]=0, ZeroBudgetNoSpending, ZeroBudgetWithSpending), SummaryTable[[#This Row],[DiffAmount12]]/SummaryTable[[#This Row],[OriginalBudget12]])</f>
        <v>2.9429661751166668E-3</v>
      </c>
      <c r="DW67" s="62">
        <f>IF(COUNTIFS(allFYsTable[Code], SummaryTable[[#This Row],[Code]], allFYsTable[year2], DW$3)=0, NotFound, SUMIFS(allFYsTable[OriginalBudget], allFYsTable[Code], SummaryTable[[#This Row],[Code]], allFYsTable[year2], DW$3))</f>
        <v>407416</v>
      </c>
      <c r="DX67" s="61">
        <f>SummaryTable[[#This Row],[OriginalBudget11]]-SummaryTable[[#This Row],[OriginalBudget10]]</f>
        <v>-39007</v>
      </c>
      <c r="DY67" s="54">
        <f>SummaryTable[[#This Row],[BudgetIncreaseAmount11]]/SummaryTable[[#This Row],[OriginalBudget10]]</f>
        <v>-8.7376770462095368E-2</v>
      </c>
      <c r="DZ67" s="61">
        <f>IF(COUNTIFS(allFYsTable[Code], SummaryTable[[#This Row],[Code]], allFYsTable[year2], DW$3)=0, NotFound, SUMIFS(allFYsTable[RevisedBudget], allFYsTable[Code], SummaryTable[[#This Row],[Code]], allFYsTable[year2], DW$3))</f>
        <v>415116</v>
      </c>
      <c r="EA67" s="61">
        <f>IF(COUNTIFS(allFYsTable[Code], SummaryTable[[#This Row],[Code]], allFYsTable[year2], DW$3)=0, NotFound, SUMIFS(allFYsTable[Actual], allFYsTable[Code], SummaryTable[[#This Row],[Code]], allFYsTable[year2], DW$3))</f>
        <v>415020</v>
      </c>
      <c r="EB67" s="61">
        <f>IF(COUNTIFS(allFYsTable[Code], SummaryTable[[#This Row],[Code]], allFYsTable[year2], DW$3)=0, NotFound, SUMIFS(allFYsTable[DiffAmount], allFYsTable[Code], SummaryTable[[#This Row],[Code]], allFYsTable[year2], DW$3))</f>
        <v>7604</v>
      </c>
      <c r="EC67" s="63">
        <f>IF(SummaryTable[[#This Row],[OriginalBudget11]]=0, IF(SummaryTable[[#This Row],[DiffAmount11]]=0, ZeroBudgetNoSpending, ZeroBudgetWithSpending), SummaryTable[[#This Row],[DiffAmount11]]/SummaryTable[[#This Row],[OriginalBudget11]])</f>
        <v>1.866396999626917E-2</v>
      </c>
      <c r="ED67" s="62">
        <f>IF(COUNTIFS(allFYsTable[Code], SummaryTable[[#This Row],[Code]], allFYsTable[year2], ED$3)=0, NotFound, SUMIFS(allFYsTable[OriginalBudget], allFYsTable[Code], SummaryTable[[#This Row],[Code]], allFYsTable[year2], ED$3))</f>
        <v>446423</v>
      </c>
      <c r="EE67" s="61">
        <f>SummaryTable[[#This Row],[OriginalBudget10]]-SummaryTable[[#This Row],[OriginalBudget09]]</f>
        <v>-15801</v>
      </c>
      <c r="EF67" s="54">
        <f>SummaryTable[[#This Row],[BudgetIncreaseAmount10]]/SummaryTable[[#This Row],[OriginalBudget09]]</f>
        <v>-3.4184724289521962E-2</v>
      </c>
      <c r="EG67" s="61">
        <f>IF(COUNTIFS(allFYsTable[Code], SummaryTable[[#This Row],[Code]], allFYsTable[year2], ED$3)=0, NotFound, SUMIFS(allFYsTable[RevisedBudget], allFYsTable[Code], SummaryTable[[#This Row],[Code]], allFYsTable[year2], ED$3))</f>
        <v>437754</v>
      </c>
      <c r="EH67" s="61">
        <f>IF(COUNTIFS(allFYsTable[Code], SummaryTable[[#This Row],[Code]], allFYsTable[year2], ED$3)=0, NotFound, SUMIFS(allFYsTable[Actual], allFYsTable[Code], SummaryTable[[#This Row],[Code]], allFYsTable[year2], ED$3))</f>
        <v>437494</v>
      </c>
      <c r="EI67" s="61">
        <f>IF(COUNTIFS(allFYsTable[Code], SummaryTable[[#This Row],[Code]], allFYsTable[year2], ED$3)=0, NotFound, SUMIFS(allFYsTable[DiffAmount], allFYsTable[Code], SummaryTable[[#This Row],[Code]], allFYsTable[year2], ED$3))</f>
        <v>-8929</v>
      </c>
      <c r="EJ67" s="63">
        <f>IF(SummaryTable[[#This Row],[OriginalBudget10]]=0, IF(SummaryTable[[#This Row],[DiffAmount10]]=0, ZeroBudgetNoSpending, ZeroBudgetWithSpending), SummaryTable[[#This Row],[DiffAmount10]]/SummaryTable[[#This Row],[OriginalBudget10]])</f>
        <v>-2.0001209615095997E-2</v>
      </c>
      <c r="EK67" s="62">
        <f>IF(COUNTIFS(allFYsTable[Code], SummaryTable[[#This Row],[Code]], allFYsTable[year2], EK$3)=0, NotFound, SUMIFS(allFYsTable[OriginalBudget], allFYsTable[Code], SummaryTable[[#This Row],[Code]], allFYsTable[year2], EK$3))</f>
        <v>462224</v>
      </c>
      <c r="EL67" s="61">
        <f>SummaryTable[[#This Row],[OriginalBudget09]]-SummaryTable[[#This Row],[OriginalBudget08]]</f>
        <v>-4592</v>
      </c>
      <c r="EM67" s="54">
        <f>SummaryTable[[#This Row],[BudgetIncreaseAmount09]]/SummaryTable[[#This Row],[OriginalBudget08]]</f>
        <v>-9.8368522072936667E-3</v>
      </c>
      <c r="EN67" s="61">
        <f>IF(COUNTIFS(allFYsTable[Code], SummaryTable[[#This Row],[Code]], allFYsTable[year2], EK$3)=0, NotFound, SUMIFS(allFYsTable[RevisedBudget], allFYsTable[Code], SummaryTable[[#This Row],[Code]], allFYsTable[year2], EK$3))</f>
        <v>455217</v>
      </c>
      <c r="EO67" s="61">
        <f>IF(COUNTIFS(allFYsTable[Code], SummaryTable[[#This Row],[Code]], allFYsTable[year2], EK$3)=0, NotFound, SUMIFS(allFYsTable[Actual], allFYsTable[Code], SummaryTable[[#This Row],[Code]], allFYsTable[year2], EK$3))</f>
        <v>453891</v>
      </c>
      <c r="EP67" s="61">
        <f>IF(COUNTIFS(allFYsTable[Code], SummaryTable[[#This Row],[Code]], allFYsTable[year2], EK$3)=0, NotFound, SUMIFS(allFYsTable[DiffAmount], allFYsTable[Code], SummaryTable[[#This Row],[Code]], allFYsTable[year2], EK$3))</f>
        <v>-8333</v>
      </c>
      <c r="EQ67" s="63">
        <f>IF(SummaryTable[[#This Row],[OriginalBudget09]]=0, IF(SummaryTable[[#This Row],[DiffAmount09]]=0, ZeroBudgetNoSpending, ZeroBudgetWithSpending), SummaryTable[[#This Row],[DiffAmount09]]/SummaryTable[[#This Row],[OriginalBudget09]])</f>
        <v>-1.8028055661324378E-2</v>
      </c>
      <c r="ER67" s="62">
        <f>IF(COUNTIFS(allFYsTable[Code], SummaryTable[[#This Row],[Code]], allFYsTable[year2], ER$3)=0, NotFound, SUMIFS(allFYsTable[OriginalBudget], allFYsTable[Code], SummaryTable[[#This Row],[Code]], allFYsTable[year2], ER$3))</f>
        <v>466816</v>
      </c>
      <c r="ES67" s="61">
        <f>SummaryTable[[#This Row],[OriginalBudget08]]-SummaryTable[[#This Row],[OriginalBudget07]]</f>
        <v>46772</v>
      </c>
      <c r="ET67" s="54">
        <f>SummaryTable[[#This Row],[BudgetIncreaseAmount08]]/SummaryTable[[#This Row],[OriginalBudget07]]</f>
        <v>0.11135023949871918</v>
      </c>
      <c r="EU67" s="61">
        <f>IF(COUNTIFS(allFYsTable[Code], SummaryTable[[#This Row],[Code]], allFYsTable[year2], ER$3)=0, NotFound, SUMIFS(allFYsTable[RevisedBudget], allFYsTable[Code], SummaryTable[[#This Row],[Code]], allFYsTable[year2], ER$3))</f>
        <v>472693</v>
      </c>
      <c r="EV67" s="61">
        <f>IF(COUNTIFS(allFYsTable[Code], SummaryTable[[#This Row],[Code]], allFYsTable[year2], ER$3)=0, NotFound, SUMIFS(allFYsTable[Actual], allFYsTable[Code], SummaryTable[[#This Row],[Code]], allFYsTable[year2], ER$3))</f>
        <v>471889</v>
      </c>
      <c r="EW67" s="61">
        <f>IF(COUNTIFS(allFYsTable[Code], SummaryTable[[#This Row],[Code]], allFYsTable[year2], ER$3)=0, NotFound, SUMIFS(allFYsTable[DiffAmount], allFYsTable[Code], SummaryTable[[#This Row],[Code]], allFYsTable[year2], ER$3))</f>
        <v>5073</v>
      </c>
      <c r="EX67" s="63">
        <f>IF(SummaryTable[[#This Row],[OriginalBudget08]]=0, IF(SummaryTable[[#This Row],[DiffAmount08]]=0, ZeroBudgetNoSpending, ZeroBudgetWithSpending), SummaryTable[[#This Row],[DiffAmount08]]/SummaryTable[[#This Row],[OriginalBudget08]])</f>
        <v>1.0867236769947903E-2</v>
      </c>
      <c r="EY67" s="62">
        <f>IF(COUNTIFS(allFYsTable[Code], SummaryTable[[#This Row],[Code]], allFYsTable[year2], EY$3)=0, NotFound, SUMIFS(allFYsTable[OriginalBudget], allFYsTable[Code], SummaryTable[[#This Row],[Code]], allFYsTable[year2], EY$3))</f>
        <v>420044</v>
      </c>
      <c r="EZ67" s="61">
        <f>SummaryTable[[#This Row],[OriginalBudget07]]-SummaryTable[[#This Row],[OriginalBudget06]]</f>
        <v>66270</v>
      </c>
      <c r="FA67" s="54">
        <f>SummaryTable[[#This Row],[BudgetIncreaseAmount07]]/SummaryTable[[#This Row],[OriginalBudget06]]</f>
        <v>0.18732298020770322</v>
      </c>
      <c r="FB67" s="61">
        <f>IF(COUNTIFS(allFYsTable[Code], SummaryTable[[#This Row],[Code]], allFYsTable[year2], EY$3)=0, NotFound, SUMIFS(allFYsTable[RevisedBudget], allFYsTable[Code], SummaryTable[[#This Row],[Code]], allFYsTable[year2], EY$3))</f>
        <v>436487</v>
      </c>
      <c r="FC67" s="61">
        <f>IF(COUNTIFS(allFYsTable[Code], SummaryTable[[#This Row],[Code]], allFYsTable[year2], EY$3)=0, NotFound, SUMIFS(allFYsTable[Actual], allFYsTable[Code], SummaryTable[[#This Row],[Code]], allFYsTable[year2], EY$3))</f>
        <v>434599</v>
      </c>
      <c r="FD67" s="61">
        <f>IF(COUNTIFS(allFYsTable[Code], SummaryTable[[#This Row],[Code]], allFYsTable[year2], EY$3)=0, NotFound, SUMIFS(allFYsTable[DiffAmount], allFYsTable[Code], SummaryTable[[#This Row],[Code]], allFYsTable[year2], EY$3))</f>
        <v>14555</v>
      </c>
      <c r="FE67" s="63">
        <f>IF(SummaryTable[[#This Row],[OriginalBudget07]]=0, IF(SummaryTable[[#This Row],[DiffAmount07]]=0, ZeroBudgetNoSpending, ZeroBudgetWithSpending), SummaryTable[[#This Row],[DiffAmount07]]/SummaryTable[[#This Row],[OriginalBudget07]])</f>
        <v>3.4651131786193827E-2</v>
      </c>
      <c r="FF67" s="62">
        <f>IF(COUNTIFS(allFYsTable[Code], SummaryTable[[#This Row],[Code]], allFYsTable[year2], FF$3)=0, NotFound, SUMIFS(allFYsTable[OriginalBudget], allFYsTable[Code], SummaryTable[[#This Row],[Code]], allFYsTable[year2], FF$3))</f>
        <v>353774</v>
      </c>
      <c r="FI67" s="61">
        <f>IF(COUNTIFS(allFYsTable[Code], SummaryTable[[#This Row],[Code]], allFYsTable[year2], FF$3)=0, NotFound, SUMIFS(allFYsTable[RevisedBudget], allFYsTable[Code], SummaryTable[[#This Row],[Code]], allFYsTable[year2], FF$3))</f>
        <v>418755</v>
      </c>
      <c r="FJ67" s="61">
        <f>IF(COUNTIFS(allFYsTable[Code], SummaryTable[[#This Row],[Code]], allFYsTable[year2], FF$3)=0, NotFound, SUMIFS(allFYsTable[Actual], allFYsTable[Code], SummaryTable[[#This Row],[Code]], allFYsTable[year2], FF$3))</f>
        <v>418560</v>
      </c>
      <c r="FK67" s="61">
        <f>IF(COUNTIFS(allFYsTable[Code], SummaryTable[[#This Row],[Code]], allFYsTable[year2], FF$3)=0, NotFound, SUMIFS(allFYsTable[DiffAmount], allFYsTable[Code], SummaryTable[[#This Row],[Code]], allFYsTable[year2], FF$3))</f>
        <v>64786</v>
      </c>
      <c r="FL67" s="63">
        <f>IF(SummaryTable[[#This Row],[OriginalBudget06]]=0, IF(SummaryTable[[#This Row],[DiffAmount06]]=0, ZeroBudgetNoSpending, ZeroBudgetWithSpending), SummaryTable[[#This Row],[DiffAmount06]]/SummaryTable[[#This Row],[OriginalBudget06]])</f>
        <v>0.18312821179623148</v>
      </c>
    </row>
    <row r="68" spans="1:168" x14ac:dyDescent="0.45">
      <c r="A68" t="s">
        <v>709</v>
      </c>
      <c r="B68">
        <f>_xlfn.MAXIFS(allFYsTable[year2], allFYsTable[Code], SummaryTable[[#This Row],[Code]])</f>
        <v>2025</v>
      </c>
      <c r="C68" t="str">
        <f>_xlfn.XLOOKUP(SummaryTable[[#This Row],[Code]], NameCodingTable[Code], NameCodingTable[Most Recent Category per allFYs])</f>
        <v>Governmental direction and support</v>
      </c>
      <c r="D68" t="str">
        <f>_xlfn.XLOOKUP(SummaryTable[[#This Row],[Code]], NameCodingTable[Code], NameCodingTable[Unit Display Name])</f>
        <v>Metropolitan Washington Council of Governments</v>
      </c>
      <c r="E68" t="str">
        <f>_xlfn.XLOOKUP(SummaryTable[[#This Row],[Code]], NameCodingTable[Code], NameCodingTable[Type])</f>
        <v>xother</v>
      </c>
      <c r="F6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6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68" s="54">
        <f>SummaryTable[[#This Row],['# Over]]/SummaryTable[[#This Row],[Count]]</f>
        <v>0.1</v>
      </c>
      <c r="I6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4</v>
      </c>
      <c r="J68" s="54">
        <f>SummaryTable[[#This Row],['# Under]]/SummaryTable[[#This Row],[Count]]</f>
        <v>0.2</v>
      </c>
      <c r="K6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14</v>
      </c>
      <c r="L68" s="54">
        <f>SummaryTable[[#This Row],['# Equal]]/SummaryTable[[#This Row],[Count]]</f>
        <v>0.7</v>
      </c>
      <c r="M68" s="61">
        <f>SUMIFS(allFYsTable[OriginalBudget],allFYsTable[Code],SummaryTable[[#This Row],[Code]])/SummaryTable[[#This Row],[Count]]</f>
        <v>593.65</v>
      </c>
      <c r="N68" s="61">
        <f>SUMIFS(allFYsTable[Actual],allFYsTable[Code],SummaryTable[[#This Row],[Code]])/SummaryTable[[#This Row],[Count]]</f>
        <v>604.29999999999995</v>
      </c>
      <c r="O68" s="61">
        <f>SummaryTable[[#This Row],[AvgActAmt]]-SummaryTable[[#This Row],[AvgBudAmt]]</f>
        <v>10.649999999999977</v>
      </c>
      <c r="P68" s="54">
        <f>IF(SummaryTable[[#This Row],[AvgBudAmt]]=0, IF(SummaryTable[[#This Row],[AvgDiff'#]]=0, 0, NamedFields!$C$3), SummaryTable[[#This Row],[AvgDiff'#]]/SummaryTable[[#This Row],[AvgBudAmt]])</f>
        <v>1.7939863555967283E-2</v>
      </c>
      <c r="Q68" s="61">
        <f>IFERROR(SUMIFS(allFYsTable[OriginalBudget],allFYsTable[Code],SummaryTable[[#This Row],[Code]],allFYsTable[DiffAmount], "&gt;0")/SummaryTable[[#This Row],['# Over]], 0)</f>
        <v>402</v>
      </c>
      <c r="R68" s="61">
        <f>IFERROR(SUMIFS(allFYsTable[Actual],allFYsTable[Code],SummaryTable[[#This Row],[Code]],allFYsTable[DiffAmount], "&gt;0")/SummaryTable[[#This Row],['# Over]], 0)</f>
        <v>639</v>
      </c>
      <c r="S68" s="61">
        <f>SummaryTable[[#This Row],[OverAvgAct]]-SummaryTable[[#This Row],[OverAvgBud]]</f>
        <v>237</v>
      </c>
      <c r="T68" s="54">
        <f>IF(SummaryTable[[#This Row],[OverAvgBud]]=0, IF(SummaryTable[[#This Row],[OverAvgDiff'#]]=0, ZeroBudgetNoSpending, ZeroBudgetWithSpending), SummaryTable[[#This Row],[OverAvgDiff'#]]/SummaryTable[[#This Row],[OverAvgBud]])</f>
        <v>0.58955223880597019</v>
      </c>
      <c r="U68" s="61">
        <f>IFERROR(SUMIFS(allFYsTable[OriginalBudget],allFYsTable[Code],SummaryTable[[#This Row],[Code]],allFYsTable[DiffAmount], "&lt;0")/SummaryTable[[#This Row],['# Under]], 0)</f>
        <v>865.25</v>
      </c>
      <c r="V68" s="61">
        <f>IFERROR( SUMIFS(allFYsTable[Actual],allFYsTable[Code],SummaryTable[[#This Row],[Code]],allFYsTable[DiffAmount], "&lt;0")/SummaryTable[[#This Row],['# Under]], 0)</f>
        <v>800</v>
      </c>
      <c r="W68" s="61">
        <f>SummaryTable[[#This Row],[UnderAvgAct]]-SummaryTable[[#This Row],[UnderAvgBud]]</f>
        <v>-65.25</v>
      </c>
      <c r="X68" s="54">
        <f>IF(SummaryTable[[#This Row],[UnderAvgBud]]=0, IF(SummaryTable[[#This Row],[UnderAvgDiff'#]]=0, ZeroBudgetNoSpending, NamedFields!$C$3), SummaryTable[[#This Row],[UnderAvgDiff'#]]/SummaryTable[[#This Row],[UnderAvgBud]])</f>
        <v>-7.5411730713666567E-2</v>
      </c>
      <c r="Y6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6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68" s="54">
        <f>IF(SummaryTable[[#This Row],[IncreaseYears]]=0, ZeroBudgetNoSpending, SummaryTable[[#This Row],[OSinIncreaseYear'#]]/SummaryTable[[#This Row],[IncreaseYears]])</f>
        <v>0</v>
      </c>
      <c r="AB68" s="58" t="str">
        <f>SummaryTable[[#This Row],[Code]]</f>
        <v>EA0</v>
      </c>
      <c r="AC68" s="62">
        <f>IF(COUNTIFS(allFYsTable[Code], SummaryTable[[#This Row],[Code]], allFYsTable[year2], AC$3)=0, NotFound, SUMIFS(allFYsTable[OriginalBudget], allFYsTable[Code], SummaryTable[[#This Row],[Code]], allFYsTable[year2], AC$3))</f>
        <v>1097</v>
      </c>
      <c r="AD68" s="61">
        <f>SummaryTable[[#This Row],[OriginalBudget25]]-SummaryTable[[#This Row],[OriginalBudget24]]</f>
        <v>-167</v>
      </c>
      <c r="AE68" s="54">
        <f>SummaryTable[[#This Row],[BudgetIncreaseAmount25]]/SummaryTable[[#This Row],[OriginalBudget24]]</f>
        <v>-0.13212025316455697</v>
      </c>
      <c r="AF68" s="61">
        <f>IF(COUNTIFS(allFYsTable[Code], SummaryTable[[#This Row],[Code]], allFYsTable[year2], AC$3)=0, NotFound, SUMIFS(allFYsTable[RevisedBudget], allFYsTable[Code], SummaryTable[[#This Row],[Code]], allFYsTable[year2], AC$3))</f>
        <v>1097</v>
      </c>
      <c r="AG68" s="61">
        <f>IF(COUNTIFS(allFYsTable[Code], SummaryTable[[#This Row],[Code]], allFYsTable[year2], AC$3)=0, NotFound, SUMIFS(allFYsTable[Actual], allFYsTable[Code], SummaryTable[[#This Row],[Code]], allFYsTable[year2], AC$3))</f>
        <v>1097</v>
      </c>
      <c r="AH68" s="61">
        <f>IF(COUNTIFS(allFYsTable[Code], SummaryTable[[#This Row],[Code]], allFYsTable[year2], AC$3)=0, NotFound, SUMIFS(allFYsTable[DiffAmount], allFYsTable[Code], SummaryTable[[#This Row],[Code]], allFYsTable[year2], AC$3))</f>
        <v>0</v>
      </c>
      <c r="AI68" s="63">
        <f>IF(SummaryTable[[#This Row],[OriginalBudget25]]=0, IF(SummaryTable[[#This Row],[DiffAmount25]]=0, ZeroBudgetNoSpending, ZeroBudgetWithSpending), SummaryTable[[#This Row],[DiffAmount25]]/SummaryTable[[#This Row],[OriginalBudget25]])</f>
        <v>0</v>
      </c>
      <c r="AJ68" s="62">
        <f>IF(COUNTIFS(allFYsTable[Code], SummaryTable[[#This Row],[Code]], allFYsTable[year2], AJ$3)=0, NotFound, SUMIFS(allFYsTable[OriginalBudget], allFYsTable[Code], SummaryTable[[#This Row],[Code]], allFYsTable[year2], AJ$3))</f>
        <v>1264</v>
      </c>
      <c r="AK68" s="61">
        <f>SummaryTable[[#This Row],[OriginalBudget24]]-SummaryTable[[#This Row],[OriginalBudget23]]</f>
        <v>58</v>
      </c>
      <c r="AL68" s="54">
        <f>SummaryTable[[#This Row],[BudgetIncreaseAmount24]]/SummaryTable[[#This Row],[OriginalBudget23]]</f>
        <v>4.809286898839138E-2</v>
      </c>
      <c r="AM68" s="61">
        <f>IF(COUNTIFS(allFYsTable[Code], SummaryTable[[#This Row],[Code]], allFYsTable[year2], AK$3)=0, NotFound, SUMIFS(allFYsTable[RevisedBudget], allFYsTable[Code], SummaryTable[[#This Row],[Code]], allFYsTable[year2], AJ$3))</f>
        <v>1264</v>
      </c>
      <c r="AN68" s="61">
        <f>IF(COUNTIFS(allFYsTable[Code], SummaryTable[[#This Row],[Code]], allFYsTable[year2], AJ$3)=0, NotFound, SUMIFS(allFYsTable[Actual], allFYsTable[Code], SummaryTable[[#This Row],[Code]], allFYsTable[year2], AJ$3))</f>
        <v>1191</v>
      </c>
      <c r="AO68" s="61">
        <f>IF(COUNTIFS(allFYsTable[Code], SummaryTable[[#This Row],[Code]], allFYsTable[year2], AJ$3)=0, NotFound, SUMIFS(allFYsTable[DiffAmount], allFYsTable[Code], SummaryTable[[#This Row],[Code]], allFYsTable[year2], AJ$3))</f>
        <v>-73</v>
      </c>
      <c r="AP68" s="63">
        <f>IF(SummaryTable[[#This Row],[OriginalBudget24]]=0, IF(SummaryTable[[#This Row],[DiffAmount24]]=0, ZeroBudgetNoSpending, ZeroBudgetWithSpending), SummaryTable[[#This Row],[DiffAmount24]]/SummaryTable[[#This Row],[OriginalBudget24]])</f>
        <v>-5.7753164556962028E-2</v>
      </c>
      <c r="AQ68" s="62">
        <f>IF(COUNTIFS(allFYsTable[Code], SummaryTable[[#This Row],[Code]], allFYsTable[year2], AQ$3)=0, NotFound, SUMIFS(allFYsTable[OriginalBudget], allFYsTable[Code], SummaryTable[[#This Row],[Code]], allFYsTable[year2], AQ$3))</f>
        <v>1206</v>
      </c>
      <c r="AR68" s="61">
        <f>SummaryTable[[#This Row],[OriginalBudget23]]-SummaryTable[[#This Row],[OriginalBudget22]]</f>
        <v>611</v>
      </c>
      <c r="AS68" s="54">
        <f>SummaryTable[[#This Row],[BudgetIncreaseAmount23]]/SummaryTable[[#This Row],[OriginalBudget22]]</f>
        <v>1.0268907563025209</v>
      </c>
      <c r="AT68" s="61">
        <f>IF(COUNTIFS(allFYsTable[Code], SummaryTable[[#This Row],[Code]], allFYsTable[year2], AQ$3)=0, NotFound, SUMIFS(allFYsTable[RevisedBudget], allFYsTable[Code], SummaryTable[[#This Row],[Code]], allFYsTable[year2], AQ$3))</f>
        <v>1206</v>
      </c>
      <c r="AU68" s="61">
        <f>IF(COUNTIFS(allFYsTable[Code], SummaryTable[[#This Row],[Code]], allFYsTable[year2], AQ$3)=0, NotFound, SUMIFS(allFYsTable[Actual], allFYsTable[Code], SummaryTable[[#This Row],[Code]], allFYsTable[year2], AQ$3))</f>
        <v>1157</v>
      </c>
      <c r="AV68" s="61">
        <f>IF(COUNTIFS(allFYsTable[Code], SummaryTable[[#This Row],[Code]], allFYsTable[year2], AQ$3)=0, NotFound, SUMIFS(allFYsTable[DiffAmount], allFYsTable[Code], SummaryTable[[#This Row],[Code]], allFYsTable[year2], AQ$3))</f>
        <v>-49</v>
      </c>
      <c r="AW68" s="63">
        <f>IF(SummaryTable[[#This Row],[OriginalBudget23]]=0, IF(SummaryTable[[#This Row],[DiffAmount23]]=0, ZeroBudgetNoSpending, ZeroBudgetWithSpending), SummaryTable[[#This Row],[DiffAmount23]]/SummaryTable[[#This Row],[OriginalBudget23]])</f>
        <v>-4.06301824212272E-2</v>
      </c>
      <c r="AX68" s="62">
        <f>IF(COUNTIFS(allFYsTable[Code], SummaryTable[[#This Row],[Code]], allFYsTable[year2], AX$3)=0, NotFound, SUMIFS(allFYsTable[OriginalBudget], allFYsTable[Code], SummaryTable[[#This Row],[Code]], allFYsTable[year2], AX$3))</f>
        <v>595</v>
      </c>
      <c r="AY68" s="61">
        <f>SummaryTable[[#This Row],[OriginalBudget22]]-SummaryTable[[#This Row],[OriginalBudget21]]</f>
        <v>9</v>
      </c>
      <c r="AZ68" s="54">
        <f>SummaryTable[[#This Row],[BudgetIncreaseAmount22]]/SummaryTable[[#This Row],[OriginalBudget21]]</f>
        <v>1.5358361774744027E-2</v>
      </c>
      <c r="BA68" s="61">
        <f>IF(COUNTIFS(allFYsTable[Code], SummaryTable[[#This Row],[Code]], allFYsTable[year2], AX$3)=0, NotFound, SUMIFS(allFYsTable[RevisedBudget], allFYsTable[Code], SummaryTable[[#This Row],[Code]], allFYsTable[year2], AX$3))</f>
        <v>595</v>
      </c>
      <c r="BB68" s="61">
        <f>IF(COUNTIFS(allFYsTable[Code], SummaryTable[[#This Row],[Code]], allFYsTable[year2], AX$3)=0, NotFound, SUMIFS(allFYsTable[Actual], allFYsTable[Code], SummaryTable[[#This Row],[Code]], allFYsTable[year2], AX$3))</f>
        <v>555</v>
      </c>
      <c r="BC68" s="61">
        <f>IF(COUNTIFS(allFYsTable[Code], SummaryTable[[#This Row],[Code]], allFYsTable[year2], AX$3)=0, NotFound, SUMIFS(allFYsTable[DiffAmount], allFYsTable[Code], SummaryTable[[#This Row],[Code]], allFYsTable[year2], AX$3))</f>
        <v>-40</v>
      </c>
      <c r="BD68" s="63">
        <f>IF(SummaryTable[[#This Row],[OriginalBudget22]]=0, IF(SummaryTable[[#This Row],[DiffAmount22]]=0, ZeroBudgetNoSpending, ZeroBudgetWithSpending), SummaryTable[[#This Row],[DiffAmount22]]/SummaryTable[[#This Row],[OriginalBudget22]])</f>
        <v>-6.7226890756302518E-2</v>
      </c>
      <c r="BE68" s="62">
        <f>IF(COUNTIFS(allFYsTable[Code], SummaryTable[[#This Row],[Code]], allFYsTable[year2], BE$3)=0, NotFound, SUMIFS(allFYsTable[OriginalBudget], allFYsTable[Code], SummaryTable[[#This Row],[Code]], allFYsTable[year2], BE$3))</f>
        <v>586</v>
      </c>
      <c r="BF68" s="61">
        <f>SummaryTable[[#This Row],[OriginalBudget21]]-SummaryTable[[#This Row],[OriginalBudget20]]</f>
        <v>32</v>
      </c>
      <c r="BG68" s="54">
        <f>SummaryTable[[#This Row],[BudgetIncreaseAmount21]]/SummaryTable[[#This Row],[OriginalBudget20]]</f>
        <v>5.7761732851985562E-2</v>
      </c>
      <c r="BH68" s="61">
        <f>IF(COUNTIFS(allFYsTable[Code], SummaryTable[[#This Row],[Code]], allFYsTable[year2], BE$3)=0, NotFound, SUMIFS(allFYsTable[RevisedBudget], allFYsTable[Code], SummaryTable[[#This Row],[Code]], allFYsTable[year2], BE$3))</f>
        <v>586</v>
      </c>
      <c r="BI68" s="61">
        <f>IF(COUNTIFS(allFYsTable[Code], SummaryTable[[#This Row],[Code]], allFYsTable[year2], BE$3)=0, NotFound, SUMIFS(allFYsTable[Actual], allFYsTable[Code], SummaryTable[[#This Row],[Code]], allFYsTable[year2], BE$3))</f>
        <v>586</v>
      </c>
      <c r="BJ68" s="61">
        <f>IF(COUNTIFS(allFYsTable[Code], SummaryTable[[#This Row],[Code]], allFYsTable[year2], BE$3)=0, NotFound, SUMIFS(allFYsTable[DiffAmount], allFYsTable[Code], SummaryTable[[#This Row],[Code]], allFYsTable[year2], BE$3))</f>
        <v>0</v>
      </c>
      <c r="BK68" s="63">
        <f>IF(SummaryTable[[#This Row],[OriginalBudget21]]=0, IF(SummaryTable[[#This Row],[DiffAmount21]]=0, ZeroBudgetNoSpending, ZeroBudgetWithSpending), SummaryTable[[#This Row],[DiffAmount21]]/SummaryTable[[#This Row],[OriginalBudget21]])</f>
        <v>0</v>
      </c>
      <c r="BL68" s="62">
        <f>IF(COUNTIFS(allFYsTable[Code], SummaryTable[[#This Row],[Code]], allFYsTable[year2], BL$3)=0, NotFound, SUMIFS(allFYsTable[OriginalBudget], allFYsTable[Code], SummaryTable[[#This Row],[Code]], allFYsTable[year2], BL$3))</f>
        <v>554</v>
      </c>
      <c r="BM68" s="61">
        <f>SummaryTable[[#This Row],[OriginalBudget20]]-SummaryTable[[#This Row],[OriginalBudget19]]</f>
        <v>12</v>
      </c>
      <c r="BN68" s="54">
        <f>SummaryTable[[#This Row],[BudgetIncreaseAmount20]]/SummaryTable[[#This Row],[OriginalBudget19]]</f>
        <v>2.2140221402214021E-2</v>
      </c>
      <c r="BO68" s="61">
        <f>IF(COUNTIFS(allFYsTable[Code], SummaryTable[[#This Row],[Code]], allFYsTable[year2], BL$3)=0, NotFound, SUMIFS(allFYsTable[RevisedBudget], allFYsTable[Code], SummaryTable[[#This Row],[Code]], allFYsTable[year2], BL$3))</f>
        <v>554</v>
      </c>
      <c r="BP68" s="61">
        <f>IF(COUNTIFS(allFYsTable[Code], SummaryTable[[#This Row],[Code]], allFYsTable[year2], BL$3)=0, NotFound, SUMIFS(allFYsTable[Actual], allFYsTable[Code], SummaryTable[[#This Row],[Code]], allFYsTable[year2], BL$3))</f>
        <v>554</v>
      </c>
      <c r="BQ68" s="61">
        <f>IF(COUNTIFS(allFYsTable[Code], SummaryTable[[#This Row],[Code]], allFYsTable[year2], BL$3)=0, NotFound, SUMIFS(allFYsTable[DiffAmount], allFYsTable[Code], SummaryTable[[#This Row],[Code]], allFYsTable[year2], BL$3))</f>
        <v>0</v>
      </c>
      <c r="BR68" s="63">
        <f>IF(SummaryTable[[#This Row],[OriginalBudget20]]=0, IF(SummaryTable[[#This Row],[DiffAmount20]]=0, ZeroBudgetNoSpending, ZeroBudgetWithSpending), SummaryTable[[#This Row],[DiffAmount20]]/SummaryTable[[#This Row],[OriginalBudget20]])</f>
        <v>0</v>
      </c>
      <c r="BS68" s="62">
        <f>IF(COUNTIFS(allFYsTable[Code], SummaryTable[[#This Row],[Code]], allFYsTable[year2], BS$3)=0, NotFound, SUMIFS(allFYsTable[OriginalBudget], allFYsTable[Code], SummaryTable[[#This Row],[Code]], allFYsTable[year2], BS$3))</f>
        <v>542</v>
      </c>
      <c r="BT68" s="61">
        <f>SummaryTable[[#This Row],[OriginalBudget19]]-SummaryTable[[#This Row],[OriginalBudget18]]</f>
        <v>22</v>
      </c>
      <c r="BU68" s="54">
        <f>SummaryTable[[#This Row],[BudgetIncreaseAmount19]]/SummaryTable[[#This Row],[OriginalBudget18]]</f>
        <v>4.230769230769231E-2</v>
      </c>
      <c r="BV68" s="61">
        <f>IF(COUNTIFS(allFYsTable[Code], SummaryTable[[#This Row],[Code]], allFYsTable[year2], BS$3)=0, NotFound, SUMIFS(allFYsTable[RevisedBudget], allFYsTable[Code], SummaryTable[[#This Row],[Code]], allFYsTable[year2], BS$3))</f>
        <v>542</v>
      </c>
      <c r="BW68" s="61">
        <f>IF(COUNTIFS(allFYsTable[Code], SummaryTable[[#This Row],[Code]], allFYsTable[year2], BS$3)=0, NotFound, SUMIFS(allFYsTable[Actual], allFYsTable[Code], SummaryTable[[#This Row],[Code]], allFYsTable[year2], BS$3))</f>
        <v>542</v>
      </c>
      <c r="BX68" s="61">
        <f>IF(COUNTIFS(allFYsTable[Code], SummaryTable[[#This Row],[Code]], allFYsTable[year2], BS$3)=0, NotFound, SUMIFS(allFYsTable[DiffAmount], allFYsTable[Code], SummaryTable[[#This Row],[Code]], allFYsTable[year2], BS$3))</f>
        <v>0</v>
      </c>
      <c r="BY68" s="63">
        <f>IF(SummaryTable[[#This Row],[OriginalBudget19]]=0, IF(SummaryTable[[#This Row],[DiffAmount19]]=0, ZeroBudgetNoSpending, ZeroBudgetWithSpending), SummaryTable[[#This Row],[DiffAmount19]]/SummaryTable[[#This Row],[OriginalBudget19]])</f>
        <v>0</v>
      </c>
      <c r="BZ68" s="62">
        <f>IF(COUNTIFS(allFYsTable[Code], SummaryTable[[#This Row],[Code]], allFYsTable[year2], BZ$3)=0, NotFound, SUMIFS(allFYsTable[OriginalBudget], allFYsTable[Code], SummaryTable[[#This Row],[Code]], allFYsTable[year2], BZ$3))</f>
        <v>520</v>
      </c>
      <c r="CA68" s="61">
        <f>SummaryTable[[#This Row],[OriginalBudget18]]-SummaryTable[[#This Row],[OriginalBudget17]]</f>
        <v>25</v>
      </c>
      <c r="CB68" s="54">
        <f>SummaryTable[[#This Row],[BudgetIncreaseAmount18]]/SummaryTable[[#This Row],[OriginalBudget17]]</f>
        <v>5.0505050505050504E-2</v>
      </c>
      <c r="CC68" s="61">
        <f>IF(COUNTIFS(allFYsTable[Code], SummaryTable[[#This Row],[Code]], allFYsTable[year2], BZ$3)=0, NotFound, SUMIFS(allFYsTable[RevisedBudget], allFYsTable[Code], SummaryTable[[#This Row],[Code]], allFYsTable[year2], BZ$3))</f>
        <v>520</v>
      </c>
      <c r="CD68" s="61">
        <f>IF(COUNTIFS(allFYsTable[Code], SummaryTable[[#This Row],[Code]], allFYsTable[year2], BZ$3)=0, NotFound, SUMIFS(allFYsTable[Actual], allFYsTable[Code], SummaryTable[[#This Row],[Code]], allFYsTable[year2], BZ$3))</f>
        <v>520</v>
      </c>
      <c r="CE68" s="61">
        <f>IF(COUNTIFS(allFYsTable[Code], SummaryTable[[#This Row],[Code]], allFYsTable[year2], BZ$3)=0, NotFound, SUMIFS(allFYsTable[DiffAmount], allFYsTable[Code], SummaryTable[[#This Row],[Code]], allFYsTable[year2], BZ$3))</f>
        <v>0</v>
      </c>
      <c r="CF68" s="63">
        <f>IF(SummaryTable[[#This Row],[OriginalBudget18]]=0, IF(SummaryTable[[#This Row],[DiffAmount18]]=0, ZeroBudgetNoSpending, ZeroBudgetWithSpending), SummaryTable[[#This Row],[DiffAmount18]]/SummaryTable[[#This Row],[OriginalBudget18]])</f>
        <v>0</v>
      </c>
      <c r="CG68" s="62">
        <f>IF(COUNTIFS(allFYsTable[Code], SummaryTable[[#This Row],[Code]], allFYsTable[year2], CG$3)=0, NotFound, SUMIFS(allFYsTable[OriginalBudget], allFYsTable[Code], SummaryTable[[#This Row],[Code]], allFYsTable[year2], CG$3))</f>
        <v>495</v>
      </c>
      <c r="CH68" s="61">
        <f>SummaryTable[[#This Row],[OriginalBudget17]]-SummaryTable[[#This Row],[OriginalBudget16]]</f>
        <v>23</v>
      </c>
      <c r="CI68" s="54">
        <f>SummaryTable[[#This Row],[BudgetIncreaseAmount17]]/SummaryTable[[#This Row],[OriginalBudget16]]</f>
        <v>4.8728813559322036E-2</v>
      </c>
      <c r="CJ68" s="61">
        <f>IF(COUNTIFS(allFYsTable[Code], SummaryTable[[#This Row],[Code]], allFYsTable[year2], CG$3)=0, NotFound, SUMIFS(allFYsTable[RevisedBudget], allFYsTable[Code], SummaryTable[[#This Row],[Code]], allFYsTable[year2], CG$3))</f>
        <v>495</v>
      </c>
      <c r="CK68" s="61">
        <f>IF(COUNTIFS(allFYsTable[Code], SummaryTable[[#This Row],[Code]], allFYsTable[year2], CG$3)=0, NotFound, SUMIFS(allFYsTable[Actual], allFYsTable[Code], SummaryTable[[#This Row],[Code]], allFYsTable[year2], CG$3))</f>
        <v>495</v>
      </c>
      <c r="CL68" s="61">
        <f>IF(COUNTIFS(allFYsTable[Code], SummaryTable[[#This Row],[Code]], allFYsTable[year2], CG$3)=0, NotFound, SUMIFS(allFYsTable[DiffAmount], allFYsTable[Code], SummaryTable[[#This Row],[Code]], allFYsTable[year2], CG$3))</f>
        <v>0</v>
      </c>
      <c r="CM68" s="63">
        <f>IF(SummaryTable[[#This Row],[OriginalBudget17]]=0, IF(SummaryTable[[#This Row],[DiffAmount17]]=0, ZeroBudgetNoSpending, ZeroBudgetWithSpending), SummaryTable[[#This Row],[DiffAmount17]]/SummaryTable[[#This Row],[OriginalBudget17]])</f>
        <v>0</v>
      </c>
      <c r="CN68" s="62">
        <f>IF(COUNTIFS(allFYsTable[Code], SummaryTable[[#This Row],[Code]], allFYsTable[year2], CN$3)=0, NotFound, SUMIFS(allFYsTable[OriginalBudget], allFYsTable[Code], SummaryTable[[#This Row],[Code]], allFYsTable[year2], CN$3))</f>
        <v>472</v>
      </c>
      <c r="CO68" s="61">
        <f>SummaryTable[[#This Row],[OriginalBudget16]]-SummaryTable[[#This Row],[OriginalBudget15]]</f>
        <v>22</v>
      </c>
      <c r="CP68" s="54">
        <f>SummaryTable[[#This Row],[BudgetIncreaseAmount16]]/SummaryTable[[#This Row],[OriginalBudget15]]</f>
        <v>4.8888888888888891E-2</v>
      </c>
      <c r="CQ68" s="61">
        <f>IF(COUNTIFS(allFYsTable[Code], SummaryTable[[#This Row],[Code]], allFYsTable[year2], CN$3)=0, NotFound, SUMIFS(allFYsTable[RevisedBudget], allFYsTable[Code], SummaryTable[[#This Row],[Code]], allFYsTable[year2], CN$3))</f>
        <v>472</v>
      </c>
      <c r="CR68" s="61">
        <f>IF(COUNTIFS(allFYsTable[Code], SummaryTable[[#This Row],[Code]], allFYsTable[year2], CN$3)=0, NotFound, SUMIFS(allFYsTable[Actual], allFYsTable[Code], SummaryTable[[#This Row],[Code]], allFYsTable[year2], CN$3))</f>
        <v>472</v>
      </c>
      <c r="CS68" s="61">
        <f>IF(COUNTIFS(allFYsTable[Code], SummaryTable[[#This Row],[Code]], allFYsTable[year2], CN$3)=0, NotFound, SUMIFS(allFYsTable[DiffAmount], allFYsTable[Code], SummaryTable[[#This Row],[Code]], allFYsTable[year2], CN$3))</f>
        <v>0</v>
      </c>
      <c r="CT68" s="63">
        <f>IF(SummaryTable[[#This Row],[OriginalBudget16]]=0, IF(SummaryTable[[#This Row],[DiffAmount16]]=0, ZeroBudgetNoSpending, ZeroBudgetWithSpending), SummaryTable[[#This Row],[DiffAmount16]]/SummaryTable[[#This Row],[OriginalBudget16]])</f>
        <v>0</v>
      </c>
      <c r="CU68" s="62">
        <f>IF(COUNTIFS(allFYsTable[Code], SummaryTable[[#This Row],[Code]], allFYsTable[year2], CU$3)=0, NotFound, SUMIFS(allFYsTable[OriginalBudget], allFYsTable[Code], SummaryTable[[#This Row],[Code]], allFYsTable[year2], CU$3))</f>
        <v>450</v>
      </c>
      <c r="CV68" s="61">
        <f>SummaryTable[[#This Row],[OriginalBudget15]]-SummaryTable[[#This Row],[OriginalBudget14]]</f>
        <v>22</v>
      </c>
      <c r="CW68" s="54">
        <f>SummaryTable[[#This Row],[BudgetIncreaseAmount15]]/SummaryTable[[#This Row],[OriginalBudget14]]</f>
        <v>5.1401869158878503E-2</v>
      </c>
      <c r="CX68" s="61">
        <f>IF(COUNTIFS(allFYsTable[Code], SummaryTable[[#This Row],[Code]], allFYsTable[year2], CU$3)=0, NotFound, SUMIFS(allFYsTable[RevisedBudget], allFYsTable[Code], SummaryTable[[#This Row],[Code]], allFYsTable[year2], CU$3))</f>
        <v>450</v>
      </c>
      <c r="CY68" s="61">
        <f>IF(COUNTIFS(allFYsTable[Code], SummaryTable[[#This Row],[Code]], allFYsTable[year2], CU$3)=0, NotFound, SUMIFS(allFYsTable[Actual], allFYsTable[Code], SummaryTable[[#This Row],[Code]], allFYsTable[year2], CU$3))</f>
        <v>450</v>
      </c>
      <c r="CZ68" s="61">
        <f>IF(COUNTIFS(allFYsTable[Code], SummaryTable[[#This Row],[Code]], allFYsTable[year2], CU$3)=0, NotFound, SUMIFS(allFYsTable[DiffAmount], allFYsTable[Code], SummaryTable[[#This Row],[Code]], allFYsTable[year2], CU$3))</f>
        <v>0</v>
      </c>
      <c r="DA68" s="63">
        <f>IF(SummaryTable[[#This Row],[OriginalBudget15]]=0, IF(SummaryTable[[#This Row],[DiffAmount15]]=0, ZeroBudgetNoSpending, ZeroBudgetWithSpending), SummaryTable[[#This Row],[DiffAmount15]]/SummaryTable[[#This Row],[OriginalBudget15]])</f>
        <v>0</v>
      </c>
      <c r="DB68" s="62">
        <f>IF(COUNTIFS(allFYsTable[Code], SummaryTable[[#This Row],[Code]], allFYsTable[year2], DB$3)=0, NotFound, SUMIFS(allFYsTable[OriginalBudget], allFYsTable[Code], SummaryTable[[#This Row],[Code]], allFYsTable[year2], DB$3))</f>
        <v>428</v>
      </c>
      <c r="DC68" s="61">
        <f>SummaryTable[[#This Row],[OriginalBudget14]]-SummaryTable[[#This Row],[OriginalBudget13]]</f>
        <v>20</v>
      </c>
      <c r="DD68" s="54">
        <f>SummaryTable[[#This Row],[BudgetIncreaseAmount14]]/SummaryTable[[#This Row],[OriginalBudget13]]</f>
        <v>4.9019607843137254E-2</v>
      </c>
      <c r="DE68" s="61">
        <f>IF(COUNTIFS(allFYsTable[Code], SummaryTable[[#This Row],[Code]], allFYsTable[year2], DB$3)=0, NotFound, SUMIFS(allFYsTable[RevisedBudget], allFYsTable[Code], SummaryTable[[#This Row],[Code]], allFYsTable[year2], DB$3))</f>
        <v>428</v>
      </c>
      <c r="DF68" s="61">
        <f>IF(COUNTIFS(allFYsTable[Code], SummaryTable[[#This Row],[Code]], allFYsTable[year2], DB$3)=0, NotFound, SUMIFS(allFYsTable[Actual], allFYsTable[Code], SummaryTable[[#This Row],[Code]], allFYsTable[year2], DB$3))</f>
        <v>428</v>
      </c>
      <c r="DG68" s="61">
        <f>IF(COUNTIFS(allFYsTable[Code], SummaryTable[[#This Row],[Code]], allFYsTable[year2], DB$3)=0, NotFound, SUMIFS(allFYsTable[DiffAmount], allFYsTable[Code], SummaryTable[[#This Row],[Code]], allFYsTable[year2], DB$3))</f>
        <v>0</v>
      </c>
      <c r="DH68" s="63">
        <f>IF(SummaryTable[[#This Row],[OriginalBudget14]]=0, IF(SummaryTable[[#This Row],[DiffAmount14]]=0, ZeroBudgetNoSpending, ZeroBudgetWithSpending), SummaryTable[[#This Row],[DiffAmount14]]/SummaryTable[[#This Row],[OriginalBudget14]])</f>
        <v>0</v>
      </c>
      <c r="DI68" s="62">
        <f>IF(COUNTIFS(allFYsTable[Code], SummaryTable[[#This Row],[Code]], allFYsTable[year2], DI$3)=0, NotFound, SUMIFS(allFYsTable[OriginalBudget], allFYsTable[Code], SummaryTable[[#This Row],[Code]], allFYsTable[year2], DI$3))</f>
        <v>408</v>
      </c>
      <c r="DJ68" s="61">
        <f>SummaryTable[[#This Row],[OriginalBudget13]]-SummaryTable[[#This Row],[OriginalBudget12]]</f>
        <v>12</v>
      </c>
      <c r="DK68" s="54">
        <f>SummaryTable[[#This Row],[BudgetIncreaseAmount13]]/SummaryTable[[#This Row],[OriginalBudget12]]</f>
        <v>3.0303030303030304E-2</v>
      </c>
      <c r="DL68" s="61">
        <f>IF(COUNTIFS(allFYsTable[Code], SummaryTable[[#This Row],[Code]], allFYsTable[year2], DI$3)=0, NotFound, SUMIFS(allFYsTable[RevisedBudget], allFYsTable[Code], SummaryTable[[#This Row],[Code]], allFYsTable[year2], DI$3))</f>
        <v>783</v>
      </c>
      <c r="DM68" s="61">
        <f>IF(COUNTIFS(allFYsTable[Code], SummaryTable[[#This Row],[Code]], allFYsTable[year2], DI$3)=0, NotFound, SUMIFS(allFYsTable[Actual], allFYsTable[Code], SummaryTable[[#This Row],[Code]], allFYsTable[year2], DI$3))</f>
        <v>783</v>
      </c>
      <c r="DN68" s="61">
        <f>IF(COUNTIFS(allFYsTable[Code], SummaryTable[[#This Row],[Code]], allFYsTable[year2], DI$3)=0, NotFound, SUMIFS(allFYsTable[DiffAmount], allFYsTable[Code], SummaryTable[[#This Row],[Code]], allFYsTable[year2], DI$3))</f>
        <v>375</v>
      </c>
      <c r="DO68" s="63">
        <f>IF(SummaryTable[[#This Row],[OriginalBudget13]]=0, IF(SummaryTable[[#This Row],[DiffAmount13]]=0, ZeroBudgetNoSpending, ZeroBudgetWithSpending), SummaryTable[[#This Row],[DiffAmount13]]/SummaryTable[[#This Row],[OriginalBudget13]])</f>
        <v>0.91911764705882348</v>
      </c>
      <c r="DP68" s="62">
        <f>IF(COUNTIFS(allFYsTable[Code], SummaryTable[[#This Row],[Code]], allFYsTable[year2], DP$3)=0, NotFound, SUMIFS(allFYsTable[OriginalBudget], allFYsTable[Code], SummaryTable[[#This Row],[Code]], allFYsTable[year2], DP$3))</f>
        <v>396</v>
      </c>
      <c r="DQ68" s="61">
        <f>SummaryTable[[#This Row],[OriginalBudget12]]-SummaryTable[[#This Row],[OriginalBudget11]]</f>
        <v>0</v>
      </c>
      <c r="DR68" s="54">
        <f>SummaryTable[[#This Row],[BudgetIncreaseAmount12]]/SummaryTable[[#This Row],[OriginalBudget11]]</f>
        <v>0</v>
      </c>
      <c r="DS68" s="61">
        <f>IF(COUNTIFS(allFYsTable[Code], SummaryTable[[#This Row],[Code]], allFYsTable[year2], DP$3)=0, NotFound, SUMIFS(allFYsTable[RevisedBudget], allFYsTable[Code], SummaryTable[[#This Row],[Code]], allFYsTable[year2], DP$3))</f>
        <v>396</v>
      </c>
      <c r="DT68" s="61">
        <f>IF(COUNTIFS(allFYsTable[Code], SummaryTable[[#This Row],[Code]], allFYsTable[year2], DP$3)=0, NotFound, SUMIFS(allFYsTable[Actual], allFYsTable[Code], SummaryTable[[#This Row],[Code]], allFYsTable[year2], DP$3))</f>
        <v>396</v>
      </c>
      <c r="DU68" s="61">
        <f>IF(COUNTIFS(allFYsTable[Code], SummaryTable[[#This Row],[Code]], allFYsTable[year2], DP$3)=0, NotFound, SUMIFS(allFYsTable[DiffAmount], allFYsTable[Code], SummaryTable[[#This Row],[Code]], allFYsTable[year2], DP$3))</f>
        <v>0</v>
      </c>
      <c r="DV68" s="63">
        <f>IF(SummaryTable[[#This Row],[OriginalBudget12]]=0, IF(SummaryTable[[#This Row],[DiffAmount12]]=0, ZeroBudgetNoSpending, ZeroBudgetWithSpending), SummaryTable[[#This Row],[DiffAmount12]]/SummaryTable[[#This Row],[OriginalBudget12]])</f>
        <v>0</v>
      </c>
      <c r="DW68" s="62">
        <f>IF(COUNTIFS(allFYsTable[Code], SummaryTable[[#This Row],[Code]], allFYsTable[year2], DW$3)=0, NotFound, SUMIFS(allFYsTable[OriginalBudget], allFYsTable[Code], SummaryTable[[#This Row],[Code]], allFYsTable[year2], DW$3))</f>
        <v>396</v>
      </c>
      <c r="DX68" s="61">
        <f>SummaryTable[[#This Row],[OriginalBudget11]]-SummaryTable[[#This Row],[OriginalBudget10]]</f>
        <v>0</v>
      </c>
      <c r="DY68" s="54">
        <f>SummaryTable[[#This Row],[BudgetIncreaseAmount11]]/SummaryTable[[#This Row],[OriginalBudget10]]</f>
        <v>0</v>
      </c>
      <c r="DZ68" s="61">
        <f>IF(COUNTIFS(allFYsTable[Code], SummaryTable[[#This Row],[Code]], allFYsTable[year2], DW$3)=0, NotFound, SUMIFS(allFYsTable[RevisedBudget], allFYsTable[Code], SummaryTable[[#This Row],[Code]], allFYsTable[year2], DW$3))</f>
        <v>495</v>
      </c>
      <c r="EA68" s="61">
        <f>IF(COUNTIFS(allFYsTable[Code], SummaryTable[[#This Row],[Code]], allFYsTable[year2], DW$3)=0, NotFound, SUMIFS(allFYsTable[Actual], allFYsTable[Code], SummaryTable[[#This Row],[Code]], allFYsTable[year2], DW$3))</f>
        <v>495</v>
      </c>
      <c r="EB68" s="61">
        <f>IF(COUNTIFS(allFYsTable[Code], SummaryTable[[#This Row],[Code]], allFYsTable[year2], DW$3)=0, NotFound, SUMIFS(allFYsTable[DiffAmount], allFYsTable[Code], SummaryTable[[#This Row],[Code]], allFYsTable[year2], DW$3))</f>
        <v>99</v>
      </c>
      <c r="EC68" s="63">
        <f>IF(SummaryTable[[#This Row],[OriginalBudget11]]=0, IF(SummaryTable[[#This Row],[DiffAmount11]]=0, ZeroBudgetNoSpending, ZeroBudgetWithSpending), SummaryTable[[#This Row],[DiffAmount11]]/SummaryTable[[#This Row],[OriginalBudget11]])</f>
        <v>0.25</v>
      </c>
      <c r="ED68" s="62">
        <f>IF(COUNTIFS(allFYsTable[Code], SummaryTable[[#This Row],[Code]], allFYsTable[year2], ED$3)=0, NotFound, SUMIFS(allFYsTable[OriginalBudget], allFYsTable[Code], SummaryTable[[#This Row],[Code]], allFYsTable[year2], ED$3))</f>
        <v>396</v>
      </c>
      <c r="EE68" s="61">
        <f>SummaryTable[[#This Row],[OriginalBudget10]]-SummaryTable[[#This Row],[OriginalBudget09]]</f>
        <v>0</v>
      </c>
      <c r="EF68" s="54">
        <f>SummaryTable[[#This Row],[BudgetIncreaseAmount10]]/SummaryTable[[#This Row],[OriginalBudget09]]</f>
        <v>0</v>
      </c>
      <c r="EG68" s="61">
        <f>IF(COUNTIFS(allFYsTable[Code], SummaryTable[[#This Row],[Code]], allFYsTable[year2], ED$3)=0, NotFound, SUMIFS(allFYsTable[RevisedBudget], allFYsTable[Code], SummaryTable[[#This Row],[Code]], allFYsTable[year2], ED$3))</f>
        <v>396</v>
      </c>
      <c r="EH68" s="61">
        <f>IF(COUNTIFS(allFYsTable[Code], SummaryTable[[#This Row],[Code]], allFYsTable[year2], ED$3)=0, NotFound, SUMIFS(allFYsTable[Actual], allFYsTable[Code], SummaryTable[[#This Row],[Code]], allFYsTable[year2], ED$3))</f>
        <v>297</v>
      </c>
      <c r="EI68" s="61">
        <f>IF(COUNTIFS(allFYsTable[Code], SummaryTable[[#This Row],[Code]], allFYsTable[year2], ED$3)=0, NotFound, SUMIFS(allFYsTable[DiffAmount], allFYsTable[Code], SummaryTable[[#This Row],[Code]], allFYsTable[year2], ED$3))</f>
        <v>-99</v>
      </c>
      <c r="EJ68" s="63">
        <f>IF(SummaryTable[[#This Row],[OriginalBudget10]]=0, IF(SummaryTable[[#This Row],[DiffAmount10]]=0, ZeroBudgetNoSpending, ZeroBudgetWithSpending), SummaryTable[[#This Row],[DiffAmount10]]/SummaryTable[[#This Row],[OriginalBudget10]])</f>
        <v>-0.25</v>
      </c>
      <c r="EK68" s="62">
        <f>IF(COUNTIFS(allFYsTable[Code], SummaryTable[[#This Row],[Code]], allFYsTable[year2], EK$3)=0, NotFound, SUMIFS(allFYsTable[OriginalBudget], allFYsTable[Code], SummaryTable[[#This Row],[Code]], allFYsTable[year2], EK$3))</f>
        <v>396</v>
      </c>
      <c r="EL68" s="61">
        <f>SummaryTable[[#This Row],[OriginalBudget09]]-SummaryTable[[#This Row],[OriginalBudget08]]</f>
        <v>15</v>
      </c>
      <c r="EM68" s="54">
        <f>SummaryTable[[#This Row],[BudgetIncreaseAmount09]]/SummaryTable[[#This Row],[OriginalBudget08]]</f>
        <v>3.937007874015748E-2</v>
      </c>
      <c r="EN68" s="61">
        <f>IF(COUNTIFS(allFYsTable[Code], SummaryTable[[#This Row],[Code]], allFYsTable[year2], EK$3)=0, NotFound, SUMIFS(allFYsTable[RevisedBudget], allFYsTable[Code], SummaryTable[[#This Row],[Code]], allFYsTable[year2], EK$3))</f>
        <v>396</v>
      </c>
      <c r="EO68" s="61">
        <f>IF(COUNTIFS(allFYsTable[Code], SummaryTable[[#This Row],[Code]], allFYsTable[year2], EK$3)=0, NotFound, SUMIFS(allFYsTable[Actual], allFYsTable[Code], SummaryTable[[#This Row],[Code]], allFYsTable[year2], EK$3))</f>
        <v>396</v>
      </c>
      <c r="EP68" s="61">
        <f>IF(COUNTIFS(allFYsTable[Code], SummaryTable[[#This Row],[Code]], allFYsTable[year2], EK$3)=0, NotFound, SUMIFS(allFYsTable[DiffAmount], allFYsTable[Code], SummaryTable[[#This Row],[Code]], allFYsTable[year2], EK$3))</f>
        <v>0</v>
      </c>
      <c r="EQ68" s="63">
        <f>IF(SummaryTable[[#This Row],[OriginalBudget09]]=0, IF(SummaryTable[[#This Row],[DiffAmount09]]=0, ZeroBudgetNoSpending, ZeroBudgetWithSpending), SummaryTable[[#This Row],[DiffAmount09]]/SummaryTable[[#This Row],[OriginalBudget09]])</f>
        <v>0</v>
      </c>
      <c r="ER68" s="62">
        <f>IF(COUNTIFS(allFYsTable[Code], SummaryTable[[#This Row],[Code]], allFYsTable[year2], ER$3)=0, NotFound, SUMIFS(allFYsTable[OriginalBudget], allFYsTable[Code], SummaryTable[[#This Row],[Code]], allFYsTable[year2], ER$3))</f>
        <v>381</v>
      </c>
      <c r="ES68" s="61">
        <f>SummaryTable[[#This Row],[OriginalBudget08]]-SummaryTable[[#This Row],[OriginalBudget07]]</f>
        <v>-40</v>
      </c>
      <c r="ET68" s="54">
        <f>SummaryTable[[#This Row],[BudgetIncreaseAmount08]]/SummaryTable[[#This Row],[OriginalBudget07]]</f>
        <v>-9.5011876484560567E-2</v>
      </c>
      <c r="EU68" s="61">
        <f>IF(COUNTIFS(allFYsTable[Code], SummaryTable[[#This Row],[Code]], allFYsTable[year2], ER$3)=0, NotFound, SUMIFS(allFYsTable[RevisedBudget], allFYsTable[Code], SummaryTable[[#This Row],[Code]], allFYsTable[year2], ER$3))</f>
        <v>381</v>
      </c>
      <c r="EV68" s="61">
        <f>IF(COUNTIFS(allFYsTable[Code], SummaryTable[[#This Row],[Code]], allFYsTable[year2], ER$3)=0, NotFound, SUMIFS(allFYsTable[Actual], allFYsTable[Code], SummaryTable[[#This Row],[Code]], allFYsTable[year2], ER$3))</f>
        <v>381</v>
      </c>
      <c r="EW68" s="61">
        <f>IF(COUNTIFS(allFYsTable[Code], SummaryTable[[#This Row],[Code]], allFYsTable[year2], ER$3)=0, NotFound, SUMIFS(allFYsTable[DiffAmount], allFYsTable[Code], SummaryTable[[#This Row],[Code]], allFYsTable[year2], ER$3))</f>
        <v>0</v>
      </c>
      <c r="EX68" s="63">
        <f>IF(SummaryTable[[#This Row],[OriginalBudget08]]=0, IF(SummaryTable[[#This Row],[DiffAmount08]]=0, ZeroBudgetNoSpending, ZeroBudgetWithSpending), SummaryTable[[#This Row],[DiffAmount08]]/SummaryTable[[#This Row],[OriginalBudget08]])</f>
        <v>0</v>
      </c>
      <c r="EY68" s="62">
        <f>IF(COUNTIFS(allFYsTable[Code], SummaryTable[[#This Row],[Code]], allFYsTable[year2], EY$3)=0, NotFound, SUMIFS(allFYsTable[OriginalBudget], allFYsTable[Code], SummaryTable[[#This Row],[Code]], allFYsTable[year2], EY$3))</f>
        <v>421</v>
      </c>
      <c r="EZ68" s="61">
        <f>SummaryTable[[#This Row],[OriginalBudget07]]-SummaryTable[[#This Row],[OriginalBudget06]]</f>
        <v>-19</v>
      </c>
      <c r="FA68" s="54">
        <f>SummaryTable[[#This Row],[BudgetIncreaseAmount07]]/SummaryTable[[#This Row],[OriginalBudget06]]</f>
        <v>-4.3181818181818182E-2</v>
      </c>
      <c r="FB68" s="61">
        <f>IF(COUNTIFS(allFYsTable[Code], SummaryTable[[#This Row],[Code]], allFYsTable[year2], EY$3)=0, NotFound, SUMIFS(allFYsTable[RevisedBudget], allFYsTable[Code], SummaryTable[[#This Row],[Code]], allFYsTable[year2], EY$3))</f>
        <v>421</v>
      </c>
      <c r="FC68" s="61">
        <f>IF(COUNTIFS(allFYsTable[Code], SummaryTable[[#This Row],[Code]], allFYsTable[year2], EY$3)=0, NotFound, SUMIFS(allFYsTable[Actual], allFYsTable[Code], SummaryTable[[#This Row],[Code]], allFYsTable[year2], EY$3))</f>
        <v>421</v>
      </c>
      <c r="FD68" s="61">
        <f>IF(COUNTIFS(allFYsTable[Code], SummaryTable[[#This Row],[Code]], allFYsTable[year2], EY$3)=0, NotFound, SUMIFS(allFYsTable[DiffAmount], allFYsTable[Code], SummaryTable[[#This Row],[Code]], allFYsTable[year2], EY$3))</f>
        <v>0</v>
      </c>
      <c r="FE68" s="63">
        <f>IF(SummaryTable[[#This Row],[OriginalBudget07]]=0, IF(SummaryTable[[#This Row],[DiffAmount07]]=0, ZeroBudgetNoSpending, ZeroBudgetWithSpending), SummaryTable[[#This Row],[DiffAmount07]]/SummaryTable[[#This Row],[OriginalBudget07]])</f>
        <v>0</v>
      </c>
      <c r="FF68" s="62">
        <f>IF(COUNTIFS(allFYsTable[Code], SummaryTable[[#This Row],[Code]], allFYsTable[year2], FF$3)=0, NotFound, SUMIFS(allFYsTable[OriginalBudget], allFYsTable[Code], SummaryTable[[#This Row],[Code]], allFYsTable[year2], FF$3))</f>
        <v>440</v>
      </c>
      <c r="FI68" s="61">
        <f>IF(COUNTIFS(allFYsTable[Code], SummaryTable[[#This Row],[Code]], allFYsTable[year2], FF$3)=0, NotFound, SUMIFS(allFYsTable[RevisedBudget], allFYsTable[Code], SummaryTable[[#This Row],[Code]], allFYsTable[year2], FF$3))</f>
        <v>440</v>
      </c>
      <c r="FJ68" s="61">
        <f>IF(COUNTIFS(allFYsTable[Code], SummaryTable[[#This Row],[Code]], allFYsTable[year2], FF$3)=0, NotFound, SUMIFS(allFYsTable[Actual], allFYsTable[Code], SummaryTable[[#This Row],[Code]], allFYsTable[year2], FF$3))</f>
        <v>440</v>
      </c>
      <c r="FK68" s="61">
        <f>IF(COUNTIFS(allFYsTable[Code], SummaryTable[[#This Row],[Code]], allFYsTable[year2], FF$3)=0, NotFound, SUMIFS(allFYsTable[DiffAmount], allFYsTable[Code], SummaryTable[[#This Row],[Code]], allFYsTable[year2], FF$3))</f>
        <v>0</v>
      </c>
      <c r="FL68" s="63">
        <f>IF(SummaryTable[[#This Row],[OriginalBudget06]]=0, IF(SummaryTable[[#This Row],[DiffAmount06]]=0, ZeroBudgetNoSpending, ZeroBudgetWithSpending), SummaryTable[[#This Row],[DiffAmount06]]/SummaryTable[[#This Row],[OriginalBudget06]])</f>
        <v>0</v>
      </c>
    </row>
    <row r="69" spans="1:168" x14ac:dyDescent="0.45">
      <c r="A69" t="s">
        <v>815</v>
      </c>
      <c r="B69">
        <f>_xlfn.MAXIFS(allFYsTable[year2], allFYsTable[Code], SummaryTable[[#This Row],[Code]])</f>
        <v>2025</v>
      </c>
      <c r="C69" t="str">
        <f>_xlfn.XLOOKUP(SummaryTable[[#This Row],[Code]], NameCodingTable[Code], NameCodingTable[Most Recent Category per allFYs])</f>
        <v>Governmental direction and support</v>
      </c>
      <c r="D69" t="str">
        <f>_xlfn.XLOOKUP(SummaryTable[[#This Row],[Code]], NameCodingTable[Code], NameCodingTable[Unit Display Name])</f>
        <v>Non-departmental Account</v>
      </c>
      <c r="E69" t="str">
        <f>_xlfn.XLOOKUP(SummaryTable[[#This Row],[Code]], NameCodingTable[Code], NameCodingTable[Type])</f>
        <v>xother</v>
      </c>
      <c r="F6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6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69" s="54">
        <f>SummaryTable[[#This Row],['# Over]]/SummaryTable[[#This Row],[Count]]</f>
        <v>0</v>
      </c>
      <c r="I6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19</v>
      </c>
      <c r="J69" s="54">
        <f>SummaryTable[[#This Row],['# Under]]/SummaryTable[[#This Row],[Count]]</f>
        <v>0.95</v>
      </c>
      <c r="K6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69" s="54">
        <f>SummaryTable[[#This Row],['# Equal]]/SummaryTable[[#This Row],[Count]]</f>
        <v>0.05</v>
      </c>
      <c r="M69" s="61">
        <f>SUMIFS(allFYsTable[OriginalBudget],allFYsTable[Code],SummaryTable[[#This Row],[Code]])/SummaryTable[[#This Row],[Count]]</f>
        <v>7905.75</v>
      </c>
      <c r="N69" s="61">
        <f>SUMIFS(allFYsTable[Actual],allFYsTable[Code],SummaryTable[[#This Row],[Code]])/SummaryTable[[#This Row],[Count]]</f>
        <v>120.5</v>
      </c>
      <c r="O69" s="61">
        <f>SummaryTable[[#This Row],[AvgActAmt]]-SummaryTable[[#This Row],[AvgBudAmt]]</f>
        <v>-7785.25</v>
      </c>
      <c r="P69" s="54">
        <f>IF(SummaryTable[[#This Row],[AvgBudAmt]]=0, IF(SummaryTable[[#This Row],[AvgDiff'#]]=0, 0, NamedFields!$C$3), SummaryTable[[#This Row],[AvgDiff'#]]/SummaryTable[[#This Row],[AvgBudAmt]])</f>
        <v>-0.98475792935521611</v>
      </c>
      <c r="Q69" s="61">
        <f>IFERROR(SUMIFS(allFYsTable[OriginalBudget],allFYsTable[Code],SummaryTable[[#This Row],[Code]],allFYsTable[DiffAmount], "&gt;0")/SummaryTable[[#This Row],['# Over]], 0)</f>
        <v>0</v>
      </c>
      <c r="R69" s="61">
        <f>IFERROR(SUMIFS(allFYsTable[Actual],allFYsTable[Code],SummaryTable[[#This Row],[Code]],allFYsTable[DiffAmount], "&gt;0")/SummaryTable[[#This Row],['# Over]], 0)</f>
        <v>0</v>
      </c>
      <c r="S69" s="61">
        <f>SummaryTable[[#This Row],[OverAvgAct]]-SummaryTable[[#This Row],[OverAvgBud]]</f>
        <v>0</v>
      </c>
      <c r="T69" s="54">
        <f>IF(SummaryTable[[#This Row],[OverAvgBud]]=0, IF(SummaryTable[[#This Row],[OverAvgDiff'#]]=0, ZeroBudgetNoSpending, ZeroBudgetWithSpending), SummaryTable[[#This Row],[OverAvgDiff'#]]/SummaryTable[[#This Row],[OverAvgBud]])</f>
        <v>0</v>
      </c>
      <c r="U69" s="61">
        <f>IFERROR(SUMIFS(allFYsTable[OriginalBudget],allFYsTable[Code],SummaryTable[[#This Row],[Code]],allFYsTable[DiffAmount], "&lt;0")/SummaryTable[[#This Row],['# Under]], 0)</f>
        <v>8321.8421052631584</v>
      </c>
      <c r="V69" s="61">
        <f>IFERROR( SUMIFS(allFYsTable[Actual],allFYsTable[Code],SummaryTable[[#This Row],[Code]],allFYsTable[DiffAmount], "&lt;0")/SummaryTable[[#This Row],['# Under]], 0)</f>
        <v>126.84210526315789</v>
      </c>
      <c r="W69" s="61">
        <f>SummaryTable[[#This Row],[UnderAvgAct]]-SummaryTable[[#This Row],[UnderAvgBud]]</f>
        <v>-8195</v>
      </c>
      <c r="X69" s="54">
        <f>IF(SummaryTable[[#This Row],[UnderAvgBud]]=0, IF(SummaryTable[[#This Row],[UnderAvgDiff'#]]=0, ZeroBudgetNoSpending, NamedFields!$C$3), SummaryTable[[#This Row],[UnderAvgDiff'#]]/SummaryTable[[#This Row],[UnderAvgBud]])</f>
        <v>-0.98475792935521611</v>
      </c>
      <c r="Y6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6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69" s="54">
        <f>IF(SummaryTable[[#This Row],[IncreaseYears]]=0, ZeroBudgetNoSpending, SummaryTable[[#This Row],[OSinIncreaseYear'#]]/SummaryTable[[#This Row],[IncreaseYears]])</f>
        <v>0</v>
      </c>
      <c r="AB69" s="58" t="str">
        <f>SummaryTable[[#This Row],[Code]]</f>
        <v>DO0</v>
      </c>
      <c r="AC69" s="62">
        <f>IF(COUNTIFS(allFYsTable[Code], SummaryTable[[#This Row],[Code]], allFYsTable[year2], AC$3)=0, NotFound, SUMIFS(allFYsTable[OriginalBudget], allFYsTable[Code], SummaryTable[[#This Row],[Code]], allFYsTable[year2], AC$3))</f>
        <v>8484</v>
      </c>
      <c r="AD69" s="61">
        <f>SummaryTable[[#This Row],[OriginalBudget25]]-SummaryTable[[#This Row],[OriginalBudget24]]</f>
        <v>592</v>
      </c>
      <c r="AE69" s="54">
        <f>SummaryTable[[#This Row],[BudgetIncreaseAmount25]]/SummaryTable[[#This Row],[OriginalBudget24]]</f>
        <v>7.5012671059300554E-2</v>
      </c>
      <c r="AF69" s="61">
        <f>IF(COUNTIFS(allFYsTable[Code], SummaryTable[[#This Row],[Code]], allFYsTable[year2], AC$3)=0, NotFound, SUMIFS(allFYsTable[RevisedBudget], allFYsTable[Code], SummaryTable[[#This Row],[Code]], allFYsTable[year2], AC$3))</f>
        <v>0</v>
      </c>
      <c r="AG69" s="61">
        <f>IF(COUNTIFS(allFYsTable[Code], SummaryTable[[#This Row],[Code]], allFYsTable[year2], AC$3)=0, NotFound, SUMIFS(allFYsTable[Actual], allFYsTable[Code], SummaryTable[[#This Row],[Code]], allFYsTable[year2], AC$3))</f>
        <v>0</v>
      </c>
      <c r="AH69" s="61">
        <f>IF(COUNTIFS(allFYsTable[Code], SummaryTable[[#This Row],[Code]], allFYsTable[year2], AC$3)=0, NotFound, SUMIFS(allFYsTable[DiffAmount], allFYsTable[Code], SummaryTable[[#This Row],[Code]], allFYsTable[year2], AC$3))</f>
        <v>-8484</v>
      </c>
      <c r="AI69" s="63">
        <f>IF(SummaryTable[[#This Row],[OriginalBudget25]]=0, IF(SummaryTable[[#This Row],[DiffAmount25]]=0, ZeroBudgetNoSpending, ZeroBudgetWithSpending), SummaryTable[[#This Row],[DiffAmount25]]/SummaryTable[[#This Row],[OriginalBudget25]])</f>
        <v>-1</v>
      </c>
      <c r="AJ69" s="62">
        <f>IF(COUNTIFS(allFYsTable[Code], SummaryTable[[#This Row],[Code]], allFYsTable[year2], AJ$3)=0, NotFound, SUMIFS(allFYsTable[OriginalBudget], allFYsTable[Code], SummaryTable[[#This Row],[Code]], allFYsTable[year2], AJ$3))</f>
        <v>7892</v>
      </c>
      <c r="AK69" s="61">
        <f>SummaryTable[[#This Row],[OriginalBudget24]]-SummaryTable[[#This Row],[OriginalBudget23]]</f>
        <v>-3912</v>
      </c>
      <c r="AL69" s="54">
        <f>SummaryTable[[#This Row],[BudgetIncreaseAmount24]]/SummaryTable[[#This Row],[OriginalBudget23]]</f>
        <v>-0.3314130803117587</v>
      </c>
      <c r="AM69" s="61">
        <f>IF(COUNTIFS(allFYsTable[Code], SummaryTable[[#This Row],[Code]], allFYsTable[year2], AK$3)=0, NotFound, SUMIFS(allFYsTable[RevisedBudget], allFYsTable[Code], SummaryTable[[#This Row],[Code]], allFYsTable[year2], AJ$3))</f>
        <v>100</v>
      </c>
      <c r="AN69" s="61">
        <f>IF(COUNTIFS(allFYsTable[Code], SummaryTable[[#This Row],[Code]], allFYsTable[year2], AJ$3)=0, NotFound, SUMIFS(allFYsTable[Actual], allFYsTable[Code], SummaryTable[[#This Row],[Code]], allFYsTable[year2], AJ$3))</f>
        <v>0</v>
      </c>
      <c r="AO69" s="61">
        <f>IF(COUNTIFS(allFYsTable[Code], SummaryTable[[#This Row],[Code]], allFYsTable[year2], AJ$3)=0, NotFound, SUMIFS(allFYsTable[DiffAmount], allFYsTable[Code], SummaryTable[[#This Row],[Code]], allFYsTable[year2], AJ$3))</f>
        <v>-7892</v>
      </c>
      <c r="AP69" s="63">
        <f>IF(SummaryTable[[#This Row],[OriginalBudget24]]=0, IF(SummaryTable[[#This Row],[DiffAmount24]]=0, ZeroBudgetNoSpending, ZeroBudgetWithSpending), SummaryTable[[#This Row],[DiffAmount24]]/SummaryTable[[#This Row],[OriginalBudget24]])</f>
        <v>-1</v>
      </c>
      <c r="AQ69" s="62">
        <f>IF(COUNTIFS(allFYsTable[Code], SummaryTable[[#This Row],[Code]], allFYsTable[year2], AQ$3)=0, NotFound, SUMIFS(allFYsTable[OriginalBudget], allFYsTable[Code], SummaryTable[[#This Row],[Code]], allFYsTable[year2], AQ$3))</f>
        <v>11804</v>
      </c>
      <c r="AR69" s="61">
        <f>SummaryTable[[#This Row],[OriginalBudget23]]-SummaryTable[[#This Row],[OriginalBudget22]]</f>
        <v>-7220</v>
      </c>
      <c r="AS69" s="54">
        <f>SummaryTable[[#This Row],[BudgetIncreaseAmount23]]/SummaryTable[[#This Row],[OriginalBudget22]]</f>
        <v>-0.37952060555088307</v>
      </c>
      <c r="AT69" s="61">
        <f>IF(COUNTIFS(allFYsTable[Code], SummaryTable[[#This Row],[Code]], allFYsTable[year2], AQ$3)=0, NotFound, SUMIFS(allFYsTable[RevisedBudget], allFYsTable[Code], SummaryTable[[#This Row],[Code]], allFYsTable[year2], AQ$3))</f>
        <v>111</v>
      </c>
      <c r="AU69" s="61">
        <f>IF(COUNTIFS(allFYsTable[Code], SummaryTable[[#This Row],[Code]], allFYsTable[year2], AQ$3)=0, NotFound, SUMIFS(allFYsTable[Actual], allFYsTable[Code], SummaryTable[[#This Row],[Code]], allFYsTable[year2], AQ$3))</f>
        <v>0</v>
      </c>
      <c r="AV69" s="61">
        <f>IF(COUNTIFS(allFYsTable[Code], SummaryTable[[#This Row],[Code]], allFYsTable[year2], AQ$3)=0, NotFound, SUMIFS(allFYsTable[DiffAmount], allFYsTable[Code], SummaryTable[[#This Row],[Code]], allFYsTable[year2], AQ$3))</f>
        <v>-11804</v>
      </c>
      <c r="AW69" s="63">
        <f>IF(SummaryTable[[#This Row],[OriginalBudget23]]=0, IF(SummaryTable[[#This Row],[DiffAmount23]]=0, ZeroBudgetNoSpending, ZeroBudgetWithSpending), SummaryTable[[#This Row],[DiffAmount23]]/SummaryTable[[#This Row],[OriginalBudget23]])</f>
        <v>-1</v>
      </c>
      <c r="AX69" s="62">
        <f>IF(COUNTIFS(allFYsTable[Code], SummaryTable[[#This Row],[Code]], allFYsTable[year2], AX$3)=0, NotFound, SUMIFS(allFYsTable[OriginalBudget], allFYsTable[Code], SummaryTable[[#This Row],[Code]], allFYsTable[year2], AX$3))</f>
        <v>19024</v>
      </c>
      <c r="AY69" s="61">
        <f>SummaryTable[[#This Row],[OriginalBudget22]]-SummaryTable[[#This Row],[OriginalBudget21]]</f>
        <v>16174</v>
      </c>
      <c r="AZ69" s="54">
        <f>SummaryTable[[#This Row],[BudgetIncreaseAmount22]]/SummaryTable[[#This Row],[OriginalBudget21]]</f>
        <v>5.6750877192982454</v>
      </c>
      <c r="BA69" s="61">
        <f>IF(COUNTIFS(allFYsTable[Code], SummaryTable[[#This Row],[Code]], allFYsTable[year2], AX$3)=0, NotFound, SUMIFS(allFYsTable[RevisedBudget], allFYsTable[Code], SummaryTable[[#This Row],[Code]], allFYsTable[year2], AX$3))</f>
        <v>15113</v>
      </c>
      <c r="BB69" s="61">
        <f>IF(COUNTIFS(allFYsTable[Code], SummaryTable[[#This Row],[Code]], allFYsTable[year2], AX$3)=0, NotFound, SUMIFS(allFYsTable[Actual], allFYsTable[Code], SummaryTable[[#This Row],[Code]], allFYsTable[year2], AX$3))</f>
        <v>0</v>
      </c>
      <c r="BC69" s="61">
        <f>IF(COUNTIFS(allFYsTable[Code], SummaryTable[[#This Row],[Code]], allFYsTable[year2], AX$3)=0, NotFound, SUMIFS(allFYsTable[DiffAmount], allFYsTable[Code], SummaryTable[[#This Row],[Code]], allFYsTable[year2], AX$3))</f>
        <v>-19024</v>
      </c>
      <c r="BD69" s="63">
        <f>IF(SummaryTable[[#This Row],[OriginalBudget22]]=0, IF(SummaryTable[[#This Row],[DiffAmount22]]=0, ZeroBudgetNoSpending, ZeroBudgetWithSpending), SummaryTable[[#This Row],[DiffAmount22]]/SummaryTable[[#This Row],[OriginalBudget22]])</f>
        <v>-1</v>
      </c>
      <c r="BE69" s="62">
        <f>IF(COUNTIFS(allFYsTable[Code], SummaryTable[[#This Row],[Code]], allFYsTable[year2], BE$3)=0, NotFound, SUMIFS(allFYsTable[OriginalBudget], allFYsTable[Code], SummaryTable[[#This Row],[Code]], allFYsTable[year2], BE$3))</f>
        <v>2850</v>
      </c>
      <c r="BF69" s="61">
        <f>SummaryTable[[#This Row],[OriginalBudget21]]-SummaryTable[[#This Row],[OriginalBudget20]]</f>
        <v>-250</v>
      </c>
      <c r="BG69" s="54">
        <f>SummaryTable[[#This Row],[BudgetIncreaseAmount21]]/SummaryTable[[#This Row],[OriginalBudget20]]</f>
        <v>-8.0645161290322578E-2</v>
      </c>
      <c r="BH69" s="61">
        <f>IF(COUNTIFS(allFYsTable[Code], SummaryTable[[#This Row],[Code]], allFYsTable[year2], BE$3)=0, NotFound, SUMIFS(allFYsTable[RevisedBudget], allFYsTable[Code], SummaryTable[[#This Row],[Code]], allFYsTable[year2], BE$3))</f>
        <v>250</v>
      </c>
      <c r="BI69" s="61">
        <f>IF(COUNTIFS(allFYsTable[Code], SummaryTable[[#This Row],[Code]], allFYsTable[year2], BE$3)=0, NotFound, SUMIFS(allFYsTable[Actual], allFYsTable[Code], SummaryTable[[#This Row],[Code]], allFYsTable[year2], BE$3))</f>
        <v>0</v>
      </c>
      <c r="BJ69" s="61">
        <f>IF(COUNTIFS(allFYsTable[Code], SummaryTable[[#This Row],[Code]], allFYsTable[year2], BE$3)=0, NotFound, SUMIFS(allFYsTable[DiffAmount], allFYsTable[Code], SummaryTable[[#This Row],[Code]], allFYsTable[year2], BE$3))</f>
        <v>-2850</v>
      </c>
      <c r="BK69" s="63">
        <f>IF(SummaryTable[[#This Row],[OriginalBudget21]]=0, IF(SummaryTable[[#This Row],[DiffAmount21]]=0, ZeroBudgetNoSpending, ZeroBudgetWithSpending), SummaryTable[[#This Row],[DiffAmount21]]/SummaryTable[[#This Row],[OriginalBudget21]])</f>
        <v>-1</v>
      </c>
      <c r="BL69" s="62">
        <f>IF(COUNTIFS(allFYsTable[Code], SummaryTable[[#This Row],[Code]], allFYsTable[year2], BL$3)=0, NotFound, SUMIFS(allFYsTable[OriginalBudget], allFYsTable[Code], SummaryTable[[#This Row],[Code]], allFYsTable[year2], BL$3))</f>
        <v>3100</v>
      </c>
      <c r="BM69" s="61">
        <f>SummaryTable[[#This Row],[OriginalBudget20]]-SummaryTable[[#This Row],[OriginalBudget19]]</f>
        <v>1050</v>
      </c>
      <c r="BN69" s="54">
        <f>SummaryTable[[#This Row],[BudgetIncreaseAmount20]]/SummaryTable[[#This Row],[OriginalBudget19]]</f>
        <v>0.51219512195121952</v>
      </c>
      <c r="BO69" s="61">
        <f>IF(COUNTIFS(allFYsTable[Code], SummaryTable[[#This Row],[Code]], allFYsTable[year2], BL$3)=0, NotFound, SUMIFS(allFYsTable[RevisedBudget], allFYsTable[Code], SummaryTable[[#This Row],[Code]], allFYsTable[year2], BL$3))</f>
        <v>14253</v>
      </c>
      <c r="BP69" s="61">
        <f>IF(COUNTIFS(allFYsTable[Code], SummaryTable[[#This Row],[Code]], allFYsTable[year2], BL$3)=0, NotFound, SUMIFS(allFYsTable[Actual], allFYsTable[Code], SummaryTable[[#This Row],[Code]], allFYsTable[year2], BL$3))</f>
        <v>0</v>
      </c>
      <c r="BQ69" s="61">
        <f>IF(COUNTIFS(allFYsTable[Code], SummaryTable[[#This Row],[Code]], allFYsTable[year2], BL$3)=0, NotFound, SUMIFS(allFYsTable[DiffAmount], allFYsTable[Code], SummaryTable[[#This Row],[Code]], allFYsTable[year2], BL$3))</f>
        <v>-3100</v>
      </c>
      <c r="BR69" s="63">
        <f>IF(SummaryTable[[#This Row],[OriginalBudget20]]=0, IF(SummaryTable[[#This Row],[DiffAmount20]]=0, ZeroBudgetNoSpending, ZeroBudgetWithSpending), SummaryTable[[#This Row],[DiffAmount20]]/SummaryTable[[#This Row],[OriginalBudget20]])</f>
        <v>-1</v>
      </c>
      <c r="BS69" s="62">
        <f>IF(COUNTIFS(allFYsTable[Code], SummaryTable[[#This Row],[Code]], allFYsTable[year2], BS$3)=0, NotFound, SUMIFS(allFYsTable[OriginalBudget], allFYsTable[Code], SummaryTable[[#This Row],[Code]], allFYsTable[year2], BS$3))</f>
        <v>2050</v>
      </c>
      <c r="BT69" s="61">
        <f>SummaryTable[[#This Row],[OriginalBudget19]]-SummaryTable[[#This Row],[OriginalBudget18]]</f>
        <v>-1754</v>
      </c>
      <c r="BU69" s="54">
        <f>SummaryTable[[#This Row],[BudgetIncreaseAmount19]]/SummaryTable[[#This Row],[OriginalBudget18]]</f>
        <v>-0.46109358569926395</v>
      </c>
      <c r="BV69" s="61">
        <f>IF(COUNTIFS(allFYsTable[Code], SummaryTable[[#This Row],[Code]], allFYsTable[year2], BS$3)=0, NotFound, SUMIFS(allFYsTable[RevisedBudget], allFYsTable[Code], SummaryTable[[#This Row],[Code]], allFYsTable[year2], BS$3))</f>
        <v>0</v>
      </c>
      <c r="BW69" s="61">
        <f>IF(COUNTIFS(allFYsTable[Code], SummaryTable[[#This Row],[Code]], allFYsTable[year2], BS$3)=0, NotFound, SUMIFS(allFYsTable[Actual], allFYsTable[Code], SummaryTable[[#This Row],[Code]], allFYsTable[year2], BS$3))</f>
        <v>0</v>
      </c>
      <c r="BX69" s="61">
        <f>IF(COUNTIFS(allFYsTable[Code], SummaryTable[[#This Row],[Code]], allFYsTable[year2], BS$3)=0, NotFound, SUMIFS(allFYsTable[DiffAmount], allFYsTable[Code], SummaryTable[[#This Row],[Code]], allFYsTable[year2], BS$3))</f>
        <v>-2050</v>
      </c>
      <c r="BY69" s="63">
        <f>IF(SummaryTable[[#This Row],[OriginalBudget19]]=0, IF(SummaryTable[[#This Row],[DiffAmount19]]=0, ZeroBudgetNoSpending, ZeroBudgetWithSpending), SummaryTable[[#This Row],[DiffAmount19]]/SummaryTable[[#This Row],[OriginalBudget19]])</f>
        <v>-1</v>
      </c>
      <c r="BZ69" s="62">
        <f>IF(COUNTIFS(allFYsTable[Code], SummaryTable[[#This Row],[Code]], allFYsTable[year2], BZ$3)=0, NotFound, SUMIFS(allFYsTable[OriginalBudget], allFYsTable[Code], SummaryTable[[#This Row],[Code]], allFYsTable[year2], BZ$3))</f>
        <v>3804</v>
      </c>
      <c r="CA69" s="61">
        <f>SummaryTable[[#This Row],[OriginalBudget18]]-SummaryTable[[#This Row],[OriginalBudget17]]</f>
        <v>0</v>
      </c>
      <c r="CB69" s="54">
        <f>SummaryTable[[#This Row],[BudgetIncreaseAmount18]]/SummaryTable[[#This Row],[OriginalBudget17]]</f>
        <v>0</v>
      </c>
      <c r="CC69" s="61">
        <f>IF(COUNTIFS(allFYsTable[Code], SummaryTable[[#This Row],[Code]], allFYsTable[year2], BZ$3)=0, NotFound, SUMIFS(allFYsTable[RevisedBudget], allFYsTable[Code], SummaryTable[[#This Row],[Code]], allFYsTable[year2], BZ$3))</f>
        <v>0</v>
      </c>
      <c r="CD69" s="61">
        <f>IF(COUNTIFS(allFYsTable[Code], SummaryTable[[#This Row],[Code]], allFYsTable[year2], BZ$3)=0, NotFound, SUMIFS(allFYsTable[Actual], allFYsTable[Code], SummaryTable[[#This Row],[Code]], allFYsTable[year2], BZ$3))</f>
        <v>0</v>
      </c>
      <c r="CE69" s="61">
        <f>IF(COUNTIFS(allFYsTable[Code], SummaryTable[[#This Row],[Code]], allFYsTable[year2], BZ$3)=0, NotFound, SUMIFS(allFYsTable[DiffAmount], allFYsTable[Code], SummaryTable[[#This Row],[Code]], allFYsTable[year2], BZ$3))</f>
        <v>-3804</v>
      </c>
      <c r="CF69" s="63">
        <f>IF(SummaryTable[[#This Row],[OriginalBudget18]]=0, IF(SummaryTable[[#This Row],[DiffAmount18]]=0, ZeroBudgetNoSpending, ZeroBudgetWithSpending), SummaryTable[[#This Row],[DiffAmount18]]/SummaryTable[[#This Row],[OriginalBudget18]])</f>
        <v>-1</v>
      </c>
      <c r="CG69" s="62">
        <f>IF(COUNTIFS(allFYsTable[Code], SummaryTable[[#This Row],[Code]], allFYsTable[year2], CG$3)=0, NotFound, SUMIFS(allFYsTable[OriginalBudget], allFYsTable[Code], SummaryTable[[#This Row],[Code]], allFYsTable[year2], CG$3))</f>
        <v>3804</v>
      </c>
      <c r="CH69" s="61">
        <f>SummaryTable[[#This Row],[OriginalBudget17]]-SummaryTable[[#This Row],[OriginalBudget16]]</f>
        <v>1050</v>
      </c>
      <c r="CI69" s="54">
        <f>SummaryTable[[#This Row],[BudgetIncreaseAmount17]]/SummaryTable[[#This Row],[OriginalBudget16]]</f>
        <v>0.38126361655773422</v>
      </c>
      <c r="CJ69" s="61">
        <f>IF(COUNTIFS(allFYsTable[Code], SummaryTable[[#This Row],[Code]], allFYsTable[year2], CG$3)=0, NotFound, SUMIFS(allFYsTable[RevisedBudget], allFYsTable[Code], SummaryTable[[#This Row],[Code]], allFYsTable[year2], CG$3))</f>
        <v>0</v>
      </c>
      <c r="CK69" s="61">
        <f>IF(COUNTIFS(allFYsTable[Code], SummaryTable[[#This Row],[Code]], allFYsTable[year2], CG$3)=0, NotFound, SUMIFS(allFYsTable[Actual], allFYsTable[Code], SummaryTable[[#This Row],[Code]], allFYsTable[year2], CG$3))</f>
        <v>0</v>
      </c>
      <c r="CL69" s="61">
        <f>IF(COUNTIFS(allFYsTable[Code], SummaryTable[[#This Row],[Code]], allFYsTable[year2], CG$3)=0, NotFound, SUMIFS(allFYsTable[DiffAmount], allFYsTable[Code], SummaryTable[[#This Row],[Code]], allFYsTable[year2], CG$3))</f>
        <v>-3804</v>
      </c>
      <c r="CM69" s="63">
        <f>IF(SummaryTable[[#This Row],[OriginalBudget17]]=0, IF(SummaryTable[[#This Row],[DiffAmount17]]=0, ZeroBudgetNoSpending, ZeroBudgetWithSpending), SummaryTable[[#This Row],[DiffAmount17]]/SummaryTable[[#This Row],[OriginalBudget17]])</f>
        <v>-1</v>
      </c>
      <c r="CN69" s="62">
        <f>IF(COUNTIFS(allFYsTable[Code], SummaryTable[[#This Row],[Code]], allFYsTable[year2], CN$3)=0, NotFound, SUMIFS(allFYsTable[OriginalBudget], allFYsTable[Code], SummaryTable[[#This Row],[Code]], allFYsTable[year2], CN$3))</f>
        <v>2754</v>
      </c>
      <c r="CO69" s="61">
        <f>SummaryTable[[#This Row],[OriginalBudget16]]-SummaryTable[[#This Row],[OriginalBudget15]]</f>
        <v>-246</v>
      </c>
      <c r="CP69" s="54">
        <f>SummaryTable[[#This Row],[BudgetIncreaseAmount16]]/SummaryTable[[#This Row],[OriginalBudget15]]</f>
        <v>-8.2000000000000003E-2</v>
      </c>
      <c r="CQ69" s="61">
        <f>IF(COUNTIFS(allFYsTable[Code], SummaryTable[[#This Row],[Code]], allFYsTable[year2], CN$3)=0, NotFound, SUMIFS(allFYsTable[RevisedBudget], allFYsTable[Code], SummaryTable[[#This Row],[Code]], allFYsTable[year2], CN$3))</f>
        <v>0</v>
      </c>
      <c r="CR69" s="61">
        <f>IF(COUNTIFS(allFYsTable[Code], SummaryTable[[#This Row],[Code]], allFYsTable[year2], CN$3)=0, NotFound, SUMIFS(allFYsTable[Actual], allFYsTable[Code], SummaryTable[[#This Row],[Code]], allFYsTable[year2], CN$3))</f>
        <v>0</v>
      </c>
      <c r="CS69" s="61">
        <f>IF(COUNTIFS(allFYsTable[Code], SummaryTable[[#This Row],[Code]], allFYsTable[year2], CN$3)=0, NotFound, SUMIFS(allFYsTable[DiffAmount], allFYsTable[Code], SummaryTable[[#This Row],[Code]], allFYsTable[year2], CN$3))</f>
        <v>-2754</v>
      </c>
      <c r="CT69" s="63">
        <f>IF(SummaryTable[[#This Row],[OriginalBudget16]]=0, IF(SummaryTable[[#This Row],[DiffAmount16]]=0, ZeroBudgetNoSpending, ZeroBudgetWithSpending), SummaryTable[[#This Row],[DiffAmount16]]/SummaryTable[[#This Row],[OriginalBudget16]])</f>
        <v>-1</v>
      </c>
      <c r="CU69" s="62">
        <f>IF(COUNTIFS(allFYsTable[Code], SummaryTable[[#This Row],[Code]], allFYsTable[year2], CU$3)=0, NotFound, SUMIFS(allFYsTable[OriginalBudget], allFYsTable[Code], SummaryTable[[#This Row],[Code]], allFYsTable[year2], CU$3))</f>
        <v>3000</v>
      </c>
      <c r="CV69" s="61">
        <f>SummaryTable[[#This Row],[OriginalBudget15]]-SummaryTable[[#This Row],[OriginalBudget14]]</f>
        <v>0</v>
      </c>
      <c r="CW69" s="54">
        <f>SummaryTable[[#This Row],[BudgetIncreaseAmount15]]/SummaryTable[[#This Row],[OriginalBudget14]]</f>
        <v>0</v>
      </c>
      <c r="CX69" s="61">
        <f>IF(COUNTIFS(allFYsTable[Code], SummaryTable[[#This Row],[Code]], allFYsTable[year2], CU$3)=0, NotFound, SUMIFS(allFYsTable[RevisedBudget], allFYsTable[Code], SummaryTable[[#This Row],[Code]], allFYsTable[year2], CU$3))</f>
        <v>21</v>
      </c>
      <c r="CY69" s="61">
        <f>IF(COUNTIFS(allFYsTable[Code], SummaryTable[[#This Row],[Code]], allFYsTable[year2], CU$3)=0, NotFound, SUMIFS(allFYsTable[Actual], allFYsTable[Code], SummaryTable[[#This Row],[Code]], allFYsTable[year2], CU$3))</f>
        <v>0</v>
      </c>
      <c r="CZ69" s="61">
        <f>IF(COUNTIFS(allFYsTable[Code], SummaryTable[[#This Row],[Code]], allFYsTable[year2], CU$3)=0, NotFound, SUMIFS(allFYsTable[DiffAmount], allFYsTable[Code], SummaryTable[[#This Row],[Code]], allFYsTable[year2], CU$3))</f>
        <v>-3000</v>
      </c>
      <c r="DA69" s="63">
        <f>IF(SummaryTable[[#This Row],[OriginalBudget15]]=0, IF(SummaryTable[[#This Row],[DiffAmount15]]=0, ZeroBudgetNoSpending, ZeroBudgetWithSpending), SummaryTable[[#This Row],[DiffAmount15]]/SummaryTable[[#This Row],[OriginalBudget15]])</f>
        <v>-1</v>
      </c>
      <c r="DB69" s="62">
        <f>IF(COUNTIFS(allFYsTable[Code], SummaryTable[[#This Row],[Code]], allFYsTable[year2], DB$3)=0, NotFound, SUMIFS(allFYsTable[OriginalBudget], allFYsTable[Code], SummaryTable[[#This Row],[Code]], allFYsTable[year2], DB$3))</f>
        <v>3000</v>
      </c>
      <c r="DC69" s="61">
        <f>SummaryTable[[#This Row],[OriginalBudget14]]-SummaryTable[[#This Row],[OriginalBudget13]]</f>
        <v>-6000</v>
      </c>
      <c r="DD69" s="54">
        <f>SummaryTable[[#This Row],[BudgetIncreaseAmount14]]/SummaryTable[[#This Row],[OriginalBudget13]]</f>
        <v>-0.66666666666666663</v>
      </c>
      <c r="DE69" s="61">
        <f>IF(COUNTIFS(allFYsTable[Code], SummaryTable[[#This Row],[Code]], allFYsTable[year2], DB$3)=0, NotFound, SUMIFS(allFYsTable[RevisedBudget], allFYsTable[Code], SummaryTable[[#This Row],[Code]], allFYsTable[year2], DB$3))</f>
        <v>0</v>
      </c>
      <c r="DF69" s="61">
        <f>IF(COUNTIFS(allFYsTable[Code], SummaryTable[[#This Row],[Code]], allFYsTable[year2], DB$3)=0, NotFound, SUMIFS(allFYsTable[Actual], allFYsTable[Code], SummaryTable[[#This Row],[Code]], allFYsTable[year2], DB$3))</f>
        <v>0</v>
      </c>
      <c r="DG69" s="61">
        <f>IF(COUNTIFS(allFYsTable[Code], SummaryTable[[#This Row],[Code]], allFYsTable[year2], DB$3)=0, NotFound, SUMIFS(allFYsTable[DiffAmount], allFYsTable[Code], SummaryTable[[#This Row],[Code]], allFYsTable[year2], DB$3))</f>
        <v>-3000</v>
      </c>
      <c r="DH69" s="63">
        <f>IF(SummaryTable[[#This Row],[OriginalBudget14]]=0, IF(SummaryTable[[#This Row],[DiffAmount14]]=0, ZeroBudgetNoSpending, ZeroBudgetWithSpending), SummaryTable[[#This Row],[DiffAmount14]]/SummaryTable[[#This Row],[OriginalBudget14]])</f>
        <v>-1</v>
      </c>
      <c r="DI69" s="62">
        <f>IF(COUNTIFS(allFYsTable[Code], SummaryTable[[#This Row],[Code]], allFYsTable[year2], DI$3)=0, NotFound, SUMIFS(allFYsTable[OriginalBudget], allFYsTable[Code], SummaryTable[[#This Row],[Code]], allFYsTable[year2], DI$3))</f>
        <v>9000</v>
      </c>
      <c r="DJ69" s="61">
        <f>SummaryTable[[#This Row],[OriginalBudget13]]-SummaryTable[[#This Row],[OriginalBudget12]]</f>
        <v>5000</v>
      </c>
      <c r="DK69" s="54">
        <f>SummaryTable[[#This Row],[BudgetIncreaseAmount13]]/SummaryTable[[#This Row],[OriginalBudget12]]</f>
        <v>1.25</v>
      </c>
      <c r="DL69" s="61">
        <f>IF(COUNTIFS(allFYsTable[Code], SummaryTable[[#This Row],[Code]], allFYsTable[year2], DI$3)=0, NotFound, SUMIFS(allFYsTable[RevisedBudget], allFYsTable[Code], SummaryTable[[#This Row],[Code]], allFYsTable[year2], DI$3))</f>
        <v>270</v>
      </c>
      <c r="DM69" s="61">
        <f>IF(COUNTIFS(allFYsTable[Code], SummaryTable[[#This Row],[Code]], allFYsTable[year2], DI$3)=0, NotFound, SUMIFS(allFYsTable[Actual], allFYsTable[Code], SummaryTable[[#This Row],[Code]], allFYsTable[year2], DI$3))</f>
        <v>0</v>
      </c>
      <c r="DN69" s="61">
        <f>IF(COUNTIFS(allFYsTable[Code], SummaryTable[[#This Row],[Code]], allFYsTable[year2], DI$3)=0, NotFound, SUMIFS(allFYsTable[DiffAmount], allFYsTable[Code], SummaryTable[[#This Row],[Code]], allFYsTable[year2], DI$3))</f>
        <v>-9000</v>
      </c>
      <c r="DO69" s="63">
        <f>IF(SummaryTable[[#This Row],[OriginalBudget13]]=0, IF(SummaryTable[[#This Row],[DiffAmount13]]=0, ZeroBudgetNoSpending, ZeroBudgetWithSpending), SummaryTable[[#This Row],[DiffAmount13]]/SummaryTable[[#This Row],[OriginalBudget13]])</f>
        <v>-1</v>
      </c>
      <c r="DP69" s="62">
        <f>IF(COUNTIFS(allFYsTable[Code], SummaryTable[[#This Row],[Code]], allFYsTable[year2], DP$3)=0, NotFound, SUMIFS(allFYsTable[OriginalBudget], allFYsTable[Code], SummaryTable[[#This Row],[Code]], allFYsTable[year2], DP$3))</f>
        <v>4000</v>
      </c>
      <c r="DQ69" s="61">
        <f>SummaryTable[[#This Row],[OriginalBudget12]]-SummaryTable[[#This Row],[OriginalBudget11]]</f>
        <v>4000</v>
      </c>
      <c r="DR69" s="54" t="e">
        <f>SummaryTable[[#This Row],[BudgetIncreaseAmount12]]/SummaryTable[[#This Row],[OriginalBudget11]]</f>
        <v>#DIV/0!</v>
      </c>
      <c r="DS69" s="61">
        <f>IF(COUNTIFS(allFYsTable[Code], SummaryTable[[#This Row],[Code]], allFYsTable[year2], DP$3)=0, NotFound, SUMIFS(allFYsTable[RevisedBudget], allFYsTable[Code], SummaryTable[[#This Row],[Code]], allFYsTable[year2], DP$3))</f>
        <v>2500</v>
      </c>
      <c r="DT69" s="61">
        <f>IF(COUNTIFS(allFYsTable[Code], SummaryTable[[#This Row],[Code]], allFYsTable[year2], DP$3)=0, NotFound, SUMIFS(allFYsTable[Actual], allFYsTable[Code], SummaryTable[[#This Row],[Code]], allFYsTable[year2], DP$3))</f>
        <v>0</v>
      </c>
      <c r="DU69" s="61">
        <f>IF(COUNTIFS(allFYsTable[Code], SummaryTable[[#This Row],[Code]], allFYsTable[year2], DP$3)=0, NotFound, SUMIFS(allFYsTable[DiffAmount], allFYsTable[Code], SummaryTable[[#This Row],[Code]], allFYsTable[year2], DP$3))</f>
        <v>-4000</v>
      </c>
      <c r="DV69" s="63">
        <f>IF(SummaryTable[[#This Row],[OriginalBudget12]]=0, IF(SummaryTable[[#This Row],[DiffAmount12]]=0, ZeroBudgetNoSpending, ZeroBudgetWithSpending), SummaryTable[[#This Row],[DiffAmount12]]/SummaryTable[[#This Row],[OriginalBudget12]])</f>
        <v>-1</v>
      </c>
      <c r="DW69" s="62">
        <f>IF(COUNTIFS(allFYsTable[Code], SummaryTable[[#This Row],[Code]], allFYsTable[year2], DW$3)=0, NotFound, SUMIFS(allFYsTable[OriginalBudget], allFYsTable[Code], SummaryTable[[#This Row],[Code]], allFYsTable[year2], DW$3))</f>
        <v>0</v>
      </c>
      <c r="DX69" s="61">
        <f>SummaryTable[[#This Row],[OriginalBudget11]]-SummaryTable[[#This Row],[OriginalBudget10]]</f>
        <v>-3603</v>
      </c>
      <c r="DY69" s="54">
        <f>SummaryTable[[#This Row],[BudgetIncreaseAmount11]]/SummaryTable[[#This Row],[OriginalBudget10]]</f>
        <v>-1</v>
      </c>
      <c r="DZ69" s="61">
        <f>IF(COUNTIFS(allFYsTable[Code], SummaryTable[[#This Row],[Code]], allFYsTable[year2], DW$3)=0, NotFound, SUMIFS(allFYsTable[RevisedBudget], allFYsTable[Code], SummaryTable[[#This Row],[Code]], allFYsTable[year2], DW$3))</f>
        <v>0</v>
      </c>
      <c r="EA69" s="61">
        <f>IF(COUNTIFS(allFYsTable[Code], SummaryTable[[#This Row],[Code]], allFYsTable[year2], DW$3)=0, NotFound, SUMIFS(allFYsTable[Actual], allFYsTable[Code], SummaryTable[[#This Row],[Code]], allFYsTable[year2], DW$3))</f>
        <v>0</v>
      </c>
      <c r="EB69" s="61">
        <f>IF(COUNTIFS(allFYsTable[Code], SummaryTable[[#This Row],[Code]], allFYsTable[year2], DW$3)=0, NotFound, SUMIFS(allFYsTable[DiffAmount], allFYsTable[Code], SummaryTable[[#This Row],[Code]], allFYsTable[year2], DW$3))</f>
        <v>0</v>
      </c>
      <c r="EC69" s="63">
        <f>IF(SummaryTable[[#This Row],[OriginalBudget11]]=0, IF(SummaryTable[[#This Row],[DiffAmount11]]=0, ZeroBudgetNoSpending, ZeroBudgetWithSpending), SummaryTable[[#This Row],[DiffAmount11]]/SummaryTable[[#This Row],[OriginalBudget11]])</f>
        <v>0</v>
      </c>
      <c r="ED69" s="62">
        <f>IF(COUNTIFS(allFYsTable[Code], SummaryTable[[#This Row],[Code]], allFYsTable[year2], ED$3)=0, NotFound, SUMIFS(allFYsTable[OriginalBudget], allFYsTable[Code], SummaryTable[[#This Row],[Code]], allFYsTable[year2], ED$3))</f>
        <v>3603</v>
      </c>
      <c r="EE69" s="61">
        <f>SummaryTable[[#This Row],[OriginalBudget10]]-SummaryTable[[#This Row],[OriginalBudget09]]</f>
        <v>-6835</v>
      </c>
      <c r="EF69" s="54">
        <f>SummaryTable[[#This Row],[BudgetIncreaseAmount10]]/SummaryTable[[#This Row],[OriginalBudget09]]</f>
        <v>-0.65481893082966081</v>
      </c>
      <c r="EG69" s="61">
        <f>IF(COUNTIFS(allFYsTable[Code], SummaryTable[[#This Row],[Code]], allFYsTable[year2], ED$3)=0, NotFound, SUMIFS(allFYsTable[RevisedBudget], allFYsTable[Code], SummaryTable[[#This Row],[Code]], allFYsTable[year2], ED$3))</f>
        <v>2761</v>
      </c>
      <c r="EH69" s="61">
        <f>IF(COUNTIFS(allFYsTable[Code], SummaryTable[[#This Row],[Code]], allFYsTable[year2], ED$3)=0, NotFound, SUMIFS(allFYsTable[Actual], allFYsTable[Code], SummaryTable[[#This Row],[Code]], allFYsTable[year2], ED$3))</f>
        <v>2410</v>
      </c>
      <c r="EI69" s="61">
        <f>IF(COUNTIFS(allFYsTable[Code], SummaryTable[[#This Row],[Code]], allFYsTable[year2], ED$3)=0, NotFound, SUMIFS(allFYsTable[DiffAmount], allFYsTable[Code], SummaryTable[[#This Row],[Code]], allFYsTable[year2], ED$3))</f>
        <v>-1193</v>
      </c>
      <c r="EJ69" s="63">
        <f>IF(SummaryTable[[#This Row],[OriginalBudget10]]=0, IF(SummaryTable[[#This Row],[DiffAmount10]]=0, ZeroBudgetNoSpending, ZeroBudgetWithSpending), SummaryTable[[#This Row],[DiffAmount10]]/SummaryTable[[#This Row],[OriginalBudget10]])</f>
        <v>-0.33111296142103802</v>
      </c>
      <c r="EK69" s="62">
        <f>IF(COUNTIFS(allFYsTable[Code], SummaryTable[[#This Row],[Code]], allFYsTable[year2], EK$3)=0, NotFound, SUMIFS(allFYsTable[OriginalBudget], allFYsTable[Code], SummaryTable[[#This Row],[Code]], allFYsTable[year2], EK$3))</f>
        <v>10438</v>
      </c>
      <c r="EL69" s="61">
        <f>SummaryTable[[#This Row],[OriginalBudget09]]-SummaryTable[[#This Row],[OriginalBudget08]]</f>
        <v>-10171</v>
      </c>
      <c r="EM69" s="54">
        <f>SummaryTable[[#This Row],[BudgetIncreaseAmount09]]/SummaryTable[[#This Row],[OriginalBudget08]]</f>
        <v>-0.49352224756174484</v>
      </c>
      <c r="EN69" s="61">
        <f>IF(COUNTIFS(allFYsTable[Code], SummaryTable[[#This Row],[Code]], allFYsTable[year2], EK$3)=0, NotFound, SUMIFS(allFYsTable[RevisedBudget], allFYsTable[Code], SummaryTable[[#This Row],[Code]], allFYsTable[year2], EK$3))</f>
        <v>0</v>
      </c>
      <c r="EO69" s="61">
        <f>IF(COUNTIFS(allFYsTable[Code], SummaryTable[[#This Row],[Code]], allFYsTable[year2], EK$3)=0, NotFound, SUMIFS(allFYsTable[Actual], allFYsTable[Code], SummaryTable[[#This Row],[Code]], allFYsTable[year2], EK$3))</f>
        <v>0</v>
      </c>
      <c r="EP69" s="61">
        <f>IF(COUNTIFS(allFYsTable[Code], SummaryTable[[#This Row],[Code]], allFYsTable[year2], EK$3)=0, NotFound, SUMIFS(allFYsTable[DiffAmount], allFYsTable[Code], SummaryTable[[#This Row],[Code]], allFYsTable[year2], EK$3))</f>
        <v>-10438</v>
      </c>
      <c r="EQ69" s="63">
        <f>IF(SummaryTable[[#This Row],[OriginalBudget09]]=0, IF(SummaryTable[[#This Row],[DiffAmount09]]=0, ZeroBudgetNoSpending, ZeroBudgetWithSpending), SummaryTable[[#This Row],[DiffAmount09]]/SummaryTable[[#This Row],[OriginalBudget09]])</f>
        <v>-1</v>
      </c>
      <c r="ER69" s="62">
        <f>IF(COUNTIFS(allFYsTable[Code], SummaryTable[[#This Row],[Code]], allFYsTable[year2], ER$3)=0, NotFound, SUMIFS(allFYsTable[OriginalBudget], allFYsTable[Code], SummaryTable[[#This Row],[Code]], allFYsTable[year2], ER$3))</f>
        <v>20609</v>
      </c>
      <c r="ES69" s="61">
        <f>SummaryTable[[#This Row],[OriginalBudget08]]-SummaryTable[[#This Row],[OriginalBudget07]]</f>
        <v>-1828</v>
      </c>
      <c r="ET69" s="54">
        <f>SummaryTable[[#This Row],[BudgetIncreaseAmount08]]/SummaryTable[[#This Row],[OriginalBudget07]]</f>
        <v>-8.1472567633819132E-2</v>
      </c>
      <c r="EU69" s="61">
        <f>IF(COUNTIFS(allFYsTable[Code], SummaryTable[[#This Row],[Code]], allFYsTable[year2], ER$3)=0, NotFound, SUMIFS(allFYsTable[RevisedBudget], allFYsTable[Code], SummaryTable[[#This Row],[Code]], allFYsTable[year2], ER$3))</f>
        <v>11073</v>
      </c>
      <c r="EV69" s="61">
        <f>IF(COUNTIFS(allFYsTable[Code], SummaryTable[[#This Row],[Code]], allFYsTable[year2], ER$3)=0, NotFound, SUMIFS(allFYsTable[Actual], allFYsTable[Code], SummaryTable[[#This Row],[Code]], allFYsTable[year2], ER$3))</f>
        <v>0</v>
      </c>
      <c r="EW69" s="61">
        <f>IF(COUNTIFS(allFYsTable[Code], SummaryTable[[#This Row],[Code]], allFYsTable[year2], ER$3)=0, NotFound, SUMIFS(allFYsTable[DiffAmount], allFYsTable[Code], SummaryTable[[#This Row],[Code]], allFYsTable[year2], ER$3))</f>
        <v>-20609</v>
      </c>
      <c r="EX69" s="63">
        <f>IF(SummaryTable[[#This Row],[OriginalBudget08]]=0, IF(SummaryTable[[#This Row],[DiffAmount08]]=0, ZeroBudgetNoSpending, ZeroBudgetWithSpending), SummaryTable[[#This Row],[DiffAmount08]]/SummaryTable[[#This Row],[OriginalBudget08]])</f>
        <v>-1</v>
      </c>
      <c r="EY69" s="62">
        <f>IF(COUNTIFS(allFYsTable[Code], SummaryTable[[#This Row],[Code]], allFYsTable[year2], EY$3)=0, NotFound, SUMIFS(allFYsTable[OriginalBudget], allFYsTable[Code], SummaryTable[[#This Row],[Code]], allFYsTable[year2], EY$3))</f>
        <v>22437</v>
      </c>
      <c r="EZ69" s="61">
        <f>SummaryTable[[#This Row],[OriginalBudget07]]-SummaryTable[[#This Row],[OriginalBudget06]]</f>
        <v>9975</v>
      </c>
      <c r="FA69" s="54">
        <f>SummaryTable[[#This Row],[BudgetIncreaseAmount07]]/SummaryTable[[#This Row],[OriginalBudget06]]</f>
        <v>0.80043331728454503</v>
      </c>
      <c r="FB69" s="61">
        <f>IF(COUNTIFS(allFYsTable[Code], SummaryTable[[#This Row],[Code]], allFYsTable[year2], EY$3)=0, NotFound, SUMIFS(allFYsTable[RevisedBudget], allFYsTable[Code], SummaryTable[[#This Row],[Code]], allFYsTable[year2], EY$3))</f>
        <v>191</v>
      </c>
      <c r="FC69" s="61">
        <f>IF(COUNTIFS(allFYsTable[Code], SummaryTable[[#This Row],[Code]], allFYsTable[year2], EY$3)=0, NotFound, SUMIFS(allFYsTable[Actual], allFYsTable[Code], SummaryTable[[#This Row],[Code]], allFYsTable[year2], EY$3))</f>
        <v>0</v>
      </c>
      <c r="FD69" s="61">
        <f>IF(COUNTIFS(allFYsTable[Code], SummaryTable[[#This Row],[Code]], allFYsTable[year2], EY$3)=0, NotFound, SUMIFS(allFYsTable[DiffAmount], allFYsTable[Code], SummaryTable[[#This Row],[Code]], allFYsTable[year2], EY$3))</f>
        <v>-22437</v>
      </c>
      <c r="FE69" s="63">
        <f>IF(SummaryTable[[#This Row],[OriginalBudget07]]=0, IF(SummaryTable[[#This Row],[DiffAmount07]]=0, ZeroBudgetNoSpending, ZeroBudgetWithSpending), SummaryTable[[#This Row],[DiffAmount07]]/SummaryTable[[#This Row],[OriginalBudget07]])</f>
        <v>-1</v>
      </c>
      <c r="FF69" s="62">
        <f>IF(COUNTIFS(allFYsTable[Code], SummaryTable[[#This Row],[Code]], allFYsTable[year2], FF$3)=0, NotFound, SUMIFS(allFYsTable[OriginalBudget], allFYsTable[Code], SummaryTable[[#This Row],[Code]], allFYsTable[year2], FF$3))</f>
        <v>12462</v>
      </c>
      <c r="FI69" s="61">
        <f>IF(COUNTIFS(allFYsTable[Code], SummaryTable[[#This Row],[Code]], allFYsTable[year2], FF$3)=0, NotFound, SUMIFS(allFYsTable[RevisedBudget], allFYsTable[Code], SummaryTable[[#This Row],[Code]], allFYsTable[year2], FF$3))</f>
        <v>572</v>
      </c>
      <c r="FJ69" s="61">
        <f>IF(COUNTIFS(allFYsTable[Code], SummaryTable[[#This Row],[Code]], allFYsTable[year2], FF$3)=0, NotFound, SUMIFS(allFYsTable[Actual], allFYsTable[Code], SummaryTable[[#This Row],[Code]], allFYsTable[year2], FF$3))</f>
        <v>0</v>
      </c>
      <c r="FK69" s="61">
        <f>IF(COUNTIFS(allFYsTable[Code], SummaryTable[[#This Row],[Code]], allFYsTable[year2], FF$3)=0, NotFound, SUMIFS(allFYsTable[DiffAmount], allFYsTable[Code], SummaryTable[[#This Row],[Code]], allFYsTable[year2], FF$3))</f>
        <v>-12462</v>
      </c>
      <c r="FL69" s="63">
        <f>IF(SummaryTable[[#This Row],[OriginalBudget06]]=0, IF(SummaryTable[[#This Row],[DiffAmount06]]=0, ZeroBudgetNoSpending, ZeroBudgetWithSpending), SummaryTable[[#This Row],[DiffAmount06]]/SummaryTable[[#This Row],[OriginalBudget06]])</f>
        <v>-1</v>
      </c>
    </row>
    <row r="70" spans="1:168" x14ac:dyDescent="0.45">
      <c r="A70" t="s">
        <v>777</v>
      </c>
      <c r="B70">
        <f>_xlfn.MAXIFS(allFYsTable[year2], allFYsTable[Code], SummaryTable[[#This Row],[Code]])</f>
        <v>2025</v>
      </c>
      <c r="C70" t="str">
        <f>_xlfn.XLOOKUP(SummaryTable[[#This Row],[Code]], NameCodingTable[Code], NameCodingTable[Most Recent Category per allFYs])</f>
        <v>Public education system</v>
      </c>
      <c r="D70" t="str">
        <f>_xlfn.XLOOKUP(SummaryTable[[#This Row],[Code]], NameCodingTable[Code], NameCodingTable[Unit Display Name])</f>
        <v>Non-public Tuition</v>
      </c>
      <c r="E70" t="str">
        <f>_xlfn.XLOOKUP(SummaryTable[[#This Row],[Code]], NameCodingTable[Code], NameCodingTable[Type])</f>
        <v>xother</v>
      </c>
      <c r="F7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17</v>
      </c>
      <c r="G7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70" s="54">
        <f>SummaryTable[[#This Row],['# Over]]/SummaryTable[[#This Row],[Count]]</f>
        <v>0.17647058823529413</v>
      </c>
      <c r="I7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13</v>
      </c>
      <c r="J70" s="54">
        <f>SummaryTable[[#This Row],['# Under]]/SummaryTable[[#This Row],[Count]]</f>
        <v>0.76470588235294112</v>
      </c>
      <c r="K7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70" s="54">
        <f>SummaryTable[[#This Row],['# Equal]]/SummaryTable[[#This Row],[Count]]</f>
        <v>5.8823529411764705E-2</v>
      </c>
      <c r="M70" s="61">
        <f>SUMIFS(allFYsTable[OriginalBudget],allFYsTable[Code],SummaryTable[[#This Row],[Code]])/SummaryTable[[#This Row],[Count]]</f>
        <v>87183.294117647063</v>
      </c>
      <c r="N70" s="61">
        <f>SUMIFS(allFYsTable[Actual],allFYsTable[Code],SummaryTable[[#This Row],[Code]])/SummaryTable[[#This Row],[Count]]</f>
        <v>82775.352941176476</v>
      </c>
      <c r="O70" s="61">
        <f>SummaryTable[[#This Row],[AvgActAmt]]-SummaryTable[[#This Row],[AvgBudAmt]]</f>
        <v>-4407.9411764705874</v>
      </c>
      <c r="P70" s="54">
        <f>IF(SummaryTable[[#This Row],[AvgBudAmt]]=0, IF(SummaryTable[[#This Row],[AvgDiff'#]]=0, 0, NamedFields!$C$3), SummaryTable[[#This Row],[AvgDiff'#]]/SummaryTable[[#This Row],[AvgBudAmt]])</f>
        <v>-5.0559470378836735E-2</v>
      </c>
      <c r="Q70" s="61">
        <f>IFERROR(SUMIFS(allFYsTable[OriginalBudget],allFYsTable[Code],SummaryTable[[#This Row],[Code]],allFYsTable[DiffAmount], "&gt;0")/SummaryTable[[#This Row],['# Over]], 0)</f>
        <v>113657.33333333333</v>
      </c>
      <c r="R70" s="61">
        <f>IFERROR(SUMIFS(allFYsTable[Actual],allFYsTable[Code],SummaryTable[[#This Row],[Code]],allFYsTable[DiffAmount], "&gt;0")/SummaryTable[[#This Row],['# Over]], 0)</f>
        <v>130211</v>
      </c>
      <c r="S70" s="61">
        <f>SummaryTable[[#This Row],[OverAvgAct]]-SummaryTable[[#This Row],[OverAvgBud]]</f>
        <v>16553.666666666672</v>
      </c>
      <c r="T70" s="54">
        <f>IF(SummaryTable[[#This Row],[OverAvgBud]]=0, IF(SummaryTable[[#This Row],[OverAvgDiff'#]]=0, ZeroBudgetNoSpending, ZeroBudgetWithSpending), SummaryTable[[#This Row],[OverAvgDiff'#]]/SummaryTable[[#This Row],[OverAvgBud]])</f>
        <v>0.14564539023732159</v>
      </c>
      <c r="U70" s="61">
        <f>IFERROR(SUMIFS(allFYsTable[OriginalBudget],allFYsTable[Code],SummaryTable[[#This Row],[Code]],allFYsTable[DiffAmount], "&lt;0")/SummaryTable[[#This Row],['# Under]], 0)</f>
        <v>82061.846153846156</v>
      </c>
      <c r="V70" s="61">
        <f>IFERROR( SUMIFS(allFYsTable[Actual],allFYsTable[Code],SummaryTable[[#This Row],[Code]],allFYsTable[DiffAmount], "&lt;0")/SummaryTable[[#This Row],['# Under]], 0)</f>
        <v>72477.538461538468</v>
      </c>
      <c r="W70" s="61">
        <f>SummaryTable[[#This Row],[UnderAvgAct]]-SummaryTable[[#This Row],[UnderAvgBud]]</f>
        <v>-9584.3076923076878</v>
      </c>
      <c r="X70" s="54">
        <f>IF(SummaryTable[[#This Row],[UnderAvgBud]]=0, IF(SummaryTable[[#This Row],[UnderAvgDiff'#]]=0, ZeroBudgetNoSpending, NamedFields!$C$3), SummaryTable[[#This Row],[UnderAvgDiff'#]]/SummaryTable[[#This Row],[UnderAvgBud]])</f>
        <v>-0.11679371280947572</v>
      </c>
      <c r="Y7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7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70" s="54">
        <f>IF(SummaryTable[[#This Row],[IncreaseYears]]=0, ZeroBudgetNoSpending, SummaryTable[[#This Row],[OSinIncreaseYear'#]]/SummaryTable[[#This Row],[IncreaseYears]])</f>
        <v>0</v>
      </c>
      <c r="AB70" s="58" t="str">
        <f>SummaryTable[[#This Row],[Code]]</f>
        <v>GN0</v>
      </c>
      <c r="AC70" s="62">
        <f>IF(COUNTIFS(allFYsTable[Code], SummaryTable[[#This Row],[Code]], allFYsTable[year2], AC$3)=0, NotFound, SUMIFS(allFYsTable[OriginalBudget], allFYsTable[Code], SummaryTable[[#This Row],[Code]], allFYsTable[year2], AC$3))</f>
        <v>50172</v>
      </c>
      <c r="AD70" s="61">
        <f>SummaryTable[[#This Row],[OriginalBudget25]]-SummaryTable[[#This Row],[OriginalBudget24]]</f>
        <v>0</v>
      </c>
      <c r="AE70" s="54">
        <f>SummaryTable[[#This Row],[BudgetIncreaseAmount25]]/SummaryTable[[#This Row],[OriginalBudget24]]</f>
        <v>0</v>
      </c>
      <c r="AF70" s="61">
        <f>IF(COUNTIFS(allFYsTable[Code], SummaryTable[[#This Row],[Code]], allFYsTable[year2], AC$3)=0, NotFound, SUMIFS(allFYsTable[RevisedBudget], allFYsTable[Code], SummaryTable[[#This Row],[Code]], allFYsTable[year2], AC$3))</f>
        <v>58172</v>
      </c>
      <c r="AG70" s="61">
        <f>IF(COUNTIFS(allFYsTable[Code], SummaryTable[[#This Row],[Code]], allFYsTable[year2], AC$3)=0, NotFound, SUMIFS(allFYsTable[Actual], allFYsTable[Code], SummaryTable[[#This Row],[Code]], allFYsTable[year2], AC$3))</f>
        <v>58154</v>
      </c>
      <c r="AH70" s="61">
        <f>IF(COUNTIFS(allFYsTable[Code], SummaryTable[[#This Row],[Code]], allFYsTable[year2], AC$3)=0, NotFound, SUMIFS(allFYsTable[DiffAmount], allFYsTable[Code], SummaryTable[[#This Row],[Code]], allFYsTable[year2], AC$3))</f>
        <v>7982</v>
      </c>
      <c r="AI70" s="63">
        <f>IF(SummaryTable[[#This Row],[OriginalBudget25]]=0, IF(SummaryTable[[#This Row],[DiffAmount25]]=0, ZeroBudgetNoSpending, ZeroBudgetWithSpending), SummaryTable[[#This Row],[DiffAmount25]]/SummaryTable[[#This Row],[OriginalBudget25]])</f>
        <v>0.15909272103962369</v>
      </c>
      <c r="AJ70" s="62">
        <f>IF(COUNTIFS(allFYsTable[Code], SummaryTable[[#This Row],[Code]], allFYsTable[year2], AJ$3)=0, NotFound, SUMIFS(allFYsTable[OriginalBudget], allFYsTable[Code], SummaryTable[[#This Row],[Code]], allFYsTable[year2], AJ$3))</f>
        <v>50172</v>
      </c>
      <c r="AK70" s="61">
        <f>SummaryTable[[#This Row],[OriginalBudget24]]-SummaryTable[[#This Row],[OriginalBudget23]]</f>
        <v>-8298</v>
      </c>
      <c r="AL70" s="54">
        <f>SummaryTable[[#This Row],[BudgetIncreaseAmount24]]/SummaryTable[[#This Row],[OriginalBudget23]]</f>
        <v>-0.14191893278604412</v>
      </c>
      <c r="AM70" s="61">
        <f>IF(COUNTIFS(allFYsTable[Code], SummaryTable[[#This Row],[Code]], allFYsTable[year2], AK$3)=0, NotFound, SUMIFS(allFYsTable[RevisedBudget], allFYsTable[Code], SummaryTable[[#This Row],[Code]], allFYsTable[year2], AJ$3))</f>
        <v>50072</v>
      </c>
      <c r="AN70" s="61">
        <f>IF(COUNTIFS(allFYsTable[Code], SummaryTable[[#This Row],[Code]], allFYsTable[year2], AJ$3)=0, NotFound, SUMIFS(allFYsTable[Actual], allFYsTable[Code], SummaryTable[[#This Row],[Code]], allFYsTable[year2], AJ$3))</f>
        <v>49941</v>
      </c>
      <c r="AO70" s="61">
        <f>IF(COUNTIFS(allFYsTable[Code], SummaryTable[[#This Row],[Code]], allFYsTable[year2], AJ$3)=0, NotFound, SUMIFS(allFYsTable[DiffAmount], allFYsTable[Code], SummaryTable[[#This Row],[Code]], allFYsTable[year2], AJ$3))</f>
        <v>-231</v>
      </c>
      <c r="AP70" s="63">
        <f>IF(SummaryTable[[#This Row],[OriginalBudget24]]=0, IF(SummaryTable[[#This Row],[DiffAmount24]]=0, ZeroBudgetNoSpending, ZeroBudgetWithSpending), SummaryTable[[#This Row],[DiffAmount24]]/SummaryTable[[#This Row],[OriginalBudget24]])</f>
        <v>-4.6041616838077013E-3</v>
      </c>
      <c r="AQ70" s="62">
        <f>IF(COUNTIFS(allFYsTable[Code], SummaryTable[[#This Row],[Code]], allFYsTable[year2], AQ$3)=0, NotFound, SUMIFS(allFYsTable[OriginalBudget], allFYsTable[Code], SummaryTable[[#This Row],[Code]], allFYsTable[year2], AQ$3))</f>
        <v>58470</v>
      </c>
      <c r="AR70" s="61">
        <f>SummaryTable[[#This Row],[OriginalBudget23]]-SummaryTable[[#This Row],[OriginalBudget22]]</f>
        <v>16</v>
      </c>
      <c r="AS70" s="54">
        <f>SummaryTable[[#This Row],[BudgetIncreaseAmount23]]/SummaryTable[[#This Row],[OriginalBudget22]]</f>
        <v>2.7371950593629179E-4</v>
      </c>
      <c r="AT70" s="61">
        <f>IF(COUNTIFS(allFYsTable[Code], SummaryTable[[#This Row],[Code]], allFYsTable[year2], AQ$3)=0, NotFound, SUMIFS(allFYsTable[RevisedBudget], allFYsTable[Code], SummaryTable[[#This Row],[Code]], allFYsTable[year2], AQ$3))</f>
        <v>53820</v>
      </c>
      <c r="AU70" s="61">
        <f>IF(COUNTIFS(allFYsTable[Code], SummaryTable[[#This Row],[Code]], allFYsTable[year2], AQ$3)=0, NotFound, SUMIFS(allFYsTable[Actual], allFYsTable[Code], SummaryTable[[#This Row],[Code]], allFYsTable[year2], AQ$3))</f>
        <v>53639</v>
      </c>
      <c r="AV70" s="61">
        <f>IF(COUNTIFS(allFYsTable[Code], SummaryTable[[#This Row],[Code]], allFYsTable[year2], AQ$3)=0, NotFound, SUMIFS(allFYsTable[DiffAmount], allFYsTable[Code], SummaryTable[[#This Row],[Code]], allFYsTable[year2], AQ$3))</f>
        <v>-4831</v>
      </c>
      <c r="AW70" s="63">
        <f>IF(SummaryTable[[#This Row],[OriginalBudget23]]=0, IF(SummaryTable[[#This Row],[DiffAmount23]]=0, ZeroBudgetNoSpending, ZeroBudgetWithSpending), SummaryTable[[#This Row],[DiffAmount23]]/SummaryTable[[#This Row],[OriginalBudget23]])</f>
        <v>-8.2623567641525564E-2</v>
      </c>
      <c r="AX70" s="62">
        <f>IF(COUNTIFS(allFYsTable[Code], SummaryTable[[#This Row],[Code]], allFYsTable[year2], AX$3)=0, NotFound, SUMIFS(allFYsTable[OriginalBudget], allFYsTable[Code], SummaryTable[[#This Row],[Code]], allFYsTable[year2], AX$3))</f>
        <v>58454</v>
      </c>
      <c r="AY70" s="61">
        <f>SummaryTable[[#This Row],[OriginalBudget22]]-SummaryTable[[#This Row],[OriginalBudget21]]</f>
        <v>-784</v>
      </c>
      <c r="AZ70" s="54">
        <f>SummaryTable[[#This Row],[BudgetIncreaseAmount22]]/SummaryTable[[#This Row],[OriginalBudget21]]</f>
        <v>-1.3234747965832742E-2</v>
      </c>
      <c r="BA70" s="61">
        <f>IF(COUNTIFS(allFYsTable[Code], SummaryTable[[#This Row],[Code]], allFYsTable[year2], AX$3)=0, NotFound, SUMIFS(allFYsTable[RevisedBudget], allFYsTable[Code], SummaryTable[[#This Row],[Code]], allFYsTable[year2], AX$3))</f>
        <v>58274</v>
      </c>
      <c r="BB70" s="61">
        <f>IF(COUNTIFS(allFYsTable[Code], SummaryTable[[#This Row],[Code]], allFYsTable[year2], AX$3)=0, NotFound, SUMIFS(allFYsTable[Actual], allFYsTable[Code], SummaryTable[[#This Row],[Code]], allFYsTable[year2], AX$3))</f>
        <v>49744</v>
      </c>
      <c r="BC70" s="61">
        <f>IF(COUNTIFS(allFYsTable[Code], SummaryTable[[#This Row],[Code]], allFYsTable[year2], AX$3)=0, NotFound, SUMIFS(allFYsTable[DiffAmount], allFYsTable[Code], SummaryTable[[#This Row],[Code]], allFYsTable[year2], AX$3))</f>
        <v>-8710</v>
      </c>
      <c r="BD70" s="63">
        <f>IF(SummaryTable[[#This Row],[OriginalBudget22]]=0, IF(SummaryTable[[#This Row],[DiffAmount22]]=0, ZeroBudgetNoSpending, ZeroBudgetWithSpending), SummaryTable[[#This Row],[DiffAmount22]]/SummaryTable[[#This Row],[OriginalBudget22]])</f>
        <v>-0.14900605604406883</v>
      </c>
      <c r="BE70" s="62">
        <f>IF(COUNTIFS(allFYsTable[Code], SummaryTable[[#This Row],[Code]], allFYsTable[year2], BE$3)=0, NotFound, SUMIFS(allFYsTable[OriginalBudget], allFYsTable[Code], SummaryTable[[#This Row],[Code]], allFYsTable[year2], BE$3))</f>
        <v>59238</v>
      </c>
      <c r="BF70" s="61">
        <f>SummaryTable[[#This Row],[OriginalBudget21]]-SummaryTable[[#This Row],[OriginalBudget20]]</f>
        <v>-772</v>
      </c>
      <c r="BG70" s="54">
        <f>SummaryTable[[#This Row],[BudgetIncreaseAmount21]]/SummaryTable[[#This Row],[OriginalBudget20]]</f>
        <v>-1.2864522579570072E-2</v>
      </c>
      <c r="BH70" s="61">
        <f>IF(COUNTIFS(allFYsTable[Code], SummaryTable[[#This Row],[Code]], allFYsTable[year2], BE$3)=0, NotFound, SUMIFS(allFYsTable[RevisedBudget], allFYsTable[Code], SummaryTable[[#This Row],[Code]], allFYsTable[year2], BE$3))</f>
        <v>59238</v>
      </c>
      <c r="BI70" s="61">
        <f>IF(COUNTIFS(allFYsTable[Code], SummaryTable[[#This Row],[Code]], allFYsTable[year2], BE$3)=0, NotFound, SUMIFS(allFYsTable[Actual], allFYsTable[Code], SummaryTable[[#This Row],[Code]], allFYsTable[year2], BE$3))</f>
        <v>58888</v>
      </c>
      <c r="BJ70" s="61">
        <f>IF(COUNTIFS(allFYsTable[Code], SummaryTable[[#This Row],[Code]], allFYsTable[year2], BE$3)=0, NotFound, SUMIFS(allFYsTable[DiffAmount], allFYsTable[Code], SummaryTable[[#This Row],[Code]], allFYsTable[year2], BE$3))</f>
        <v>-350</v>
      </c>
      <c r="BK70" s="63">
        <f>IF(SummaryTable[[#This Row],[OriginalBudget21]]=0, IF(SummaryTable[[#This Row],[DiffAmount21]]=0, ZeroBudgetNoSpending, ZeroBudgetWithSpending), SummaryTable[[#This Row],[DiffAmount21]]/SummaryTable[[#This Row],[OriginalBudget21]])</f>
        <v>-5.908369627603903E-3</v>
      </c>
      <c r="BL70" s="62">
        <f>IF(COUNTIFS(allFYsTable[Code], SummaryTable[[#This Row],[Code]], allFYsTable[year2], BL$3)=0, NotFound, SUMIFS(allFYsTable[OriginalBudget], allFYsTable[Code], SummaryTable[[#This Row],[Code]], allFYsTable[year2], BL$3))</f>
        <v>60010</v>
      </c>
      <c r="BM70" s="61">
        <f>SummaryTable[[#This Row],[OriginalBudget20]]-SummaryTable[[#This Row],[OriginalBudget19]]</f>
        <v>-3490</v>
      </c>
      <c r="BN70" s="54">
        <f>SummaryTable[[#This Row],[BudgetIncreaseAmount20]]/SummaryTable[[#This Row],[OriginalBudget19]]</f>
        <v>-5.4960629921259843E-2</v>
      </c>
      <c r="BO70" s="61">
        <f>IF(COUNTIFS(allFYsTable[Code], SummaryTable[[#This Row],[Code]], allFYsTable[year2], BL$3)=0, NotFound, SUMIFS(allFYsTable[RevisedBudget], allFYsTable[Code], SummaryTable[[#This Row],[Code]], allFYsTable[year2], BL$3))</f>
        <v>59706</v>
      </c>
      <c r="BP70" s="61">
        <f>IF(COUNTIFS(allFYsTable[Code], SummaryTable[[#This Row],[Code]], allFYsTable[year2], BL$3)=0, NotFound, SUMIFS(allFYsTable[Actual], allFYsTable[Code], SummaryTable[[#This Row],[Code]], allFYsTable[year2], BL$3))</f>
        <v>59583</v>
      </c>
      <c r="BQ70" s="61">
        <f>IF(COUNTIFS(allFYsTable[Code], SummaryTable[[#This Row],[Code]], allFYsTable[year2], BL$3)=0, NotFound, SUMIFS(allFYsTable[DiffAmount], allFYsTable[Code], SummaryTable[[#This Row],[Code]], allFYsTable[year2], BL$3))</f>
        <v>-427</v>
      </c>
      <c r="BR70" s="63">
        <f>IF(SummaryTable[[#This Row],[OriginalBudget20]]=0, IF(SummaryTable[[#This Row],[DiffAmount20]]=0, ZeroBudgetNoSpending, ZeroBudgetWithSpending), SummaryTable[[#This Row],[DiffAmount20]]/SummaryTable[[#This Row],[OriginalBudget20]])</f>
        <v>-7.1154807532077986E-3</v>
      </c>
      <c r="BS70" s="62">
        <f>IF(COUNTIFS(allFYsTable[Code], SummaryTable[[#This Row],[Code]], allFYsTable[year2], BS$3)=0, NotFound, SUMIFS(allFYsTable[OriginalBudget], allFYsTable[Code], SummaryTable[[#This Row],[Code]], allFYsTable[year2], BS$3))</f>
        <v>63500</v>
      </c>
      <c r="BT70" s="61">
        <f>SummaryTable[[#This Row],[OriginalBudget19]]-SummaryTable[[#This Row],[OriginalBudget18]]</f>
        <v>-6521</v>
      </c>
      <c r="BU70" s="54">
        <f>SummaryTable[[#This Row],[BudgetIncreaseAmount19]]/SummaryTable[[#This Row],[OriginalBudget18]]</f>
        <v>-9.3129204095914089E-2</v>
      </c>
      <c r="BV70" s="61">
        <f>IF(COUNTIFS(allFYsTable[Code], SummaryTable[[#This Row],[Code]], allFYsTable[year2], BS$3)=0, NotFound, SUMIFS(allFYsTable[RevisedBudget], allFYsTable[Code], SummaryTable[[#This Row],[Code]], allFYsTable[year2], BS$3))</f>
        <v>62261</v>
      </c>
      <c r="BW70" s="61">
        <f>IF(COUNTIFS(allFYsTable[Code], SummaryTable[[#This Row],[Code]], allFYsTable[year2], BS$3)=0, NotFound, SUMIFS(allFYsTable[Actual], allFYsTable[Code], SummaryTable[[#This Row],[Code]], allFYsTable[year2], BS$3))</f>
        <v>61813</v>
      </c>
      <c r="BX70" s="61">
        <f>IF(COUNTIFS(allFYsTable[Code], SummaryTable[[#This Row],[Code]], allFYsTable[year2], BS$3)=0, NotFound, SUMIFS(allFYsTable[DiffAmount], allFYsTable[Code], SummaryTable[[#This Row],[Code]], allFYsTable[year2], BS$3))</f>
        <v>-1687</v>
      </c>
      <c r="BY70" s="63">
        <f>IF(SummaryTable[[#This Row],[OriginalBudget19]]=0, IF(SummaryTable[[#This Row],[DiffAmount19]]=0, ZeroBudgetNoSpending, ZeroBudgetWithSpending), SummaryTable[[#This Row],[DiffAmount19]]/SummaryTable[[#This Row],[OriginalBudget19]])</f>
        <v>-2.6566929133858268E-2</v>
      </c>
      <c r="BZ70" s="62">
        <f>IF(COUNTIFS(allFYsTable[Code], SummaryTable[[#This Row],[Code]], allFYsTable[year2], BZ$3)=0, NotFound, SUMIFS(allFYsTable[OriginalBudget], allFYsTable[Code], SummaryTable[[#This Row],[Code]], allFYsTable[year2], BZ$3))</f>
        <v>70021</v>
      </c>
      <c r="CA70" s="61">
        <f>SummaryTable[[#This Row],[OriginalBudget18]]-SummaryTable[[#This Row],[OriginalBudget17]]</f>
        <v>-4440</v>
      </c>
      <c r="CB70" s="54">
        <f>SummaryTable[[#This Row],[BudgetIncreaseAmount18]]/SummaryTable[[#This Row],[OriginalBudget17]]</f>
        <v>-5.9628530371603927E-2</v>
      </c>
      <c r="CC70" s="61">
        <f>IF(COUNTIFS(allFYsTable[Code], SummaryTable[[#This Row],[Code]], allFYsTable[year2], BZ$3)=0, NotFound, SUMIFS(allFYsTable[RevisedBudget], allFYsTable[Code], SummaryTable[[#This Row],[Code]], allFYsTable[year2], BZ$3))</f>
        <v>67521</v>
      </c>
      <c r="CD70" s="61">
        <f>IF(COUNTIFS(allFYsTable[Code], SummaryTable[[#This Row],[Code]], allFYsTable[year2], BZ$3)=0, NotFound, SUMIFS(allFYsTable[Actual], allFYsTable[Code], SummaryTable[[#This Row],[Code]], allFYsTable[year2], BZ$3))</f>
        <v>61395</v>
      </c>
      <c r="CE70" s="61">
        <f>IF(COUNTIFS(allFYsTable[Code], SummaryTable[[#This Row],[Code]], allFYsTable[year2], BZ$3)=0, NotFound, SUMIFS(allFYsTable[DiffAmount], allFYsTable[Code], SummaryTable[[#This Row],[Code]], allFYsTable[year2], BZ$3))</f>
        <v>-8626</v>
      </c>
      <c r="CF70" s="63">
        <f>IF(SummaryTable[[#This Row],[OriginalBudget18]]=0, IF(SummaryTable[[#This Row],[DiffAmount18]]=0, ZeroBudgetNoSpending, ZeroBudgetWithSpending), SummaryTable[[#This Row],[DiffAmount18]]/SummaryTable[[#This Row],[OriginalBudget18]])</f>
        <v>-0.12319161394438811</v>
      </c>
      <c r="CG70" s="62">
        <f>IF(COUNTIFS(allFYsTable[Code], SummaryTable[[#This Row],[Code]], allFYsTable[year2], CG$3)=0, NotFound, SUMIFS(allFYsTable[OriginalBudget], allFYsTable[Code], SummaryTable[[#This Row],[Code]], allFYsTable[year2], CG$3))</f>
        <v>74461</v>
      </c>
      <c r="CH70" s="61">
        <f>SummaryTable[[#This Row],[OriginalBudget17]]-SummaryTable[[#This Row],[OriginalBudget16]]</f>
        <v>46</v>
      </c>
      <c r="CI70" s="54">
        <f>SummaryTable[[#This Row],[BudgetIncreaseAmount17]]/SummaryTable[[#This Row],[OriginalBudget16]]</f>
        <v>6.1815494187999727E-4</v>
      </c>
      <c r="CJ70" s="61">
        <f>IF(COUNTIFS(allFYsTable[Code], SummaryTable[[#This Row],[Code]], allFYsTable[year2], CG$3)=0, NotFound, SUMIFS(allFYsTable[RevisedBudget], allFYsTable[Code], SummaryTable[[#This Row],[Code]], allFYsTable[year2], CG$3))</f>
        <v>64752</v>
      </c>
      <c r="CK70" s="61">
        <f>IF(COUNTIFS(allFYsTable[Code], SummaryTable[[#This Row],[Code]], allFYsTable[year2], CG$3)=0, NotFound, SUMIFS(allFYsTable[Actual], allFYsTable[Code], SummaryTable[[#This Row],[Code]], allFYsTable[year2], CG$3))</f>
        <v>64752</v>
      </c>
      <c r="CL70" s="61">
        <f>IF(COUNTIFS(allFYsTable[Code], SummaryTable[[#This Row],[Code]], allFYsTable[year2], CG$3)=0, NotFound, SUMIFS(allFYsTable[DiffAmount], allFYsTable[Code], SummaryTable[[#This Row],[Code]], allFYsTable[year2], CG$3))</f>
        <v>-9709</v>
      </c>
      <c r="CM70" s="63">
        <f>IF(SummaryTable[[#This Row],[OriginalBudget17]]=0, IF(SummaryTable[[#This Row],[DiffAmount17]]=0, ZeroBudgetNoSpending, ZeroBudgetWithSpending), SummaryTable[[#This Row],[DiffAmount17]]/SummaryTable[[#This Row],[OriginalBudget17]])</f>
        <v>-0.13039040571574381</v>
      </c>
      <c r="CN70" s="62">
        <f>IF(COUNTIFS(allFYsTable[Code], SummaryTable[[#This Row],[Code]], allFYsTable[year2], CN$3)=0, NotFound, SUMIFS(allFYsTable[OriginalBudget], allFYsTable[Code], SummaryTable[[#This Row],[Code]], allFYsTable[year2], CN$3))</f>
        <v>74415</v>
      </c>
      <c r="CO70" s="61">
        <f>SummaryTable[[#This Row],[OriginalBudget16]]-SummaryTable[[#This Row],[OriginalBudget15]]</f>
        <v>75</v>
      </c>
      <c r="CP70" s="54">
        <f>SummaryTable[[#This Row],[BudgetIncreaseAmount16]]/SummaryTable[[#This Row],[OriginalBudget15]]</f>
        <v>1.0088781275221952E-3</v>
      </c>
      <c r="CQ70" s="61">
        <f>IF(COUNTIFS(allFYsTable[Code], SummaryTable[[#This Row],[Code]], allFYsTable[year2], CN$3)=0, NotFound, SUMIFS(allFYsTable[RevisedBudget], allFYsTable[Code], SummaryTable[[#This Row],[Code]], allFYsTable[year2], CN$3))</f>
        <v>66415</v>
      </c>
      <c r="CR70" s="61">
        <f>IF(COUNTIFS(allFYsTable[Code], SummaryTable[[#This Row],[Code]], allFYsTable[year2], CN$3)=0, NotFound, SUMIFS(allFYsTable[Actual], allFYsTable[Code], SummaryTable[[#This Row],[Code]], allFYsTable[year2], CN$3))</f>
        <v>66092</v>
      </c>
      <c r="CS70" s="61">
        <f>IF(COUNTIFS(allFYsTable[Code], SummaryTable[[#This Row],[Code]], allFYsTable[year2], CN$3)=0, NotFound, SUMIFS(allFYsTable[DiffAmount], allFYsTable[Code], SummaryTable[[#This Row],[Code]], allFYsTable[year2], CN$3))</f>
        <v>-8323</v>
      </c>
      <c r="CT70" s="63">
        <f>IF(SummaryTable[[#This Row],[OriginalBudget16]]=0, IF(SummaryTable[[#This Row],[DiffAmount16]]=0, ZeroBudgetNoSpending, ZeroBudgetWithSpending), SummaryTable[[#This Row],[DiffAmount16]]/SummaryTable[[#This Row],[OriginalBudget16]])</f>
        <v>-0.1118457300275482</v>
      </c>
      <c r="CU70" s="62">
        <f>IF(COUNTIFS(allFYsTable[Code], SummaryTable[[#This Row],[Code]], allFYsTable[year2], CU$3)=0, NotFound, SUMIFS(allFYsTable[OriginalBudget], allFYsTable[Code], SummaryTable[[#This Row],[Code]], allFYsTable[year2], CU$3))</f>
        <v>74340</v>
      </c>
      <c r="CV70" s="61">
        <f>SummaryTable[[#This Row],[OriginalBudget15]]-SummaryTable[[#This Row],[OriginalBudget14]]</f>
        <v>-5528</v>
      </c>
      <c r="CW70" s="54">
        <f>SummaryTable[[#This Row],[BudgetIncreaseAmount15]]/SummaryTable[[#This Row],[OriginalBudget14]]</f>
        <v>-6.921420343566885E-2</v>
      </c>
      <c r="CX70" s="61">
        <f>IF(COUNTIFS(allFYsTable[Code], SummaryTable[[#This Row],[Code]], allFYsTable[year2], CU$3)=0, NotFound, SUMIFS(allFYsTable[RevisedBudget], allFYsTable[Code], SummaryTable[[#This Row],[Code]], allFYsTable[year2], CU$3))</f>
        <v>74340</v>
      </c>
      <c r="CY70" s="61">
        <f>IF(COUNTIFS(allFYsTable[Code], SummaryTable[[#This Row],[Code]], allFYsTable[year2], CU$3)=0, NotFound, SUMIFS(allFYsTable[Actual], allFYsTable[Code], SummaryTable[[#This Row],[Code]], allFYsTable[year2], CU$3))</f>
        <v>74340</v>
      </c>
      <c r="CZ70" s="61">
        <f>IF(COUNTIFS(allFYsTable[Code], SummaryTable[[#This Row],[Code]], allFYsTable[year2], CU$3)=0, NotFound, SUMIFS(allFYsTable[DiffAmount], allFYsTable[Code], SummaryTable[[#This Row],[Code]], allFYsTable[year2], CU$3))</f>
        <v>0</v>
      </c>
      <c r="DA70" s="63">
        <f>IF(SummaryTable[[#This Row],[OriginalBudget15]]=0, IF(SummaryTable[[#This Row],[DiffAmount15]]=0, ZeroBudgetNoSpending, ZeroBudgetWithSpending), SummaryTable[[#This Row],[DiffAmount15]]/SummaryTable[[#This Row],[OriginalBudget15]])</f>
        <v>0</v>
      </c>
      <c r="DB70" s="62">
        <f>IF(COUNTIFS(allFYsTable[Code], SummaryTable[[#This Row],[Code]], allFYsTable[year2], DB$3)=0, NotFound, SUMIFS(allFYsTable[OriginalBudget], allFYsTable[Code], SummaryTable[[#This Row],[Code]], allFYsTable[year2], DB$3))</f>
        <v>79868</v>
      </c>
      <c r="DC70" s="61">
        <f>SummaryTable[[#This Row],[OriginalBudget14]]-SummaryTable[[#This Row],[OriginalBudget13]]</f>
        <v>-30073</v>
      </c>
      <c r="DD70" s="54">
        <f>SummaryTable[[#This Row],[BudgetIncreaseAmount14]]/SummaryTable[[#This Row],[OriginalBudget13]]</f>
        <v>-0.27353762472598941</v>
      </c>
      <c r="DE70" s="61">
        <f>IF(COUNTIFS(allFYsTable[Code], SummaryTable[[#This Row],[Code]], allFYsTable[year2], DB$3)=0, NotFound, SUMIFS(allFYsTable[RevisedBudget], allFYsTable[Code], SummaryTable[[#This Row],[Code]], allFYsTable[year2], DB$3))</f>
        <v>77415</v>
      </c>
      <c r="DF70" s="61">
        <f>IF(COUNTIFS(allFYsTable[Code], SummaryTable[[#This Row],[Code]], allFYsTable[year2], DB$3)=0, NotFound, SUMIFS(allFYsTable[Actual], allFYsTable[Code], SummaryTable[[#This Row],[Code]], allFYsTable[year2], DB$3))</f>
        <v>77413</v>
      </c>
      <c r="DG70" s="61">
        <f>IF(COUNTIFS(allFYsTable[Code], SummaryTable[[#This Row],[Code]], allFYsTable[year2], DB$3)=0, NotFound, SUMIFS(allFYsTable[DiffAmount], allFYsTable[Code], SummaryTable[[#This Row],[Code]], allFYsTable[year2], DB$3))</f>
        <v>-2455</v>
      </c>
      <c r="DH70" s="63">
        <f>IF(SummaryTable[[#This Row],[OriginalBudget14]]=0, IF(SummaryTable[[#This Row],[DiffAmount14]]=0, ZeroBudgetNoSpending, ZeroBudgetWithSpending), SummaryTable[[#This Row],[DiffAmount14]]/SummaryTable[[#This Row],[OriginalBudget14]])</f>
        <v>-3.0738218059798667E-2</v>
      </c>
      <c r="DI70" s="62">
        <f>IF(COUNTIFS(allFYsTable[Code], SummaryTable[[#This Row],[Code]], allFYsTable[year2], DI$3)=0, NotFound, SUMIFS(allFYsTable[OriginalBudget], allFYsTable[Code], SummaryTable[[#This Row],[Code]], allFYsTable[year2], DI$3))</f>
        <v>109941</v>
      </c>
      <c r="DJ70" s="61">
        <f>SummaryTable[[#This Row],[OriginalBudget13]]-SummaryTable[[#This Row],[OriginalBudget12]]</f>
        <v>-40296</v>
      </c>
      <c r="DK70" s="54">
        <f>SummaryTable[[#This Row],[BudgetIncreaseAmount13]]/SummaryTable[[#This Row],[OriginalBudget12]]</f>
        <v>-0.26821621837496756</v>
      </c>
      <c r="DL70" s="61">
        <f>IF(COUNTIFS(allFYsTable[Code], SummaryTable[[#This Row],[Code]], allFYsTable[year2], DI$3)=0, NotFound, SUMIFS(allFYsTable[RevisedBudget], allFYsTable[Code], SummaryTable[[#This Row],[Code]], allFYsTable[year2], DI$3))</f>
        <v>85590</v>
      </c>
      <c r="DM70" s="61">
        <f>IF(COUNTIFS(allFYsTable[Code], SummaryTable[[#This Row],[Code]], allFYsTable[year2], DI$3)=0, NotFound, SUMIFS(allFYsTable[Actual], allFYsTable[Code], SummaryTable[[#This Row],[Code]], allFYsTable[year2], DI$3))</f>
        <v>84086</v>
      </c>
      <c r="DN70" s="61">
        <f>IF(COUNTIFS(allFYsTable[Code], SummaryTable[[#This Row],[Code]], allFYsTable[year2], DI$3)=0, NotFound, SUMIFS(allFYsTable[DiffAmount], allFYsTable[Code], SummaryTable[[#This Row],[Code]], allFYsTable[year2], DI$3))</f>
        <v>-25855</v>
      </c>
      <c r="DO70" s="63">
        <f>IF(SummaryTable[[#This Row],[OriginalBudget13]]=0, IF(SummaryTable[[#This Row],[DiffAmount13]]=0, ZeroBudgetNoSpending, ZeroBudgetWithSpending), SummaryTable[[#This Row],[DiffAmount13]]/SummaryTable[[#This Row],[OriginalBudget13]])</f>
        <v>-0.23517159203572827</v>
      </c>
      <c r="DP70" s="62">
        <f>IF(COUNTIFS(allFYsTable[Code], SummaryTable[[#This Row],[Code]], allFYsTable[year2], DP$3)=0, NotFound, SUMIFS(allFYsTable[OriginalBudget], allFYsTable[Code], SummaryTable[[#This Row],[Code]], allFYsTable[year2], DP$3))</f>
        <v>150237</v>
      </c>
      <c r="DQ70" s="61">
        <f>SummaryTable[[#This Row],[OriginalBudget12]]-SummaryTable[[#This Row],[OriginalBudget11]]</f>
        <v>-7780</v>
      </c>
      <c r="DR70" s="54">
        <f>SummaryTable[[#This Row],[BudgetIncreaseAmount12]]/SummaryTable[[#This Row],[OriginalBudget11]]</f>
        <v>-4.9235208869931719E-2</v>
      </c>
      <c r="DS70" s="61">
        <f>IF(COUNTIFS(allFYsTable[Code], SummaryTable[[#This Row],[Code]], allFYsTable[year2], DP$3)=0, NotFound, SUMIFS(allFYsTable[RevisedBudget], allFYsTable[Code], SummaryTable[[#This Row],[Code]], allFYsTable[year2], DP$3))</f>
        <v>120303</v>
      </c>
      <c r="DT70" s="61">
        <f>IF(COUNTIFS(allFYsTable[Code], SummaryTable[[#This Row],[Code]], allFYsTable[year2], DP$3)=0, NotFound, SUMIFS(allFYsTable[Actual], allFYsTable[Code], SummaryTable[[#This Row],[Code]], allFYsTable[year2], DP$3))</f>
        <v>119622</v>
      </c>
      <c r="DU70" s="61">
        <f>IF(COUNTIFS(allFYsTable[Code], SummaryTable[[#This Row],[Code]], allFYsTable[year2], DP$3)=0, NotFound, SUMIFS(allFYsTable[DiffAmount], allFYsTable[Code], SummaryTable[[#This Row],[Code]], allFYsTable[year2], DP$3))</f>
        <v>-30615</v>
      </c>
      <c r="DV70" s="63">
        <f>IF(SummaryTable[[#This Row],[OriginalBudget12]]=0, IF(SummaryTable[[#This Row],[DiffAmount12]]=0, ZeroBudgetNoSpending, ZeroBudgetWithSpending), SummaryTable[[#This Row],[DiffAmount12]]/SummaryTable[[#This Row],[OriginalBudget12]])</f>
        <v>-0.20377803071147588</v>
      </c>
      <c r="DW70" s="62">
        <f>IF(COUNTIFS(allFYsTable[Code], SummaryTable[[#This Row],[Code]], allFYsTable[year2], DW$3)=0, NotFound, SUMIFS(allFYsTable[OriginalBudget], allFYsTable[Code], SummaryTable[[#This Row],[Code]], allFYsTable[year2], DW$3))</f>
        <v>158017</v>
      </c>
      <c r="DX70" s="61">
        <f>SummaryTable[[#This Row],[OriginalBudget11]]-SummaryTable[[#This Row],[OriginalBudget10]]</f>
        <v>8917</v>
      </c>
      <c r="DY70" s="54">
        <f>SummaryTable[[#This Row],[BudgetIncreaseAmount11]]/SummaryTable[[#This Row],[OriginalBudget10]]</f>
        <v>5.9805499664654593E-2</v>
      </c>
      <c r="DZ70" s="61">
        <f>IF(COUNTIFS(allFYsTable[Code], SummaryTable[[#This Row],[Code]], allFYsTable[year2], DW$3)=0, NotFound, SUMIFS(allFYsTable[RevisedBudget], allFYsTable[Code], SummaryTable[[#This Row],[Code]], allFYsTable[year2], DW$3))</f>
        <v>145819</v>
      </c>
      <c r="EA70" s="61">
        <f>IF(COUNTIFS(allFYsTable[Code], SummaryTable[[#This Row],[Code]], allFYsTable[year2], DW$3)=0, NotFound, SUMIFS(allFYsTable[Actual], allFYsTable[Code], SummaryTable[[#This Row],[Code]], allFYsTable[year2], DW$3))</f>
        <v>135240</v>
      </c>
      <c r="EB70" s="61">
        <f>IF(COUNTIFS(allFYsTable[Code], SummaryTable[[#This Row],[Code]], allFYsTable[year2], DW$3)=0, NotFound, SUMIFS(allFYsTable[DiffAmount], allFYsTable[Code], SummaryTable[[#This Row],[Code]], allFYsTable[year2], DW$3))</f>
        <v>-22777</v>
      </c>
      <c r="EC70" s="63">
        <f>IF(SummaryTable[[#This Row],[OriginalBudget11]]=0, IF(SummaryTable[[#This Row],[DiffAmount11]]=0, ZeroBudgetNoSpending, ZeroBudgetWithSpending), SummaryTable[[#This Row],[DiffAmount11]]/SummaryTable[[#This Row],[OriginalBudget11]])</f>
        <v>-0.14414271882139262</v>
      </c>
      <c r="ED70" s="62">
        <f>IF(COUNTIFS(allFYsTable[Code], SummaryTable[[#This Row],[Code]], allFYsTable[year2], ED$3)=0, NotFound, SUMIFS(allFYsTable[OriginalBudget], allFYsTable[Code], SummaryTable[[#This Row],[Code]], allFYsTable[year2], ED$3))</f>
        <v>149100</v>
      </c>
      <c r="EE70" s="61">
        <f>SummaryTable[[#This Row],[OriginalBudget10]]-SummaryTable[[#This Row],[OriginalBudget09]]</f>
        <v>7400</v>
      </c>
      <c r="EF70" s="54">
        <f>SummaryTable[[#This Row],[BudgetIncreaseAmount10]]/SummaryTable[[#This Row],[OriginalBudget09]]</f>
        <v>5.2223006351446721E-2</v>
      </c>
      <c r="EG70" s="61">
        <f>IF(COUNTIFS(allFYsTable[Code], SummaryTable[[#This Row],[Code]], allFYsTable[year2], ED$3)=0, NotFound, SUMIFS(allFYsTable[RevisedBudget], allFYsTable[Code], SummaryTable[[#This Row],[Code]], allFYsTable[year2], ED$3))</f>
        <v>166655</v>
      </c>
      <c r="EH70" s="61">
        <f>IF(COUNTIFS(allFYsTable[Code], SummaryTable[[#This Row],[Code]], allFYsTable[year2], ED$3)=0, NotFound, SUMIFS(allFYsTable[Actual], allFYsTable[Code], SummaryTable[[#This Row],[Code]], allFYsTable[year2], ED$3))</f>
        <v>166568</v>
      </c>
      <c r="EI70" s="61">
        <f>IF(COUNTIFS(allFYsTable[Code], SummaryTable[[#This Row],[Code]], allFYsTable[year2], ED$3)=0, NotFound, SUMIFS(allFYsTable[DiffAmount], allFYsTable[Code], SummaryTable[[#This Row],[Code]], allFYsTable[year2], ED$3))</f>
        <v>17468</v>
      </c>
      <c r="EJ70" s="63">
        <f>IF(SummaryTable[[#This Row],[OriginalBudget10]]=0, IF(SummaryTable[[#This Row],[DiffAmount10]]=0, ZeroBudgetNoSpending, ZeroBudgetWithSpending), SummaryTable[[#This Row],[DiffAmount10]]/SummaryTable[[#This Row],[OriginalBudget10]])</f>
        <v>0.11715627095908786</v>
      </c>
      <c r="EK70" s="62">
        <f>IF(COUNTIFS(allFYsTable[Code], SummaryTable[[#This Row],[Code]], allFYsTable[year2], EK$3)=0, NotFound, SUMIFS(allFYsTable[OriginalBudget], allFYsTable[Code], SummaryTable[[#This Row],[Code]], allFYsTable[year2], EK$3))</f>
        <v>141700</v>
      </c>
      <c r="EL70" s="61" t="e">
        <f>SummaryTable[[#This Row],[OriginalBudget09]]-SummaryTable[[#This Row],[OriginalBudget08]]</f>
        <v>#N/A</v>
      </c>
      <c r="EM70" s="54" t="e">
        <f>SummaryTable[[#This Row],[BudgetIncreaseAmount09]]/SummaryTable[[#This Row],[OriginalBudget08]]</f>
        <v>#N/A</v>
      </c>
      <c r="EN70" s="61">
        <f>IF(COUNTIFS(allFYsTable[Code], SummaryTable[[#This Row],[Code]], allFYsTable[year2], EK$3)=0, NotFound, SUMIFS(allFYsTable[RevisedBudget], allFYsTable[Code], SummaryTable[[#This Row],[Code]], allFYsTable[year2], EK$3))</f>
        <v>166000</v>
      </c>
      <c r="EO70" s="61">
        <f>IF(COUNTIFS(allFYsTable[Code], SummaryTable[[#This Row],[Code]], allFYsTable[year2], EK$3)=0, NotFound, SUMIFS(allFYsTable[Actual], allFYsTable[Code], SummaryTable[[#This Row],[Code]], allFYsTable[year2], EK$3))</f>
        <v>165911</v>
      </c>
      <c r="EP70" s="61">
        <f>IF(COUNTIFS(allFYsTable[Code], SummaryTable[[#This Row],[Code]], allFYsTable[year2], EK$3)=0, NotFound, SUMIFS(allFYsTable[DiffAmount], allFYsTable[Code], SummaryTable[[#This Row],[Code]], allFYsTable[year2], EK$3))</f>
        <v>24211</v>
      </c>
      <c r="EQ70" s="63">
        <f>IF(SummaryTable[[#This Row],[OriginalBudget09]]=0, IF(SummaryTable[[#This Row],[DiffAmount09]]=0, ZeroBudgetNoSpending, ZeroBudgetWithSpending), SummaryTable[[#This Row],[DiffAmount09]]/SummaryTable[[#This Row],[OriginalBudget09]])</f>
        <v>0.17086097388849683</v>
      </c>
      <c r="ER70" s="62" t="e">
        <f>IF(COUNTIFS(allFYsTable[Code], SummaryTable[[#This Row],[Code]], allFYsTable[year2], ER$3)=0, NotFound, SUMIFS(allFYsTable[OriginalBudget], allFYsTable[Code], SummaryTable[[#This Row],[Code]], allFYsTable[year2], ER$3))</f>
        <v>#N/A</v>
      </c>
      <c r="ES70" s="61" t="e">
        <f>SummaryTable[[#This Row],[OriginalBudget08]]-SummaryTable[[#This Row],[OriginalBudget07]]</f>
        <v>#N/A</v>
      </c>
      <c r="ET70" s="54" t="e">
        <f>SummaryTable[[#This Row],[BudgetIncreaseAmount08]]/SummaryTable[[#This Row],[OriginalBudget07]]</f>
        <v>#N/A</v>
      </c>
      <c r="EU70" s="61" t="e">
        <f>IF(COUNTIFS(allFYsTable[Code], SummaryTable[[#This Row],[Code]], allFYsTable[year2], ER$3)=0, NotFound, SUMIFS(allFYsTable[RevisedBudget], allFYsTable[Code], SummaryTable[[#This Row],[Code]], allFYsTable[year2], ER$3))</f>
        <v>#N/A</v>
      </c>
      <c r="EV70" s="61" t="e">
        <f>IF(COUNTIFS(allFYsTable[Code], SummaryTable[[#This Row],[Code]], allFYsTable[year2], ER$3)=0, NotFound, SUMIFS(allFYsTable[Actual], allFYsTable[Code], SummaryTable[[#This Row],[Code]], allFYsTable[year2], ER$3))</f>
        <v>#N/A</v>
      </c>
      <c r="EW70" s="61" t="e">
        <f>IF(COUNTIFS(allFYsTable[Code], SummaryTable[[#This Row],[Code]], allFYsTable[year2], ER$3)=0, NotFound, SUMIFS(allFYsTable[DiffAmount], allFYsTable[Code], SummaryTable[[#This Row],[Code]], allFYsTable[year2], ER$3))</f>
        <v>#N/A</v>
      </c>
      <c r="EX70" s="63" t="e">
        <f>IF(SummaryTable[[#This Row],[OriginalBudget08]]=0, IF(SummaryTable[[#This Row],[DiffAmount08]]=0, ZeroBudgetNoSpending, ZeroBudgetWithSpending), SummaryTable[[#This Row],[DiffAmount08]]/SummaryTable[[#This Row],[OriginalBudget08]])</f>
        <v>#N/A</v>
      </c>
      <c r="EY70" s="62" t="e">
        <f>IF(COUNTIFS(allFYsTable[Code], SummaryTable[[#This Row],[Code]], allFYsTable[year2], EY$3)=0, NotFound, SUMIFS(allFYsTable[OriginalBudget], allFYsTable[Code], SummaryTable[[#This Row],[Code]], allFYsTable[year2], EY$3))</f>
        <v>#N/A</v>
      </c>
      <c r="EZ70" s="61" t="e">
        <f>SummaryTable[[#This Row],[OriginalBudget07]]-SummaryTable[[#This Row],[OriginalBudget06]]</f>
        <v>#N/A</v>
      </c>
      <c r="FA70" s="54" t="e">
        <f>SummaryTable[[#This Row],[BudgetIncreaseAmount07]]/SummaryTable[[#This Row],[OriginalBudget06]]</f>
        <v>#N/A</v>
      </c>
      <c r="FB70" s="61" t="e">
        <f>IF(COUNTIFS(allFYsTable[Code], SummaryTable[[#This Row],[Code]], allFYsTable[year2], EY$3)=0, NotFound, SUMIFS(allFYsTable[RevisedBudget], allFYsTable[Code], SummaryTable[[#This Row],[Code]], allFYsTable[year2], EY$3))</f>
        <v>#N/A</v>
      </c>
      <c r="FC70" s="61" t="e">
        <f>IF(COUNTIFS(allFYsTable[Code], SummaryTable[[#This Row],[Code]], allFYsTable[year2], EY$3)=0, NotFound, SUMIFS(allFYsTable[Actual], allFYsTable[Code], SummaryTable[[#This Row],[Code]], allFYsTable[year2], EY$3))</f>
        <v>#N/A</v>
      </c>
      <c r="FD70" s="61" t="e">
        <f>IF(COUNTIFS(allFYsTable[Code], SummaryTable[[#This Row],[Code]], allFYsTable[year2], EY$3)=0, NotFound, SUMIFS(allFYsTable[DiffAmount], allFYsTable[Code], SummaryTable[[#This Row],[Code]], allFYsTable[year2], EY$3))</f>
        <v>#N/A</v>
      </c>
      <c r="FE70" s="63" t="e">
        <f>IF(SummaryTable[[#This Row],[OriginalBudget07]]=0, IF(SummaryTable[[#This Row],[DiffAmount07]]=0, ZeroBudgetNoSpending, ZeroBudgetWithSpending), SummaryTable[[#This Row],[DiffAmount07]]/SummaryTable[[#This Row],[OriginalBudget07]])</f>
        <v>#N/A</v>
      </c>
      <c r="FF70" s="62" t="e">
        <f>IF(COUNTIFS(allFYsTable[Code], SummaryTable[[#This Row],[Code]], allFYsTable[year2], FF$3)=0, NotFound, SUMIFS(allFYsTable[OriginalBudget], allFYsTable[Code], SummaryTable[[#This Row],[Code]], allFYsTable[year2], FF$3))</f>
        <v>#N/A</v>
      </c>
      <c r="FI70" s="61" t="e">
        <f>IF(COUNTIFS(allFYsTable[Code], SummaryTable[[#This Row],[Code]], allFYsTable[year2], FF$3)=0, NotFound, SUMIFS(allFYsTable[RevisedBudget], allFYsTable[Code], SummaryTable[[#This Row],[Code]], allFYsTable[year2], FF$3))</f>
        <v>#N/A</v>
      </c>
      <c r="FJ70" s="61" t="e">
        <f>IF(COUNTIFS(allFYsTable[Code], SummaryTable[[#This Row],[Code]], allFYsTable[year2], FF$3)=0, NotFound, SUMIFS(allFYsTable[Actual], allFYsTable[Code], SummaryTable[[#This Row],[Code]], allFYsTable[year2], FF$3))</f>
        <v>#N/A</v>
      </c>
      <c r="FK70" s="61" t="e">
        <f>IF(COUNTIFS(allFYsTable[Code], SummaryTable[[#This Row],[Code]], allFYsTable[year2], FF$3)=0, NotFound, SUMIFS(allFYsTable[DiffAmount], allFYsTable[Code], SummaryTable[[#This Row],[Code]], allFYsTable[year2], FF$3))</f>
        <v>#N/A</v>
      </c>
      <c r="FL70" s="63" t="e">
        <f>IF(SummaryTable[[#This Row],[OriginalBudget06]]=0, IF(SummaryTable[[#This Row],[DiffAmount06]]=0, ZeroBudgetNoSpending, ZeroBudgetWithSpending), SummaryTable[[#This Row],[DiffAmount06]]/SummaryTable[[#This Row],[OriginalBudget06]])</f>
        <v>#N/A</v>
      </c>
    </row>
    <row r="71" spans="1:168" x14ac:dyDescent="0.45">
      <c r="A71" t="s">
        <v>792</v>
      </c>
      <c r="B71">
        <f>_xlfn.MAXIFS(allFYsTable[year2], allFYsTable[Code], SummaryTable[[#This Row],[Code]])</f>
        <v>2025</v>
      </c>
      <c r="C71" t="str">
        <f>_xlfn.XLOOKUP(SummaryTable[[#This Row],[Code]], NameCodingTable[Code], NameCodingTable[Most Recent Category per allFYs])</f>
        <v>Human support services</v>
      </c>
      <c r="D71" t="str">
        <f>_xlfn.XLOOKUP(SummaryTable[[#This Row],[Code]], NameCodingTable[Code], NameCodingTable[Unit Display Name])</f>
        <v>Not-for-profit Hospital Corporation Subsidy</v>
      </c>
      <c r="E71" t="str">
        <f>_xlfn.XLOOKUP(SummaryTable[[#This Row],[Code]], NameCodingTable[Code], NameCodingTable[Type])</f>
        <v>xother</v>
      </c>
      <c r="F7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14</v>
      </c>
      <c r="G7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12</v>
      </c>
      <c r="H71" s="54">
        <f>SummaryTable[[#This Row],['# Over]]/SummaryTable[[#This Row],[Count]]</f>
        <v>0.8571428571428571</v>
      </c>
      <c r="I7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71" s="54">
        <f>SummaryTable[[#This Row],['# Under]]/SummaryTable[[#This Row],[Count]]</f>
        <v>0</v>
      </c>
      <c r="K7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2</v>
      </c>
      <c r="L71" s="54">
        <f>SummaryTable[[#This Row],['# Equal]]/SummaryTable[[#This Row],[Count]]</f>
        <v>0.14285714285714285</v>
      </c>
      <c r="M71" s="61">
        <f>SUMIFS(allFYsTable[OriginalBudget],allFYsTable[Code],SummaryTable[[#This Row],[Code]])/SummaryTable[[#This Row],[Count]]</f>
        <v>7952.6428571428569</v>
      </c>
      <c r="N71" s="61">
        <f>SUMIFS(allFYsTable[Actual],allFYsTable[Code],SummaryTable[[#This Row],[Code]])/SummaryTable[[#This Row],[Count]]</f>
        <v>19252.357142857141</v>
      </c>
      <c r="O71" s="61">
        <f>SummaryTable[[#This Row],[AvgActAmt]]-SummaryTable[[#This Row],[AvgBudAmt]]</f>
        <v>11299.714285714284</v>
      </c>
      <c r="P71" s="54">
        <f>IF(SummaryTable[[#This Row],[AvgBudAmt]]=0, IF(SummaryTable[[#This Row],[AvgDiff'#]]=0, 0, NamedFields!$C$3), SummaryTable[[#This Row],[AvgDiff'#]]/SummaryTable[[#This Row],[AvgBudAmt]])</f>
        <v>1.4208753603923223</v>
      </c>
      <c r="Q71" s="61">
        <f>IFERROR(SUMIFS(allFYsTable[OriginalBudget],allFYsTable[Code],SummaryTable[[#This Row],[Code]],allFYsTable[DiffAmount], "&gt;0")/SummaryTable[[#This Row],['# Over]], 0)</f>
        <v>7266.666666666667</v>
      </c>
      <c r="R71" s="61">
        <f>IFERROR(SUMIFS(allFYsTable[Actual],allFYsTable[Code],SummaryTable[[#This Row],[Code]],allFYsTable[DiffAmount], "&gt;0")/SummaryTable[[#This Row],['# Over]], 0)</f>
        <v>20449.666666666668</v>
      </c>
      <c r="S71" s="61">
        <f>SummaryTable[[#This Row],[OverAvgAct]]-SummaryTable[[#This Row],[OverAvgBud]]</f>
        <v>13183</v>
      </c>
      <c r="T71" s="54">
        <f>IF(SummaryTable[[#This Row],[OverAvgBud]]=0, IF(SummaryTable[[#This Row],[OverAvgDiff'#]]=0, ZeroBudgetNoSpending, ZeroBudgetWithSpending), SummaryTable[[#This Row],[OverAvgDiff'#]]/SummaryTable[[#This Row],[OverAvgBud]])</f>
        <v>1.8141743119266054</v>
      </c>
      <c r="U71" s="61">
        <f>IFERROR(SUMIFS(allFYsTable[OriginalBudget],allFYsTable[Code],SummaryTable[[#This Row],[Code]],allFYsTable[DiffAmount], "&lt;0")/SummaryTable[[#This Row],['# Under]], 0)</f>
        <v>0</v>
      </c>
      <c r="V71" s="61">
        <f>IFERROR( SUMIFS(allFYsTable[Actual],allFYsTable[Code],SummaryTable[[#This Row],[Code]],allFYsTable[DiffAmount], "&lt;0")/SummaryTable[[#This Row],['# Under]], 0)</f>
        <v>0</v>
      </c>
      <c r="W71" s="61">
        <f>SummaryTable[[#This Row],[UnderAvgAct]]-SummaryTable[[#This Row],[UnderAvgBud]]</f>
        <v>0</v>
      </c>
      <c r="X71" s="54">
        <f>IF(SummaryTable[[#This Row],[UnderAvgBud]]=0, IF(SummaryTable[[#This Row],[UnderAvgDiff'#]]=0, ZeroBudgetNoSpending, NamedFields!$C$3), SummaryTable[[#This Row],[UnderAvgDiff'#]]/SummaryTable[[#This Row],[UnderAvgBud]])</f>
        <v>0</v>
      </c>
      <c r="Y7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7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71" s="54">
        <f>IF(SummaryTable[[#This Row],[IncreaseYears]]=0, ZeroBudgetNoSpending, SummaryTable[[#This Row],[OSinIncreaseYear'#]]/SummaryTable[[#This Row],[IncreaseYears]])</f>
        <v>0.5</v>
      </c>
      <c r="AB71" s="58" t="str">
        <f>SummaryTable[[#This Row],[Code]]</f>
        <v>HX0</v>
      </c>
      <c r="AC71" s="62">
        <f>IF(COUNTIFS(allFYsTable[Code], SummaryTable[[#This Row],[Code]], allFYsTable[year2], AC$3)=0, NotFound, SUMIFS(allFYsTable[OriginalBudget], allFYsTable[Code], SummaryTable[[#This Row],[Code]], allFYsTable[year2], AC$3))</f>
        <v>17200</v>
      </c>
      <c r="AD71" s="61">
        <f>SummaryTable[[#This Row],[OriginalBudget25]]-SummaryTable[[#This Row],[OriginalBudget24]]</f>
        <v>2200</v>
      </c>
      <c r="AE71" s="54">
        <f>SummaryTable[[#This Row],[BudgetIncreaseAmount25]]/SummaryTable[[#This Row],[OriginalBudget24]]</f>
        <v>0.14666666666666667</v>
      </c>
      <c r="AF71" s="61">
        <f>IF(COUNTIFS(allFYsTable[Code], SummaryTable[[#This Row],[Code]], allFYsTable[year2], AC$3)=0, NotFound, SUMIFS(allFYsTable[RevisedBudget], allFYsTable[Code], SummaryTable[[#This Row],[Code]], allFYsTable[year2], AC$3))</f>
        <v>26000</v>
      </c>
      <c r="AG71" s="61">
        <f>IF(COUNTIFS(allFYsTable[Code], SummaryTable[[#This Row],[Code]], allFYsTable[year2], AC$3)=0, NotFound, SUMIFS(allFYsTable[Actual], allFYsTable[Code], SummaryTable[[#This Row],[Code]], allFYsTable[year2], AC$3))</f>
        <v>26000</v>
      </c>
      <c r="AH71" s="61">
        <f>IF(COUNTIFS(allFYsTable[Code], SummaryTable[[#This Row],[Code]], allFYsTable[year2], AC$3)=0, NotFound, SUMIFS(allFYsTable[DiffAmount], allFYsTable[Code], SummaryTable[[#This Row],[Code]], allFYsTable[year2], AC$3))</f>
        <v>8800</v>
      </c>
      <c r="AI71" s="63">
        <f>IF(SummaryTable[[#This Row],[OriginalBudget25]]=0, IF(SummaryTable[[#This Row],[DiffAmount25]]=0, ZeroBudgetNoSpending, ZeroBudgetWithSpending), SummaryTable[[#This Row],[DiffAmount25]]/SummaryTable[[#This Row],[OriginalBudget25]])</f>
        <v>0.51162790697674421</v>
      </c>
      <c r="AJ71" s="62">
        <f>IF(COUNTIFS(allFYsTable[Code], SummaryTable[[#This Row],[Code]], allFYsTable[year2], AJ$3)=0, NotFound, SUMIFS(allFYsTable[OriginalBudget], allFYsTable[Code], SummaryTable[[#This Row],[Code]], allFYsTable[year2], AJ$3))</f>
        <v>15000</v>
      </c>
      <c r="AK71" s="61">
        <f>SummaryTable[[#This Row],[OriginalBudget24]]-SummaryTable[[#This Row],[OriginalBudget23]]</f>
        <v>0</v>
      </c>
      <c r="AL71" s="54">
        <f>SummaryTable[[#This Row],[BudgetIncreaseAmount24]]/SummaryTable[[#This Row],[OriginalBudget23]]</f>
        <v>0</v>
      </c>
      <c r="AM71" s="61">
        <f>IF(COUNTIFS(allFYsTable[Code], SummaryTable[[#This Row],[Code]], allFYsTable[year2], AK$3)=0, NotFound, SUMIFS(allFYsTable[RevisedBudget], allFYsTable[Code], SummaryTable[[#This Row],[Code]], allFYsTable[year2], AJ$3))</f>
        <v>22000</v>
      </c>
      <c r="AN71" s="61">
        <f>IF(COUNTIFS(allFYsTable[Code], SummaryTable[[#This Row],[Code]], allFYsTable[year2], AJ$3)=0, NotFound, SUMIFS(allFYsTable[Actual], allFYsTable[Code], SummaryTable[[#This Row],[Code]], allFYsTable[year2], AJ$3))</f>
        <v>22000</v>
      </c>
      <c r="AO71" s="61">
        <f>IF(COUNTIFS(allFYsTable[Code], SummaryTable[[#This Row],[Code]], allFYsTable[year2], AJ$3)=0, NotFound, SUMIFS(allFYsTable[DiffAmount], allFYsTable[Code], SummaryTable[[#This Row],[Code]], allFYsTable[year2], AJ$3))</f>
        <v>7000</v>
      </c>
      <c r="AP71" s="63">
        <f>IF(SummaryTable[[#This Row],[OriginalBudget24]]=0, IF(SummaryTable[[#This Row],[DiffAmount24]]=0, ZeroBudgetNoSpending, ZeroBudgetWithSpending), SummaryTable[[#This Row],[DiffAmount24]]/SummaryTable[[#This Row],[OriginalBudget24]])</f>
        <v>0.46666666666666667</v>
      </c>
      <c r="AQ71" s="62">
        <f>IF(COUNTIFS(allFYsTable[Code], SummaryTable[[#This Row],[Code]], allFYsTable[year2], AQ$3)=0, NotFound, SUMIFS(allFYsTable[OriginalBudget], allFYsTable[Code], SummaryTable[[#This Row],[Code]], allFYsTable[year2], AQ$3))</f>
        <v>15000</v>
      </c>
      <c r="AR71" s="61">
        <f>SummaryTable[[#This Row],[OriginalBudget23]]-SummaryTable[[#This Row],[OriginalBudget22]]</f>
        <v>0</v>
      </c>
      <c r="AS71" s="54">
        <f>SummaryTable[[#This Row],[BudgetIncreaseAmount23]]/SummaryTable[[#This Row],[OriginalBudget22]]</f>
        <v>0</v>
      </c>
      <c r="AT71" s="61">
        <f>IF(COUNTIFS(allFYsTable[Code], SummaryTable[[#This Row],[Code]], allFYsTable[year2], AQ$3)=0, NotFound, SUMIFS(allFYsTable[RevisedBudget], allFYsTable[Code], SummaryTable[[#This Row],[Code]], allFYsTable[year2], AQ$3))</f>
        <v>22000</v>
      </c>
      <c r="AU71" s="61">
        <f>IF(COUNTIFS(allFYsTable[Code], SummaryTable[[#This Row],[Code]], allFYsTable[year2], AQ$3)=0, NotFound, SUMIFS(allFYsTable[Actual], allFYsTable[Code], SummaryTable[[#This Row],[Code]], allFYsTable[year2], AQ$3))</f>
        <v>22000</v>
      </c>
      <c r="AV71" s="61">
        <f>IF(COUNTIFS(allFYsTable[Code], SummaryTable[[#This Row],[Code]], allFYsTable[year2], AQ$3)=0, NotFound, SUMIFS(allFYsTable[DiffAmount], allFYsTable[Code], SummaryTable[[#This Row],[Code]], allFYsTable[year2], AQ$3))</f>
        <v>7000</v>
      </c>
      <c r="AW71" s="63">
        <f>IF(SummaryTable[[#This Row],[OriginalBudget23]]=0, IF(SummaryTable[[#This Row],[DiffAmount23]]=0, ZeroBudgetNoSpending, ZeroBudgetWithSpending), SummaryTable[[#This Row],[DiffAmount23]]/SummaryTable[[#This Row],[OriginalBudget23]])</f>
        <v>0.46666666666666667</v>
      </c>
      <c r="AX71" s="62">
        <f>IF(COUNTIFS(allFYsTable[Code], SummaryTable[[#This Row],[Code]], allFYsTable[year2], AX$3)=0, NotFound, SUMIFS(allFYsTable[OriginalBudget], allFYsTable[Code], SummaryTable[[#This Row],[Code]], allFYsTable[year2], AX$3))</f>
        <v>15000</v>
      </c>
      <c r="AY71" s="61">
        <f>SummaryTable[[#This Row],[OriginalBudget22]]-SummaryTable[[#This Row],[OriginalBudget21]]</f>
        <v>0</v>
      </c>
      <c r="AZ71" s="54">
        <f>SummaryTable[[#This Row],[BudgetIncreaseAmount22]]/SummaryTable[[#This Row],[OriginalBudget21]]</f>
        <v>0</v>
      </c>
      <c r="BA71" s="61">
        <f>IF(COUNTIFS(allFYsTable[Code], SummaryTable[[#This Row],[Code]], allFYsTable[year2], AX$3)=0, NotFound, SUMIFS(allFYsTable[RevisedBudget], allFYsTable[Code], SummaryTable[[#This Row],[Code]], allFYsTable[year2], AX$3))</f>
        <v>22000</v>
      </c>
      <c r="BB71" s="61">
        <f>IF(COUNTIFS(allFYsTable[Code], SummaryTable[[#This Row],[Code]], allFYsTable[year2], AX$3)=0, NotFound, SUMIFS(allFYsTable[Actual], allFYsTable[Code], SummaryTable[[#This Row],[Code]], allFYsTable[year2], AX$3))</f>
        <v>22000</v>
      </c>
      <c r="BC71" s="61">
        <f>IF(COUNTIFS(allFYsTable[Code], SummaryTable[[#This Row],[Code]], allFYsTable[year2], AX$3)=0, NotFound, SUMIFS(allFYsTable[DiffAmount], allFYsTable[Code], SummaryTable[[#This Row],[Code]], allFYsTable[year2], AX$3))</f>
        <v>7000</v>
      </c>
      <c r="BD71" s="63">
        <f>IF(SummaryTable[[#This Row],[OriginalBudget22]]=0, IF(SummaryTable[[#This Row],[DiffAmount22]]=0, ZeroBudgetNoSpending, ZeroBudgetWithSpending), SummaryTable[[#This Row],[DiffAmount22]]/SummaryTable[[#This Row],[OriginalBudget22]])</f>
        <v>0.46666666666666667</v>
      </c>
      <c r="BE71" s="62">
        <f>IF(COUNTIFS(allFYsTable[Code], SummaryTable[[#This Row],[Code]], allFYsTable[year2], BE$3)=0, NotFound, SUMIFS(allFYsTable[OriginalBudget], allFYsTable[Code], SummaryTable[[#This Row],[Code]], allFYsTable[year2], BE$3))</f>
        <v>15000</v>
      </c>
      <c r="BF71" s="61">
        <f>SummaryTable[[#This Row],[OriginalBudget21]]-SummaryTable[[#This Row],[OriginalBudget20]]</f>
        <v>-7137</v>
      </c>
      <c r="BG71" s="54">
        <f>SummaryTable[[#This Row],[BudgetIncreaseAmount21]]/SummaryTable[[#This Row],[OriginalBudget20]]</f>
        <v>-0.32240140940506845</v>
      </c>
      <c r="BH71" s="61">
        <f>IF(COUNTIFS(allFYsTable[Code], SummaryTable[[#This Row],[Code]], allFYsTable[year2], BE$3)=0, NotFound, SUMIFS(allFYsTable[RevisedBudget], allFYsTable[Code], SummaryTable[[#This Row],[Code]], allFYsTable[year2], BE$3))</f>
        <v>40000</v>
      </c>
      <c r="BI71" s="61">
        <f>IF(COUNTIFS(allFYsTable[Code], SummaryTable[[#This Row],[Code]], allFYsTable[year2], BE$3)=0, NotFound, SUMIFS(allFYsTable[Actual], allFYsTable[Code], SummaryTable[[#This Row],[Code]], allFYsTable[year2], BE$3))</f>
        <v>40000</v>
      </c>
      <c r="BJ71" s="61">
        <f>IF(COUNTIFS(allFYsTable[Code], SummaryTable[[#This Row],[Code]], allFYsTable[year2], BE$3)=0, NotFound, SUMIFS(allFYsTable[DiffAmount], allFYsTable[Code], SummaryTable[[#This Row],[Code]], allFYsTable[year2], BE$3))</f>
        <v>25000</v>
      </c>
      <c r="BK71" s="63">
        <f>IF(SummaryTable[[#This Row],[OriginalBudget21]]=0, IF(SummaryTable[[#This Row],[DiffAmount21]]=0, ZeroBudgetNoSpending, ZeroBudgetWithSpending), SummaryTable[[#This Row],[DiffAmount21]]/SummaryTable[[#This Row],[OriginalBudget21]])</f>
        <v>1.6666666666666667</v>
      </c>
      <c r="BL71" s="62">
        <f>IF(COUNTIFS(allFYsTable[Code], SummaryTable[[#This Row],[Code]], allFYsTable[year2], BL$3)=0, NotFound, SUMIFS(allFYsTable[OriginalBudget], allFYsTable[Code], SummaryTable[[#This Row],[Code]], allFYsTable[year2], BL$3))</f>
        <v>22137</v>
      </c>
      <c r="BM71" s="61">
        <f>SummaryTable[[#This Row],[OriginalBudget20]]-SummaryTable[[#This Row],[OriginalBudget19]]</f>
        <v>12137</v>
      </c>
      <c r="BN71" s="54">
        <f>SummaryTable[[#This Row],[BudgetIncreaseAmount20]]/SummaryTable[[#This Row],[OriginalBudget19]]</f>
        <v>1.2137</v>
      </c>
      <c r="BO71" s="61">
        <f>IF(COUNTIFS(allFYsTable[Code], SummaryTable[[#This Row],[Code]], allFYsTable[year2], BL$3)=0, NotFound, SUMIFS(allFYsTable[RevisedBudget], allFYsTable[Code], SummaryTable[[#This Row],[Code]], allFYsTable[year2], BL$3))</f>
        <v>22137</v>
      </c>
      <c r="BP71" s="61">
        <f>IF(COUNTIFS(allFYsTable[Code], SummaryTable[[#This Row],[Code]], allFYsTable[year2], BL$3)=0, NotFound, SUMIFS(allFYsTable[Actual], allFYsTable[Code], SummaryTable[[#This Row],[Code]], allFYsTable[year2], BL$3))</f>
        <v>22137</v>
      </c>
      <c r="BQ71" s="61">
        <f>IF(COUNTIFS(allFYsTable[Code], SummaryTable[[#This Row],[Code]], allFYsTable[year2], BL$3)=0, NotFound, SUMIFS(allFYsTable[DiffAmount], allFYsTable[Code], SummaryTable[[#This Row],[Code]], allFYsTable[year2], BL$3))</f>
        <v>0</v>
      </c>
      <c r="BR71" s="63">
        <f>IF(SummaryTable[[#This Row],[OriginalBudget20]]=0, IF(SummaryTable[[#This Row],[DiffAmount20]]=0, ZeroBudgetNoSpending, ZeroBudgetWithSpending), SummaryTable[[#This Row],[DiffAmount20]]/SummaryTable[[#This Row],[OriginalBudget20]])</f>
        <v>0</v>
      </c>
      <c r="BS71" s="62">
        <f>IF(COUNTIFS(allFYsTable[Code], SummaryTable[[#This Row],[Code]], allFYsTable[year2], BS$3)=0, NotFound, SUMIFS(allFYsTable[OriginalBudget], allFYsTable[Code], SummaryTable[[#This Row],[Code]], allFYsTable[year2], BS$3))</f>
        <v>10000</v>
      </c>
      <c r="BT71" s="61">
        <f>SummaryTable[[#This Row],[OriginalBudget19]]-SummaryTable[[#This Row],[OriginalBudget18]]</f>
        <v>10000</v>
      </c>
      <c r="BU71" s="54" t="e">
        <f>SummaryTable[[#This Row],[BudgetIncreaseAmount19]]/SummaryTable[[#This Row],[OriginalBudget18]]</f>
        <v>#DIV/0!</v>
      </c>
      <c r="BV71" s="61">
        <f>IF(COUNTIFS(allFYsTable[Code], SummaryTable[[#This Row],[Code]], allFYsTable[year2], BS$3)=0, NotFound, SUMIFS(allFYsTable[RevisedBudget], allFYsTable[Code], SummaryTable[[#This Row],[Code]], allFYsTable[year2], BS$3))</f>
        <v>34261</v>
      </c>
      <c r="BW71" s="61">
        <f>IF(COUNTIFS(allFYsTable[Code], SummaryTable[[#This Row],[Code]], allFYsTable[year2], BS$3)=0, NotFound, SUMIFS(allFYsTable[Actual], allFYsTable[Code], SummaryTable[[#This Row],[Code]], allFYsTable[year2], BS$3))</f>
        <v>34261</v>
      </c>
      <c r="BX71" s="61">
        <f>IF(COUNTIFS(allFYsTable[Code], SummaryTable[[#This Row],[Code]], allFYsTable[year2], BS$3)=0, NotFound, SUMIFS(allFYsTable[DiffAmount], allFYsTable[Code], SummaryTable[[#This Row],[Code]], allFYsTable[year2], BS$3))</f>
        <v>24261</v>
      </c>
      <c r="BY71" s="63">
        <f>IF(SummaryTable[[#This Row],[OriginalBudget19]]=0, IF(SummaryTable[[#This Row],[DiffAmount19]]=0, ZeroBudgetNoSpending, ZeroBudgetWithSpending), SummaryTable[[#This Row],[DiffAmount19]]/SummaryTable[[#This Row],[OriginalBudget19]])</f>
        <v>2.4260999999999999</v>
      </c>
      <c r="BZ71" s="62">
        <f>IF(COUNTIFS(allFYsTable[Code], SummaryTable[[#This Row],[Code]], allFYsTable[year2], BZ$3)=0, NotFound, SUMIFS(allFYsTable[OriginalBudget], allFYsTable[Code], SummaryTable[[#This Row],[Code]], allFYsTable[year2], BZ$3))</f>
        <v>0</v>
      </c>
      <c r="CA71" s="61">
        <f>SummaryTable[[#This Row],[OriginalBudget18]]-SummaryTable[[#This Row],[OriginalBudget17]]</f>
        <v>-2000</v>
      </c>
      <c r="CB71" s="54">
        <f>SummaryTable[[#This Row],[BudgetIncreaseAmount18]]/SummaryTable[[#This Row],[OriginalBudget17]]</f>
        <v>-1</v>
      </c>
      <c r="CC71" s="61">
        <f>IF(COUNTIFS(allFYsTable[Code], SummaryTable[[#This Row],[Code]], allFYsTable[year2], BZ$3)=0, NotFound, SUMIFS(allFYsTable[RevisedBudget], allFYsTable[Code], SummaryTable[[#This Row],[Code]], allFYsTable[year2], BZ$3))</f>
        <v>28594</v>
      </c>
      <c r="CD71" s="61">
        <f>IF(COUNTIFS(allFYsTable[Code], SummaryTable[[#This Row],[Code]], allFYsTable[year2], BZ$3)=0, NotFound, SUMIFS(allFYsTable[Actual], allFYsTable[Code], SummaryTable[[#This Row],[Code]], allFYsTable[year2], BZ$3))</f>
        <v>28594</v>
      </c>
      <c r="CE71" s="61">
        <f>IF(COUNTIFS(allFYsTable[Code], SummaryTable[[#This Row],[Code]], allFYsTable[year2], BZ$3)=0, NotFound, SUMIFS(allFYsTable[DiffAmount], allFYsTable[Code], SummaryTable[[#This Row],[Code]], allFYsTable[year2], BZ$3))</f>
        <v>28594</v>
      </c>
      <c r="CF71" s="63">
        <f>IF(SummaryTable[[#This Row],[OriginalBudget18]]=0, IF(SummaryTable[[#This Row],[DiffAmount18]]=0, ZeroBudgetNoSpending, ZeroBudgetWithSpending), SummaryTable[[#This Row],[DiffAmount18]]/SummaryTable[[#This Row],[OriginalBudget18]])</f>
        <v>99.99</v>
      </c>
      <c r="CG71" s="62">
        <f>IF(COUNTIFS(allFYsTable[Code], SummaryTable[[#This Row],[Code]], allFYsTable[year2], CG$3)=0, NotFound, SUMIFS(allFYsTable[OriginalBudget], allFYsTable[Code], SummaryTable[[#This Row],[Code]], allFYsTable[year2], CG$3))</f>
        <v>2000</v>
      </c>
      <c r="CH71" s="61">
        <f>SummaryTable[[#This Row],[OriginalBudget17]]-SummaryTable[[#This Row],[OriginalBudget16]]</f>
        <v>2000</v>
      </c>
      <c r="CI71" s="54" t="e">
        <f>SummaryTable[[#This Row],[BudgetIncreaseAmount17]]/SummaryTable[[#This Row],[OriginalBudget16]]</f>
        <v>#DIV/0!</v>
      </c>
      <c r="CJ71" s="61">
        <f>IF(COUNTIFS(allFYsTable[Code], SummaryTable[[#This Row],[Code]], allFYsTable[year2], CG$3)=0, NotFound, SUMIFS(allFYsTable[RevisedBudget], allFYsTable[Code], SummaryTable[[#This Row],[Code]], allFYsTable[year2], CG$3))</f>
        <v>2000</v>
      </c>
      <c r="CK71" s="61">
        <f>IF(COUNTIFS(allFYsTable[Code], SummaryTable[[#This Row],[Code]], allFYsTable[year2], CG$3)=0, NotFound, SUMIFS(allFYsTable[Actual], allFYsTable[Code], SummaryTable[[#This Row],[Code]], allFYsTable[year2], CG$3))</f>
        <v>2000</v>
      </c>
      <c r="CL71" s="61">
        <f>IF(COUNTIFS(allFYsTable[Code], SummaryTable[[#This Row],[Code]], allFYsTable[year2], CG$3)=0, NotFound, SUMIFS(allFYsTable[DiffAmount], allFYsTable[Code], SummaryTable[[#This Row],[Code]], allFYsTable[year2], CG$3))</f>
        <v>0</v>
      </c>
      <c r="CM71" s="63">
        <f>IF(SummaryTable[[#This Row],[OriginalBudget17]]=0, IF(SummaryTable[[#This Row],[DiffAmount17]]=0, ZeroBudgetNoSpending, ZeroBudgetWithSpending), SummaryTable[[#This Row],[DiffAmount17]]/SummaryTable[[#This Row],[OriginalBudget17]])</f>
        <v>0</v>
      </c>
      <c r="CN71" s="62">
        <f>IF(COUNTIFS(allFYsTable[Code], SummaryTable[[#This Row],[Code]], allFYsTable[year2], CN$3)=0, NotFound, SUMIFS(allFYsTable[OriginalBudget], allFYsTable[Code], SummaryTable[[#This Row],[Code]], allFYsTable[year2], CN$3))</f>
        <v>0</v>
      </c>
      <c r="CO71" s="61">
        <f>SummaryTable[[#This Row],[OriginalBudget16]]-SummaryTable[[#This Row],[OriginalBudget15]]</f>
        <v>0</v>
      </c>
      <c r="CP71" s="54" t="e">
        <f>SummaryTable[[#This Row],[BudgetIncreaseAmount16]]/SummaryTable[[#This Row],[OriginalBudget15]]</f>
        <v>#DIV/0!</v>
      </c>
      <c r="CQ71" s="61">
        <f>IF(COUNTIFS(allFYsTable[Code], SummaryTable[[#This Row],[Code]], allFYsTable[year2], CN$3)=0, NotFound, SUMIFS(allFYsTable[RevisedBudget], allFYsTable[Code], SummaryTable[[#This Row],[Code]], allFYsTable[year2], CN$3))</f>
        <v>10000</v>
      </c>
      <c r="CR71" s="61">
        <f>IF(COUNTIFS(allFYsTable[Code], SummaryTable[[#This Row],[Code]], allFYsTable[year2], CN$3)=0, NotFound, SUMIFS(allFYsTable[Actual], allFYsTable[Code], SummaryTable[[#This Row],[Code]], allFYsTable[year2], CN$3))</f>
        <v>10000</v>
      </c>
      <c r="CS71" s="61">
        <f>IF(COUNTIFS(allFYsTable[Code], SummaryTable[[#This Row],[Code]], allFYsTable[year2], CN$3)=0, NotFound, SUMIFS(allFYsTable[DiffAmount], allFYsTable[Code], SummaryTable[[#This Row],[Code]], allFYsTable[year2], CN$3))</f>
        <v>10000</v>
      </c>
      <c r="CT71" s="63">
        <f>IF(SummaryTable[[#This Row],[OriginalBudget16]]=0, IF(SummaryTable[[#This Row],[DiffAmount16]]=0, ZeroBudgetNoSpending, ZeroBudgetWithSpending), SummaryTable[[#This Row],[DiffAmount16]]/SummaryTable[[#This Row],[OriginalBudget16]])</f>
        <v>99.99</v>
      </c>
      <c r="CU71" s="62">
        <f>IF(COUNTIFS(allFYsTable[Code], SummaryTable[[#This Row],[Code]], allFYsTable[year2], CU$3)=0, NotFound, SUMIFS(allFYsTable[OriginalBudget], allFYsTable[Code], SummaryTable[[#This Row],[Code]], allFYsTable[year2], CU$3))</f>
        <v>0</v>
      </c>
      <c r="CV71" s="61">
        <f>SummaryTable[[#This Row],[OriginalBudget15]]-SummaryTable[[#This Row],[OriginalBudget14]]</f>
        <v>0</v>
      </c>
      <c r="CW71" s="54" t="e">
        <f>SummaryTable[[#This Row],[BudgetIncreaseAmount15]]/SummaryTable[[#This Row],[OriginalBudget14]]</f>
        <v>#DIV/0!</v>
      </c>
      <c r="CX71" s="61">
        <f>IF(COUNTIFS(allFYsTable[Code], SummaryTable[[#This Row],[Code]], allFYsTable[year2], CU$3)=0, NotFound, SUMIFS(allFYsTable[RevisedBudget], allFYsTable[Code], SummaryTable[[#This Row],[Code]], allFYsTable[year2], CU$3))</f>
        <v>7000</v>
      </c>
      <c r="CY71" s="61">
        <f>IF(COUNTIFS(allFYsTable[Code], SummaryTable[[#This Row],[Code]], allFYsTable[year2], CU$3)=0, NotFound, SUMIFS(allFYsTable[Actual], allFYsTable[Code], SummaryTable[[#This Row],[Code]], allFYsTable[year2], CU$3))</f>
        <v>7000</v>
      </c>
      <c r="CZ71" s="61">
        <f>IF(COUNTIFS(allFYsTable[Code], SummaryTable[[#This Row],[Code]], allFYsTable[year2], CU$3)=0, NotFound, SUMIFS(allFYsTable[DiffAmount], allFYsTable[Code], SummaryTable[[#This Row],[Code]], allFYsTable[year2], CU$3))</f>
        <v>7000</v>
      </c>
      <c r="DA71" s="63">
        <f>IF(SummaryTable[[#This Row],[OriginalBudget15]]=0, IF(SummaryTable[[#This Row],[DiffAmount15]]=0, ZeroBudgetNoSpending, ZeroBudgetWithSpending), SummaryTable[[#This Row],[DiffAmount15]]/SummaryTable[[#This Row],[OriginalBudget15]])</f>
        <v>99.99</v>
      </c>
      <c r="DB71" s="62">
        <f>IF(COUNTIFS(allFYsTable[Code], SummaryTable[[#This Row],[Code]], allFYsTable[year2], DB$3)=0, NotFound, SUMIFS(allFYsTable[OriginalBudget], allFYsTable[Code], SummaryTable[[#This Row],[Code]], allFYsTable[year2], DB$3))</f>
        <v>0</v>
      </c>
      <c r="DC71" s="61">
        <f>SummaryTable[[#This Row],[OriginalBudget14]]-SummaryTable[[#This Row],[OriginalBudget13]]</f>
        <v>0</v>
      </c>
      <c r="DD71" s="54" t="e">
        <f>SummaryTable[[#This Row],[BudgetIncreaseAmount14]]/SummaryTable[[#This Row],[OriginalBudget13]]</f>
        <v>#DIV/0!</v>
      </c>
      <c r="DE71" s="61">
        <f>IF(COUNTIFS(allFYsTable[Code], SummaryTable[[#This Row],[Code]], allFYsTable[year2], DB$3)=0, NotFound, SUMIFS(allFYsTable[RevisedBudget], allFYsTable[Code], SummaryTable[[#This Row],[Code]], allFYsTable[year2], DB$3))</f>
        <v>14841</v>
      </c>
      <c r="DF71" s="61">
        <f>IF(COUNTIFS(allFYsTable[Code], SummaryTable[[#This Row],[Code]], allFYsTable[year2], DB$3)=0, NotFound, SUMIFS(allFYsTable[Actual], allFYsTable[Code], SummaryTable[[#This Row],[Code]], allFYsTable[year2], DB$3))</f>
        <v>14841</v>
      </c>
      <c r="DG71" s="61">
        <f>IF(COUNTIFS(allFYsTable[Code], SummaryTable[[#This Row],[Code]], allFYsTable[year2], DB$3)=0, NotFound, SUMIFS(allFYsTable[DiffAmount], allFYsTable[Code], SummaryTable[[#This Row],[Code]], allFYsTable[year2], DB$3))</f>
        <v>14841</v>
      </c>
      <c r="DH71" s="63">
        <f>IF(SummaryTable[[#This Row],[OriginalBudget14]]=0, IF(SummaryTable[[#This Row],[DiffAmount14]]=0, ZeroBudgetNoSpending, ZeroBudgetWithSpending), SummaryTable[[#This Row],[DiffAmount14]]/SummaryTable[[#This Row],[OriginalBudget14]])</f>
        <v>99.99</v>
      </c>
      <c r="DI71" s="62">
        <f>IF(COUNTIFS(allFYsTable[Code], SummaryTable[[#This Row],[Code]], allFYsTable[year2], DI$3)=0, NotFound, SUMIFS(allFYsTable[OriginalBudget], allFYsTable[Code], SummaryTable[[#This Row],[Code]], allFYsTable[year2], DI$3))</f>
        <v>0</v>
      </c>
      <c r="DJ71" s="61">
        <f>SummaryTable[[#This Row],[OriginalBudget13]]-SummaryTable[[#This Row],[OriginalBudget12]]</f>
        <v>0</v>
      </c>
      <c r="DK71" s="54" t="e">
        <f>SummaryTable[[#This Row],[BudgetIncreaseAmount13]]/SummaryTable[[#This Row],[OriginalBudget12]]</f>
        <v>#DIV/0!</v>
      </c>
      <c r="DL71" s="61">
        <f>IF(COUNTIFS(allFYsTable[Code], SummaryTable[[#This Row],[Code]], allFYsTable[year2], DI$3)=0, NotFound, SUMIFS(allFYsTable[RevisedBudget], allFYsTable[Code], SummaryTable[[#This Row],[Code]], allFYsTable[year2], DI$3))</f>
        <v>11000</v>
      </c>
      <c r="DM71" s="61">
        <f>IF(COUNTIFS(allFYsTable[Code], SummaryTable[[#This Row],[Code]], allFYsTable[year2], DI$3)=0, NotFound, SUMIFS(allFYsTable[Actual], allFYsTable[Code], SummaryTable[[#This Row],[Code]], allFYsTable[year2], DI$3))</f>
        <v>11000</v>
      </c>
      <c r="DN71" s="61">
        <f>IF(COUNTIFS(allFYsTable[Code], SummaryTable[[#This Row],[Code]], allFYsTable[year2], DI$3)=0, NotFound, SUMIFS(allFYsTable[DiffAmount], allFYsTable[Code], SummaryTable[[#This Row],[Code]], allFYsTable[year2], DI$3))</f>
        <v>11000</v>
      </c>
      <c r="DO71" s="63">
        <f>IF(SummaryTable[[#This Row],[OriginalBudget13]]=0, IF(SummaryTable[[#This Row],[DiffAmount13]]=0, ZeroBudgetNoSpending, ZeroBudgetWithSpending), SummaryTable[[#This Row],[DiffAmount13]]/SummaryTable[[#This Row],[OriginalBudget13]])</f>
        <v>99.99</v>
      </c>
      <c r="DP71" s="62">
        <f>IF(COUNTIFS(allFYsTable[Code], SummaryTable[[#This Row],[Code]], allFYsTable[year2], DP$3)=0, NotFound, SUMIFS(allFYsTable[OriginalBudget], allFYsTable[Code], SummaryTable[[#This Row],[Code]], allFYsTable[year2], DP$3))</f>
        <v>0</v>
      </c>
      <c r="DQ71" s="61" t="e">
        <f>SummaryTable[[#This Row],[OriginalBudget12]]-SummaryTable[[#This Row],[OriginalBudget11]]</f>
        <v>#N/A</v>
      </c>
      <c r="DR71" s="54" t="e">
        <f>SummaryTable[[#This Row],[BudgetIncreaseAmount12]]/SummaryTable[[#This Row],[OriginalBudget11]]</f>
        <v>#N/A</v>
      </c>
      <c r="DS71" s="61">
        <f>IF(COUNTIFS(allFYsTable[Code], SummaryTable[[#This Row],[Code]], allFYsTable[year2], DP$3)=0, NotFound, SUMIFS(allFYsTable[RevisedBudget], allFYsTable[Code], SummaryTable[[#This Row],[Code]], allFYsTable[year2], DP$3))</f>
        <v>7700</v>
      </c>
      <c r="DT71" s="61">
        <f>IF(COUNTIFS(allFYsTable[Code], SummaryTable[[#This Row],[Code]], allFYsTable[year2], DP$3)=0, NotFound, SUMIFS(allFYsTable[Actual], allFYsTable[Code], SummaryTable[[#This Row],[Code]], allFYsTable[year2], DP$3))</f>
        <v>7700</v>
      </c>
      <c r="DU71" s="61">
        <f>IF(COUNTIFS(allFYsTable[Code], SummaryTable[[#This Row],[Code]], allFYsTable[year2], DP$3)=0, NotFound, SUMIFS(allFYsTable[DiffAmount], allFYsTable[Code], SummaryTable[[#This Row],[Code]], allFYsTable[year2], DP$3))</f>
        <v>7700</v>
      </c>
      <c r="DV71" s="63">
        <f>IF(SummaryTable[[#This Row],[OriginalBudget12]]=0, IF(SummaryTable[[#This Row],[DiffAmount12]]=0, ZeroBudgetNoSpending, ZeroBudgetWithSpending), SummaryTable[[#This Row],[DiffAmount12]]/SummaryTable[[#This Row],[OriginalBudget12]])</f>
        <v>99.99</v>
      </c>
      <c r="DW71" s="62" t="e">
        <f>IF(COUNTIFS(allFYsTable[Code], SummaryTable[[#This Row],[Code]], allFYsTable[year2], DW$3)=0, NotFound, SUMIFS(allFYsTable[OriginalBudget], allFYsTable[Code], SummaryTable[[#This Row],[Code]], allFYsTable[year2], DW$3))</f>
        <v>#N/A</v>
      </c>
      <c r="DX71" s="61" t="e">
        <f>SummaryTable[[#This Row],[OriginalBudget11]]-SummaryTable[[#This Row],[OriginalBudget10]]</f>
        <v>#N/A</v>
      </c>
      <c r="DY71" s="54" t="e">
        <f>SummaryTable[[#This Row],[BudgetIncreaseAmount11]]/SummaryTable[[#This Row],[OriginalBudget10]]</f>
        <v>#N/A</v>
      </c>
      <c r="DZ71" s="61" t="e">
        <f>IF(COUNTIFS(allFYsTable[Code], SummaryTable[[#This Row],[Code]], allFYsTable[year2], DW$3)=0, NotFound, SUMIFS(allFYsTable[RevisedBudget], allFYsTable[Code], SummaryTable[[#This Row],[Code]], allFYsTable[year2], DW$3))</f>
        <v>#N/A</v>
      </c>
      <c r="EA71" s="61" t="e">
        <f>IF(COUNTIFS(allFYsTable[Code], SummaryTable[[#This Row],[Code]], allFYsTable[year2], DW$3)=0, NotFound, SUMIFS(allFYsTable[Actual], allFYsTable[Code], SummaryTable[[#This Row],[Code]], allFYsTable[year2], DW$3))</f>
        <v>#N/A</v>
      </c>
      <c r="EB71" s="61" t="e">
        <f>IF(COUNTIFS(allFYsTable[Code], SummaryTable[[#This Row],[Code]], allFYsTable[year2], DW$3)=0, NotFound, SUMIFS(allFYsTable[DiffAmount], allFYsTable[Code], SummaryTable[[#This Row],[Code]], allFYsTable[year2], DW$3))</f>
        <v>#N/A</v>
      </c>
      <c r="EC71" s="63" t="e">
        <f>IF(SummaryTable[[#This Row],[OriginalBudget11]]=0, IF(SummaryTable[[#This Row],[DiffAmount11]]=0, ZeroBudgetNoSpending, ZeroBudgetWithSpending), SummaryTable[[#This Row],[DiffAmount11]]/SummaryTable[[#This Row],[OriginalBudget11]])</f>
        <v>#N/A</v>
      </c>
      <c r="ED71" s="62" t="e">
        <f>IF(COUNTIFS(allFYsTable[Code], SummaryTable[[#This Row],[Code]], allFYsTable[year2], ED$3)=0, NotFound, SUMIFS(allFYsTable[OriginalBudget], allFYsTable[Code], SummaryTable[[#This Row],[Code]], allFYsTable[year2], ED$3))</f>
        <v>#N/A</v>
      </c>
      <c r="EE71" s="61" t="e">
        <f>SummaryTable[[#This Row],[OriginalBudget10]]-SummaryTable[[#This Row],[OriginalBudget09]]</f>
        <v>#N/A</v>
      </c>
      <c r="EF71" s="54" t="e">
        <f>SummaryTable[[#This Row],[BudgetIncreaseAmount10]]/SummaryTable[[#This Row],[OriginalBudget09]]</f>
        <v>#N/A</v>
      </c>
      <c r="EG71" s="61" t="e">
        <f>IF(COUNTIFS(allFYsTable[Code], SummaryTable[[#This Row],[Code]], allFYsTable[year2], ED$3)=0, NotFound, SUMIFS(allFYsTable[RevisedBudget], allFYsTable[Code], SummaryTable[[#This Row],[Code]], allFYsTable[year2], ED$3))</f>
        <v>#N/A</v>
      </c>
      <c r="EH71" s="61" t="e">
        <f>IF(COUNTIFS(allFYsTable[Code], SummaryTable[[#This Row],[Code]], allFYsTable[year2], ED$3)=0, NotFound, SUMIFS(allFYsTable[Actual], allFYsTable[Code], SummaryTable[[#This Row],[Code]], allFYsTable[year2], ED$3))</f>
        <v>#N/A</v>
      </c>
      <c r="EI71" s="61" t="e">
        <f>IF(COUNTIFS(allFYsTable[Code], SummaryTable[[#This Row],[Code]], allFYsTable[year2], ED$3)=0, NotFound, SUMIFS(allFYsTable[DiffAmount], allFYsTable[Code], SummaryTable[[#This Row],[Code]], allFYsTable[year2], ED$3))</f>
        <v>#N/A</v>
      </c>
      <c r="EJ71" s="63" t="e">
        <f>IF(SummaryTable[[#This Row],[OriginalBudget10]]=0, IF(SummaryTable[[#This Row],[DiffAmount10]]=0, ZeroBudgetNoSpending, ZeroBudgetWithSpending), SummaryTable[[#This Row],[DiffAmount10]]/SummaryTable[[#This Row],[OriginalBudget10]])</f>
        <v>#N/A</v>
      </c>
      <c r="EK71" s="62" t="e">
        <f>IF(COUNTIFS(allFYsTable[Code], SummaryTable[[#This Row],[Code]], allFYsTable[year2], EK$3)=0, NotFound, SUMIFS(allFYsTable[OriginalBudget], allFYsTable[Code], SummaryTable[[#This Row],[Code]], allFYsTable[year2], EK$3))</f>
        <v>#N/A</v>
      </c>
      <c r="EL71" s="61" t="e">
        <f>SummaryTable[[#This Row],[OriginalBudget09]]-SummaryTable[[#This Row],[OriginalBudget08]]</f>
        <v>#N/A</v>
      </c>
      <c r="EM71" s="54" t="e">
        <f>SummaryTable[[#This Row],[BudgetIncreaseAmount09]]/SummaryTable[[#This Row],[OriginalBudget08]]</f>
        <v>#N/A</v>
      </c>
      <c r="EN71" s="61" t="e">
        <f>IF(COUNTIFS(allFYsTable[Code], SummaryTable[[#This Row],[Code]], allFYsTable[year2], EK$3)=0, NotFound, SUMIFS(allFYsTable[RevisedBudget], allFYsTable[Code], SummaryTable[[#This Row],[Code]], allFYsTable[year2], EK$3))</f>
        <v>#N/A</v>
      </c>
      <c r="EO71" s="61" t="e">
        <f>IF(COUNTIFS(allFYsTable[Code], SummaryTable[[#This Row],[Code]], allFYsTable[year2], EK$3)=0, NotFound, SUMIFS(allFYsTable[Actual], allFYsTable[Code], SummaryTable[[#This Row],[Code]], allFYsTable[year2], EK$3))</f>
        <v>#N/A</v>
      </c>
      <c r="EP71" s="61" t="e">
        <f>IF(COUNTIFS(allFYsTable[Code], SummaryTable[[#This Row],[Code]], allFYsTable[year2], EK$3)=0, NotFound, SUMIFS(allFYsTable[DiffAmount], allFYsTable[Code], SummaryTable[[#This Row],[Code]], allFYsTable[year2], EK$3))</f>
        <v>#N/A</v>
      </c>
      <c r="EQ71" s="63" t="e">
        <f>IF(SummaryTable[[#This Row],[OriginalBudget09]]=0, IF(SummaryTable[[#This Row],[DiffAmount09]]=0, ZeroBudgetNoSpending, ZeroBudgetWithSpending), SummaryTable[[#This Row],[DiffAmount09]]/SummaryTable[[#This Row],[OriginalBudget09]])</f>
        <v>#N/A</v>
      </c>
      <c r="ER71" s="62" t="e">
        <f>IF(COUNTIFS(allFYsTable[Code], SummaryTable[[#This Row],[Code]], allFYsTable[year2], ER$3)=0, NotFound, SUMIFS(allFYsTable[OriginalBudget], allFYsTable[Code], SummaryTable[[#This Row],[Code]], allFYsTable[year2], ER$3))</f>
        <v>#N/A</v>
      </c>
      <c r="ES71" s="61" t="e">
        <f>SummaryTable[[#This Row],[OriginalBudget08]]-SummaryTable[[#This Row],[OriginalBudget07]]</f>
        <v>#N/A</v>
      </c>
      <c r="ET71" s="54" t="e">
        <f>SummaryTable[[#This Row],[BudgetIncreaseAmount08]]/SummaryTable[[#This Row],[OriginalBudget07]]</f>
        <v>#N/A</v>
      </c>
      <c r="EU71" s="61" t="e">
        <f>IF(COUNTIFS(allFYsTable[Code], SummaryTable[[#This Row],[Code]], allFYsTable[year2], ER$3)=0, NotFound, SUMIFS(allFYsTable[RevisedBudget], allFYsTable[Code], SummaryTable[[#This Row],[Code]], allFYsTable[year2], ER$3))</f>
        <v>#N/A</v>
      </c>
      <c r="EV71" s="61" t="e">
        <f>IF(COUNTIFS(allFYsTable[Code], SummaryTable[[#This Row],[Code]], allFYsTable[year2], ER$3)=0, NotFound, SUMIFS(allFYsTable[Actual], allFYsTable[Code], SummaryTable[[#This Row],[Code]], allFYsTable[year2], ER$3))</f>
        <v>#N/A</v>
      </c>
      <c r="EW71" s="61" t="e">
        <f>IF(COUNTIFS(allFYsTable[Code], SummaryTable[[#This Row],[Code]], allFYsTable[year2], ER$3)=0, NotFound, SUMIFS(allFYsTable[DiffAmount], allFYsTable[Code], SummaryTable[[#This Row],[Code]], allFYsTable[year2], ER$3))</f>
        <v>#N/A</v>
      </c>
      <c r="EX71" s="63" t="e">
        <f>IF(SummaryTable[[#This Row],[OriginalBudget08]]=0, IF(SummaryTable[[#This Row],[DiffAmount08]]=0, ZeroBudgetNoSpending, ZeroBudgetWithSpending), SummaryTable[[#This Row],[DiffAmount08]]/SummaryTable[[#This Row],[OriginalBudget08]])</f>
        <v>#N/A</v>
      </c>
      <c r="EY71" s="62" t="e">
        <f>IF(COUNTIFS(allFYsTable[Code], SummaryTable[[#This Row],[Code]], allFYsTable[year2], EY$3)=0, NotFound, SUMIFS(allFYsTable[OriginalBudget], allFYsTable[Code], SummaryTable[[#This Row],[Code]], allFYsTable[year2], EY$3))</f>
        <v>#N/A</v>
      </c>
      <c r="EZ71" s="61" t="e">
        <f>SummaryTable[[#This Row],[OriginalBudget07]]-SummaryTable[[#This Row],[OriginalBudget06]]</f>
        <v>#N/A</v>
      </c>
      <c r="FA71" s="54" t="e">
        <f>SummaryTable[[#This Row],[BudgetIncreaseAmount07]]/SummaryTable[[#This Row],[OriginalBudget06]]</f>
        <v>#N/A</v>
      </c>
      <c r="FB71" s="61" t="e">
        <f>IF(COUNTIFS(allFYsTable[Code], SummaryTable[[#This Row],[Code]], allFYsTable[year2], EY$3)=0, NotFound, SUMIFS(allFYsTable[RevisedBudget], allFYsTable[Code], SummaryTable[[#This Row],[Code]], allFYsTable[year2], EY$3))</f>
        <v>#N/A</v>
      </c>
      <c r="FC71" s="61" t="e">
        <f>IF(COUNTIFS(allFYsTable[Code], SummaryTable[[#This Row],[Code]], allFYsTable[year2], EY$3)=0, NotFound, SUMIFS(allFYsTable[Actual], allFYsTable[Code], SummaryTable[[#This Row],[Code]], allFYsTable[year2], EY$3))</f>
        <v>#N/A</v>
      </c>
      <c r="FD71" s="61" t="e">
        <f>IF(COUNTIFS(allFYsTable[Code], SummaryTable[[#This Row],[Code]], allFYsTable[year2], EY$3)=0, NotFound, SUMIFS(allFYsTable[DiffAmount], allFYsTable[Code], SummaryTable[[#This Row],[Code]], allFYsTable[year2], EY$3))</f>
        <v>#N/A</v>
      </c>
      <c r="FE71" s="63" t="e">
        <f>IF(SummaryTable[[#This Row],[OriginalBudget07]]=0, IF(SummaryTable[[#This Row],[DiffAmount07]]=0, ZeroBudgetNoSpending, ZeroBudgetWithSpending), SummaryTable[[#This Row],[DiffAmount07]]/SummaryTable[[#This Row],[OriginalBudget07]])</f>
        <v>#N/A</v>
      </c>
      <c r="FF71" s="62" t="e">
        <f>IF(COUNTIFS(allFYsTable[Code], SummaryTable[[#This Row],[Code]], allFYsTable[year2], FF$3)=0, NotFound, SUMIFS(allFYsTable[OriginalBudget], allFYsTable[Code], SummaryTable[[#This Row],[Code]], allFYsTable[year2], FF$3))</f>
        <v>#N/A</v>
      </c>
      <c r="FI71" s="61" t="e">
        <f>IF(COUNTIFS(allFYsTable[Code], SummaryTable[[#This Row],[Code]], allFYsTable[year2], FF$3)=0, NotFound, SUMIFS(allFYsTable[RevisedBudget], allFYsTable[Code], SummaryTable[[#This Row],[Code]], allFYsTable[year2], FF$3))</f>
        <v>#N/A</v>
      </c>
      <c r="FJ71" s="61" t="e">
        <f>IF(COUNTIFS(allFYsTable[Code], SummaryTable[[#This Row],[Code]], allFYsTable[year2], FF$3)=0, NotFound, SUMIFS(allFYsTable[Actual], allFYsTable[Code], SummaryTable[[#This Row],[Code]], allFYsTable[year2], FF$3))</f>
        <v>#N/A</v>
      </c>
      <c r="FK71" s="61" t="e">
        <f>IF(COUNTIFS(allFYsTable[Code], SummaryTable[[#This Row],[Code]], allFYsTable[year2], FF$3)=0, NotFound, SUMIFS(allFYsTable[DiffAmount], allFYsTable[Code], SummaryTable[[#This Row],[Code]], allFYsTable[year2], FF$3))</f>
        <v>#N/A</v>
      </c>
      <c r="FL71" s="63" t="e">
        <f>IF(SummaryTable[[#This Row],[OriginalBudget06]]=0, IF(SummaryTable[[#This Row],[DiffAmount06]]=0, ZeroBudgetNoSpending, ZeroBudgetWithSpending), SummaryTable[[#This Row],[DiffAmount06]]/SummaryTable[[#This Row],[OriginalBudget06]])</f>
        <v>#N/A</v>
      </c>
    </row>
    <row r="72" spans="1:168" x14ac:dyDescent="0.45">
      <c r="A72" t="s">
        <v>710</v>
      </c>
      <c r="B72">
        <f>_xlfn.MAXIFS(allFYsTable[year2], allFYsTable[Code], SummaryTable[[#This Row],[Code]])</f>
        <v>2025</v>
      </c>
      <c r="C72" t="str">
        <f>_xlfn.XLOOKUP(SummaryTable[[#This Row],[Code]], NameCodingTable[Code], NameCodingTable[Most Recent Category per allFYs])</f>
        <v>Human support services</v>
      </c>
      <c r="D72" t="str">
        <f>_xlfn.XLOOKUP(SummaryTable[[#This Row],[Code]], NameCodingTable[Code], NameCodingTable[Unit Display Name])</f>
        <v>Office for the Deaf, Deafblind, and Hard of Hearing</v>
      </c>
      <c r="E72" t="str">
        <f>_xlfn.XLOOKUP(SummaryTable[[#This Row],[Code]], NameCodingTable[Code], NameCodingTable[Type])</f>
        <v>agency</v>
      </c>
      <c r="F7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4</v>
      </c>
      <c r="G7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72" s="54">
        <f>SummaryTable[[#This Row],['# Over]]/SummaryTable[[#This Row],[Count]]</f>
        <v>0.25</v>
      </c>
      <c r="I7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3</v>
      </c>
      <c r="J72" s="54">
        <f>SummaryTable[[#This Row],['# Under]]/SummaryTable[[#This Row],[Count]]</f>
        <v>0.75</v>
      </c>
      <c r="K7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72" s="54">
        <f>SummaryTable[[#This Row],['# Equal]]/SummaryTable[[#This Row],[Count]]</f>
        <v>0</v>
      </c>
      <c r="M72" s="61">
        <f>SUMIFS(allFYsTable[OriginalBudget],allFYsTable[Code],SummaryTable[[#This Row],[Code]])/SummaryTable[[#This Row],[Count]]</f>
        <v>1120</v>
      </c>
      <c r="N72" s="61">
        <f>SUMIFS(allFYsTable[Actual],allFYsTable[Code],SummaryTable[[#This Row],[Code]])/SummaryTable[[#This Row],[Count]]</f>
        <v>923.5</v>
      </c>
      <c r="O72" s="61">
        <f>SummaryTable[[#This Row],[AvgActAmt]]-SummaryTable[[#This Row],[AvgBudAmt]]</f>
        <v>-196.5</v>
      </c>
      <c r="P72" s="54">
        <f>IF(SummaryTable[[#This Row],[AvgBudAmt]]=0, IF(SummaryTable[[#This Row],[AvgDiff'#]]=0, 0, NamedFields!$C$3), SummaryTable[[#This Row],[AvgDiff'#]]/SummaryTable[[#This Row],[AvgBudAmt]])</f>
        <v>-0.17544642857142856</v>
      </c>
      <c r="Q72" s="61">
        <f>IFERROR(SUMIFS(allFYsTable[OriginalBudget],allFYsTable[Code],SummaryTable[[#This Row],[Code]],allFYsTable[DiffAmount], "&gt;0")/SummaryTable[[#This Row],['# Over]], 0)</f>
        <v>819</v>
      </c>
      <c r="R72" s="61">
        <f>IFERROR(SUMIFS(allFYsTable[Actual],allFYsTable[Code],SummaryTable[[#This Row],[Code]],allFYsTable[DiffAmount], "&gt;0")/SummaryTable[[#This Row],['# Over]], 0)</f>
        <v>964</v>
      </c>
      <c r="S72" s="61">
        <f>SummaryTable[[#This Row],[OverAvgAct]]-SummaryTable[[#This Row],[OverAvgBud]]</f>
        <v>145</v>
      </c>
      <c r="T72" s="54">
        <f>IF(SummaryTable[[#This Row],[OverAvgBud]]=0, IF(SummaryTable[[#This Row],[OverAvgDiff'#]]=0, ZeroBudgetNoSpending, ZeroBudgetWithSpending), SummaryTable[[#This Row],[OverAvgDiff'#]]/SummaryTable[[#This Row],[OverAvgBud]])</f>
        <v>0.17704517704517705</v>
      </c>
      <c r="U72" s="61">
        <f>IFERROR(SUMIFS(allFYsTable[OriginalBudget],allFYsTable[Code],SummaryTable[[#This Row],[Code]],allFYsTable[DiffAmount], "&lt;0")/SummaryTable[[#This Row],['# Under]], 0)</f>
        <v>1220.3333333333333</v>
      </c>
      <c r="V72" s="61">
        <f>IFERROR( SUMIFS(allFYsTable[Actual],allFYsTable[Code],SummaryTable[[#This Row],[Code]],allFYsTable[DiffAmount], "&lt;0")/SummaryTable[[#This Row],['# Under]], 0)</f>
        <v>910</v>
      </c>
      <c r="W72" s="61">
        <f>SummaryTable[[#This Row],[UnderAvgAct]]-SummaryTable[[#This Row],[UnderAvgBud]]</f>
        <v>-310.33333333333326</v>
      </c>
      <c r="X72" s="54">
        <f>IF(SummaryTable[[#This Row],[UnderAvgBud]]=0, IF(SummaryTable[[#This Row],[UnderAvgDiff'#]]=0, ZeroBudgetNoSpending, NamedFields!$C$3), SummaryTable[[#This Row],[UnderAvgDiff'#]]/SummaryTable[[#This Row],[UnderAvgBud]])</f>
        <v>-0.25430210325047797</v>
      </c>
      <c r="Y7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7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72" s="54">
        <f>IF(SummaryTable[[#This Row],[IncreaseYears]]=0, ZeroBudgetNoSpending, SummaryTable[[#This Row],[OSinIncreaseYear'#]]/SummaryTable[[#This Row],[IncreaseYears]])</f>
        <v>0</v>
      </c>
      <c r="AB72" s="58" t="str">
        <f>SummaryTable[[#This Row],[Code]]</f>
        <v>JS0</v>
      </c>
      <c r="AC72" s="62">
        <f>IF(COUNTIFS(allFYsTable[Code], SummaryTable[[#This Row],[Code]], allFYsTable[year2], AC$3)=0, NotFound, SUMIFS(allFYsTable[OriginalBudget], allFYsTable[Code], SummaryTable[[#This Row],[Code]], allFYsTable[year2], AC$3))</f>
        <v>1722</v>
      </c>
      <c r="AD72" s="61">
        <f>SummaryTable[[#This Row],[OriginalBudget25]]-SummaryTable[[#This Row],[OriginalBudget24]]</f>
        <v>618</v>
      </c>
      <c r="AE72" s="54">
        <f>SummaryTable[[#This Row],[BudgetIncreaseAmount25]]/SummaryTable[[#This Row],[OriginalBudget24]]</f>
        <v>0.55978260869565222</v>
      </c>
      <c r="AF72" s="61">
        <f>IF(COUNTIFS(allFYsTable[Code], SummaryTable[[#This Row],[Code]], allFYsTable[year2], AC$3)=0, NotFound, SUMIFS(allFYsTable[RevisedBudget], allFYsTable[Code], SummaryTable[[#This Row],[Code]], allFYsTable[year2], AC$3))</f>
        <v>1688</v>
      </c>
      <c r="AG72" s="61">
        <f>IF(COUNTIFS(allFYsTable[Code], SummaryTable[[#This Row],[Code]], allFYsTable[year2], AC$3)=0, NotFound, SUMIFS(allFYsTable[Actual], allFYsTable[Code], SummaryTable[[#This Row],[Code]], allFYsTable[year2], AC$3))</f>
        <v>1646</v>
      </c>
      <c r="AH72" s="61">
        <f>IF(COUNTIFS(allFYsTable[Code], SummaryTable[[#This Row],[Code]], allFYsTable[year2], AC$3)=0, NotFound, SUMIFS(allFYsTable[DiffAmount], allFYsTable[Code], SummaryTable[[#This Row],[Code]], allFYsTable[year2], AC$3))</f>
        <v>-76</v>
      </c>
      <c r="AI72" s="63">
        <f>IF(SummaryTable[[#This Row],[OriginalBudget25]]=0, IF(SummaryTable[[#This Row],[DiffAmount25]]=0, ZeroBudgetNoSpending, ZeroBudgetWithSpending), SummaryTable[[#This Row],[DiffAmount25]]/SummaryTable[[#This Row],[OriginalBudget25]])</f>
        <v>-4.4134727061556328E-2</v>
      </c>
      <c r="AJ72" s="62">
        <f>IF(COUNTIFS(allFYsTable[Code], SummaryTable[[#This Row],[Code]], allFYsTable[year2], AJ$3)=0, NotFound, SUMIFS(allFYsTable[OriginalBudget], allFYsTable[Code], SummaryTable[[#This Row],[Code]], allFYsTable[year2], AJ$3))</f>
        <v>1104</v>
      </c>
      <c r="AK72" s="61">
        <f>SummaryTable[[#This Row],[OriginalBudget24]]-SummaryTable[[#This Row],[OriginalBudget23]]</f>
        <v>285</v>
      </c>
      <c r="AL72" s="54">
        <f>SummaryTable[[#This Row],[BudgetIncreaseAmount24]]/SummaryTable[[#This Row],[OriginalBudget23]]</f>
        <v>0.34798534798534797</v>
      </c>
      <c r="AM72" s="61">
        <f>IF(COUNTIFS(allFYsTable[Code], SummaryTable[[#This Row],[Code]], allFYsTable[year2], AK$3)=0, NotFound, SUMIFS(allFYsTable[RevisedBudget], allFYsTable[Code], SummaryTable[[#This Row],[Code]], allFYsTable[year2], AJ$3))</f>
        <v>1091</v>
      </c>
      <c r="AN72" s="61">
        <f>IF(COUNTIFS(allFYsTable[Code], SummaryTable[[#This Row],[Code]], allFYsTable[year2], AJ$3)=0, NotFound, SUMIFS(allFYsTable[Actual], allFYsTable[Code], SummaryTable[[#This Row],[Code]], allFYsTable[year2], AJ$3))</f>
        <v>1084</v>
      </c>
      <c r="AO72" s="61">
        <f>IF(COUNTIFS(allFYsTable[Code], SummaryTable[[#This Row],[Code]], allFYsTable[year2], AJ$3)=0, NotFound, SUMIFS(allFYsTable[DiffAmount], allFYsTable[Code], SummaryTable[[#This Row],[Code]], allFYsTable[year2], AJ$3))</f>
        <v>-20</v>
      </c>
      <c r="AP72" s="63">
        <f>IF(SummaryTable[[#This Row],[OriginalBudget24]]=0, IF(SummaryTable[[#This Row],[DiffAmount24]]=0, ZeroBudgetNoSpending, ZeroBudgetWithSpending), SummaryTable[[#This Row],[DiffAmount24]]/SummaryTable[[#This Row],[OriginalBudget24]])</f>
        <v>-1.8115942028985508E-2</v>
      </c>
      <c r="AQ72" s="62">
        <f>IF(COUNTIFS(allFYsTable[Code], SummaryTable[[#This Row],[Code]], allFYsTable[year2], AQ$3)=0, NotFound, SUMIFS(allFYsTable[OriginalBudget], allFYsTable[Code], SummaryTable[[#This Row],[Code]], allFYsTable[year2], AQ$3))</f>
        <v>819</v>
      </c>
      <c r="AR72" s="61">
        <f>SummaryTable[[#This Row],[OriginalBudget23]]-SummaryTable[[#This Row],[OriginalBudget22]]</f>
        <v>-16</v>
      </c>
      <c r="AS72" s="54">
        <f>SummaryTable[[#This Row],[BudgetIncreaseAmount23]]/SummaryTable[[#This Row],[OriginalBudget22]]</f>
        <v>-1.9161676646706587E-2</v>
      </c>
      <c r="AT72" s="61">
        <f>IF(COUNTIFS(allFYsTable[Code], SummaryTable[[#This Row],[Code]], allFYsTable[year2], AQ$3)=0, NotFound, SUMIFS(allFYsTable[RevisedBudget], allFYsTable[Code], SummaryTable[[#This Row],[Code]], allFYsTable[year2], AQ$3))</f>
        <v>1061</v>
      </c>
      <c r="AU72" s="61">
        <f>IF(COUNTIFS(allFYsTable[Code], SummaryTable[[#This Row],[Code]], allFYsTable[year2], AQ$3)=0, NotFound, SUMIFS(allFYsTable[Actual], allFYsTable[Code], SummaryTable[[#This Row],[Code]], allFYsTable[year2], AQ$3))</f>
        <v>964</v>
      </c>
      <c r="AV72" s="61">
        <f>IF(COUNTIFS(allFYsTable[Code], SummaryTable[[#This Row],[Code]], allFYsTable[year2], AQ$3)=0, NotFound, SUMIFS(allFYsTable[DiffAmount], allFYsTable[Code], SummaryTable[[#This Row],[Code]], allFYsTable[year2], AQ$3))</f>
        <v>145</v>
      </c>
      <c r="AW72" s="63">
        <f>IF(SummaryTable[[#This Row],[OriginalBudget23]]=0, IF(SummaryTable[[#This Row],[DiffAmount23]]=0, ZeroBudgetNoSpending, ZeroBudgetWithSpending), SummaryTable[[#This Row],[DiffAmount23]]/SummaryTable[[#This Row],[OriginalBudget23]])</f>
        <v>0.17704517704517705</v>
      </c>
      <c r="AX72" s="62">
        <f>IF(COUNTIFS(allFYsTable[Code], SummaryTable[[#This Row],[Code]], allFYsTable[year2], AX$3)=0, NotFound, SUMIFS(allFYsTable[OriginalBudget], allFYsTable[Code], SummaryTable[[#This Row],[Code]], allFYsTable[year2], AX$3))</f>
        <v>835</v>
      </c>
      <c r="AY72" s="61" t="e">
        <f>SummaryTable[[#This Row],[OriginalBudget22]]-SummaryTable[[#This Row],[OriginalBudget21]]</f>
        <v>#N/A</v>
      </c>
      <c r="AZ72" s="54" t="e">
        <f>SummaryTable[[#This Row],[BudgetIncreaseAmount22]]/SummaryTable[[#This Row],[OriginalBudget21]]</f>
        <v>#N/A</v>
      </c>
      <c r="BA72" s="61">
        <f>IF(COUNTIFS(allFYsTable[Code], SummaryTable[[#This Row],[Code]], allFYsTable[year2], AX$3)=0, NotFound, SUMIFS(allFYsTable[RevisedBudget], allFYsTable[Code], SummaryTable[[#This Row],[Code]], allFYsTable[year2], AX$3))</f>
        <v>835</v>
      </c>
      <c r="BB72" s="61">
        <f>IF(COUNTIFS(allFYsTable[Code], SummaryTable[[#This Row],[Code]], allFYsTable[year2], AX$3)=0, NotFound, SUMIFS(allFYsTable[Actual], allFYsTable[Code], SummaryTable[[#This Row],[Code]], allFYsTable[year2], AX$3))</f>
        <v>0</v>
      </c>
      <c r="BC72" s="61">
        <f>IF(COUNTIFS(allFYsTable[Code], SummaryTable[[#This Row],[Code]], allFYsTable[year2], AX$3)=0, NotFound, SUMIFS(allFYsTable[DiffAmount], allFYsTable[Code], SummaryTable[[#This Row],[Code]], allFYsTable[year2], AX$3))</f>
        <v>-835</v>
      </c>
      <c r="BD72" s="63">
        <f>IF(SummaryTable[[#This Row],[OriginalBudget22]]=0, IF(SummaryTable[[#This Row],[DiffAmount22]]=0, ZeroBudgetNoSpending, ZeroBudgetWithSpending), SummaryTable[[#This Row],[DiffAmount22]]/SummaryTable[[#This Row],[OriginalBudget22]])</f>
        <v>-1</v>
      </c>
      <c r="BE72" s="62" t="e">
        <f>IF(COUNTIFS(allFYsTable[Code], SummaryTable[[#This Row],[Code]], allFYsTable[year2], BE$3)=0, NotFound, SUMIFS(allFYsTable[OriginalBudget], allFYsTable[Code], SummaryTable[[#This Row],[Code]], allFYsTable[year2], BE$3))</f>
        <v>#N/A</v>
      </c>
      <c r="BF72" s="61" t="e">
        <f>SummaryTable[[#This Row],[OriginalBudget21]]-SummaryTable[[#This Row],[OriginalBudget20]]</f>
        <v>#N/A</v>
      </c>
      <c r="BG72" s="54" t="e">
        <f>SummaryTable[[#This Row],[BudgetIncreaseAmount21]]/SummaryTable[[#This Row],[OriginalBudget20]]</f>
        <v>#N/A</v>
      </c>
      <c r="BH72" s="61" t="e">
        <f>IF(COUNTIFS(allFYsTable[Code], SummaryTable[[#This Row],[Code]], allFYsTable[year2], BE$3)=0, NotFound, SUMIFS(allFYsTable[RevisedBudget], allFYsTable[Code], SummaryTable[[#This Row],[Code]], allFYsTable[year2], BE$3))</f>
        <v>#N/A</v>
      </c>
      <c r="BI72" s="61" t="e">
        <f>IF(COUNTIFS(allFYsTable[Code], SummaryTable[[#This Row],[Code]], allFYsTable[year2], BE$3)=0, NotFound, SUMIFS(allFYsTable[Actual], allFYsTable[Code], SummaryTable[[#This Row],[Code]], allFYsTable[year2], BE$3))</f>
        <v>#N/A</v>
      </c>
      <c r="BJ72" s="61" t="e">
        <f>IF(COUNTIFS(allFYsTable[Code], SummaryTable[[#This Row],[Code]], allFYsTable[year2], BE$3)=0, NotFound, SUMIFS(allFYsTable[DiffAmount], allFYsTable[Code], SummaryTable[[#This Row],[Code]], allFYsTable[year2], BE$3))</f>
        <v>#N/A</v>
      </c>
      <c r="BK72" s="63" t="e">
        <f>IF(SummaryTable[[#This Row],[OriginalBudget21]]=0, IF(SummaryTable[[#This Row],[DiffAmount21]]=0, ZeroBudgetNoSpending, ZeroBudgetWithSpending), SummaryTable[[#This Row],[DiffAmount21]]/SummaryTable[[#This Row],[OriginalBudget21]])</f>
        <v>#N/A</v>
      </c>
      <c r="BL72" s="62" t="e">
        <f>IF(COUNTIFS(allFYsTable[Code], SummaryTable[[#This Row],[Code]], allFYsTable[year2], BL$3)=0, NotFound, SUMIFS(allFYsTable[OriginalBudget], allFYsTable[Code], SummaryTable[[#This Row],[Code]], allFYsTable[year2], BL$3))</f>
        <v>#N/A</v>
      </c>
      <c r="BM72" s="61" t="e">
        <f>SummaryTable[[#This Row],[OriginalBudget20]]-SummaryTable[[#This Row],[OriginalBudget19]]</f>
        <v>#N/A</v>
      </c>
      <c r="BN72" s="54" t="e">
        <f>SummaryTable[[#This Row],[BudgetIncreaseAmount20]]/SummaryTable[[#This Row],[OriginalBudget19]]</f>
        <v>#N/A</v>
      </c>
      <c r="BO72" s="61" t="e">
        <f>IF(COUNTIFS(allFYsTable[Code], SummaryTable[[#This Row],[Code]], allFYsTable[year2], BL$3)=0, NotFound, SUMIFS(allFYsTable[RevisedBudget], allFYsTable[Code], SummaryTable[[#This Row],[Code]], allFYsTable[year2], BL$3))</f>
        <v>#N/A</v>
      </c>
      <c r="BP72" s="61" t="e">
        <f>IF(COUNTIFS(allFYsTable[Code], SummaryTable[[#This Row],[Code]], allFYsTable[year2], BL$3)=0, NotFound, SUMIFS(allFYsTable[Actual], allFYsTable[Code], SummaryTable[[#This Row],[Code]], allFYsTable[year2], BL$3))</f>
        <v>#N/A</v>
      </c>
      <c r="BQ72" s="61" t="e">
        <f>IF(COUNTIFS(allFYsTable[Code], SummaryTable[[#This Row],[Code]], allFYsTable[year2], BL$3)=0, NotFound, SUMIFS(allFYsTable[DiffAmount], allFYsTable[Code], SummaryTable[[#This Row],[Code]], allFYsTable[year2], BL$3))</f>
        <v>#N/A</v>
      </c>
      <c r="BR72" s="63" t="e">
        <f>IF(SummaryTable[[#This Row],[OriginalBudget20]]=0, IF(SummaryTable[[#This Row],[DiffAmount20]]=0, ZeroBudgetNoSpending, ZeroBudgetWithSpending), SummaryTable[[#This Row],[DiffAmount20]]/SummaryTable[[#This Row],[OriginalBudget20]])</f>
        <v>#N/A</v>
      </c>
      <c r="BS72" s="62" t="e">
        <f>IF(COUNTIFS(allFYsTable[Code], SummaryTable[[#This Row],[Code]], allFYsTable[year2], BS$3)=0, NotFound, SUMIFS(allFYsTable[OriginalBudget], allFYsTable[Code], SummaryTable[[#This Row],[Code]], allFYsTable[year2], BS$3))</f>
        <v>#N/A</v>
      </c>
      <c r="BT72" s="61" t="e">
        <f>SummaryTable[[#This Row],[OriginalBudget19]]-SummaryTable[[#This Row],[OriginalBudget18]]</f>
        <v>#N/A</v>
      </c>
      <c r="BU72" s="54" t="e">
        <f>SummaryTable[[#This Row],[BudgetIncreaseAmount19]]/SummaryTable[[#This Row],[OriginalBudget18]]</f>
        <v>#N/A</v>
      </c>
      <c r="BV72" s="61" t="e">
        <f>IF(COUNTIFS(allFYsTable[Code], SummaryTable[[#This Row],[Code]], allFYsTable[year2], BS$3)=0, NotFound, SUMIFS(allFYsTable[RevisedBudget], allFYsTable[Code], SummaryTable[[#This Row],[Code]], allFYsTable[year2], BS$3))</f>
        <v>#N/A</v>
      </c>
      <c r="BW72" s="61" t="e">
        <f>IF(COUNTIFS(allFYsTable[Code], SummaryTable[[#This Row],[Code]], allFYsTable[year2], BS$3)=0, NotFound, SUMIFS(allFYsTable[Actual], allFYsTable[Code], SummaryTable[[#This Row],[Code]], allFYsTable[year2], BS$3))</f>
        <v>#N/A</v>
      </c>
      <c r="BX72" s="61" t="e">
        <f>IF(COUNTIFS(allFYsTable[Code], SummaryTable[[#This Row],[Code]], allFYsTable[year2], BS$3)=0, NotFound, SUMIFS(allFYsTable[DiffAmount], allFYsTable[Code], SummaryTable[[#This Row],[Code]], allFYsTable[year2], BS$3))</f>
        <v>#N/A</v>
      </c>
      <c r="BY72" s="63" t="e">
        <f>IF(SummaryTable[[#This Row],[OriginalBudget19]]=0, IF(SummaryTable[[#This Row],[DiffAmount19]]=0, ZeroBudgetNoSpending, ZeroBudgetWithSpending), SummaryTable[[#This Row],[DiffAmount19]]/SummaryTable[[#This Row],[OriginalBudget19]])</f>
        <v>#N/A</v>
      </c>
      <c r="BZ72" s="62" t="e">
        <f>IF(COUNTIFS(allFYsTable[Code], SummaryTable[[#This Row],[Code]], allFYsTable[year2], BZ$3)=0, NotFound, SUMIFS(allFYsTable[OriginalBudget], allFYsTable[Code], SummaryTable[[#This Row],[Code]], allFYsTable[year2], BZ$3))</f>
        <v>#N/A</v>
      </c>
      <c r="CA72" s="61" t="e">
        <f>SummaryTable[[#This Row],[OriginalBudget18]]-SummaryTable[[#This Row],[OriginalBudget17]]</f>
        <v>#N/A</v>
      </c>
      <c r="CB72" s="54" t="e">
        <f>SummaryTable[[#This Row],[BudgetIncreaseAmount18]]/SummaryTable[[#This Row],[OriginalBudget17]]</f>
        <v>#N/A</v>
      </c>
      <c r="CC72" s="61" t="e">
        <f>IF(COUNTIFS(allFYsTable[Code], SummaryTable[[#This Row],[Code]], allFYsTable[year2], BZ$3)=0, NotFound, SUMIFS(allFYsTable[RevisedBudget], allFYsTable[Code], SummaryTable[[#This Row],[Code]], allFYsTable[year2], BZ$3))</f>
        <v>#N/A</v>
      </c>
      <c r="CD72" s="61" t="e">
        <f>IF(COUNTIFS(allFYsTable[Code], SummaryTable[[#This Row],[Code]], allFYsTable[year2], BZ$3)=0, NotFound, SUMIFS(allFYsTable[Actual], allFYsTable[Code], SummaryTable[[#This Row],[Code]], allFYsTable[year2], BZ$3))</f>
        <v>#N/A</v>
      </c>
      <c r="CE72" s="61" t="e">
        <f>IF(COUNTIFS(allFYsTable[Code], SummaryTable[[#This Row],[Code]], allFYsTable[year2], BZ$3)=0, NotFound, SUMIFS(allFYsTable[DiffAmount], allFYsTable[Code], SummaryTable[[#This Row],[Code]], allFYsTable[year2], BZ$3))</f>
        <v>#N/A</v>
      </c>
      <c r="CF72" s="63" t="e">
        <f>IF(SummaryTable[[#This Row],[OriginalBudget18]]=0, IF(SummaryTable[[#This Row],[DiffAmount18]]=0, ZeroBudgetNoSpending, ZeroBudgetWithSpending), SummaryTable[[#This Row],[DiffAmount18]]/SummaryTable[[#This Row],[OriginalBudget18]])</f>
        <v>#N/A</v>
      </c>
      <c r="CG72" s="62" t="e">
        <f>IF(COUNTIFS(allFYsTable[Code], SummaryTable[[#This Row],[Code]], allFYsTable[year2], CG$3)=0, NotFound, SUMIFS(allFYsTable[OriginalBudget], allFYsTable[Code], SummaryTable[[#This Row],[Code]], allFYsTable[year2], CG$3))</f>
        <v>#N/A</v>
      </c>
      <c r="CH72" s="61" t="e">
        <f>SummaryTable[[#This Row],[OriginalBudget17]]-SummaryTable[[#This Row],[OriginalBudget16]]</f>
        <v>#N/A</v>
      </c>
      <c r="CI72" s="54" t="e">
        <f>SummaryTable[[#This Row],[BudgetIncreaseAmount17]]/SummaryTable[[#This Row],[OriginalBudget16]]</f>
        <v>#N/A</v>
      </c>
      <c r="CJ72" s="61" t="e">
        <f>IF(COUNTIFS(allFYsTable[Code], SummaryTable[[#This Row],[Code]], allFYsTable[year2], CG$3)=0, NotFound, SUMIFS(allFYsTable[RevisedBudget], allFYsTable[Code], SummaryTable[[#This Row],[Code]], allFYsTable[year2], CG$3))</f>
        <v>#N/A</v>
      </c>
      <c r="CK72" s="61" t="e">
        <f>IF(COUNTIFS(allFYsTable[Code], SummaryTable[[#This Row],[Code]], allFYsTable[year2], CG$3)=0, NotFound, SUMIFS(allFYsTable[Actual], allFYsTable[Code], SummaryTable[[#This Row],[Code]], allFYsTable[year2], CG$3))</f>
        <v>#N/A</v>
      </c>
      <c r="CL72" s="61" t="e">
        <f>IF(COUNTIFS(allFYsTable[Code], SummaryTable[[#This Row],[Code]], allFYsTable[year2], CG$3)=0, NotFound, SUMIFS(allFYsTable[DiffAmount], allFYsTable[Code], SummaryTable[[#This Row],[Code]], allFYsTable[year2], CG$3))</f>
        <v>#N/A</v>
      </c>
      <c r="CM72" s="63" t="e">
        <f>IF(SummaryTable[[#This Row],[OriginalBudget17]]=0, IF(SummaryTable[[#This Row],[DiffAmount17]]=0, ZeroBudgetNoSpending, ZeroBudgetWithSpending), SummaryTable[[#This Row],[DiffAmount17]]/SummaryTable[[#This Row],[OriginalBudget17]])</f>
        <v>#N/A</v>
      </c>
      <c r="CN72" s="62" t="e">
        <f>IF(COUNTIFS(allFYsTable[Code], SummaryTable[[#This Row],[Code]], allFYsTable[year2], CN$3)=0, NotFound, SUMIFS(allFYsTable[OriginalBudget], allFYsTable[Code], SummaryTable[[#This Row],[Code]], allFYsTable[year2], CN$3))</f>
        <v>#N/A</v>
      </c>
      <c r="CO72" s="61" t="e">
        <f>SummaryTable[[#This Row],[OriginalBudget16]]-SummaryTable[[#This Row],[OriginalBudget15]]</f>
        <v>#N/A</v>
      </c>
      <c r="CP72" s="54" t="e">
        <f>SummaryTable[[#This Row],[BudgetIncreaseAmount16]]/SummaryTable[[#This Row],[OriginalBudget15]]</f>
        <v>#N/A</v>
      </c>
      <c r="CQ72" s="61" t="e">
        <f>IF(COUNTIFS(allFYsTable[Code], SummaryTable[[#This Row],[Code]], allFYsTable[year2], CN$3)=0, NotFound, SUMIFS(allFYsTable[RevisedBudget], allFYsTable[Code], SummaryTable[[#This Row],[Code]], allFYsTable[year2], CN$3))</f>
        <v>#N/A</v>
      </c>
      <c r="CR72" s="61" t="e">
        <f>IF(COUNTIFS(allFYsTable[Code], SummaryTable[[#This Row],[Code]], allFYsTable[year2], CN$3)=0, NotFound, SUMIFS(allFYsTable[Actual], allFYsTable[Code], SummaryTable[[#This Row],[Code]], allFYsTable[year2], CN$3))</f>
        <v>#N/A</v>
      </c>
      <c r="CS72" s="61" t="e">
        <f>IF(COUNTIFS(allFYsTable[Code], SummaryTable[[#This Row],[Code]], allFYsTable[year2], CN$3)=0, NotFound, SUMIFS(allFYsTable[DiffAmount], allFYsTable[Code], SummaryTable[[#This Row],[Code]], allFYsTable[year2], CN$3))</f>
        <v>#N/A</v>
      </c>
      <c r="CT72" s="63" t="e">
        <f>IF(SummaryTable[[#This Row],[OriginalBudget16]]=0, IF(SummaryTable[[#This Row],[DiffAmount16]]=0, ZeroBudgetNoSpending, ZeroBudgetWithSpending), SummaryTable[[#This Row],[DiffAmount16]]/SummaryTable[[#This Row],[OriginalBudget16]])</f>
        <v>#N/A</v>
      </c>
      <c r="CU72" s="62" t="e">
        <f>IF(COUNTIFS(allFYsTable[Code], SummaryTable[[#This Row],[Code]], allFYsTable[year2], CU$3)=0, NotFound, SUMIFS(allFYsTable[OriginalBudget], allFYsTable[Code], SummaryTable[[#This Row],[Code]], allFYsTable[year2], CU$3))</f>
        <v>#N/A</v>
      </c>
      <c r="CV72" s="61" t="e">
        <f>SummaryTable[[#This Row],[OriginalBudget15]]-SummaryTable[[#This Row],[OriginalBudget14]]</f>
        <v>#N/A</v>
      </c>
      <c r="CW72" s="54" t="e">
        <f>SummaryTable[[#This Row],[BudgetIncreaseAmount15]]/SummaryTable[[#This Row],[OriginalBudget14]]</f>
        <v>#N/A</v>
      </c>
      <c r="CX72" s="61" t="e">
        <f>IF(COUNTIFS(allFYsTable[Code], SummaryTable[[#This Row],[Code]], allFYsTable[year2], CU$3)=0, NotFound, SUMIFS(allFYsTable[RevisedBudget], allFYsTable[Code], SummaryTable[[#This Row],[Code]], allFYsTable[year2], CU$3))</f>
        <v>#N/A</v>
      </c>
      <c r="CY72" s="61" t="e">
        <f>IF(COUNTIFS(allFYsTable[Code], SummaryTable[[#This Row],[Code]], allFYsTable[year2], CU$3)=0, NotFound, SUMIFS(allFYsTable[Actual], allFYsTable[Code], SummaryTable[[#This Row],[Code]], allFYsTable[year2], CU$3))</f>
        <v>#N/A</v>
      </c>
      <c r="CZ72" s="61" t="e">
        <f>IF(COUNTIFS(allFYsTable[Code], SummaryTable[[#This Row],[Code]], allFYsTable[year2], CU$3)=0, NotFound, SUMIFS(allFYsTable[DiffAmount], allFYsTable[Code], SummaryTable[[#This Row],[Code]], allFYsTable[year2], CU$3))</f>
        <v>#N/A</v>
      </c>
      <c r="DA72" s="63" t="e">
        <f>IF(SummaryTable[[#This Row],[OriginalBudget15]]=0, IF(SummaryTable[[#This Row],[DiffAmount15]]=0, ZeroBudgetNoSpending, ZeroBudgetWithSpending), SummaryTable[[#This Row],[DiffAmount15]]/SummaryTable[[#This Row],[OriginalBudget15]])</f>
        <v>#N/A</v>
      </c>
      <c r="DB72" s="62" t="e">
        <f>IF(COUNTIFS(allFYsTable[Code], SummaryTable[[#This Row],[Code]], allFYsTable[year2], DB$3)=0, NotFound, SUMIFS(allFYsTable[OriginalBudget], allFYsTable[Code], SummaryTable[[#This Row],[Code]], allFYsTable[year2], DB$3))</f>
        <v>#N/A</v>
      </c>
      <c r="DC72" s="61" t="e">
        <f>SummaryTable[[#This Row],[OriginalBudget14]]-SummaryTable[[#This Row],[OriginalBudget13]]</f>
        <v>#N/A</v>
      </c>
      <c r="DD72" s="54" t="e">
        <f>SummaryTable[[#This Row],[BudgetIncreaseAmount14]]/SummaryTable[[#This Row],[OriginalBudget13]]</f>
        <v>#N/A</v>
      </c>
      <c r="DE72" s="61" t="e">
        <f>IF(COUNTIFS(allFYsTable[Code], SummaryTable[[#This Row],[Code]], allFYsTable[year2], DB$3)=0, NotFound, SUMIFS(allFYsTable[RevisedBudget], allFYsTable[Code], SummaryTable[[#This Row],[Code]], allFYsTable[year2], DB$3))</f>
        <v>#N/A</v>
      </c>
      <c r="DF72" s="61" t="e">
        <f>IF(COUNTIFS(allFYsTable[Code], SummaryTable[[#This Row],[Code]], allFYsTable[year2], DB$3)=0, NotFound, SUMIFS(allFYsTable[Actual], allFYsTable[Code], SummaryTable[[#This Row],[Code]], allFYsTable[year2], DB$3))</f>
        <v>#N/A</v>
      </c>
      <c r="DG72" s="61" t="e">
        <f>IF(COUNTIFS(allFYsTable[Code], SummaryTable[[#This Row],[Code]], allFYsTable[year2], DB$3)=0, NotFound, SUMIFS(allFYsTable[DiffAmount], allFYsTable[Code], SummaryTable[[#This Row],[Code]], allFYsTable[year2], DB$3))</f>
        <v>#N/A</v>
      </c>
      <c r="DH72" s="63" t="e">
        <f>IF(SummaryTable[[#This Row],[OriginalBudget14]]=0, IF(SummaryTable[[#This Row],[DiffAmount14]]=0, ZeroBudgetNoSpending, ZeroBudgetWithSpending), SummaryTable[[#This Row],[DiffAmount14]]/SummaryTable[[#This Row],[OriginalBudget14]])</f>
        <v>#N/A</v>
      </c>
      <c r="DI72" s="62" t="e">
        <f>IF(COUNTIFS(allFYsTable[Code], SummaryTable[[#This Row],[Code]], allFYsTable[year2], DI$3)=0, NotFound, SUMIFS(allFYsTable[OriginalBudget], allFYsTable[Code], SummaryTable[[#This Row],[Code]], allFYsTable[year2], DI$3))</f>
        <v>#N/A</v>
      </c>
      <c r="DJ72" s="61" t="e">
        <f>SummaryTable[[#This Row],[OriginalBudget13]]-SummaryTable[[#This Row],[OriginalBudget12]]</f>
        <v>#N/A</v>
      </c>
      <c r="DK72" s="54" t="e">
        <f>SummaryTable[[#This Row],[BudgetIncreaseAmount13]]/SummaryTable[[#This Row],[OriginalBudget12]]</f>
        <v>#N/A</v>
      </c>
      <c r="DL72" s="61" t="e">
        <f>IF(COUNTIFS(allFYsTable[Code], SummaryTable[[#This Row],[Code]], allFYsTable[year2], DI$3)=0, NotFound, SUMIFS(allFYsTable[RevisedBudget], allFYsTable[Code], SummaryTable[[#This Row],[Code]], allFYsTable[year2], DI$3))</f>
        <v>#N/A</v>
      </c>
      <c r="DM72" s="61" t="e">
        <f>IF(COUNTIFS(allFYsTable[Code], SummaryTable[[#This Row],[Code]], allFYsTable[year2], DI$3)=0, NotFound, SUMIFS(allFYsTable[Actual], allFYsTable[Code], SummaryTable[[#This Row],[Code]], allFYsTable[year2], DI$3))</f>
        <v>#N/A</v>
      </c>
      <c r="DN72" s="61" t="e">
        <f>IF(COUNTIFS(allFYsTable[Code], SummaryTable[[#This Row],[Code]], allFYsTable[year2], DI$3)=0, NotFound, SUMIFS(allFYsTable[DiffAmount], allFYsTable[Code], SummaryTable[[#This Row],[Code]], allFYsTable[year2], DI$3))</f>
        <v>#N/A</v>
      </c>
      <c r="DO72" s="63" t="e">
        <f>IF(SummaryTable[[#This Row],[OriginalBudget13]]=0, IF(SummaryTable[[#This Row],[DiffAmount13]]=0, ZeroBudgetNoSpending, ZeroBudgetWithSpending), SummaryTable[[#This Row],[DiffAmount13]]/SummaryTable[[#This Row],[OriginalBudget13]])</f>
        <v>#N/A</v>
      </c>
      <c r="DP72" s="62" t="e">
        <f>IF(COUNTIFS(allFYsTable[Code], SummaryTable[[#This Row],[Code]], allFYsTable[year2], DP$3)=0, NotFound, SUMIFS(allFYsTable[OriginalBudget], allFYsTable[Code], SummaryTable[[#This Row],[Code]], allFYsTable[year2], DP$3))</f>
        <v>#N/A</v>
      </c>
      <c r="DQ72" s="61" t="e">
        <f>SummaryTable[[#This Row],[OriginalBudget12]]-SummaryTable[[#This Row],[OriginalBudget11]]</f>
        <v>#N/A</v>
      </c>
      <c r="DR72" s="54" t="e">
        <f>SummaryTable[[#This Row],[BudgetIncreaseAmount12]]/SummaryTable[[#This Row],[OriginalBudget11]]</f>
        <v>#N/A</v>
      </c>
      <c r="DS72" s="61" t="e">
        <f>IF(COUNTIFS(allFYsTable[Code], SummaryTable[[#This Row],[Code]], allFYsTable[year2], DP$3)=0, NotFound, SUMIFS(allFYsTable[RevisedBudget], allFYsTable[Code], SummaryTable[[#This Row],[Code]], allFYsTable[year2], DP$3))</f>
        <v>#N/A</v>
      </c>
      <c r="DT72" s="61" t="e">
        <f>IF(COUNTIFS(allFYsTable[Code], SummaryTable[[#This Row],[Code]], allFYsTable[year2], DP$3)=0, NotFound, SUMIFS(allFYsTable[Actual], allFYsTable[Code], SummaryTable[[#This Row],[Code]], allFYsTable[year2], DP$3))</f>
        <v>#N/A</v>
      </c>
      <c r="DU72" s="61" t="e">
        <f>IF(COUNTIFS(allFYsTable[Code], SummaryTable[[#This Row],[Code]], allFYsTable[year2], DP$3)=0, NotFound, SUMIFS(allFYsTable[DiffAmount], allFYsTable[Code], SummaryTable[[#This Row],[Code]], allFYsTable[year2], DP$3))</f>
        <v>#N/A</v>
      </c>
      <c r="DV72" s="63" t="e">
        <f>IF(SummaryTable[[#This Row],[OriginalBudget12]]=0, IF(SummaryTable[[#This Row],[DiffAmount12]]=0, ZeroBudgetNoSpending, ZeroBudgetWithSpending), SummaryTable[[#This Row],[DiffAmount12]]/SummaryTable[[#This Row],[OriginalBudget12]])</f>
        <v>#N/A</v>
      </c>
      <c r="DW72" s="62" t="e">
        <f>IF(COUNTIFS(allFYsTable[Code], SummaryTable[[#This Row],[Code]], allFYsTable[year2], DW$3)=0, NotFound, SUMIFS(allFYsTable[OriginalBudget], allFYsTable[Code], SummaryTable[[#This Row],[Code]], allFYsTable[year2], DW$3))</f>
        <v>#N/A</v>
      </c>
      <c r="DX72" s="61" t="e">
        <f>SummaryTable[[#This Row],[OriginalBudget11]]-SummaryTable[[#This Row],[OriginalBudget10]]</f>
        <v>#N/A</v>
      </c>
      <c r="DY72" s="54" t="e">
        <f>SummaryTable[[#This Row],[BudgetIncreaseAmount11]]/SummaryTable[[#This Row],[OriginalBudget10]]</f>
        <v>#N/A</v>
      </c>
      <c r="DZ72" s="61" t="e">
        <f>IF(COUNTIFS(allFYsTable[Code], SummaryTable[[#This Row],[Code]], allFYsTable[year2], DW$3)=0, NotFound, SUMIFS(allFYsTable[RevisedBudget], allFYsTable[Code], SummaryTable[[#This Row],[Code]], allFYsTable[year2], DW$3))</f>
        <v>#N/A</v>
      </c>
      <c r="EA72" s="61" t="e">
        <f>IF(COUNTIFS(allFYsTable[Code], SummaryTable[[#This Row],[Code]], allFYsTable[year2], DW$3)=0, NotFound, SUMIFS(allFYsTable[Actual], allFYsTable[Code], SummaryTable[[#This Row],[Code]], allFYsTable[year2], DW$3))</f>
        <v>#N/A</v>
      </c>
      <c r="EB72" s="61" t="e">
        <f>IF(COUNTIFS(allFYsTable[Code], SummaryTable[[#This Row],[Code]], allFYsTable[year2], DW$3)=0, NotFound, SUMIFS(allFYsTable[DiffAmount], allFYsTable[Code], SummaryTable[[#This Row],[Code]], allFYsTable[year2], DW$3))</f>
        <v>#N/A</v>
      </c>
      <c r="EC72" s="63" t="e">
        <f>IF(SummaryTable[[#This Row],[OriginalBudget11]]=0, IF(SummaryTable[[#This Row],[DiffAmount11]]=0, ZeroBudgetNoSpending, ZeroBudgetWithSpending), SummaryTable[[#This Row],[DiffAmount11]]/SummaryTable[[#This Row],[OriginalBudget11]])</f>
        <v>#N/A</v>
      </c>
      <c r="ED72" s="62" t="e">
        <f>IF(COUNTIFS(allFYsTable[Code], SummaryTable[[#This Row],[Code]], allFYsTable[year2], ED$3)=0, NotFound, SUMIFS(allFYsTable[OriginalBudget], allFYsTable[Code], SummaryTable[[#This Row],[Code]], allFYsTable[year2], ED$3))</f>
        <v>#N/A</v>
      </c>
      <c r="EE72" s="61" t="e">
        <f>SummaryTable[[#This Row],[OriginalBudget10]]-SummaryTable[[#This Row],[OriginalBudget09]]</f>
        <v>#N/A</v>
      </c>
      <c r="EF72" s="54" t="e">
        <f>SummaryTable[[#This Row],[BudgetIncreaseAmount10]]/SummaryTable[[#This Row],[OriginalBudget09]]</f>
        <v>#N/A</v>
      </c>
      <c r="EG72" s="61" t="e">
        <f>IF(COUNTIFS(allFYsTable[Code], SummaryTable[[#This Row],[Code]], allFYsTable[year2], ED$3)=0, NotFound, SUMIFS(allFYsTable[RevisedBudget], allFYsTable[Code], SummaryTable[[#This Row],[Code]], allFYsTable[year2], ED$3))</f>
        <v>#N/A</v>
      </c>
      <c r="EH72" s="61" t="e">
        <f>IF(COUNTIFS(allFYsTable[Code], SummaryTable[[#This Row],[Code]], allFYsTable[year2], ED$3)=0, NotFound, SUMIFS(allFYsTable[Actual], allFYsTable[Code], SummaryTable[[#This Row],[Code]], allFYsTable[year2], ED$3))</f>
        <v>#N/A</v>
      </c>
      <c r="EI72" s="61" t="e">
        <f>IF(COUNTIFS(allFYsTable[Code], SummaryTable[[#This Row],[Code]], allFYsTable[year2], ED$3)=0, NotFound, SUMIFS(allFYsTable[DiffAmount], allFYsTable[Code], SummaryTable[[#This Row],[Code]], allFYsTable[year2], ED$3))</f>
        <v>#N/A</v>
      </c>
      <c r="EJ72" s="63" t="e">
        <f>IF(SummaryTable[[#This Row],[OriginalBudget10]]=0, IF(SummaryTable[[#This Row],[DiffAmount10]]=0, ZeroBudgetNoSpending, ZeroBudgetWithSpending), SummaryTable[[#This Row],[DiffAmount10]]/SummaryTable[[#This Row],[OriginalBudget10]])</f>
        <v>#N/A</v>
      </c>
      <c r="EK72" s="62" t="e">
        <f>IF(COUNTIFS(allFYsTable[Code], SummaryTable[[#This Row],[Code]], allFYsTable[year2], EK$3)=0, NotFound, SUMIFS(allFYsTable[OriginalBudget], allFYsTable[Code], SummaryTable[[#This Row],[Code]], allFYsTable[year2], EK$3))</f>
        <v>#N/A</v>
      </c>
      <c r="EL72" s="61" t="e">
        <f>SummaryTable[[#This Row],[OriginalBudget09]]-SummaryTable[[#This Row],[OriginalBudget08]]</f>
        <v>#N/A</v>
      </c>
      <c r="EM72" s="54" t="e">
        <f>SummaryTable[[#This Row],[BudgetIncreaseAmount09]]/SummaryTable[[#This Row],[OriginalBudget08]]</f>
        <v>#N/A</v>
      </c>
      <c r="EN72" s="61" t="e">
        <f>IF(COUNTIFS(allFYsTable[Code], SummaryTable[[#This Row],[Code]], allFYsTable[year2], EK$3)=0, NotFound, SUMIFS(allFYsTable[RevisedBudget], allFYsTable[Code], SummaryTable[[#This Row],[Code]], allFYsTable[year2], EK$3))</f>
        <v>#N/A</v>
      </c>
      <c r="EO72" s="61" t="e">
        <f>IF(COUNTIFS(allFYsTable[Code], SummaryTable[[#This Row],[Code]], allFYsTable[year2], EK$3)=0, NotFound, SUMIFS(allFYsTable[Actual], allFYsTable[Code], SummaryTable[[#This Row],[Code]], allFYsTable[year2], EK$3))</f>
        <v>#N/A</v>
      </c>
      <c r="EP72" s="61" t="e">
        <f>IF(COUNTIFS(allFYsTable[Code], SummaryTable[[#This Row],[Code]], allFYsTable[year2], EK$3)=0, NotFound, SUMIFS(allFYsTable[DiffAmount], allFYsTable[Code], SummaryTable[[#This Row],[Code]], allFYsTable[year2], EK$3))</f>
        <v>#N/A</v>
      </c>
      <c r="EQ72" s="63" t="e">
        <f>IF(SummaryTable[[#This Row],[OriginalBudget09]]=0, IF(SummaryTable[[#This Row],[DiffAmount09]]=0, ZeroBudgetNoSpending, ZeroBudgetWithSpending), SummaryTable[[#This Row],[DiffAmount09]]/SummaryTable[[#This Row],[OriginalBudget09]])</f>
        <v>#N/A</v>
      </c>
      <c r="ER72" s="62" t="e">
        <f>IF(COUNTIFS(allFYsTable[Code], SummaryTable[[#This Row],[Code]], allFYsTable[year2], ER$3)=0, NotFound, SUMIFS(allFYsTable[OriginalBudget], allFYsTable[Code], SummaryTable[[#This Row],[Code]], allFYsTable[year2], ER$3))</f>
        <v>#N/A</v>
      </c>
      <c r="ES72" s="61" t="e">
        <f>SummaryTable[[#This Row],[OriginalBudget08]]-SummaryTable[[#This Row],[OriginalBudget07]]</f>
        <v>#N/A</v>
      </c>
      <c r="ET72" s="54" t="e">
        <f>SummaryTable[[#This Row],[BudgetIncreaseAmount08]]/SummaryTable[[#This Row],[OriginalBudget07]]</f>
        <v>#N/A</v>
      </c>
      <c r="EU72" s="61" t="e">
        <f>IF(COUNTIFS(allFYsTable[Code], SummaryTable[[#This Row],[Code]], allFYsTable[year2], ER$3)=0, NotFound, SUMIFS(allFYsTable[RevisedBudget], allFYsTable[Code], SummaryTable[[#This Row],[Code]], allFYsTable[year2], ER$3))</f>
        <v>#N/A</v>
      </c>
      <c r="EV72" s="61" t="e">
        <f>IF(COUNTIFS(allFYsTable[Code], SummaryTable[[#This Row],[Code]], allFYsTable[year2], ER$3)=0, NotFound, SUMIFS(allFYsTable[Actual], allFYsTable[Code], SummaryTable[[#This Row],[Code]], allFYsTable[year2], ER$3))</f>
        <v>#N/A</v>
      </c>
      <c r="EW72" s="61" t="e">
        <f>IF(COUNTIFS(allFYsTable[Code], SummaryTable[[#This Row],[Code]], allFYsTable[year2], ER$3)=0, NotFound, SUMIFS(allFYsTable[DiffAmount], allFYsTable[Code], SummaryTable[[#This Row],[Code]], allFYsTable[year2], ER$3))</f>
        <v>#N/A</v>
      </c>
      <c r="EX72" s="63" t="e">
        <f>IF(SummaryTable[[#This Row],[OriginalBudget08]]=0, IF(SummaryTable[[#This Row],[DiffAmount08]]=0, ZeroBudgetNoSpending, ZeroBudgetWithSpending), SummaryTable[[#This Row],[DiffAmount08]]/SummaryTable[[#This Row],[OriginalBudget08]])</f>
        <v>#N/A</v>
      </c>
      <c r="EY72" s="62" t="e">
        <f>IF(COUNTIFS(allFYsTable[Code], SummaryTable[[#This Row],[Code]], allFYsTable[year2], EY$3)=0, NotFound, SUMIFS(allFYsTable[OriginalBudget], allFYsTable[Code], SummaryTable[[#This Row],[Code]], allFYsTable[year2], EY$3))</f>
        <v>#N/A</v>
      </c>
      <c r="EZ72" s="61" t="e">
        <f>SummaryTable[[#This Row],[OriginalBudget07]]-SummaryTable[[#This Row],[OriginalBudget06]]</f>
        <v>#N/A</v>
      </c>
      <c r="FA72" s="54" t="e">
        <f>SummaryTable[[#This Row],[BudgetIncreaseAmount07]]/SummaryTable[[#This Row],[OriginalBudget06]]</f>
        <v>#N/A</v>
      </c>
      <c r="FB72" s="61" t="e">
        <f>IF(COUNTIFS(allFYsTable[Code], SummaryTable[[#This Row],[Code]], allFYsTable[year2], EY$3)=0, NotFound, SUMIFS(allFYsTable[RevisedBudget], allFYsTable[Code], SummaryTable[[#This Row],[Code]], allFYsTable[year2], EY$3))</f>
        <v>#N/A</v>
      </c>
      <c r="FC72" s="61" t="e">
        <f>IF(COUNTIFS(allFYsTable[Code], SummaryTable[[#This Row],[Code]], allFYsTable[year2], EY$3)=0, NotFound, SUMIFS(allFYsTable[Actual], allFYsTable[Code], SummaryTable[[#This Row],[Code]], allFYsTable[year2], EY$3))</f>
        <v>#N/A</v>
      </c>
      <c r="FD72" s="61" t="e">
        <f>IF(COUNTIFS(allFYsTable[Code], SummaryTable[[#This Row],[Code]], allFYsTable[year2], EY$3)=0, NotFound, SUMIFS(allFYsTable[DiffAmount], allFYsTable[Code], SummaryTable[[#This Row],[Code]], allFYsTable[year2], EY$3))</f>
        <v>#N/A</v>
      </c>
      <c r="FE72" s="63" t="e">
        <f>IF(SummaryTable[[#This Row],[OriginalBudget07]]=0, IF(SummaryTable[[#This Row],[DiffAmount07]]=0, ZeroBudgetNoSpending, ZeroBudgetWithSpending), SummaryTable[[#This Row],[DiffAmount07]]/SummaryTable[[#This Row],[OriginalBudget07]])</f>
        <v>#N/A</v>
      </c>
      <c r="FF72" s="62" t="e">
        <f>IF(COUNTIFS(allFYsTable[Code], SummaryTable[[#This Row],[Code]], allFYsTable[year2], FF$3)=0, NotFound, SUMIFS(allFYsTable[OriginalBudget], allFYsTable[Code], SummaryTable[[#This Row],[Code]], allFYsTable[year2], FF$3))</f>
        <v>#N/A</v>
      </c>
      <c r="FI72" s="61" t="e">
        <f>IF(COUNTIFS(allFYsTable[Code], SummaryTable[[#This Row],[Code]], allFYsTable[year2], FF$3)=0, NotFound, SUMIFS(allFYsTable[RevisedBudget], allFYsTable[Code], SummaryTable[[#This Row],[Code]], allFYsTable[year2], FF$3))</f>
        <v>#N/A</v>
      </c>
      <c r="FJ72" s="61" t="e">
        <f>IF(COUNTIFS(allFYsTable[Code], SummaryTable[[#This Row],[Code]], allFYsTable[year2], FF$3)=0, NotFound, SUMIFS(allFYsTable[Actual], allFYsTable[Code], SummaryTable[[#This Row],[Code]], allFYsTable[year2], FF$3))</f>
        <v>#N/A</v>
      </c>
      <c r="FK72" s="61" t="e">
        <f>IF(COUNTIFS(allFYsTable[Code], SummaryTable[[#This Row],[Code]], allFYsTable[year2], FF$3)=0, NotFound, SUMIFS(allFYsTable[DiffAmount], allFYsTable[Code], SummaryTable[[#This Row],[Code]], allFYsTable[year2], FF$3))</f>
        <v>#N/A</v>
      </c>
      <c r="FL72" s="63" t="e">
        <f>IF(SummaryTable[[#This Row],[OriginalBudget06]]=0, IF(SummaryTable[[#This Row],[DiffAmount06]]=0, ZeroBudgetNoSpending, ZeroBudgetWithSpending), SummaryTable[[#This Row],[DiffAmount06]]/SummaryTable[[#This Row],[OriginalBudget06]])</f>
        <v>#N/A</v>
      </c>
    </row>
    <row r="73" spans="1:168" x14ac:dyDescent="0.45">
      <c r="A73" t="s">
        <v>759</v>
      </c>
      <c r="B73">
        <f>_xlfn.MAXIFS(allFYsTable[year2], allFYsTable[Code], SummaryTable[[#This Row],[Code]])</f>
        <v>2025</v>
      </c>
      <c r="C73" t="str">
        <f>_xlfn.XLOOKUP(SummaryTable[[#This Row],[Code]], NameCodingTable[Code], NameCodingTable[Most Recent Category per allFYs])</f>
        <v>Public safety and justice</v>
      </c>
      <c r="D73" t="str">
        <f>_xlfn.XLOOKUP(SummaryTable[[#This Row],[Code]], NameCodingTable[Code], NameCodingTable[Unit Display Name])</f>
        <v>Office of Administrative Hearings (OAH)</v>
      </c>
      <c r="E73" t="str">
        <f>_xlfn.XLOOKUP(SummaryTable[[#This Row],[Code]], NameCodingTable[Code], NameCodingTable[Type])</f>
        <v>agency</v>
      </c>
      <c r="F7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7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73" s="54">
        <f>SummaryTable[[#This Row],['# Over]]/SummaryTable[[#This Row],[Count]]</f>
        <v>0.1</v>
      </c>
      <c r="I7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18</v>
      </c>
      <c r="J73" s="54">
        <f>SummaryTable[[#This Row],['# Under]]/SummaryTable[[#This Row],[Count]]</f>
        <v>0.9</v>
      </c>
      <c r="K7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73" s="54">
        <f>SummaryTable[[#This Row],['# Equal]]/SummaryTable[[#This Row],[Count]]</f>
        <v>0</v>
      </c>
      <c r="M73" s="61">
        <f>SUMIFS(allFYsTable[OriginalBudget],allFYsTable[Code],SummaryTable[[#This Row],[Code]])/SummaryTable[[#This Row],[Count]]</f>
        <v>9180.9500000000007</v>
      </c>
      <c r="N73" s="61">
        <f>SUMIFS(allFYsTable[Actual],allFYsTable[Code],SummaryTable[[#This Row],[Code]])/SummaryTable[[#This Row],[Count]]</f>
        <v>8475.75</v>
      </c>
      <c r="O73" s="61">
        <f>SummaryTable[[#This Row],[AvgActAmt]]-SummaryTable[[#This Row],[AvgBudAmt]]</f>
        <v>-705.20000000000073</v>
      </c>
      <c r="P73" s="54">
        <f>IF(SummaryTable[[#This Row],[AvgBudAmt]]=0, IF(SummaryTable[[#This Row],[AvgDiff'#]]=0, 0, NamedFields!$C$3), SummaryTable[[#This Row],[AvgDiff'#]]/SummaryTable[[#This Row],[AvgBudAmt]])</f>
        <v>-7.6811223239425186E-2</v>
      </c>
      <c r="Q73" s="61">
        <f>IFERROR(SUMIFS(allFYsTable[OriginalBudget],allFYsTable[Code],SummaryTable[[#This Row],[Code]],allFYsTable[DiffAmount], "&gt;0")/SummaryTable[[#This Row],['# Over]], 0)</f>
        <v>8322</v>
      </c>
      <c r="R73" s="61">
        <f>IFERROR(SUMIFS(allFYsTable[Actual],allFYsTable[Code],SummaryTable[[#This Row],[Code]],allFYsTable[DiffAmount], "&gt;0")/SummaryTable[[#This Row],['# Over]], 0)</f>
        <v>8453.5</v>
      </c>
      <c r="S73" s="61">
        <f>SummaryTable[[#This Row],[OverAvgAct]]-SummaryTable[[#This Row],[OverAvgBud]]</f>
        <v>131.5</v>
      </c>
      <c r="T73" s="54">
        <f>IF(SummaryTable[[#This Row],[OverAvgBud]]=0, IF(SummaryTable[[#This Row],[OverAvgDiff'#]]=0, ZeroBudgetNoSpending, ZeroBudgetWithSpending), SummaryTable[[#This Row],[OverAvgDiff'#]]/SummaryTable[[#This Row],[OverAvgBud]])</f>
        <v>1.5801490026435952E-2</v>
      </c>
      <c r="U73" s="61">
        <f>IFERROR(SUMIFS(allFYsTable[OriginalBudget],allFYsTable[Code],SummaryTable[[#This Row],[Code]],allFYsTable[DiffAmount], "&lt;0")/SummaryTable[[#This Row],['# Under]], 0)</f>
        <v>9276.3888888888887</v>
      </c>
      <c r="V73" s="61">
        <f>IFERROR( SUMIFS(allFYsTable[Actual],allFYsTable[Code],SummaryTable[[#This Row],[Code]],allFYsTable[DiffAmount], "&lt;0")/SummaryTable[[#This Row],['# Under]], 0)</f>
        <v>8478.2222222222226</v>
      </c>
      <c r="W73" s="61">
        <f>SummaryTable[[#This Row],[UnderAvgAct]]-SummaryTable[[#This Row],[UnderAvgBud]]</f>
        <v>-798.16666666666606</v>
      </c>
      <c r="X73" s="54">
        <f>IF(SummaryTable[[#This Row],[UnderAvgBud]]=0, IF(SummaryTable[[#This Row],[UnderAvgDiff'#]]=0, ZeroBudgetNoSpending, NamedFields!$C$3), SummaryTable[[#This Row],[UnderAvgDiff'#]]/SummaryTable[[#This Row],[UnderAvgBud]])</f>
        <v>-8.6042820781554064E-2</v>
      </c>
      <c r="Y7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7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73" s="54">
        <f>IF(SummaryTable[[#This Row],[IncreaseYears]]=0, ZeroBudgetNoSpending, SummaryTable[[#This Row],[OSinIncreaseYear'#]]/SummaryTable[[#This Row],[IncreaseYears]])</f>
        <v>0</v>
      </c>
      <c r="AB73" s="58" t="str">
        <f>SummaryTable[[#This Row],[Code]]</f>
        <v>FS0</v>
      </c>
      <c r="AC73" s="62">
        <f>IF(COUNTIFS(allFYsTable[Code], SummaryTable[[#This Row],[Code]], allFYsTable[year2], AC$3)=0, NotFound, SUMIFS(allFYsTable[OriginalBudget], allFYsTable[Code], SummaryTable[[#This Row],[Code]], allFYsTable[year2], AC$3))</f>
        <v>11759</v>
      </c>
      <c r="AD73" s="61">
        <f>SummaryTable[[#This Row],[OriginalBudget25]]-SummaryTable[[#This Row],[OriginalBudget24]]</f>
        <v>-266</v>
      </c>
      <c r="AE73" s="54">
        <f>SummaryTable[[#This Row],[BudgetIncreaseAmount25]]/SummaryTable[[#This Row],[OriginalBudget24]]</f>
        <v>-2.212058212058212E-2</v>
      </c>
      <c r="AF73" s="61">
        <f>IF(COUNTIFS(allFYsTable[Code], SummaryTable[[#This Row],[Code]], allFYsTable[year2], AC$3)=0, NotFound, SUMIFS(allFYsTable[RevisedBudget], allFYsTable[Code], SummaryTable[[#This Row],[Code]], allFYsTable[year2], AC$3))</f>
        <v>11707</v>
      </c>
      <c r="AG73" s="61">
        <f>IF(COUNTIFS(allFYsTable[Code], SummaryTable[[#This Row],[Code]], allFYsTable[year2], AC$3)=0, NotFound, SUMIFS(allFYsTable[Actual], allFYsTable[Code], SummaryTable[[#This Row],[Code]], allFYsTable[year2], AC$3))</f>
        <v>11126</v>
      </c>
      <c r="AH73" s="61">
        <f>IF(COUNTIFS(allFYsTable[Code], SummaryTable[[#This Row],[Code]], allFYsTable[year2], AC$3)=0, NotFound, SUMIFS(allFYsTable[DiffAmount], allFYsTable[Code], SummaryTable[[#This Row],[Code]], allFYsTable[year2], AC$3))</f>
        <v>-633</v>
      </c>
      <c r="AI73" s="63">
        <f>IF(SummaryTable[[#This Row],[OriginalBudget25]]=0, IF(SummaryTable[[#This Row],[DiffAmount25]]=0, ZeroBudgetNoSpending, ZeroBudgetWithSpending), SummaryTable[[#This Row],[DiffAmount25]]/SummaryTable[[#This Row],[OriginalBudget25]])</f>
        <v>-5.3831108087422398E-2</v>
      </c>
      <c r="AJ73" s="62">
        <f>IF(COUNTIFS(allFYsTable[Code], SummaryTable[[#This Row],[Code]], allFYsTable[year2], AJ$3)=0, NotFound, SUMIFS(allFYsTable[OriginalBudget], allFYsTable[Code], SummaryTable[[#This Row],[Code]], allFYsTable[year2], AJ$3))</f>
        <v>12025</v>
      </c>
      <c r="AK73" s="61">
        <f>SummaryTable[[#This Row],[OriginalBudget24]]-SummaryTable[[#This Row],[OriginalBudget23]]</f>
        <v>334</v>
      </c>
      <c r="AL73" s="54">
        <f>SummaryTable[[#This Row],[BudgetIncreaseAmount24]]/SummaryTable[[#This Row],[OriginalBudget23]]</f>
        <v>2.8568984689077068E-2</v>
      </c>
      <c r="AM73" s="61">
        <f>IF(COUNTIFS(allFYsTable[Code], SummaryTable[[#This Row],[Code]], allFYsTable[year2], AK$3)=0, NotFound, SUMIFS(allFYsTable[RevisedBudget], allFYsTable[Code], SummaryTable[[#This Row],[Code]], allFYsTable[year2], AJ$3))</f>
        <v>11000</v>
      </c>
      <c r="AN73" s="61">
        <f>IF(COUNTIFS(allFYsTable[Code], SummaryTable[[#This Row],[Code]], allFYsTable[year2], AJ$3)=0, NotFound, SUMIFS(allFYsTable[Actual], allFYsTable[Code], SummaryTable[[#This Row],[Code]], allFYsTable[year2], AJ$3))</f>
        <v>10862</v>
      </c>
      <c r="AO73" s="61">
        <f>IF(COUNTIFS(allFYsTable[Code], SummaryTable[[#This Row],[Code]], allFYsTable[year2], AJ$3)=0, NotFound, SUMIFS(allFYsTable[DiffAmount], allFYsTable[Code], SummaryTable[[#This Row],[Code]], allFYsTable[year2], AJ$3))</f>
        <v>-1163</v>
      </c>
      <c r="AP73" s="63">
        <f>IF(SummaryTable[[#This Row],[OriginalBudget24]]=0, IF(SummaryTable[[#This Row],[DiffAmount24]]=0, ZeroBudgetNoSpending, ZeroBudgetWithSpending), SummaryTable[[#This Row],[DiffAmount24]]/SummaryTable[[#This Row],[OriginalBudget24]])</f>
        <v>-9.6715176715176709E-2</v>
      </c>
      <c r="AQ73" s="62">
        <f>IF(COUNTIFS(allFYsTable[Code], SummaryTable[[#This Row],[Code]], allFYsTable[year2], AQ$3)=0, NotFound, SUMIFS(allFYsTable[OriginalBudget], allFYsTable[Code], SummaryTable[[#This Row],[Code]], allFYsTable[year2], AQ$3))</f>
        <v>11691</v>
      </c>
      <c r="AR73" s="61">
        <f>SummaryTable[[#This Row],[OriginalBudget23]]-SummaryTable[[#This Row],[OriginalBudget22]]</f>
        <v>906</v>
      </c>
      <c r="AS73" s="54">
        <f>SummaryTable[[#This Row],[BudgetIncreaseAmount23]]/SummaryTable[[#This Row],[OriginalBudget22]]</f>
        <v>8.4005563282336576E-2</v>
      </c>
      <c r="AT73" s="61">
        <f>IF(COUNTIFS(allFYsTable[Code], SummaryTable[[#This Row],[Code]], allFYsTable[year2], AQ$3)=0, NotFound, SUMIFS(allFYsTable[RevisedBudget], allFYsTable[Code], SummaryTable[[#This Row],[Code]], allFYsTable[year2], AQ$3))</f>
        <v>11195</v>
      </c>
      <c r="AU73" s="61">
        <f>IF(COUNTIFS(allFYsTable[Code], SummaryTable[[#This Row],[Code]], allFYsTable[year2], AQ$3)=0, NotFound, SUMIFS(allFYsTable[Actual], allFYsTable[Code], SummaryTable[[#This Row],[Code]], allFYsTable[year2], AQ$3))</f>
        <v>10773</v>
      </c>
      <c r="AV73" s="61">
        <f>IF(COUNTIFS(allFYsTable[Code], SummaryTable[[#This Row],[Code]], allFYsTable[year2], AQ$3)=0, NotFound, SUMIFS(allFYsTable[DiffAmount], allFYsTable[Code], SummaryTable[[#This Row],[Code]], allFYsTable[year2], AQ$3))</f>
        <v>-918</v>
      </c>
      <c r="AW73" s="63">
        <f>IF(SummaryTable[[#This Row],[OriginalBudget23]]=0, IF(SummaryTable[[#This Row],[DiffAmount23]]=0, ZeroBudgetNoSpending, ZeroBudgetWithSpending), SummaryTable[[#This Row],[DiffAmount23]]/SummaryTable[[#This Row],[OriginalBudget23]])</f>
        <v>-7.8521939953810627E-2</v>
      </c>
      <c r="AX73" s="62">
        <f>IF(COUNTIFS(allFYsTable[Code], SummaryTable[[#This Row],[Code]], allFYsTable[year2], AX$3)=0, NotFound, SUMIFS(allFYsTable[OriginalBudget], allFYsTable[Code], SummaryTable[[#This Row],[Code]], allFYsTable[year2], AX$3))</f>
        <v>10785</v>
      </c>
      <c r="AY73" s="61">
        <f>SummaryTable[[#This Row],[OriginalBudget22]]-SummaryTable[[#This Row],[OriginalBudget21]]</f>
        <v>462</v>
      </c>
      <c r="AZ73" s="54">
        <f>SummaryTable[[#This Row],[BudgetIncreaseAmount22]]/SummaryTable[[#This Row],[OriginalBudget21]]</f>
        <v>4.4754431851206047E-2</v>
      </c>
      <c r="BA73" s="61">
        <f>IF(COUNTIFS(allFYsTable[Code], SummaryTable[[#This Row],[Code]], allFYsTable[year2], AX$3)=0, NotFound, SUMIFS(allFYsTable[RevisedBudget], allFYsTable[Code], SummaryTable[[#This Row],[Code]], allFYsTable[year2], AX$3))</f>
        <v>9792</v>
      </c>
      <c r="BB73" s="61">
        <f>IF(COUNTIFS(allFYsTable[Code], SummaryTable[[#This Row],[Code]], allFYsTable[year2], AX$3)=0, NotFound, SUMIFS(allFYsTable[Actual], allFYsTable[Code], SummaryTable[[#This Row],[Code]], allFYsTable[year2], AX$3))</f>
        <v>9595</v>
      </c>
      <c r="BC73" s="61">
        <f>IF(COUNTIFS(allFYsTable[Code], SummaryTable[[#This Row],[Code]], allFYsTable[year2], AX$3)=0, NotFound, SUMIFS(allFYsTable[DiffAmount], allFYsTable[Code], SummaryTable[[#This Row],[Code]], allFYsTable[year2], AX$3))</f>
        <v>-1190</v>
      </c>
      <c r="BD73" s="63">
        <f>IF(SummaryTable[[#This Row],[OriginalBudget22]]=0, IF(SummaryTable[[#This Row],[DiffAmount22]]=0, ZeroBudgetNoSpending, ZeroBudgetWithSpending), SummaryTable[[#This Row],[DiffAmount22]]/SummaryTable[[#This Row],[OriginalBudget22]])</f>
        <v>-0.11033843300880854</v>
      </c>
      <c r="BE73" s="62">
        <f>IF(COUNTIFS(allFYsTable[Code], SummaryTable[[#This Row],[Code]], allFYsTable[year2], BE$3)=0, NotFound, SUMIFS(allFYsTable[OriginalBudget], allFYsTable[Code], SummaryTable[[#This Row],[Code]], allFYsTable[year2], BE$3))</f>
        <v>10323</v>
      </c>
      <c r="BF73" s="61">
        <f>SummaryTable[[#This Row],[OriginalBudget21]]-SummaryTable[[#This Row],[OriginalBudget20]]</f>
        <v>38</v>
      </c>
      <c r="BG73" s="54">
        <f>SummaryTable[[#This Row],[BudgetIncreaseAmount21]]/SummaryTable[[#This Row],[OriginalBudget20]]</f>
        <v>3.6947010209042296E-3</v>
      </c>
      <c r="BH73" s="61">
        <f>IF(COUNTIFS(allFYsTable[Code], SummaryTable[[#This Row],[Code]], allFYsTable[year2], BE$3)=0, NotFound, SUMIFS(allFYsTable[RevisedBudget], allFYsTable[Code], SummaryTable[[#This Row],[Code]], allFYsTable[year2], BE$3))</f>
        <v>9760</v>
      </c>
      <c r="BI73" s="61">
        <f>IF(COUNTIFS(allFYsTable[Code], SummaryTable[[#This Row],[Code]], allFYsTable[year2], BE$3)=0, NotFound, SUMIFS(allFYsTable[Actual], allFYsTable[Code], SummaryTable[[#This Row],[Code]], allFYsTable[year2], BE$3))</f>
        <v>9615</v>
      </c>
      <c r="BJ73" s="61">
        <f>IF(COUNTIFS(allFYsTable[Code], SummaryTable[[#This Row],[Code]], allFYsTable[year2], BE$3)=0, NotFound, SUMIFS(allFYsTable[DiffAmount], allFYsTable[Code], SummaryTable[[#This Row],[Code]], allFYsTable[year2], BE$3))</f>
        <v>-708</v>
      </c>
      <c r="BK73" s="63">
        <f>IF(SummaryTable[[#This Row],[OriginalBudget21]]=0, IF(SummaryTable[[#This Row],[DiffAmount21]]=0, ZeroBudgetNoSpending, ZeroBudgetWithSpending), SummaryTable[[#This Row],[DiffAmount21]]/SummaryTable[[#This Row],[OriginalBudget21]])</f>
        <v>-6.858471374600407E-2</v>
      </c>
      <c r="BL73" s="62">
        <f>IF(COUNTIFS(allFYsTable[Code], SummaryTable[[#This Row],[Code]], allFYsTable[year2], BL$3)=0, NotFound, SUMIFS(allFYsTable[OriginalBudget], allFYsTable[Code], SummaryTable[[#This Row],[Code]], allFYsTable[year2], BL$3))</f>
        <v>10285</v>
      </c>
      <c r="BM73" s="61">
        <f>SummaryTable[[#This Row],[OriginalBudget20]]-SummaryTable[[#This Row],[OriginalBudget19]]</f>
        <v>150</v>
      </c>
      <c r="BN73" s="54">
        <f>SummaryTable[[#This Row],[BudgetIncreaseAmount20]]/SummaryTable[[#This Row],[OriginalBudget19]]</f>
        <v>1.480019733596448E-2</v>
      </c>
      <c r="BO73" s="61">
        <f>IF(COUNTIFS(allFYsTable[Code], SummaryTable[[#This Row],[Code]], allFYsTable[year2], BL$3)=0, NotFound, SUMIFS(allFYsTable[RevisedBudget], allFYsTable[Code], SummaryTable[[#This Row],[Code]], allFYsTable[year2], BL$3))</f>
        <v>9904</v>
      </c>
      <c r="BP73" s="61">
        <f>IF(COUNTIFS(allFYsTable[Code], SummaryTable[[#This Row],[Code]], allFYsTable[year2], BL$3)=0, NotFound, SUMIFS(allFYsTable[Actual], allFYsTable[Code], SummaryTable[[#This Row],[Code]], allFYsTable[year2], BL$3))</f>
        <v>9726</v>
      </c>
      <c r="BQ73" s="61">
        <f>IF(COUNTIFS(allFYsTable[Code], SummaryTable[[#This Row],[Code]], allFYsTable[year2], BL$3)=0, NotFound, SUMIFS(allFYsTable[DiffAmount], allFYsTable[Code], SummaryTable[[#This Row],[Code]], allFYsTable[year2], BL$3))</f>
        <v>-559</v>
      </c>
      <c r="BR73" s="63">
        <f>IF(SummaryTable[[#This Row],[OriginalBudget20]]=0, IF(SummaryTable[[#This Row],[DiffAmount20]]=0, ZeroBudgetNoSpending, ZeroBudgetWithSpending), SummaryTable[[#This Row],[DiffAmount20]]/SummaryTable[[#This Row],[OriginalBudget20]])</f>
        <v>-5.4350996596985904E-2</v>
      </c>
      <c r="BS73" s="62">
        <f>IF(COUNTIFS(allFYsTable[Code], SummaryTable[[#This Row],[Code]], allFYsTable[year2], BS$3)=0, NotFound, SUMIFS(allFYsTable[OriginalBudget], allFYsTable[Code], SummaryTable[[#This Row],[Code]], allFYsTable[year2], BS$3))</f>
        <v>10135</v>
      </c>
      <c r="BT73" s="61">
        <f>SummaryTable[[#This Row],[OriginalBudget19]]-SummaryTable[[#This Row],[OriginalBudget18]]</f>
        <v>126</v>
      </c>
      <c r="BU73" s="54">
        <f>SummaryTable[[#This Row],[BudgetIncreaseAmount19]]/SummaryTable[[#This Row],[OriginalBudget18]]</f>
        <v>1.258867019682286E-2</v>
      </c>
      <c r="BV73" s="61">
        <f>IF(COUNTIFS(allFYsTable[Code], SummaryTable[[#This Row],[Code]], allFYsTable[year2], BS$3)=0, NotFound, SUMIFS(allFYsTable[RevisedBudget], allFYsTable[Code], SummaryTable[[#This Row],[Code]], allFYsTable[year2], BS$3))</f>
        <v>9329</v>
      </c>
      <c r="BW73" s="61">
        <f>IF(COUNTIFS(allFYsTable[Code], SummaryTable[[#This Row],[Code]], allFYsTable[year2], BS$3)=0, NotFound, SUMIFS(allFYsTable[Actual], allFYsTable[Code], SummaryTable[[#This Row],[Code]], allFYsTable[year2], BS$3))</f>
        <v>9244</v>
      </c>
      <c r="BX73" s="61">
        <f>IF(COUNTIFS(allFYsTable[Code], SummaryTable[[#This Row],[Code]], allFYsTable[year2], BS$3)=0, NotFound, SUMIFS(allFYsTable[DiffAmount], allFYsTable[Code], SummaryTable[[#This Row],[Code]], allFYsTable[year2], BS$3))</f>
        <v>-891</v>
      </c>
      <c r="BY73" s="63">
        <f>IF(SummaryTable[[#This Row],[OriginalBudget19]]=0, IF(SummaryTable[[#This Row],[DiffAmount19]]=0, ZeroBudgetNoSpending, ZeroBudgetWithSpending), SummaryTable[[#This Row],[DiffAmount19]]/SummaryTable[[#This Row],[OriginalBudget19]])</f>
        <v>-8.7913172175629009E-2</v>
      </c>
      <c r="BZ73" s="62">
        <f>IF(COUNTIFS(allFYsTable[Code], SummaryTable[[#This Row],[Code]], allFYsTable[year2], BZ$3)=0, NotFound, SUMIFS(allFYsTable[OriginalBudget], allFYsTable[Code], SummaryTable[[#This Row],[Code]], allFYsTable[year2], BZ$3))</f>
        <v>10009</v>
      </c>
      <c r="CA73" s="61">
        <f>SummaryTable[[#This Row],[OriginalBudget18]]-SummaryTable[[#This Row],[OriginalBudget17]]</f>
        <v>1083</v>
      </c>
      <c r="CB73" s="54">
        <f>SummaryTable[[#This Row],[BudgetIncreaseAmount18]]/SummaryTable[[#This Row],[OriginalBudget17]]</f>
        <v>0.12133094331167377</v>
      </c>
      <c r="CC73" s="61">
        <f>IF(COUNTIFS(allFYsTable[Code], SummaryTable[[#This Row],[Code]], allFYsTable[year2], BZ$3)=0, NotFound, SUMIFS(allFYsTable[RevisedBudget], allFYsTable[Code], SummaryTable[[#This Row],[Code]], allFYsTable[year2], BZ$3))</f>
        <v>9367</v>
      </c>
      <c r="CD73" s="61">
        <f>IF(COUNTIFS(allFYsTable[Code], SummaryTable[[#This Row],[Code]], allFYsTable[year2], BZ$3)=0, NotFound, SUMIFS(allFYsTable[Actual], allFYsTable[Code], SummaryTable[[#This Row],[Code]], allFYsTable[year2], BZ$3))</f>
        <v>8536</v>
      </c>
      <c r="CE73" s="61">
        <f>IF(COUNTIFS(allFYsTable[Code], SummaryTable[[#This Row],[Code]], allFYsTable[year2], BZ$3)=0, NotFound, SUMIFS(allFYsTable[DiffAmount], allFYsTable[Code], SummaryTable[[#This Row],[Code]], allFYsTable[year2], BZ$3))</f>
        <v>-1473</v>
      </c>
      <c r="CF73" s="63">
        <f>IF(SummaryTable[[#This Row],[OriginalBudget18]]=0, IF(SummaryTable[[#This Row],[DiffAmount18]]=0, ZeroBudgetNoSpending, ZeroBudgetWithSpending), SummaryTable[[#This Row],[DiffAmount18]]/SummaryTable[[#This Row],[OriginalBudget18]])</f>
        <v>-0.14716754920571487</v>
      </c>
      <c r="CG73" s="62">
        <f>IF(COUNTIFS(allFYsTable[Code], SummaryTable[[#This Row],[Code]], allFYsTable[year2], CG$3)=0, NotFound, SUMIFS(allFYsTable[OriginalBudget], allFYsTable[Code], SummaryTable[[#This Row],[Code]], allFYsTable[year2], CG$3))</f>
        <v>8926</v>
      </c>
      <c r="CH73" s="61">
        <f>SummaryTable[[#This Row],[OriginalBudget17]]-SummaryTable[[#This Row],[OriginalBudget16]]</f>
        <v>121</v>
      </c>
      <c r="CI73" s="54">
        <f>SummaryTable[[#This Row],[BudgetIncreaseAmount17]]/SummaryTable[[#This Row],[OriginalBudget16]]</f>
        <v>1.3742191936399773E-2</v>
      </c>
      <c r="CJ73" s="61">
        <f>IF(COUNTIFS(allFYsTable[Code], SummaryTable[[#This Row],[Code]], allFYsTable[year2], CG$3)=0, NotFound, SUMIFS(allFYsTable[RevisedBudget], allFYsTable[Code], SummaryTable[[#This Row],[Code]], allFYsTable[year2], CG$3))</f>
        <v>9133</v>
      </c>
      <c r="CK73" s="61">
        <f>IF(COUNTIFS(allFYsTable[Code], SummaryTable[[#This Row],[Code]], allFYsTable[year2], CG$3)=0, NotFound, SUMIFS(allFYsTable[Actual], allFYsTable[Code], SummaryTable[[#This Row],[Code]], allFYsTable[year2], CG$3))</f>
        <v>9060</v>
      </c>
      <c r="CL73" s="61">
        <f>IF(COUNTIFS(allFYsTable[Code], SummaryTable[[#This Row],[Code]], allFYsTable[year2], CG$3)=0, NotFound, SUMIFS(allFYsTable[DiffAmount], allFYsTable[Code], SummaryTable[[#This Row],[Code]], allFYsTable[year2], CG$3))</f>
        <v>134</v>
      </c>
      <c r="CM73" s="63">
        <f>IF(SummaryTable[[#This Row],[OriginalBudget17]]=0, IF(SummaryTable[[#This Row],[DiffAmount17]]=0, ZeroBudgetNoSpending, ZeroBudgetWithSpending), SummaryTable[[#This Row],[DiffAmount17]]/SummaryTable[[#This Row],[OriginalBudget17]])</f>
        <v>1.5012323549182164E-2</v>
      </c>
      <c r="CN73" s="62">
        <f>IF(COUNTIFS(allFYsTable[Code], SummaryTable[[#This Row],[Code]], allFYsTable[year2], CN$3)=0, NotFound, SUMIFS(allFYsTable[OriginalBudget], allFYsTable[Code], SummaryTable[[#This Row],[Code]], allFYsTable[year2], CN$3))</f>
        <v>8805</v>
      </c>
      <c r="CO73" s="61">
        <f>SummaryTable[[#This Row],[OriginalBudget16]]-SummaryTable[[#This Row],[OriginalBudget15]]</f>
        <v>102</v>
      </c>
      <c r="CP73" s="54">
        <f>SummaryTable[[#This Row],[BudgetIncreaseAmount16]]/SummaryTable[[#This Row],[OriginalBudget15]]</f>
        <v>1.1720096518441917E-2</v>
      </c>
      <c r="CQ73" s="61">
        <f>IF(COUNTIFS(allFYsTable[Code], SummaryTable[[#This Row],[Code]], allFYsTable[year2], CN$3)=0, NotFound, SUMIFS(allFYsTable[RevisedBudget], allFYsTable[Code], SummaryTable[[#This Row],[Code]], allFYsTable[year2], CN$3))</f>
        <v>8701</v>
      </c>
      <c r="CR73" s="61">
        <f>IF(COUNTIFS(allFYsTable[Code], SummaryTable[[#This Row],[Code]], allFYsTable[year2], CN$3)=0, NotFound, SUMIFS(allFYsTable[Actual], allFYsTable[Code], SummaryTable[[#This Row],[Code]], allFYsTable[year2], CN$3))</f>
        <v>8312</v>
      </c>
      <c r="CS73" s="61">
        <f>IF(COUNTIFS(allFYsTable[Code], SummaryTable[[#This Row],[Code]], allFYsTable[year2], CN$3)=0, NotFound, SUMIFS(allFYsTable[DiffAmount], allFYsTable[Code], SummaryTable[[#This Row],[Code]], allFYsTable[year2], CN$3))</f>
        <v>-493</v>
      </c>
      <c r="CT73" s="63">
        <f>IF(SummaryTable[[#This Row],[OriginalBudget16]]=0, IF(SummaryTable[[#This Row],[DiffAmount16]]=0, ZeroBudgetNoSpending, ZeroBudgetWithSpending), SummaryTable[[#This Row],[DiffAmount16]]/SummaryTable[[#This Row],[OriginalBudget16]])</f>
        <v>-5.5990914253265189E-2</v>
      </c>
      <c r="CU73" s="62">
        <f>IF(COUNTIFS(allFYsTable[Code], SummaryTable[[#This Row],[Code]], allFYsTable[year2], CU$3)=0, NotFound, SUMIFS(allFYsTable[OriginalBudget], allFYsTable[Code], SummaryTable[[#This Row],[Code]], allFYsTable[year2], CU$3))</f>
        <v>8703</v>
      </c>
      <c r="CV73" s="61">
        <f>SummaryTable[[#This Row],[OriginalBudget15]]-SummaryTable[[#This Row],[OriginalBudget14]]</f>
        <v>471</v>
      </c>
      <c r="CW73" s="54">
        <f>SummaryTable[[#This Row],[BudgetIncreaseAmount15]]/SummaryTable[[#This Row],[OriginalBudget14]]</f>
        <v>5.7215743440233238E-2</v>
      </c>
      <c r="CX73" s="61">
        <f>IF(COUNTIFS(allFYsTable[Code], SummaryTable[[#This Row],[Code]], allFYsTable[year2], CU$3)=0, NotFound, SUMIFS(allFYsTable[RevisedBudget], allFYsTable[Code], SummaryTable[[#This Row],[Code]], allFYsTable[year2], CU$3))</f>
        <v>8260</v>
      </c>
      <c r="CY73" s="61">
        <f>IF(COUNTIFS(allFYsTable[Code], SummaryTable[[#This Row],[Code]], allFYsTable[year2], CU$3)=0, NotFound, SUMIFS(allFYsTable[Actual], allFYsTable[Code], SummaryTable[[#This Row],[Code]], allFYsTable[year2], CU$3))</f>
        <v>8124</v>
      </c>
      <c r="CZ73" s="61">
        <f>IF(COUNTIFS(allFYsTable[Code], SummaryTable[[#This Row],[Code]], allFYsTable[year2], CU$3)=0, NotFound, SUMIFS(allFYsTable[DiffAmount], allFYsTable[Code], SummaryTable[[#This Row],[Code]], allFYsTable[year2], CU$3))</f>
        <v>-579</v>
      </c>
      <c r="DA73" s="63">
        <f>IF(SummaryTable[[#This Row],[OriginalBudget15]]=0, IF(SummaryTable[[#This Row],[DiffAmount15]]=0, ZeroBudgetNoSpending, ZeroBudgetWithSpending), SummaryTable[[#This Row],[DiffAmount15]]/SummaryTable[[#This Row],[OriginalBudget15]])</f>
        <v>-6.652878317821441E-2</v>
      </c>
      <c r="DB73" s="62">
        <f>IF(COUNTIFS(allFYsTable[Code], SummaryTable[[#This Row],[Code]], allFYsTable[year2], DB$3)=0, NotFound, SUMIFS(allFYsTable[OriginalBudget], allFYsTable[Code], SummaryTable[[#This Row],[Code]], allFYsTable[year2], DB$3))</f>
        <v>8232</v>
      </c>
      <c r="DC73" s="61">
        <f>SummaryTable[[#This Row],[OriginalBudget14]]-SummaryTable[[#This Row],[OriginalBudget13]]</f>
        <v>270</v>
      </c>
      <c r="DD73" s="54">
        <f>SummaryTable[[#This Row],[BudgetIncreaseAmount14]]/SummaryTable[[#This Row],[OriginalBudget13]]</f>
        <v>3.3911077618688772E-2</v>
      </c>
      <c r="DE73" s="61">
        <f>IF(COUNTIFS(allFYsTable[Code], SummaryTable[[#This Row],[Code]], allFYsTable[year2], DB$3)=0, NotFound, SUMIFS(allFYsTable[RevisedBudget], allFYsTable[Code], SummaryTable[[#This Row],[Code]], allFYsTable[year2], DB$3))</f>
        <v>7963</v>
      </c>
      <c r="DF73" s="61">
        <f>IF(COUNTIFS(allFYsTable[Code], SummaryTable[[#This Row],[Code]], allFYsTable[year2], DB$3)=0, NotFound, SUMIFS(allFYsTable[Actual], allFYsTable[Code], SummaryTable[[#This Row],[Code]], allFYsTable[year2], DB$3))</f>
        <v>7183</v>
      </c>
      <c r="DG73" s="61">
        <f>IF(COUNTIFS(allFYsTable[Code], SummaryTable[[#This Row],[Code]], allFYsTable[year2], DB$3)=0, NotFound, SUMIFS(allFYsTable[DiffAmount], allFYsTable[Code], SummaryTable[[#This Row],[Code]], allFYsTable[year2], DB$3))</f>
        <v>-1049</v>
      </c>
      <c r="DH73" s="63">
        <f>IF(SummaryTable[[#This Row],[OriginalBudget14]]=0, IF(SummaryTable[[#This Row],[DiffAmount14]]=0, ZeroBudgetNoSpending, ZeroBudgetWithSpending), SummaryTable[[#This Row],[DiffAmount14]]/SummaryTable[[#This Row],[OriginalBudget14]])</f>
        <v>-0.12742954324586978</v>
      </c>
      <c r="DI73" s="62">
        <f>IF(COUNTIFS(allFYsTable[Code], SummaryTable[[#This Row],[Code]], allFYsTable[year2], DI$3)=0, NotFound, SUMIFS(allFYsTable[OriginalBudget], allFYsTable[Code], SummaryTable[[#This Row],[Code]], allFYsTable[year2], DI$3))</f>
        <v>7962</v>
      </c>
      <c r="DJ73" s="61">
        <f>SummaryTable[[#This Row],[OriginalBudget13]]-SummaryTable[[#This Row],[OriginalBudget12]]</f>
        <v>325</v>
      </c>
      <c r="DK73" s="54">
        <f>SummaryTable[[#This Row],[BudgetIncreaseAmount13]]/SummaryTable[[#This Row],[OriginalBudget12]]</f>
        <v>4.2555977478067303E-2</v>
      </c>
      <c r="DL73" s="61">
        <f>IF(COUNTIFS(allFYsTable[Code], SummaryTable[[#This Row],[Code]], allFYsTable[year2], DI$3)=0, NotFound, SUMIFS(allFYsTable[RevisedBudget], allFYsTable[Code], SummaryTable[[#This Row],[Code]], allFYsTable[year2], DI$3))</f>
        <v>8082</v>
      </c>
      <c r="DM73" s="61">
        <f>IF(COUNTIFS(allFYsTable[Code], SummaryTable[[#This Row],[Code]], allFYsTable[year2], DI$3)=0, NotFound, SUMIFS(allFYsTable[Actual], allFYsTable[Code], SummaryTable[[#This Row],[Code]], allFYsTable[year2], DI$3))</f>
        <v>7528</v>
      </c>
      <c r="DN73" s="61">
        <f>IF(COUNTIFS(allFYsTable[Code], SummaryTable[[#This Row],[Code]], allFYsTable[year2], DI$3)=0, NotFound, SUMIFS(allFYsTable[DiffAmount], allFYsTable[Code], SummaryTable[[#This Row],[Code]], allFYsTable[year2], DI$3))</f>
        <v>-434</v>
      </c>
      <c r="DO73" s="63">
        <f>IF(SummaryTable[[#This Row],[OriginalBudget13]]=0, IF(SummaryTable[[#This Row],[DiffAmount13]]=0, ZeroBudgetNoSpending, ZeroBudgetWithSpending), SummaryTable[[#This Row],[DiffAmount13]]/SummaryTable[[#This Row],[OriginalBudget13]])</f>
        <v>-5.4508917357447881E-2</v>
      </c>
      <c r="DP73" s="62">
        <f>IF(COUNTIFS(allFYsTable[Code], SummaryTable[[#This Row],[Code]], allFYsTable[year2], DP$3)=0, NotFound, SUMIFS(allFYsTable[OriginalBudget], allFYsTable[Code], SummaryTable[[#This Row],[Code]], allFYsTable[year2], DP$3))</f>
        <v>7637</v>
      </c>
      <c r="DQ73" s="61">
        <f>SummaryTable[[#This Row],[OriginalBudget12]]-SummaryTable[[#This Row],[OriginalBudget11]]</f>
        <v>717</v>
      </c>
      <c r="DR73" s="54">
        <f>SummaryTable[[#This Row],[BudgetIncreaseAmount12]]/SummaryTable[[#This Row],[OriginalBudget11]]</f>
        <v>0.10361271676300578</v>
      </c>
      <c r="DS73" s="61">
        <f>IF(COUNTIFS(allFYsTable[Code], SummaryTable[[#This Row],[Code]], allFYsTable[year2], DP$3)=0, NotFound, SUMIFS(allFYsTable[RevisedBudget], allFYsTable[Code], SummaryTable[[#This Row],[Code]], allFYsTable[year2], DP$3))</f>
        <v>7562</v>
      </c>
      <c r="DT73" s="61">
        <f>IF(COUNTIFS(allFYsTable[Code], SummaryTable[[#This Row],[Code]], allFYsTable[year2], DP$3)=0, NotFound, SUMIFS(allFYsTable[Actual], allFYsTable[Code], SummaryTable[[#This Row],[Code]], allFYsTable[year2], DP$3))</f>
        <v>7148</v>
      </c>
      <c r="DU73" s="61">
        <f>IF(COUNTIFS(allFYsTable[Code], SummaryTable[[#This Row],[Code]], allFYsTable[year2], DP$3)=0, NotFound, SUMIFS(allFYsTable[DiffAmount], allFYsTable[Code], SummaryTable[[#This Row],[Code]], allFYsTable[year2], DP$3))</f>
        <v>-489</v>
      </c>
      <c r="DV73" s="63">
        <f>IF(SummaryTable[[#This Row],[OriginalBudget12]]=0, IF(SummaryTable[[#This Row],[DiffAmount12]]=0, ZeroBudgetNoSpending, ZeroBudgetWithSpending), SummaryTable[[#This Row],[DiffAmount12]]/SummaryTable[[#This Row],[OriginalBudget12]])</f>
        <v>-6.4030378420845885E-2</v>
      </c>
      <c r="DW73" s="62">
        <f>IF(COUNTIFS(allFYsTable[Code], SummaryTable[[#This Row],[Code]], allFYsTable[year2], DW$3)=0, NotFound, SUMIFS(allFYsTable[OriginalBudget], allFYsTable[Code], SummaryTable[[#This Row],[Code]], allFYsTable[year2], DW$3))</f>
        <v>6920</v>
      </c>
      <c r="DX73" s="61">
        <f>SummaryTable[[#This Row],[OriginalBudget11]]-SummaryTable[[#This Row],[OriginalBudget10]]</f>
        <v>-85</v>
      </c>
      <c r="DY73" s="54">
        <f>SummaryTable[[#This Row],[BudgetIncreaseAmount11]]/SummaryTable[[#This Row],[OriginalBudget10]]</f>
        <v>-1.2134189864382585E-2</v>
      </c>
      <c r="DZ73" s="61">
        <f>IF(COUNTIFS(allFYsTable[Code], SummaryTable[[#This Row],[Code]], allFYsTable[year2], DW$3)=0, NotFound, SUMIFS(allFYsTable[RevisedBudget], allFYsTable[Code], SummaryTable[[#This Row],[Code]], allFYsTable[year2], DW$3))</f>
        <v>6920</v>
      </c>
      <c r="EA73" s="61">
        <f>IF(COUNTIFS(allFYsTable[Code], SummaryTable[[#This Row],[Code]], allFYsTable[year2], DW$3)=0, NotFound, SUMIFS(allFYsTable[Actual], allFYsTable[Code], SummaryTable[[#This Row],[Code]], allFYsTable[year2], DW$3))</f>
        <v>6706</v>
      </c>
      <c r="EB73" s="61">
        <f>IF(COUNTIFS(allFYsTable[Code], SummaryTable[[#This Row],[Code]], allFYsTable[year2], DW$3)=0, NotFound, SUMIFS(allFYsTable[DiffAmount], allFYsTable[Code], SummaryTable[[#This Row],[Code]], allFYsTable[year2], DW$3))</f>
        <v>-214</v>
      </c>
      <c r="EC73" s="63">
        <f>IF(SummaryTable[[#This Row],[OriginalBudget11]]=0, IF(SummaryTable[[#This Row],[DiffAmount11]]=0, ZeroBudgetNoSpending, ZeroBudgetWithSpending), SummaryTable[[#This Row],[DiffAmount11]]/SummaryTable[[#This Row],[OriginalBudget11]])</f>
        <v>-3.0924855491329478E-2</v>
      </c>
      <c r="ED73" s="62">
        <f>IF(COUNTIFS(allFYsTable[Code], SummaryTable[[#This Row],[Code]], allFYsTable[year2], ED$3)=0, NotFound, SUMIFS(allFYsTable[OriginalBudget], allFYsTable[Code], SummaryTable[[#This Row],[Code]], allFYsTable[year2], ED$3))</f>
        <v>7005</v>
      </c>
      <c r="EE73" s="61">
        <f>SummaryTable[[#This Row],[OriginalBudget10]]-SummaryTable[[#This Row],[OriginalBudget09]]</f>
        <v>-713</v>
      </c>
      <c r="EF73" s="54">
        <f>SummaryTable[[#This Row],[BudgetIncreaseAmount10]]/SummaryTable[[#This Row],[OriginalBudget09]]</f>
        <v>-9.2381445970458664E-2</v>
      </c>
      <c r="EG73" s="61">
        <f>IF(COUNTIFS(allFYsTable[Code], SummaryTable[[#This Row],[Code]], allFYsTable[year2], ED$3)=0, NotFound, SUMIFS(allFYsTable[RevisedBudget], allFYsTable[Code], SummaryTable[[#This Row],[Code]], allFYsTable[year2], ED$3))</f>
        <v>7005</v>
      </c>
      <c r="EH73" s="61">
        <f>IF(COUNTIFS(allFYsTable[Code], SummaryTable[[#This Row],[Code]], allFYsTable[year2], ED$3)=0, NotFound, SUMIFS(allFYsTable[Actual], allFYsTable[Code], SummaryTable[[#This Row],[Code]], allFYsTable[year2], ED$3))</f>
        <v>7003</v>
      </c>
      <c r="EI73" s="61">
        <f>IF(COUNTIFS(allFYsTable[Code], SummaryTable[[#This Row],[Code]], allFYsTable[year2], ED$3)=0, NotFound, SUMIFS(allFYsTable[DiffAmount], allFYsTable[Code], SummaryTable[[#This Row],[Code]], allFYsTable[year2], ED$3))</f>
        <v>-2</v>
      </c>
      <c r="EJ73" s="63">
        <f>IF(SummaryTable[[#This Row],[OriginalBudget10]]=0, IF(SummaryTable[[#This Row],[DiffAmount10]]=0, ZeroBudgetNoSpending, ZeroBudgetWithSpending), SummaryTable[[#This Row],[DiffAmount10]]/SummaryTable[[#This Row],[OriginalBudget10]])</f>
        <v>-2.8551034975017847E-4</v>
      </c>
      <c r="EK73" s="62">
        <f>IF(COUNTIFS(allFYsTable[Code], SummaryTable[[#This Row],[Code]], allFYsTable[year2], EK$3)=0, NotFound, SUMIFS(allFYsTable[OriginalBudget], allFYsTable[Code], SummaryTable[[#This Row],[Code]], allFYsTable[year2], EK$3))</f>
        <v>7718</v>
      </c>
      <c r="EL73" s="61">
        <f>SummaryTable[[#This Row],[OriginalBudget09]]-SummaryTable[[#This Row],[OriginalBudget08]]</f>
        <v>17</v>
      </c>
      <c r="EM73" s="54">
        <f>SummaryTable[[#This Row],[BudgetIncreaseAmount09]]/SummaryTable[[#This Row],[OriginalBudget08]]</f>
        <v>2.2075055187637969E-3</v>
      </c>
      <c r="EN73" s="61">
        <f>IF(COUNTIFS(allFYsTable[Code], SummaryTable[[#This Row],[Code]], allFYsTable[year2], EK$3)=0, NotFound, SUMIFS(allFYsTable[RevisedBudget], allFYsTable[Code], SummaryTable[[#This Row],[Code]], allFYsTable[year2], EK$3))</f>
        <v>8203</v>
      </c>
      <c r="EO73" s="61">
        <f>IF(COUNTIFS(allFYsTable[Code], SummaryTable[[#This Row],[Code]], allFYsTable[year2], EK$3)=0, NotFound, SUMIFS(allFYsTable[Actual], allFYsTable[Code], SummaryTable[[#This Row],[Code]], allFYsTable[year2], EK$3))</f>
        <v>7847</v>
      </c>
      <c r="EP73" s="61">
        <f>IF(COUNTIFS(allFYsTable[Code], SummaryTable[[#This Row],[Code]], allFYsTable[year2], EK$3)=0, NotFound, SUMIFS(allFYsTable[DiffAmount], allFYsTable[Code], SummaryTable[[#This Row],[Code]], allFYsTable[year2], EK$3))</f>
        <v>129</v>
      </c>
      <c r="EQ73" s="63">
        <f>IF(SummaryTable[[#This Row],[OriginalBudget09]]=0, IF(SummaryTable[[#This Row],[DiffAmount09]]=0, ZeroBudgetNoSpending, ZeroBudgetWithSpending), SummaryTable[[#This Row],[DiffAmount09]]/SummaryTable[[#This Row],[OriginalBudget09]])</f>
        <v>1.6714174656646801E-2</v>
      </c>
      <c r="ER73" s="62">
        <f>IF(COUNTIFS(allFYsTable[Code], SummaryTable[[#This Row],[Code]], allFYsTable[year2], ER$3)=0, NotFound, SUMIFS(allFYsTable[OriginalBudget], allFYsTable[Code], SummaryTable[[#This Row],[Code]], allFYsTable[year2], ER$3))</f>
        <v>7701</v>
      </c>
      <c r="ES73" s="61">
        <f>SummaryTable[[#This Row],[OriginalBudget08]]-SummaryTable[[#This Row],[OriginalBudget07]]</f>
        <v>1713</v>
      </c>
      <c r="ET73" s="54">
        <f>SummaryTable[[#This Row],[BudgetIncreaseAmount08]]/SummaryTable[[#This Row],[OriginalBudget07]]</f>
        <v>0.28607214428857713</v>
      </c>
      <c r="EU73" s="61">
        <f>IF(COUNTIFS(allFYsTable[Code], SummaryTable[[#This Row],[Code]], allFYsTable[year2], ER$3)=0, NotFound, SUMIFS(allFYsTable[RevisedBudget], allFYsTable[Code], SummaryTable[[#This Row],[Code]], allFYsTable[year2], ER$3))</f>
        <v>7103</v>
      </c>
      <c r="EV73" s="61">
        <f>IF(COUNTIFS(allFYsTable[Code], SummaryTable[[#This Row],[Code]], allFYsTable[year2], ER$3)=0, NotFound, SUMIFS(allFYsTable[Actual], allFYsTable[Code], SummaryTable[[#This Row],[Code]], allFYsTable[year2], ER$3))</f>
        <v>7078</v>
      </c>
      <c r="EW73" s="61">
        <f>IF(COUNTIFS(allFYsTable[Code], SummaryTable[[#This Row],[Code]], allFYsTable[year2], ER$3)=0, NotFound, SUMIFS(allFYsTable[DiffAmount], allFYsTable[Code], SummaryTable[[#This Row],[Code]], allFYsTable[year2], ER$3))</f>
        <v>-623</v>
      </c>
      <c r="EX73" s="63">
        <f>IF(SummaryTable[[#This Row],[OriginalBudget08]]=0, IF(SummaryTable[[#This Row],[DiffAmount08]]=0, ZeroBudgetNoSpending, ZeroBudgetWithSpending), SummaryTable[[#This Row],[DiffAmount08]]/SummaryTable[[#This Row],[OriginalBudget08]])</f>
        <v>-8.0898584599402676E-2</v>
      </c>
      <c r="EY73" s="62">
        <f>IF(COUNTIFS(allFYsTable[Code], SummaryTable[[#This Row],[Code]], allFYsTable[year2], EY$3)=0, NotFound, SUMIFS(allFYsTable[OriginalBudget], allFYsTable[Code], SummaryTable[[#This Row],[Code]], allFYsTable[year2], EY$3))</f>
        <v>5988</v>
      </c>
      <c r="EZ73" s="61">
        <f>SummaryTable[[#This Row],[OriginalBudget07]]-SummaryTable[[#This Row],[OriginalBudget06]]</f>
        <v>278</v>
      </c>
      <c r="FA73" s="54">
        <f>SummaryTable[[#This Row],[BudgetIncreaseAmount07]]/SummaryTable[[#This Row],[OriginalBudget06]]</f>
        <v>4.8686514886164621E-2</v>
      </c>
      <c r="FB73" s="61">
        <f>IF(COUNTIFS(allFYsTable[Code], SummaryTable[[#This Row],[Code]], allFYsTable[year2], EY$3)=0, NotFound, SUMIFS(allFYsTable[RevisedBudget], allFYsTable[Code], SummaryTable[[#This Row],[Code]], allFYsTable[year2], EY$3))</f>
        <v>6592</v>
      </c>
      <c r="FC73" s="61">
        <f>IF(COUNTIFS(allFYsTable[Code], SummaryTable[[#This Row],[Code]], allFYsTable[year2], EY$3)=0, NotFound, SUMIFS(allFYsTable[Actual], allFYsTable[Code], SummaryTable[[#This Row],[Code]], allFYsTable[year2], EY$3))</f>
        <v>4848</v>
      </c>
      <c r="FD73" s="61">
        <f>IF(COUNTIFS(allFYsTable[Code], SummaryTable[[#This Row],[Code]], allFYsTable[year2], EY$3)=0, NotFound, SUMIFS(allFYsTable[DiffAmount], allFYsTable[Code], SummaryTable[[#This Row],[Code]], allFYsTable[year2], EY$3))</f>
        <v>-1140</v>
      </c>
      <c r="FE73" s="63">
        <f>IF(SummaryTable[[#This Row],[OriginalBudget07]]=0, IF(SummaryTable[[#This Row],[DiffAmount07]]=0, ZeroBudgetNoSpending, ZeroBudgetWithSpending), SummaryTable[[#This Row],[DiffAmount07]]/SummaryTable[[#This Row],[OriginalBudget07]])</f>
        <v>-0.19038076152304609</v>
      </c>
      <c r="FF73" s="62">
        <f>IF(COUNTIFS(allFYsTable[Code], SummaryTable[[#This Row],[Code]], allFYsTable[year2], FF$3)=0, NotFound, SUMIFS(allFYsTable[OriginalBudget], allFYsTable[Code], SummaryTable[[#This Row],[Code]], allFYsTable[year2], FF$3))</f>
        <v>5710</v>
      </c>
      <c r="FI73" s="61">
        <f>IF(COUNTIFS(allFYsTable[Code], SummaryTable[[#This Row],[Code]], allFYsTable[year2], FF$3)=0, NotFound, SUMIFS(allFYsTable[RevisedBudget], allFYsTable[Code], SummaryTable[[#This Row],[Code]], allFYsTable[year2], FF$3))</f>
        <v>5710</v>
      </c>
      <c r="FJ73" s="61">
        <f>IF(COUNTIFS(allFYsTable[Code], SummaryTable[[#This Row],[Code]], allFYsTable[year2], FF$3)=0, NotFound, SUMIFS(allFYsTable[Actual], allFYsTable[Code], SummaryTable[[#This Row],[Code]], allFYsTable[year2], FF$3))</f>
        <v>5580</v>
      </c>
      <c r="FK73" s="61">
        <f>IF(COUNTIFS(allFYsTable[Code], SummaryTable[[#This Row],[Code]], allFYsTable[year2], FF$3)=0, NotFound, SUMIFS(allFYsTable[DiffAmount], allFYsTable[Code], SummaryTable[[#This Row],[Code]], allFYsTable[year2], FF$3))</f>
        <v>-130</v>
      </c>
      <c r="FL73" s="63">
        <f>IF(SummaryTable[[#This Row],[OriginalBudget06]]=0, IF(SummaryTable[[#This Row],[DiffAmount06]]=0, ZeroBudgetNoSpending, ZeroBudgetWithSpending), SummaryTable[[#This Row],[DiffAmount06]]/SummaryTable[[#This Row],[OriginalBudget06]])</f>
        <v>-2.276707530647986E-2</v>
      </c>
    </row>
    <row r="74" spans="1:168" x14ac:dyDescent="0.45">
      <c r="A74" t="s">
        <v>711</v>
      </c>
      <c r="B74">
        <f>_xlfn.MAXIFS(allFYsTable[year2], allFYsTable[Code], SummaryTable[[#This Row],[Code]])</f>
        <v>2025</v>
      </c>
      <c r="C74" t="str">
        <f>_xlfn.XLOOKUP(SummaryTable[[#This Row],[Code]], NameCodingTable[Code], NameCodingTable[Most Recent Category per allFYs])</f>
        <v>Governmental direction and support</v>
      </c>
      <c r="D74" t="str">
        <f>_xlfn.XLOOKUP(SummaryTable[[#This Row],[Code]], NameCodingTable[Code], NameCodingTable[Unit Display Name])</f>
        <v>Office of Advisory Neighborhood Commissions (OANC)</v>
      </c>
      <c r="E74" t="str">
        <f>_xlfn.XLOOKUP(SummaryTable[[#This Row],[Code]], NameCodingTable[Code], NameCodingTable[Type])</f>
        <v>agency</v>
      </c>
      <c r="F7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7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74" s="54">
        <f>SummaryTable[[#This Row],['# Over]]/SummaryTable[[#This Row],[Count]]</f>
        <v>0.05</v>
      </c>
      <c r="I7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19</v>
      </c>
      <c r="J74" s="54">
        <f>SummaryTable[[#This Row],['# Under]]/SummaryTable[[#This Row],[Count]]</f>
        <v>0.95</v>
      </c>
      <c r="K7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74" s="54">
        <f>SummaryTable[[#This Row],['# Equal]]/SummaryTable[[#This Row],[Count]]</f>
        <v>0</v>
      </c>
      <c r="M74" s="61">
        <f>SUMIFS(allFYsTable[OriginalBudget],allFYsTable[Code],SummaryTable[[#This Row],[Code]])/SummaryTable[[#This Row],[Count]]</f>
        <v>1368.3</v>
      </c>
      <c r="N74" s="61">
        <f>SUMIFS(allFYsTable[Actual],allFYsTable[Code],SummaryTable[[#This Row],[Code]])/SummaryTable[[#This Row],[Count]]</f>
        <v>1208.45</v>
      </c>
      <c r="O74" s="61">
        <f>SummaryTable[[#This Row],[AvgActAmt]]-SummaryTable[[#This Row],[AvgBudAmt]]</f>
        <v>-159.84999999999991</v>
      </c>
      <c r="P74" s="54">
        <f>IF(SummaryTable[[#This Row],[AvgBudAmt]]=0, IF(SummaryTable[[#This Row],[AvgDiff'#]]=0, 0, NamedFields!$C$3), SummaryTable[[#This Row],[AvgDiff'#]]/SummaryTable[[#This Row],[AvgBudAmt]])</f>
        <v>-0.11682379595118024</v>
      </c>
      <c r="Q74" s="61">
        <f>IFERROR(SUMIFS(allFYsTable[OriginalBudget],allFYsTable[Code],SummaryTable[[#This Row],[Code]],allFYsTable[DiffAmount], "&gt;0")/SummaryTable[[#This Row],['# Over]], 0)</f>
        <v>2532</v>
      </c>
      <c r="R74" s="61">
        <f>IFERROR(SUMIFS(allFYsTable[Actual],allFYsTable[Code],SummaryTable[[#This Row],[Code]],allFYsTable[DiffAmount], "&gt;0")/SummaryTable[[#This Row],['# Over]], 0)</f>
        <v>2682</v>
      </c>
      <c r="S74" s="61">
        <f>SummaryTable[[#This Row],[OverAvgAct]]-SummaryTable[[#This Row],[OverAvgBud]]</f>
        <v>150</v>
      </c>
      <c r="T74" s="54">
        <f>IF(SummaryTable[[#This Row],[OverAvgBud]]=0, IF(SummaryTable[[#This Row],[OverAvgDiff'#]]=0, ZeroBudgetNoSpending, ZeroBudgetWithSpending), SummaryTable[[#This Row],[OverAvgDiff'#]]/SummaryTable[[#This Row],[OverAvgBud]])</f>
        <v>5.9241706161137442E-2</v>
      </c>
      <c r="U74" s="61">
        <f>IFERROR(SUMIFS(allFYsTable[OriginalBudget],allFYsTable[Code],SummaryTable[[#This Row],[Code]],allFYsTable[DiffAmount], "&lt;0")/SummaryTable[[#This Row],['# Under]], 0)</f>
        <v>1307.0526315789473</v>
      </c>
      <c r="V74" s="61">
        <f>IFERROR( SUMIFS(allFYsTable[Actual],allFYsTable[Code],SummaryTable[[#This Row],[Code]],allFYsTable[DiffAmount], "&lt;0")/SummaryTable[[#This Row],['# Under]], 0)</f>
        <v>1130.8947368421052</v>
      </c>
      <c r="W74" s="61">
        <f>SummaryTable[[#This Row],[UnderAvgAct]]-SummaryTable[[#This Row],[UnderAvgBud]]</f>
        <v>-176.15789473684208</v>
      </c>
      <c r="X74" s="54">
        <f>IF(SummaryTable[[#This Row],[UnderAvgBud]]=0, IF(SummaryTable[[#This Row],[UnderAvgDiff'#]]=0, ZeroBudgetNoSpending, NamedFields!$C$3), SummaryTable[[#This Row],[UnderAvgDiff'#]]/SummaryTable[[#This Row],[UnderAvgBud]])</f>
        <v>-0.13477490537166786</v>
      </c>
      <c r="Y7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7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74" s="54">
        <f>IF(SummaryTable[[#This Row],[IncreaseYears]]=0, ZeroBudgetNoSpending, SummaryTable[[#This Row],[OSinIncreaseYear'#]]/SummaryTable[[#This Row],[IncreaseYears]])</f>
        <v>0</v>
      </c>
      <c r="AB74" s="58" t="str">
        <f>SummaryTable[[#This Row],[Code]]</f>
        <v>DX0</v>
      </c>
      <c r="AC74" s="62">
        <f>IF(COUNTIFS(allFYsTable[Code], SummaryTable[[#This Row],[Code]], allFYsTable[year2], AC$3)=0, NotFound, SUMIFS(allFYsTable[OriginalBudget], allFYsTable[Code], SummaryTable[[#This Row],[Code]], allFYsTable[year2], AC$3))</f>
        <v>2532</v>
      </c>
      <c r="AD74" s="61">
        <f>SummaryTable[[#This Row],[OriginalBudget25]]-SummaryTable[[#This Row],[OriginalBudget24]]</f>
        <v>0</v>
      </c>
      <c r="AE74" s="54">
        <f>SummaryTable[[#This Row],[BudgetIncreaseAmount25]]/SummaryTable[[#This Row],[OriginalBudget24]]</f>
        <v>0</v>
      </c>
      <c r="AF74" s="61">
        <f>IF(COUNTIFS(allFYsTable[Code], SummaryTable[[#This Row],[Code]], allFYsTable[year2], AC$3)=0, NotFound, SUMIFS(allFYsTable[RevisedBudget], allFYsTable[Code], SummaryTable[[#This Row],[Code]], allFYsTable[year2], AC$3))</f>
        <v>2684</v>
      </c>
      <c r="AG74" s="61">
        <f>IF(COUNTIFS(allFYsTable[Code], SummaryTable[[#This Row],[Code]], allFYsTable[year2], AC$3)=0, NotFound, SUMIFS(allFYsTable[Actual], allFYsTable[Code], SummaryTable[[#This Row],[Code]], allFYsTable[year2], AC$3))</f>
        <v>2682</v>
      </c>
      <c r="AH74" s="61">
        <f>IF(COUNTIFS(allFYsTable[Code], SummaryTable[[#This Row],[Code]], allFYsTable[year2], AC$3)=0, NotFound, SUMIFS(allFYsTable[DiffAmount], allFYsTable[Code], SummaryTable[[#This Row],[Code]], allFYsTable[year2], AC$3))</f>
        <v>150</v>
      </c>
      <c r="AI74" s="63">
        <f>IF(SummaryTable[[#This Row],[OriginalBudget25]]=0, IF(SummaryTable[[#This Row],[DiffAmount25]]=0, ZeroBudgetNoSpending, ZeroBudgetWithSpending), SummaryTable[[#This Row],[DiffAmount25]]/SummaryTable[[#This Row],[OriginalBudget25]])</f>
        <v>5.9241706161137442E-2</v>
      </c>
      <c r="AJ74" s="62">
        <f>IF(COUNTIFS(allFYsTable[Code], SummaryTable[[#This Row],[Code]], allFYsTable[year2], AJ$3)=0, NotFound, SUMIFS(allFYsTable[OriginalBudget], allFYsTable[Code], SummaryTable[[#This Row],[Code]], allFYsTable[year2], AJ$3))</f>
        <v>2532</v>
      </c>
      <c r="AK74" s="61">
        <f>SummaryTable[[#This Row],[OriginalBudget24]]-SummaryTable[[#This Row],[OriginalBudget23]]</f>
        <v>-43</v>
      </c>
      <c r="AL74" s="54">
        <f>SummaryTable[[#This Row],[BudgetIncreaseAmount24]]/SummaryTable[[#This Row],[OriginalBudget23]]</f>
        <v>-1.6699029126213592E-2</v>
      </c>
      <c r="AM74" s="61">
        <f>IF(COUNTIFS(allFYsTable[Code], SummaryTable[[#This Row],[Code]], allFYsTable[year2], AK$3)=0, NotFound, SUMIFS(allFYsTable[RevisedBudget], allFYsTable[Code], SummaryTable[[#This Row],[Code]], allFYsTable[year2], AJ$3))</f>
        <v>2886</v>
      </c>
      <c r="AN74" s="61">
        <f>IF(COUNTIFS(allFYsTable[Code], SummaryTable[[#This Row],[Code]], allFYsTable[year2], AJ$3)=0, NotFound, SUMIFS(allFYsTable[Actual], allFYsTable[Code], SummaryTable[[#This Row],[Code]], allFYsTable[year2], AJ$3))</f>
        <v>2198</v>
      </c>
      <c r="AO74" s="61">
        <f>IF(COUNTIFS(allFYsTable[Code], SummaryTable[[#This Row],[Code]], allFYsTable[year2], AJ$3)=0, NotFound, SUMIFS(allFYsTable[DiffAmount], allFYsTable[Code], SummaryTable[[#This Row],[Code]], allFYsTable[year2], AJ$3))</f>
        <v>-334</v>
      </c>
      <c r="AP74" s="63">
        <f>IF(SummaryTable[[#This Row],[OriginalBudget24]]=0, IF(SummaryTable[[#This Row],[DiffAmount24]]=0, ZeroBudgetNoSpending, ZeroBudgetWithSpending), SummaryTable[[#This Row],[DiffAmount24]]/SummaryTable[[#This Row],[OriginalBudget24]])</f>
        <v>-0.13191153238546605</v>
      </c>
      <c r="AQ74" s="62">
        <f>IF(COUNTIFS(allFYsTable[Code], SummaryTable[[#This Row],[Code]], allFYsTable[year2], AQ$3)=0, NotFound, SUMIFS(allFYsTable[OriginalBudget], allFYsTable[Code], SummaryTable[[#This Row],[Code]], allFYsTable[year2], AQ$3))</f>
        <v>2575</v>
      </c>
      <c r="AR74" s="61">
        <f>SummaryTable[[#This Row],[OriginalBudget23]]-SummaryTable[[#This Row],[OriginalBudget22]]</f>
        <v>663</v>
      </c>
      <c r="AS74" s="54">
        <f>SummaryTable[[#This Row],[BudgetIncreaseAmount23]]/SummaryTable[[#This Row],[OriginalBudget22]]</f>
        <v>0.34675732217573224</v>
      </c>
      <c r="AT74" s="61">
        <f>IF(COUNTIFS(allFYsTable[Code], SummaryTable[[#This Row],[Code]], allFYsTable[year2], AQ$3)=0, NotFound, SUMIFS(allFYsTable[RevisedBudget], allFYsTable[Code], SummaryTable[[#This Row],[Code]], allFYsTable[year2], AQ$3))</f>
        <v>2508</v>
      </c>
      <c r="AU74" s="61">
        <f>IF(COUNTIFS(allFYsTable[Code], SummaryTable[[#This Row],[Code]], allFYsTable[year2], AQ$3)=0, NotFound, SUMIFS(allFYsTable[Actual], allFYsTable[Code], SummaryTable[[#This Row],[Code]], allFYsTable[year2], AQ$3))</f>
        <v>2172</v>
      </c>
      <c r="AV74" s="61">
        <f>IF(COUNTIFS(allFYsTable[Code], SummaryTable[[#This Row],[Code]], allFYsTable[year2], AQ$3)=0, NotFound, SUMIFS(allFYsTable[DiffAmount], allFYsTable[Code], SummaryTable[[#This Row],[Code]], allFYsTable[year2], AQ$3))</f>
        <v>-403</v>
      </c>
      <c r="AW74" s="63">
        <f>IF(SummaryTable[[#This Row],[OriginalBudget23]]=0, IF(SummaryTable[[#This Row],[DiffAmount23]]=0, ZeroBudgetNoSpending, ZeroBudgetWithSpending), SummaryTable[[#This Row],[DiffAmount23]]/SummaryTable[[#This Row],[OriginalBudget23]])</f>
        <v>-0.15650485436893205</v>
      </c>
      <c r="AX74" s="62">
        <f>IF(COUNTIFS(allFYsTable[Code], SummaryTable[[#This Row],[Code]], allFYsTable[year2], AX$3)=0, NotFound, SUMIFS(allFYsTable[OriginalBudget], allFYsTable[Code], SummaryTable[[#This Row],[Code]], allFYsTable[year2], AX$3))</f>
        <v>1912</v>
      </c>
      <c r="AY74" s="61">
        <f>SummaryTable[[#This Row],[OriginalBudget22]]-SummaryTable[[#This Row],[OriginalBudget21]]</f>
        <v>282</v>
      </c>
      <c r="AZ74" s="54">
        <f>SummaryTable[[#This Row],[BudgetIncreaseAmount22]]/SummaryTable[[#This Row],[OriginalBudget21]]</f>
        <v>0.17300613496932515</v>
      </c>
      <c r="BA74" s="61">
        <f>IF(COUNTIFS(allFYsTable[Code], SummaryTable[[#This Row],[Code]], allFYsTable[year2], AX$3)=0, NotFound, SUMIFS(allFYsTable[RevisedBudget], allFYsTable[Code], SummaryTable[[#This Row],[Code]], allFYsTable[year2], AX$3))</f>
        <v>1937</v>
      </c>
      <c r="BB74" s="61">
        <f>IF(COUNTIFS(allFYsTable[Code], SummaryTable[[#This Row],[Code]], allFYsTable[year2], AX$3)=0, NotFound, SUMIFS(allFYsTable[Actual], allFYsTable[Code], SummaryTable[[#This Row],[Code]], allFYsTable[year2], AX$3))</f>
        <v>1343</v>
      </c>
      <c r="BC74" s="61">
        <f>IF(COUNTIFS(allFYsTable[Code], SummaryTable[[#This Row],[Code]], allFYsTable[year2], AX$3)=0, NotFound, SUMIFS(allFYsTable[DiffAmount], allFYsTable[Code], SummaryTable[[#This Row],[Code]], allFYsTable[year2], AX$3))</f>
        <v>-569</v>
      </c>
      <c r="BD74" s="63">
        <f>IF(SummaryTable[[#This Row],[OriginalBudget22]]=0, IF(SummaryTable[[#This Row],[DiffAmount22]]=0, ZeroBudgetNoSpending, ZeroBudgetWithSpending), SummaryTable[[#This Row],[DiffAmount22]]/SummaryTable[[#This Row],[OriginalBudget22]])</f>
        <v>-0.29759414225941422</v>
      </c>
      <c r="BE74" s="62">
        <f>IF(COUNTIFS(allFYsTable[Code], SummaryTable[[#This Row],[Code]], allFYsTable[year2], BE$3)=0, NotFound, SUMIFS(allFYsTable[OriginalBudget], allFYsTable[Code], SummaryTable[[#This Row],[Code]], allFYsTable[year2], BE$3))</f>
        <v>1630</v>
      </c>
      <c r="BF74" s="61">
        <f>SummaryTable[[#This Row],[OriginalBudget21]]-SummaryTable[[#This Row],[OriginalBudget20]]</f>
        <v>130</v>
      </c>
      <c r="BG74" s="54">
        <f>SummaryTable[[#This Row],[BudgetIncreaseAmount21]]/SummaryTable[[#This Row],[OriginalBudget20]]</f>
        <v>8.666666666666667E-2</v>
      </c>
      <c r="BH74" s="61">
        <f>IF(COUNTIFS(allFYsTable[Code], SummaryTable[[#This Row],[Code]], allFYsTable[year2], BE$3)=0, NotFound, SUMIFS(allFYsTable[RevisedBudget], allFYsTable[Code], SummaryTable[[#This Row],[Code]], allFYsTable[year2], BE$3))</f>
        <v>1630</v>
      </c>
      <c r="BI74" s="61">
        <f>IF(COUNTIFS(allFYsTable[Code], SummaryTable[[#This Row],[Code]], allFYsTable[year2], BE$3)=0, NotFound, SUMIFS(allFYsTable[Actual], allFYsTable[Code], SummaryTable[[#This Row],[Code]], allFYsTable[year2], BE$3))</f>
        <v>1355</v>
      </c>
      <c r="BJ74" s="61">
        <f>IF(COUNTIFS(allFYsTable[Code], SummaryTable[[#This Row],[Code]], allFYsTable[year2], BE$3)=0, NotFound, SUMIFS(allFYsTable[DiffAmount], allFYsTable[Code], SummaryTable[[#This Row],[Code]], allFYsTable[year2], BE$3))</f>
        <v>-275</v>
      </c>
      <c r="BK74" s="63">
        <f>IF(SummaryTable[[#This Row],[OriginalBudget21]]=0, IF(SummaryTable[[#This Row],[DiffAmount21]]=0, ZeroBudgetNoSpending, ZeroBudgetWithSpending), SummaryTable[[#This Row],[DiffAmount21]]/SummaryTable[[#This Row],[OriginalBudget21]])</f>
        <v>-0.16871165644171779</v>
      </c>
      <c r="BL74" s="62">
        <f>IF(COUNTIFS(allFYsTable[Code], SummaryTable[[#This Row],[Code]], allFYsTable[year2], BL$3)=0, NotFound, SUMIFS(allFYsTable[OriginalBudget], allFYsTable[Code], SummaryTable[[#This Row],[Code]], allFYsTable[year2], BL$3))</f>
        <v>1500</v>
      </c>
      <c r="BM74" s="61">
        <f>SummaryTable[[#This Row],[OriginalBudget20]]-SummaryTable[[#This Row],[OriginalBudget19]]</f>
        <v>354</v>
      </c>
      <c r="BN74" s="54">
        <f>SummaryTable[[#This Row],[BudgetIncreaseAmount20]]/SummaryTable[[#This Row],[OriginalBudget19]]</f>
        <v>0.30890052356020942</v>
      </c>
      <c r="BO74" s="61">
        <f>IF(COUNTIFS(allFYsTable[Code], SummaryTable[[#This Row],[Code]], allFYsTable[year2], BL$3)=0, NotFound, SUMIFS(allFYsTable[RevisedBudget], allFYsTable[Code], SummaryTable[[#This Row],[Code]], allFYsTable[year2], BL$3))</f>
        <v>1500</v>
      </c>
      <c r="BP74" s="61">
        <f>IF(COUNTIFS(allFYsTable[Code], SummaryTable[[#This Row],[Code]], allFYsTable[year2], BL$3)=0, NotFound, SUMIFS(allFYsTable[Actual], allFYsTable[Code], SummaryTable[[#This Row],[Code]], allFYsTable[year2], BL$3))</f>
        <v>1154</v>
      </c>
      <c r="BQ74" s="61">
        <f>IF(COUNTIFS(allFYsTable[Code], SummaryTable[[#This Row],[Code]], allFYsTable[year2], BL$3)=0, NotFound, SUMIFS(allFYsTable[DiffAmount], allFYsTable[Code], SummaryTable[[#This Row],[Code]], allFYsTable[year2], BL$3))</f>
        <v>-346</v>
      </c>
      <c r="BR74" s="63">
        <f>IF(SummaryTable[[#This Row],[OriginalBudget20]]=0, IF(SummaryTable[[#This Row],[DiffAmount20]]=0, ZeroBudgetNoSpending, ZeroBudgetWithSpending), SummaryTable[[#This Row],[DiffAmount20]]/SummaryTable[[#This Row],[OriginalBudget20]])</f>
        <v>-0.23066666666666666</v>
      </c>
      <c r="BS74" s="62">
        <f>IF(COUNTIFS(allFYsTable[Code], SummaryTable[[#This Row],[Code]], allFYsTable[year2], BS$3)=0, NotFound, SUMIFS(allFYsTable[OriginalBudget], allFYsTable[Code], SummaryTable[[#This Row],[Code]], allFYsTable[year2], BS$3))</f>
        <v>1146</v>
      </c>
      <c r="BT74" s="61">
        <f>SummaryTable[[#This Row],[OriginalBudget19]]-SummaryTable[[#This Row],[OriginalBudget18]]</f>
        <v>119</v>
      </c>
      <c r="BU74" s="54">
        <f>SummaryTable[[#This Row],[BudgetIncreaseAmount19]]/SummaryTable[[#This Row],[OriginalBudget18]]</f>
        <v>0.11587147030185005</v>
      </c>
      <c r="BV74" s="61">
        <f>IF(COUNTIFS(allFYsTable[Code], SummaryTable[[#This Row],[Code]], allFYsTable[year2], BS$3)=0, NotFound, SUMIFS(allFYsTable[RevisedBudget], allFYsTable[Code], SummaryTable[[#This Row],[Code]], allFYsTable[year2], BS$3))</f>
        <v>1176</v>
      </c>
      <c r="BW74" s="61">
        <f>IF(COUNTIFS(allFYsTable[Code], SummaryTable[[#This Row],[Code]], allFYsTable[year2], BS$3)=0, NotFound, SUMIFS(allFYsTable[Actual], allFYsTable[Code], SummaryTable[[#This Row],[Code]], allFYsTable[year2], BS$3))</f>
        <v>976</v>
      </c>
      <c r="BX74" s="61">
        <f>IF(COUNTIFS(allFYsTable[Code], SummaryTable[[#This Row],[Code]], allFYsTable[year2], BS$3)=0, NotFound, SUMIFS(allFYsTable[DiffAmount], allFYsTable[Code], SummaryTable[[#This Row],[Code]], allFYsTable[year2], BS$3))</f>
        <v>-170</v>
      </c>
      <c r="BY74" s="63">
        <f>IF(SummaryTable[[#This Row],[OriginalBudget19]]=0, IF(SummaryTable[[#This Row],[DiffAmount19]]=0, ZeroBudgetNoSpending, ZeroBudgetWithSpending), SummaryTable[[#This Row],[DiffAmount19]]/SummaryTable[[#This Row],[OriginalBudget19]])</f>
        <v>-0.14834205933682373</v>
      </c>
      <c r="BZ74" s="62">
        <f>IF(COUNTIFS(allFYsTable[Code], SummaryTable[[#This Row],[Code]], allFYsTable[year2], BZ$3)=0, NotFound, SUMIFS(allFYsTable[OriginalBudget], allFYsTable[Code], SummaryTable[[#This Row],[Code]], allFYsTable[year2], BZ$3))</f>
        <v>1027</v>
      </c>
      <c r="CA74" s="61">
        <f>SummaryTable[[#This Row],[OriginalBudget18]]-SummaryTable[[#This Row],[OriginalBudget17]]</f>
        <v>68</v>
      </c>
      <c r="CB74" s="54">
        <f>SummaryTable[[#This Row],[BudgetIncreaseAmount18]]/SummaryTable[[#This Row],[OriginalBudget17]]</f>
        <v>7.0907194994786232E-2</v>
      </c>
      <c r="CC74" s="61">
        <f>IF(COUNTIFS(allFYsTable[Code], SummaryTable[[#This Row],[Code]], allFYsTable[year2], BZ$3)=0, NotFound, SUMIFS(allFYsTable[RevisedBudget], allFYsTable[Code], SummaryTable[[#This Row],[Code]], allFYsTable[year2], BZ$3))</f>
        <v>1027</v>
      </c>
      <c r="CD74" s="61">
        <f>IF(COUNTIFS(allFYsTable[Code], SummaryTable[[#This Row],[Code]], allFYsTable[year2], BZ$3)=0, NotFound, SUMIFS(allFYsTable[Actual], allFYsTable[Code], SummaryTable[[#This Row],[Code]], allFYsTable[year2], BZ$3))</f>
        <v>966</v>
      </c>
      <c r="CE74" s="61">
        <f>IF(COUNTIFS(allFYsTable[Code], SummaryTable[[#This Row],[Code]], allFYsTable[year2], BZ$3)=0, NotFound, SUMIFS(allFYsTable[DiffAmount], allFYsTable[Code], SummaryTable[[#This Row],[Code]], allFYsTable[year2], BZ$3))</f>
        <v>-61</v>
      </c>
      <c r="CF74" s="63">
        <f>IF(SummaryTable[[#This Row],[OriginalBudget18]]=0, IF(SummaryTable[[#This Row],[DiffAmount18]]=0, ZeroBudgetNoSpending, ZeroBudgetWithSpending), SummaryTable[[#This Row],[DiffAmount18]]/SummaryTable[[#This Row],[OriginalBudget18]])</f>
        <v>-5.939629990262902E-2</v>
      </c>
      <c r="CG74" s="62">
        <f>IF(COUNTIFS(allFYsTable[Code], SummaryTable[[#This Row],[Code]], allFYsTable[year2], CG$3)=0, NotFound, SUMIFS(allFYsTable[OriginalBudget], allFYsTable[Code], SummaryTable[[#This Row],[Code]], allFYsTable[year2], CG$3))</f>
        <v>959</v>
      </c>
      <c r="CH74" s="61">
        <f>SummaryTable[[#This Row],[OriginalBudget17]]-SummaryTable[[#This Row],[OriginalBudget16]]</f>
        <v>32</v>
      </c>
      <c r="CI74" s="54">
        <f>SummaryTable[[#This Row],[BudgetIncreaseAmount17]]/SummaryTable[[#This Row],[OriginalBudget16]]</f>
        <v>3.4519956850053934E-2</v>
      </c>
      <c r="CJ74" s="61">
        <f>IF(COUNTIFS(allFYsTable[Code], SummaryTable[[#This Row],[Code]], allFYsTable[year2], CG$3)=0, NotFound, SUMIFS(allFYsTable[RevisedBudget], allFYsTable[Code], SummaryTable[[#This Row],[Code]], allFYsTable[year2], CG$3))</f>
        <v>1005</v>
      </c>
      <c r="CK74" s="61">
        <f>IF(COUNTIFS(allFYsTable[Code], SummaryTable[[#This Row],[Code]], allFYsTable[year2], CG$3)=0, NotFound, SUMIFS(allFYsTable[Actual], allFYsTable[Code], SummaryTable[[#This Row],[Code]], allFYsTable[year2], CG$3))</f>
        <v>851</v>
      </c>
      <c r="CL74" s="61">
        <f>IF(COUNTIFS(allFYsTable[Code], SummaryTable[[#This Row],[Code]], allFYsTable[year2], CG$3)=0, NotFound, SUMIFS(allFYsTable[DiffAmount], allFYsTable[Code], SummaryTable[[#This Row],[Code]], allFYsTable[year2], CG$3))</f>
        <v>-108</v>
      </c>
      <c r="CM74" s="63">
        <f>IF(SummaryTable[[#This Row],[OriginalBudget17]]=0, IF(SummaryTable[[#This Row],[DiffAmount17]]=0, ZeroBudgetNoSpending, ZeroBudgetWithSpending), SummaryTable[[#This Row],[DiffAmount17]]/SummaryTable[[#This Row],[OriginalBudget17]])</f>
        <v>-0.11261730969760167</v>
      </c>
      <c r="CN74" s="62">
        <f>IF(COUNTIFS(allFYsTable[Code], SummaryTable[[#This Row],[Code]], allFYsTable[year2], CN$3)=0, NotFound, SUMIFS(allFYsTable[OriginalBudget], allFYsTable[Code], SummaryTable[[#This Row],[Code]], allFYsTable[year2], CN$3))</f>
        <v>927</v>
      </c>
      <c r="CO74" s="61">
        <f>SummaryTable[[#This Row],[OriginalBudget16]]-SummaryTable[[#This Row],[OriginalBudget15]]</f>
        <v>3</v>
      </c>
      <c r="CP74" s="54">
        <f>SummaryTable[[#This Row],[BudgetIncreaseAmount16]]/SummaryTable[[#This Row],[OriginalBudget15]]</f>
        <v>3.246753246753247E-3</v>
      </c>
      <c r="CQ74" s="61">
        <f>IF(COUNTIFS(allFYsTable[Code], SummaryTable[[#This Row],[Code]], allFYsTable[year2], CN$3)=0, NotFound, SUMIFS(allFYsTable[RevisedBudget], allFYsTable[Code], SummaryTable[[#This Row],[Code]], allFYsTable[year2], CN$3))</f>
        <v>927</v>
      </c>
      <c r="CR74" s="61">
        <f>IF(COUNTIFS(allFYsTable[Code], SummaryTable[[#This Row],[Code]], allFYsTable[year2], CN$3)=0, NotFound, SUMIFS(allFYsTable[Actual], allFYsTable[Code], SummaryTable[[#This Row],[Code]], allFYsTable[year2], CN$3))</f>
        <v>788</v>
      </c>
      <c r="CS74" s="61">
        <f>IF(COUNTIFS(allFYsTable[Code], SummaryTable[[#This Row],[Code]], allFYsTable[year2], CN$3)=0, NotFound, SUMIFS(allFYsTable[DiffAmount], allFYsTable[Code], SummaryTable[[#This Row],[Code]], allFYsTable[year2], CN$3))</f>
        <v>-139</v>
      </c>
      <c r="CT74" s="63">
        <f>IF(SummaryTable[[#This Row],[OriginalBudget16]]=0, IF(SummaryTable[[#This Row],[DiffAmount16]]=0, ZeroBudgetNoSpending, ZeroBudgetWithSpending), SummaryTable[[#This Row],[DiffAmount16]]/SummaryTable[[#This Row],[OriginalBudget16]])</f>
        <v>-0.1499460625674218</v>
      </c>
      <c r="CU74" s="62">
        <f>IF(COUNTIFS(allFYsTable[Code], SummaryTable[[#This Row],[Code]], allFYsTable[year2], CU$3)=0, NotFound, SUMIFS(allFYsTable[OriginalBudget], allFYsTable[Code], SummaryTable[[#This Row],[Code]], allFYsTable[year2], CU$3))</f>
        <v>924</v>
      </c>
      <c r="CV74" s="61">
        <f>SummaryTable[[#This Row],[OriginalBudget15]]-SummaryTable[[#This Row],[OriginalBudget14]]</f>
        <v>22</v>
      </c>
      <c r="CW74" s="54">
        <f>SummaryTable[[#This Row],[BudgetIncreaseAmount15]]/SummaryTable[[#This Row],[OriginalBudget14]]</f>
        <v>2.4390243902439025E-2</v>
      </c>
      <c r="CX74" s="61">
        <f>IF(COUNTIFS(allFYsTable[Code], SummaryTable[[#This Row],[Code]], allFYsTable[year2], CU$3)=0, NotFound, SUMIFS(allFYsTable[RevisedBudget], allFYsTable[Code], SummaryTable[[#This Row],[Code]], allFYsTable[year2], CU$3))</f>
        <v>924</v>
      </c>
      <c r="CY74" s="61">
        <f>IF(COUNTIFS(allFYsTable[Code], SummaryTable[[#This Row],[Code]], allFYsTable[year2], CU$3)=0, NotFound, SUMIFS(allFYsTable[Actual], allFYsTable[Code], SummaryTable[[#This Row],[Code]], allFYsTable[year2], CU$3))</f>
        <v>825</v>
      </c>
      <c r="CZ74" s="61">
        <f>IF(COUNTIFS(allFYsTable[Code], SummaryTable[[#This Row],[Code]], allFYsTable[year2], CU$3)=0, NotFound, SUMIFS(allFYsTable[DiffAmount], allFYsTable[Code], SummaryTable[[#This Row],[Code]], allFYsTable[year2], CU$3))</f>
        <v>-99</v>
      </c>
      <c r="DA74" s="63">
        <f>IF(SummaryTable[[#This Row],[OriginalBudget15]]=0, IF(SummaryTable[[#This Row],[DiffAmount15]]=0, ZeroBudgetNoSpending, ZeroBudgetWithSpending), SummaryTable[[#This Row],[DiffAmount15]]/SummaryTable[[#This Row],[OriginalBudget15]])</f>
        <v>-0.10714285714285714</v>
      </c>
      <c r="DB74" s="62">
        <f>IF(COUNTIFS(allFYsTable[Code], SummaryTable[[#This Row],[Code]], allFYsTable[year2], DB$3)=0, NotFound, SUMIFS(allFYsTable[OriginalBudget], allFYsTable[Code], SummaryTable[[#This Row],[Code]], allFYsTable[year2], DB$3))</f>
        <v>902</v>
      </c>
      <c r="DC74" s="61">
        <f>SummaryTable[[#This Row],[OriginalBudget14]]-SummaryTable[[#This Row],[OriginalBudget13]]</f>
        <v>8</v>
      </c>
      <c r="DD74" s="54">
        <f>SummaryTable[[#This Row],[BudgetIncreaseAmount14]]/SummaryTable[[#This Row],[OriginalBudget13]]</f>
        <v>8.948545861297539E-3</v>
      </c>
      <c r="DE74" s="61">
        <f>IF(COUNTIFS(allFYsTable[Code], SummaryTable[[#This Row],[Code]], allFYsTable[year2], DB$3)=0, NotFound, SUMIFS(allFYsTable[RevisedBudget], allFYsTable[Code], SummaryTable[[#This Row],[Code]], allFYsTable[year2], DB$3))</f>
        <v>909</v>
      </c>
      <c r="DF74" s="61">
        <f>IF(COUNTIFS(allFYsTable[Code], SummaryTable[[#This Row],[Code]], allFYsTable[year2], DB$3)=0, NotFound, SUMIFS(allFYsTable[Actual], allFYsTable[Code], SummaryTable[[#This Row],[Code]], allFYsTable[year2], DB$3))</f>
        <v>861</v>
      </c>
      <c r="DG74" s="61">
        <f>IF(COUNTIFS(allFYsTable[Code], SummaryTable[[#This Row],[Code]], allFYsTable[year2], DB$3)=0, NotFound, SUMIFS(allFYsTable[DiffAmount], allFYsTable[Code], SummaryTable[[#This Row],[Code]], allFYsTable[year2], DB$3))</f>
        <v>-41</v>
      </c>
      <c r="DH74" s="63">
        <f>IF(SummaryTable[[#This Row],[OriginalBudget14]]=0, IF(SummaryTable[[#This Row],[DiffAmount14]]=0, ZeroBudgetNoSpending, ZeroBudgetWithSpending), SummaryTable[[#This Row],[DiffAmount14]]/SummaryTable[[#This Row],[OriginalBudget14]])</f>
        <v>-4.5454545454545456E-2</v>
      </c>
      <c r="DI74" s="62">
        <f>IF(COUNTIFS(allFYsTable[Code], SummaryTable[[#This Row],[Code]], allFYsTable[year2], DI$3)=0, NotFound, SUMIFS(allFYsTable[OriginalBudget], allFYsTable[Code], SummaryTable[[#This Row],[Code]], allFYsTable[year2], DI$3))</f>
        <v>894</v>
      </c>
      <c r="DJ74" s="61">
        <f>SummaryTable[[#This Row],[OriginalBudget13]]-SummaryTable[[#This Row],[OriginalBudget12]]</f>
        <v>5</v>
      </c>
      <c r="DK74" s="54">
        <f>SummaryTable[[#This Row],[BudgetIncreaseAmount13]]/SummaryTable[[#This Row],[OriginalBudget12]]</f>
        <v>5.6242969628796397E-3</v>
      </c>
      <c r="DL74" s="61">
        <f>IF(COUNTIFS(allFYsTable[Code], SummaryTable[[#This Row],[Code]], allFYsTable[year2], DI$3)=0, NotFound, SUMIFS(allFYsTable[RevisedBudget], allFYsTable[Code], SummaryTable[[#This Row],[Code]], allFYsTable[year2], DI$3))</f>
        <v>782</v>
      </c>
      <c r="DM74" s="61">
        <f>IF(COUNTIFS(allFYsTable[Code], SummaryTable[[#This Row],[Code]], allFYsTable[year2], DI$3)=0, NotFound, SUMIFS(allFYsTable[Actual], allFYsTable[Code], SummaryTable[[#This Row],[Code]], allFYsTable[year2], DI$3))</f>
        <v>781</v>
      </c>
      <c r="DN74" s="61">
        <f>IF(COUNTIFS(allFYsTable[Code], SummaryTable[[#This Row],[Code]], allFYsTable[year2], DI$3)=0, NotFound, SUMIFS(allFYsTable[DiffAmount], allFYsTable[Code], SummaryTable[[#This Row],[Code]], allFYsTable[year2], DI$3))</f>
        <v>-113</v>
      </c>
      <c r="DO74" s="63">
        <f>IF(SummaryTable[[#This Row],[OriginalBudget13]]=0, IF(SummaryTable[[#This Row],[DiffAmount13]]=0, ZeroBudgetNoSpending, ZeroBudgetWithSpending), SummaryTable[[#This Row],[DiffAmount13]]/SummaryTable[[#This Row],[OriginalBudget13]])</f>
        <v>-0.12639821029082773</v>
      </c>
      <c r="DP74" s="62">
        <f>IF(COUNTIFS(allFYsTable[Code], SummaryTable[[#This Row],[Code]], allFYsTable[year2], DP$3)=0, NotFound, SUMIFS(allFYsTable[OriginalBudget], allFYsTable[Code], SummaryTable[[#This Row],[Code]], allFYsTable[year2], DP$3))</f>
        <v>889</v>
      </c>
      <c r="DQ74" s="61">
        <f>SummaryTable[[#This Row],[OriginalBudget12]]-SummaryTable[[#This Row],[OriginalBudget11]]</f>
        <v>0</v>
      </c>
      <c r="DR74" s="54">
        <f>SummaryTable[[#This Row],[BudgetIncreaseAmount12]]/SummaryTable[[#This Row],[OriginalBudget11]]</f>
        <v>0</v>
      </c>
      <c r="DS74" s="61">
        <f>IF(COUNTIFS(allFYsTable[Code], SummaryTable[[#This Row],[Code]], allFYsTable[year2], DP$3)=0, NotFound, SUMIFS(allFYsTable[RevisedBudget], allFYsTable[Code], SummaryTable[[#This Row],[Code]], allFYsTable[year2], DP$3))</f>
        <v>889</v>
      </c>
      <c r="DT74" s="61">
        <f>IF(COUNTIFS(allFYsTable[Code], SummaryTable[[#This Row],[Code]], allFYsTable[year2], DP$3)=0, NotFound, SUMIFS(allFYsTable[Actual], allFYsTable[Code], SummaryTable[[#This Row],[Code]], allFYsTable[year2], DP$3))</f>
        <v>744</v>
      </c>
      <c r="DU74" s="61">
        <f>IF(COUNTIFS(allFYsTable[Code], SummaryTable[[#This Row],[Code]], allFYsTable[year2], DP$3)=0, NotFound, SUMIFS(allFYsTable[DiffAmount], allFYsTable[Code], SummaryTable[[#This Row],[Code]], allFYsTable[year2], DP$3))</f>
        <v>-145</v>
      </c>
      <c r="DV74" s="63">
        <f>IF(SummaryTable[[#This Row],[OriginalBudget12]]=0, IF(SummaryTable[[#This Row],[DiffAmount12]]=0, ZeroBudgetNoSpending, ZeroBudgetWithSpending), SummaryTable[[#This Row],[DiffAmount12]]/SummaryTable[[#This Row],[OriginalBudget12]])</f>
        <v>-0.16310461192350956</v>
      </c>
      <c r="DW74" s="62">
        <f>IF(COUNTIFS(allFYsTable[Code], SummaryTable[[#This Row],[Code]], allFYsTable[year2], DW$3)=0, NotFound, SUMIFS(allFYsTable[OriginalBudget], allFYsTable[Code], SummaryTable[[#This Row],[Code]], allFYsTable[year2], DW$3))</f>
        <v>889</v>
      </c>
      <c r="DX74" s="61">
        <f>SummaryTable[[#This Row],[OriginalBudget11]]-SummaryTable[[#This Row],[OriginalBudget10]]</f>
        <v>-112</v>
      </c>
      <c r="DY74" s="54">
        <f>SummaryTable[[#This Row],[BudgetIncreaseAmount11]]/SummaryTable[[#This Row],[OriginalBudget10]]</f>
        <v>-0.11188811188811189</v>
      </c>
      <c r="DZ74" s="61">
        <f>IF(COUNTIFS(allFYsTable[Code], SummaryTable[[#This Row],[Code]], allFYsTable[year2], DW$3)=0, NotFound, SUMIFS(allFYsTable[RevisedBudget], allFYsTable[Code], SummaryTable[[#This Row],[Code]], allFYsTable[year2], DW$3))</f>
        <v>889</v>
      </c>
      <c r="EA74" s="61">
        <f>IF(COUNTIFS(allFYsTable[Code], SummaryTable[[#This Row],[Code]], allFYsTable[year2], DW$3)=0, NotFound, SUMIFS(allFYsTable[Actual], allFYsTable[Code], SummaryTable[[#This Row],[Code]], allFYsTable[year2], DW$3))</f>
        <v>833</v>
      </c>
      <c r="EB74" s="61">
        <f>IF(COUNTIFS(allFYsTable[Code], SummaryTable[[#This Row],[Code]], allFYsTable[year2], DW$3)=0, NotFound, SUMIFS(allFYsTable[DiffAmount], allFYsTable[Code], SummaryTable[[#This Row],[Code]], allFYsTable[year2], DW$3))</f>
        <v>-56</v>
      </c>
      <c r="EC74" s="63">
        <f>IF(SummaryTable[[#This Row],[OriginalBudget11]]=0, IF(SummaryTable[[#This Row],[DiffAmount11]]=0, ZeroBudgetNoSpending, ZeroBudgetWithSpending), SummaryTable[[#This Row],[DiffAmount11]]/SummaryTable[[#This Row],[OriginalBudget11]])</f>
        <v>-6.2992125984251968E-2</v>
      </c>
      <c r="ED74" s="62">
        <f>IF(COUNTIFS(allFYsTable[Code], SummaryTable[[#This Row],[Code]], allFYsTable[year2], ED$3)=0, NotFound, SUMIFS(allFYsTable[OriginalBudget], allFYsTable[Code], SummaryTable[[#This Row],[Code]], allFYsTable[year2], ED$3))</f>
        <v>1001</v>
      </c>
      <c r="EE74" s="61">
        <f>SummaryTable[[#This Row],[OriginalBudget10]]-SummaryTable[[#This Row],[OriginalBudget09]]</f>
        <v>-91</v>
      </c>
      <c r="EF74" s="54">
        <f>SummaryTable[[#This Row],[BudgetIncreaseAmount10]]/SummaryTable[[#This Row],[OriginalBudget09]]</f>
        <v>-8.3333333333333329E-2</v>
      </c>
      <c r="EG74" s="61">
        <f>IF(COUNTIFS(allFYsTable[Code], SummaryTable[[#This Row],[Code]], allFYsTable[year2], ED$3)=0, NotFound, SUMIFS(allFYsTable[RevisedBudget], allFYsTable[Code], SummaryTable[[#This Row],[Code]], allFYsTable[year2], ED$3))</f>
        <v>994</v>
      </c>
      <c r="EH74" s="61">
        <f>IF(COUNTIFS(allFYsTable[Code], SummaryTable[[#This Row],[Code]], allFYsTable[year2], ED$3)=0, NotFound, SUMIFS(allFYsTable[Actual], allFYsTable[Code], SummaryTable[[#This Row],[Code]], allFYsTable[year2], ED$3))</f>
        <v>920</v>
      </c>
      <c r="EI74" s="61">
        <f>IF(COUNTIFS(allFYsTable[Code], SummaryTable[[#This Row],[Code]], allFYsTable[year2], ED$3)=0, NotFound, SUMIFS(allFYsTable[DiffAmount], allFYsTable[Code], SummaryTable[[#This Row],[Code]], allFYsTable[year2], ED$3))</f>
        <v>-81</v>
      </c>
      <c r="EJ74" s="63">
        <f>IF(SummaryTable[[#This Row],[OriginalBudget10]]=0, IF(SummaryTable[[#This Row],[DiffAmount10]]=0, ZeroBudgetNoSpending, ZeroBudgetWithSpending), SummaryTable[[#This Row],[DiffAmount10]]/SummaryTable[[#This Row],[OriginalBudget10]])</f>
        <v>-8.0919080919080913E-2</v>
      </c>
      <c r="EK74" s="62">
        <f>IF(COUNTIFS(allFYsTable[Code], SummaryTable[[#This Row],[Code]], allFYsTable[year2], EK$3)=0, NotFound, SUMIFS(allFYsTable[OriginalBudget], allFYsTable[Code], SummaryTable[[#This Row],[Code]], allFYsTable[year2], EK$3))</f>
        <v>1092</v>
      </c>
      <c r="EL74" s="61">
        <f>SummaryTable[[#This Row],[OriginalBudget09]]-SummaryTable[[#This Row],[OriginalBudget08]]</f>
        <v>3</v>
      </c>
      <c r="EM74" s="54">
        <f>SummaryTable[[#This Row],[BudgetIncreaseAmount09]]/SummaryTable[[#This Row],[OriginalBudget08]]</f>
        <v>2.7548209366391185E-3</v>
      </c>
      <c r="EN74" s="61">
        <f>IF(COUNTIFS(allFYsTable[Code], SummaryTable[[#This Row],[Code]], allFYsTable[year2], EK$3)=0, NotFound, SUMIFS(allFYsTable[RevisedBudget], allFYsTable[Code], SummaryTable[[#This Row],[Code]], allFYsTable[year2], EK$3))</f>
        <v>1092</v>
      </c>
      <c r="EO74" s="61">
        <f>IF(COUNTIFS(allFYsTable[Code], SummaryTable[[#This Row],[Code]], allFYsTable[year2], EK$3)=0, NotFound, SUMIFS(allFYsTable[Actual], allFYsTable[Code], SummaryTable[[#This Row],[Code]], allFYsTable[year2], EK$3))</f>
        <v>1043</v>
      </c>
      <c r="EP74" s="61">
        <f>IF(COUNTIFS(allFYsTable[Code], SummaryTable[[#This Row],[Code]], allFYsTable[year2], EK$3)=0, NotFound, SUMIFS(allFYsTable[DiffAmount], allFYsTable[Code], SummaryTable[[#This Row],[Code]], allFYsTable[year2], EK$3))</f>
        <v>-49</v>
      </c>
      <c r="EQ74" s="63">
        <f>IF(SummaryTable[[#This Row],[OriginalBudget09]]=0, IF(SummaryTable[[#This Row],[DiffAmount09]]=0, ZeroBudgetNoSpending, ZeroBudgetWithSpending), SummaryTable[[#This Row],[DiffAmount09]]/SummaryTable[[#This Row],[OriginalBudget09]])</f>
        <v>-4.4871794871794872E-2</v>
      </c>
      <c r="ER74" s="62">
        <f>IF(COUNTIFS(allFYsTable[Code], SummaryTable[[#This Row],[Code]], allFYsTable[year2], ER$3)=0, NotFound, SUMIFS(allFYsTable[OriginalBudget], allFYsTable[Code], SummaryTable[[#This Row],[Code]], allFYsTable[year2], ER$3))</f>
        <v>1089</v>
      </c>
      <c r="ES74" s="61">
        <f>SummaryTable[[#This Row],[OriginalBudget08]]-SummaryTable[[#This Row],[OriginalBudget07]]</f>
        <v>95</v>
      </c>
      <c r="ET74" s="54">
        <f>SummaryTable[[#This Row],[BudgetIncreaseAmount08]]/SummaryTable[[#This Row],[OriginalBudget07]]</f>
        <v>9.5573440643863181E-2</v>
      </c>
      <c r="EU74" s="61">
        <f>IF(COUNTIFS(allFYsTable[Code], SummaryTable[[#This Row],[Code]], allFYsTable[year2], ER$3)=0, NotFound, SUMIFS(allFYsTable[RevisedBudget], allFYsTable[Code], SummaryTable[[#This Row],[Code]], allFYsTable[year2], ER$3))</f>
        <v>1089</v>
      </c>
      <c r="EV74" s="61">
        <f>IF(COUNTIFS(allFYsTable[Code], SummaryTable[[#This Row],[Code]], allFYsTable[year2], ER$3)=0, NotFound, SUMIFS(allFYsTable[Actual], allFYsTable[Code], SummaryTable[[#This Row],[Code]], allFYsTable[year2], ER$3))</f>
        <v>945</v>
      </c>
      <c r="EW74" s="61">
        <f>IF(COUNTIFS(allFYsTable[Code], SummaryTable[[#This Row],[Code]], allFYsTable[year2], ER$3)=0, NotFound, SUMIFS(allFYsTable[DiffAmount], allFYsTable[Code], SummaryTable[[#This Row],[Code]], allFYsTable[year2], ER$3))</f>
        <v>-144</v>
      </c>
      <c r="EX74" s="63">
        <f>IF(SummaryTable[[#This Row],[OriginalBudget08]]=0, IF(SummaryTable[[#This Row],[DiffAmount08]]=0, ZeroBudgetNoSpending, ZeroBudgetWithSpending), SummaryTable[[#This Row],[DiffAmount08]]/SummaryTable[[#This Row],[OriginalBudget08]])</f>
        <v>-0.13223140495867769</v>
      </c>
      <c r="EY74" s="62">
        <f>IF(COUNTIFS(allFYsTable[Code], SummaryTable[[#This Row],[Code]], allFYsTable[year2], EY$3)=0, NotFound, SUMIFS(allFYsTable[OriginalBudget], allFYsTable[Code], SummaryTable[[#This Row],[Code]], allFYsTable[year2], EY$3))</f>
        <v>994</v>
      </c>
      <c r="EZ74" s="61">
        <f>SummaryTable[[#This Row],[OriginalBudget07]]-SummaryTable[[#This Row],[OriginalBudget06]]</f>
        <v>18</v>
      </c>
      <c r="FA74" s="54">
        <f>SummaryTable[[#This Row],[BudgetIncreaseAmount07]]/SummaryTable[[#This Row],[OriginalBudget06]]</f>
        <v>1.8442622950819672E-2</v>
      </c>
      <c r="FB74" s="61">
        <f>IF(COUNTIFS(allFYsTable[Code], SummaryTable[[#This Row],[Code]], allFYsTable[year2], EY$3)=0, NotFound, SUMIFS(allFYsTable[RevisedBudget], allFYsTable[Code], SummaryTable[[#This Row],[Code]], allFYsTable[year2], EY$3))</f>
        <v>997</v>
      </c>
      <c r="FC74" s="61">
        <f>IF(COUNTIFS(allFYsTable[Code], SummaryTable[[#This Row],[Code]], allFYsTable[year2], EY$3)=0, NotFound, SUMIFS(allFYsTable[Actual], allFYsTable[Code], SummaryTable[[#This Row],[Code]], allFYsTable[year2], EY$3))</f>
        <v>883</v>
      </c>
      <c r="FD74" s="61">
        <f>IF(COUNTIFS(allFYsTable[Code], SummaryTable[[#This Row],[Code]], allFYsTable[year2], EY$3)=0, NotFound, SUMIFS(allFYsTable[DiffAmount], allFYsTable[Code], SummaryTable[[#This Row],[Code]], allFYsTable[year2], EY$3))</f>
        <v>-111</v>
      </c>
      <c r="FE74" s="63">
        <f>IF(SummaryTable[[#This Row],[OriginalBudget07]]=0, IF(SummaryTable[[#This Row],[DiffAmount07]]=0, ZeroBudgetNoSpending, ZeroBudgetWithSpending), SummaryTable[[#This Row],[DiffAmount07]]/SummaryTable[[#This Row],[OriginalBudget07]])</f>
        <v>-0.11167002012072434</v>
      </c>
      <c r="FF74" s="62">
        <f>IF(COUNTIFS(allFYsTable[Code], SummaryTable[[#This Row],[Code]], allFYsTable[year2], FF$3)=0, NotFound, SUMIFS(allFYsTable[OriginalBudget], allFYsTable[Code], SummaryTable[[#This Row],[Code]], allFYsTable[year2], FF$3))</f>
        <v>976</v>
      </c>
      <c r="FI74" s="61">
        <f>IF(COUNTIFS(allFYsTable[Code], SummaryTable[[#This Row],[Code]], allFYsTable[year2], FF$3)=0, NotFound, SUMIFS(allFYsTable[RevisedBudget], allFYsTable[Code], SummaryTable[[#This Row],[Code]], allFYsTable[year2], FF$3))</f>
        <v>981</v>
      </c>
      <c r="FJ74" s="61">
        <f>IF(COUNTIFS(allFYsTable[Code], SummaryTable[[#This Row],[Code]], allFYsTable[year2], FF$3)=0, NotFound, SUMIFS(allFYsTable[Actual], allFYsTable[Code], SummaryTable[[#This Row],[Code]], allFYsTable[year2], FF$3))</f>
        <v>956</v>
      </c>
      <c r="FK74" s="61">
        <f>IF(COUNTIFS(allFYsTable[Code], SummaryTable[[#This Row],[Code]], allFYsTable[year2], FF$3)=0, NotFound, SUMIFS(allFYsTable[DiffAmount], allFYsTable[Code], SummaryTable[[#This Row],[Code]], allFYsTable[year2], FF$3))</f>
        <v>-20</v>
      </c>
      <c r="FL74" s="63">
        <f>IF(SummaryTable[[#This Row],[OriginalBudget06]]=0, IF(SummaryTable[[#This Row],[DiffAmount06]]=0, ZeroBudgetNoSpending, ZeroBudgetWithSpending), SummaryTable[[#This Row],[DiffAmount06]]/SummaryTable[[#This Row],[OriginalBudget06]])</f>
        <v>-2.0491803278688523E-2</v>
      </c>
    </row>
    <row r="75" spans="1:168" x14ac:dyDescent="0.45">
      <c r="A75" t="s">
        <v>741</v>
      </c>
      <c r="B75">
        <f>_xlfn.MAXIFS(allFYsTable[year2], allFYsTable[Code], SummaryTable[[#This Row],[Code]])</f>
        <v>2025</v>
      </c>
      <c r="C75" t="str">
        <f>_xlfn.XLOOKUP(SummaryTable[[#This Row],[Code]], NameCodingTable[Code], NameCodingTable[Most Recent Category per allFYs])</f>
        <v>Economic development and regulation</v>
      </c>
      <c r="D75" t="str">
        <f>_xlfn.XLOOKUP(SummaryTable[[#This Row],[Code]], NameCodingTable[Code], NameCodingTable[Unit Display Name])</f>
        <v>Office of Cable Television, Film, Music, and Entertainment</v>
      </c>
      <c r="E75" t="str">
        <f>_xlfn.XLOOKUP(SummaryTable[[#This Row],[Code]], NameCodingTable[Code], NameCodingTable[Type])</f>
        <v>agency</v>
      </c>
      <c r="F7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7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10</v>
      </c>
      <c r="H75" s="54">
        <f>SummaryTable[[#This Row],['# Over]]/SummaryTable[[#This Row],[Count]]</f>
        <v>0.5</v>
      </c>
      <c r="I7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75" s="54">
        <f>SummaryTable[[#This Row],['# Under]]/SummaryTable[[#This Row],[Count]]</f>
        <v>0.5</v>
      </c>
      <c r="K7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75" s="54">
        <f>SummaryTable[[#This Row],['# Equal]]/SummaryTable[[#This Row],[Count]]</f>
        <v>0</v>
      </c>
      <c r="M75" s="61">
        <f>SUMIFS(allFYsTable[OriginalBudget],allFYsTable[Code],SummaryTable[[#This Row],[Code]])/SummaryTable[[#This Row],[Count]]</f>
        <v>2191.15</v>
      </c>
      <c r="N75" s="61">
        <f>SUMIFS(allFYsTable[Actual],allFYsTable[Code],SummaryTable[[#This Row],[Code]])/SummaryTable[[#This Row],[Count]]</f>
        <v>2086.4</v>
      </c>
      <c r="O75" s="61">
        <f>SummaryTable[[#This Row],[AvgActAmt]]-SummaryTable[[#This Row],[AvgBudAmt]]</f>
        <v>-104.75</v>
      </c>
      <c r="P75" s="54">
        <f>IF(SummaryTable[[#This Row],[AvgBudAmt]]=0, IF(SummaryTable[[#This Row],[AvgDiff'#]]=0, 0, NamedFields!$C$3), SummaryTable[[#This Row],[AvgDiff'#]]/SummaryTable[[#This Row],[AvgBudAmt]])</f>
        <v>-4.7805946649019916E-2</v>
      </c>
      <c r="Q75" s="61">
        <f>IFERROR(SUMIFS(allFYsTable[OriginalBudget],allFYsTable[Code],SummaryTable[[#This Row],[Code]],allFYsTable[DiffAmount], "&gt;0")/SummaryTable[[#This Row],['# Over]], 0)</f>
        <v>1776.7</v>
      </c>
      <c r="R75" s="61">
        <f>IFERROR(SUMIFS(allFYsTable[Actual],allFYsTable[Code],SummaryTable[[#This Row],[Code]],allFYsTable[DiffAmount], "&gt;0")/SummaryTable[[#This Row],['# Over]], 0)</f>
        <v>2673.9</v>
      </c>
      <c r="S75" s="61">
        <f>SummaryTable[[#This Row],[OverAvgAct]]-SummaryTable[[#This Row],[OverAvgBud]]</f>
        <v>897.2</v>
      </c>
      <c r="T75" s="54">
        <f>IF(SummaryTable[[#This Row],[OverAvgBud]]=0, IF(SummaryTable[[#This Row],[OverAvgDiff'#]]=0, ZeroBudgetNoSpending, ZeroBudgetWithSpending), SummaryTable[[#This Row],[OverAvgDiff'#]]/SummaryTable[[#This Row],[OverAvgBud]])</f>
        <v>0.50498114481904655</v>
      </c>
      <c r="U75" s="61">
        <f>IFERROR(SUMIFS(allFYsTable[OriginalBudget],allFYsTable[Code],SummaryTable[[#This Row],[Code]],allFYsTable[DiffAmount], "&lt;0")/SummaryTable[[#This Row],['# Under]], 0)</f>
        <v>2605.6</v>
      </c>
      <c r="V75" s="61">
        <f>IFERROR( SUMIFS(allFYsTable[Actual],allFYsTable[Code],SummaryTable[[#This Row],[Code]],allFYsTable[DiffAmount], "&lt;0")/SummaryTable[[#This Row],['# Under]], 0)</f>
        <v>1498.9</v>
      </c>
      <c r="W75" s="61">
        <f>SummaryTable[[#This Row],[UnderAvgAct]]-SummaryTable[[#This Row],[UnderAvgBud]]</f>
        <v>-1106.6999999999998</v>
      </c>
      <c r="X75" s="54">
        <f>IF(SummaryTable[[#This Row],[UnderAvgBud]]=0, IF(SummaryTable[[#This Row],[UnderAvgDiff'#]]=0, ZeroBudgetNoSpending, NamedFields!$C$3), SummaryTable[[#This Row],[UnderAvgDiff'#]]/SummaryTable[[#This Row],[UnderAvgBud]])</f>
        <v>-0.42473902364138771</v>
      </c>
      <c r="Y7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7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75" s="54">
        <f>IF(SummaryTable[[#This Row],[IncreaseYears]]=0, ZeroBudgetNoSpending, SummaryTable[[#This Row],[OSinIncreaseYear'#]]/SummaryTable[[#This Row],[IncreaseYears]])</f>
        <v>0.16666666666666666</v>
      </c>
      <c r="AB75" s="58" t="str">
        <f>SummaryTable[[#This Row],[Code]]</f>
        <v>CI0</v>
      </c>
      <c r="AC75" s="62">
        <f>IF(COUNTIFS(allFYsTable[Code], SummaryTable[[#This Row],[Code]], allFYsTable[year2], AC$3)=0, NotFound, SUMIFS(allFYsTable[OriginalBudget], allFYsTable[Code], SummaryTable[[#This Row],[Code]], allFYsTable[year2], AC$3))</f>
        <v>7571</v>
      </c>
      <c r="AD75" s="61">
        <f>SummaryTable[[#This Row],[OriginalBudget25]]-SummaryTable[[#This Row],[OriginalBudget24]]</f>
        <v>4302</v>
      </c>
      <c r="AE75" s="54">
        <f>SummaryTable[[#This Row],[BudgetIncreaseAmount25]]/SummaryTable[[#This Row],[OriginalBudget24]]</f>
        <v>1.3159987763842154</v>
      </c>
      <c r="AF75" s="61">
        <f>IF(COUNTIFS(allFYsTable[Code], SummaryTable[[#This Row],[Code]], allFYsTable[year2], AC$3)=0, NotFound, SUMIFS(allFYsTable[RevisedBudget], allFYsTable[Code], SummaryTable[[#This Row],[Code]], allFYsTable[year2], AC$3))</f>
        <v>6579</v>
      </c>
      <c r="AG75" s="61">
        <f>IF(COUNTIFS(allFYsTable[Code], SummaryTable[[#This Row],[Code]], allFYsTable[year2], AC$3)=0, NotFound, SUMIFS(allFYsTable[Actual], allFYsTable[Code], SummaryTable[[#This Row],[Code]], allFYsTable[year2], AC$3))</f>
        <v>6068</v>
      </c>
      <c r="AH75" s="61">
        <f>IF(COUNTIFS(allFYsTable[Code], SummaryTable[[#This Row],[Code]], allFYsTable[year2], AC$3)=0, NotFound, SUMIFS(allFYsTable[DiffAmount], allFYsTable[Code], SummaryTable[[#This Row],[Code]], allFYsTable[year2], AC$3))</f>
        <v>-1503</v>
      </c>
      <c r="AI75" s="63">
        <f>IF(SummaryTable[[#This Row],[OriginalBudget25]]=0, IF(SummaryTable[[#This Row],[DiffAmount25]]=0, ZeroBudgetNoSpending, ZeroBudgetWithSpending), SummaryTable[[#This Row],[DiffAmount25]]/SummaryTable[[#This Row],[OriginalBudget25]])</f>
        <v>-0.1985206709813763</v>
      </c>
      <c r="AJ75" s="62">
        <f>IF(COUNTIFS(allFYsTable[Code], SummaryTable[[#This Row],[Code]], allFYsTable[year2], AJ$3)=0, NotFound, SUMIFS(allFYsTable[OriginalBudget], allFYsTable[Code], SummaryTable[[#This Row],[Code]], allFYsTable[year2], AJ$3))</f>
        <v>3269</v>
      </c>
      <c r="AK75" s="61">
        <f>SummaryTable[[#This Row],[OriginalBudget24]]-SummaryTable[[#This Row],[OriginalBudget23]]</f>
        <v>53</v>
      </c>
      <c r="AL75" s="54">
        <f>SummaryTable[[#This Row],[BudgetIncreaseAmount24]]/SummaryTable[[#This Row],[OriginalBudget23]]</f>
        <v>1.6480099502487564E-2</v>
      </c>
      <c r="AM75" s="61">
        <f>IF(COUNTIFS(allFYsTable[Code], SummaryTable[[#This Row],[Code]], allFYsTable[year2], AK$3)=0, NotFound, SUMIFS(allFYsTable[RevisedBudget], allFYsTable[Code], SummaryTable[[#This Row],[Code]], allFYsTable[year2], AJ$3))</f>
        <v>6244</v>
      </c>
      <c r="AN75" s="61">
        <f>IF(COUNTIFS(allFYsTable[Code], SummaryTable[[#This Row],[Code]], allFYsTable[year2], AJ$3)=0, NotFound, SUMIFS(allFYsTable[Actual], allFYsTable[Code], SummaryTable[[#This Row],[Code]], allFYsTable[year2], AJ$3))</f>
        <v>5617</v>
      </c>
      <c r="AO75" s="61">
        <f>IF(COUNTIFS(allFYsTable[Code], SummaryTable[[#This Row],[Code]], allFYsTable[year2], AJ$3)=0, NotFound, SUMIFS(allFYsTable[DiffAmount], allFYsTable[Code], SummaryTable[[#This Row],[Code]], allFYsTable[year2], AJ$3))</f>
        <v>2348</v>
      </c>
      <c r="AP75" s="63">
        <f>IF(SummaryTable[[#This Row],[OriginalBudget24]]=0, IF(SummaryTable[[#This Row],[DiffAmount24]]=0, ZeroBudgetNoSpending, ZeroBudgetWithSpending), SummaryTable[[#This Row],[DiffAmount24]]/SummaryTable[[#This Row],[OriginalBudget24]])</f>
        <v>0.71826246558580609</v>
      </c>
      <c r="AQ75" s="62">
        <f>IF(COUNTIFS(allFYsTable[Code], SummaryTable[[#This Row],[Code]], allFYsTable[year2], AQ$3)=0, NotFound, SUMIFS(allFYsTable[OriginalBudget], allFYsTable[Code], SummaryTable[[#This Row],[Code]], allFYsTable[year2], AQ$3))</f>
        <v>3216</v>
      </c>
      <c r="AR75" s="61">
        <f>SummaryTable[[#This Row],[OriginalBudget23]]-SummaryTable[[#This Row],[OriginalBudget22]]</f>
        <v>462</v>
      </c>
      <c r="AS75" s="54">
        <f>SummaryTable[[#This Row],[BudgetIncreaseAmount23]]/SummaryTable[[#This Row],[OriginalBudget22]]</f>
        <v>0.16775599128540306</v>
      </c>
      <c r="AT75" s="61">
        <f>IF(COUNTIFS(allFYsTable[Code], SummaryTable[[#This Row],[Code]], allFYsTable[year2], AQ$3)=0, NotFound, SUMIFS(allFYsTable[RevisedBudget], allFYsTable[Code], SummaryTable[[#This Row],[Code]], allFYsTable[year2], AQ$3))</f>
        <v>5016</v>
      </c>
      <c r="AU75" s="61">
        <f>IF(COUNTIFS(allFYsTable[Code], SummaryTable[[#This Row],[Code]], allFYsTable[year2], AQ$3)=0, NotFound, SUMIFS(allFYsTable[Actual], allFYsTable[Code], SummaryTable[[#This Row],[Code]], allFYsTable[year2], AQ$3))</f>
        <v>4793</v>
      </c>
      <c r="AV75" s="61">
        <f>IF(COUNTIFS(allFYsTable[Code], SummaryTable[[#This Row],[Code]], allFYsTable[year2], AQ$3)=0, NotFound, SUMIFS(allFYsTable[DiffAmount], allFYsTable[Code], SummaryTable[[#This Row],[Code]], allFYsTable[year2], AQ$3))</f>
        <v>1577</v>
      </c>
      <c r="AW75" s="63">
        <f>IF(SummaryTable[[#This Row],[OriginalBudget23]]=0, IF(SummaryTable[[#This Row],[DiffAmount23]]=0, ZeroBudgetNoSpending, ZeroBudgetWithSpending), SummaryTable[[#This Row],[DiffAmount23]]/SummaryTable[[#This Row],[OriginalBudget23]])</f>
        <v>0.49036069651741293</v>
      </c>
      <c r="AX75" s="62">
        <f>IF(COUNTIFS(allFYsTable[Code], SummaryTable[[#This Row],[Code]], allFYsTable[year2], AX$3)=0, NotFound, SUMIFS(allFYsTable[OriginalBudget], allFYsTable[Code], SummaryTable[[#This Row],[Code]], allFYsTable[year2], AX$3))</f>
        <v>2754</v>
      </c>
      <c r="AY75" s="61">
        <f>SummaryTable[[#This Row],[OriginalBudget22]]-SummaryTable[[#This Row],[OriginalBudget21]]</f>
        <v>120</v>
      </c>
      <c r="AZ75" s="54">
        <f>SummaryTable[[#This Row],[BudgetIncreaseAmount22]]/SummaryTable[[#This Row],[OriginalBudget21]]</f>
        <v>4.5558086560364468E-2</v>
      </c>
      <c r="BA75" s="61">
        <f>IF(COUNTIFS(allFYsTable[Code], SummaryTable[[#This Row],[Code]], allFYsTable[year2], AX$3)=0, NotFound, SUMIFS(allFYsTable[RevisedBudget], allFYsTable[Code], SummaryTable[[#This Row],[Code]], allFYsTable[year2], AX$3))</f>
        <v>2934</v>
      </c>
      <c r="BB75" s="61">
        <f>IF(COUNTIFS(allFYsTable[Code], SummaryTable[[#This Row],[Code]], allFYsTable[year2], AX$3)=0, NotFound, SUMIFS(allFYsTable[Actual], allFYsTable[Code], SummaryTable[[#This Row],[Code]], allFYsTable[year2], AX$3))</f>
        <v>2916</v>
      </c>
      <c r="BC75" s="61">
        <f>IF(COUNTIFS(allFYsTable[Code], SummaryTable[[#This Row],[Code]], allFYsTable[year2], AX$3)=0, NotFound, SUMIFS(allFYsTable[DiffAmount], allFYsTable[Code], SummaryTable[[#This Row],[Code]], allFYsTable[year2], AX$3))</f>
        <v>162</v>
      </c>
      <c r="BD75" s="63">
        <f>IF(SummaryTable[[#This Row],[OriginalBudget22]]=0, IF(SummaryTable[[#This Row],[DiffAmount22]]=0, ZeroBudgetNoSpending, ZeroBudgetWithSpending), SummaryTable[[#This Row],[DiffAmount22]]/SummaryTable[[#This Row],[OriginalBudget22]])</f>
        <v>5.8823529411764705E-2</v>
      </c>
      <c r="BE75" s="62">
        <f>IF(COUNTIFS(allFYsTable[Code], SummaryTable[[#This Row],[Code]], allFYsTable[year2], BE$3)=0, NotFound, SUMIFS(allFYsTable[OriginalBudget], allFYsTable[Code], SummaryTable[[#This Row],[Code]], allFYsTable[year2], BE$3))</f>
        <v>2634</v>
      </c>
      <c r="BF75" s="61">
        <f>SummaryTable[[#This Row],[OriginalBudget21]]-SummaryTable[[#This Row],[OriginalBudget20]]</f>
        <v>935</v>
      </c>
      <c r="BG75" s="54">
        <f>SummaryTable[[#This Row],[BudgetIncreaseAmount21]]/SummaryTable[[#This Row],[OriginalBudget20]]</f>
        <v>0.55032371983519712</v>
      </c>
      <c r="BH75" s="61">
        <f>IF(COUNTIFS(allFYsTable[Code], SummaryTable[[#This Row],[Code]], allFYsTable[year2], BE$3)=0, NotFound, SUMIFS(allFYsTable[RevisedBudget], allFYsTable[Code], SummaryTable[[#This Row],[Code]], allFYsTable[year2], BE$3))</f>
        <v>2636</v>
      </c>
      <c r="BI75" s="61">
        <f>IF(COUNTIFS(allFYsTable[Code], SummaryTable[[#This Row],[Code]], allFYsTable[year2], BE$3)=0, NotFound, SUMIFS(allFYsTable[Actual], allFYsTable[Code], SummaryTable[[#This Row],[Code]], allFYsTable[year2], BE$3))</f>
        <v>2453</v>
      </c>
      <c r="BJ75" s="61">
        <f>IF(COUNTIFS(allFYsTable[Code], SummaryTable[[#This Row],[Code]], allFYsTable[year2], BE$3)=0, NotFound, SUMIFS(allFYsTable[DiffAmount], allFYsTable[Code], SummaryTable[[#This Row],[Code]], allFYsTable[year2], BE$3))</f>
        <v>-181</v>
      </c>
      <c r="BK75" s="63">
        <f>IF(SummaryTable[[#This Row],[OriginalBudget21]]=0, IF(SummaryTable[[#This Row],[DiffAmount21]]=0, ZeroBudgetNoSpending, ZeroBudgetWithSpending), SummaryTable[[#This Row],[DiffAmount21]]/SummaryTable[[#This Row],[OriginalBudget21]])</f>
        <v>-6.8716780561883073E-2</v>
      </c>
      <c r="BL75" s="62">
        <f>IF(COUNTIFS(allFYsTable[Code], SummaryTable[[#This Row],[Code]], allFYsTable[year2], BL$3)=0, NotFound, SUMIFS(allFYsTable[OriginalBudget], allFYsTable[Code], SummaryTable[[#This Row],[Code]], allFYsTable[year2], BL$3))</f>
        <v>1699</v>
      </c>
      <c r="BM75" s="61">
        <f>SummaryTable[[#This Row],[OriginalBudget20]]-SummaryTable[[#This Row],[OriginalBudget19]]</f>
        <v>9</v>
      </c>
      <c r="BN75" s="54">
        <f>SummaryTable[[#This Row],[BudgetIncreaseAmount20]]/SummaryTable[[#This Row],[OriginalBudget19]]</f>
        <v>5.3254437869822485E-3</v>
      </c>
      <c r="BO75" s="61">
        <f>IF(COUNTIFS(allFYsTable[Code], SummaryTable[[#This Row],[Code]], allFYsTable[year2], BL$3)=0, NotFound, SUMIFS(allFYsTable[RevisedBudget], allFYsTable[Code], SummaryTable[[#This Row],[Code]], allFYsTable[year2], BL$3))</f>
        <v>1794</v>
      </c>
      <c r="BP75" s="61">
        <f>IF(COUNTIFS(allFYsTable[Code], SummaryTable[[#This Row],[Code]], allFYsTable[year2], BL$3)=0, NotFound, SUMIFS(allFYsTable[Actual], allFYsTable[Code], SummaryTable[[#This Row],[Code]], allFYsTable[year2], BL$3))</f>
        <v>1788</v>
      </c>
      <c r="BQ75" s="61">
        <f>IF(COUNTIFS(allFYsTable[Code], SummaryTable[[#This Row],[Code]], allFYsTable[year2], BL$3)=0, NotFound, SUMIFS(allFYsTable[DiffAmount], allFYsTable[Code], SummaryTable[[#This Row],[Code]], allFYsTable[year2], BL$3))</f>
        <v>89</v>
      </c>
      <c r="BR75" s="63">
        <f>IF(SummaryTable[[#This Row],[OriginalBudget20]]=0, IF(SummaryTable[[#This Row],[DiffAmount20]]=0, ZeroBudgetNoSpending, ZeroBudgetWithSpending), SummaryTable[[#This Row],[DiffAmount20]]/SummaryTable[[#This Row],[OriginalBudget20]])</f>
        <v>5.2383755150088286E-2</v>
      </c>
      <c r="BS75" s="62">
        <f>IF(COUNTIFS(allFYsTable[Code], SummaryTable[[#This Row],[Code]], allFYsTable[year2], BS$3)=0, NotFound, SUMIFS(allFYsTable[OriginalBudget], allFYsTable[Code], SummaryTable[[#This Row],[Code]], allFYsTable[year2], BS$3))</f>
        <v>1690</v>
      </c>
      <c r="BT75" s="61">
        <f>SummaryTable[[#This Row],[OriginalBudget19]]-SummaryTable[[#This Row],[OriginalBudget18]]</f>
        <v>28</v>
      </c>
      <c r="BU75" s="54">
        <f>SummaryTable[[#This Row],[BudgetIncreaseAmount19]]/SummaryTable[[#This Row],[OriginalBudget18]]</f>
        <v>1.684717208182912E-2</v>
      </c>
      <c r="BV75" s="61">
        <f>IF(COUNTIFS(allFYsTable[Code], SummaryTable[[#This Row],[Code]], allFYsTable[year2], BS$3)=0, NotFound, SUMIFS(allFYsTable[RevisedBudget], allFYsTable[Code], SummaryTable[[#This Row],[Code]], allFYsTable[year2], BS$3))</f>
        <v>1998</v>
      </c>
      <c r="BW75" s="61">
        <f>IF(COUNTIFS(allFYsTable[Code], SummaryTable[[#This Row],[Code]], allFYsTable[year2], BS$3)=0, NotFound, SUMIFS(allFYsTable[Actual], allFYsTable[Code], SummaryTable[[#This Row],[Code]], allFYsTable[year2], BS$3))</f>
        <v>1982</v>
      </c>
      <c r="BX75" s="61">
        <f>IF(COUNTIFS(allFYsTable[Code], SummaryTable[[#This Row],[Code]], allFYsTable[year2], BS$3)=0, NotFound, SUMIFS(allFYsTable[DiffAmount], allFYsTable[Code], SummaryTable[[#This Row],[Code]], allFYsTable[year2], BS$3))</f>
        <v>292</v>
      </c>
      <c r="BY75" s="63">
        <f>IF(SummaryTable[[#This Row],[OriginalBudget19]]=0, IF(SummaryTable[[#This Row],[DiffAmount19]]=0, ZeroBudgetNoSpending, ZeroBudgetWithSpending), SummaryTable[[#This Row],[DiffAmount19]]/SummaryTable[[#This Row],[OriginalBudget19]])</f>
        <v>0.1727810650887574</v>
      </c>
      <c r="BZ75" s="62">
        <f>IF(COUNTIFS(allFYsTable[Code], SummaryTable[[#This Row],[Code]], allFYsTable[year2], BZ$3)=0, NotFound, SUMIFS(allFYsTable[OriginalBudget], allFYsTable[Code], SummaryTable[[#This Row],[Code]], allFYsTable[year2], BZ$3))</f>
        <v>1662</v>
      </c>
      <c r="CA75" s="61">
        <f>SummaryTable[[#This Row],[OriginalBudget18]]-SummaryTable[[#This Row],[OriginalBudget17]]</f>
        <v>37</v>
      </c>
      <c r="CB75" s="54">
        <f>SummaryTable[[#This Row],[BudgetIncreaseAmount18]]/SummaryTable[[#This Row],[OriginalBudget17]]</f>
        <v>2.2769230769230771E-2</v>
      </c>
      <c r="CC75" s="61">
        <f>IF(COUNTIFS(allFYsTable[Code], SummaryTable[[#This Row],[Code]], allFYsTable[year2], BZ$3)=0, NotFound, SUMIFS(allFYsTable[RevisedBudget], allFYsTable[Code], SummaryTable[[#This Row],[Code]], allFYsTable[year2], BZ$3))</f>
        <v>2111</v>
      </c>
      <c r="CD75" s="61">
        <f>IF(COUNTIFS(allFYsTable[Code], SummaryTable[[#This Row],[Code]], allFYsTable[year2], BZ$3)=0, NotFound, SUMIFS(allFYsTable[Actual], allFYsTable[Code], SummaryTable[[#This Row],[Code]], allFYsTable[year2], BZ$3))</f>
        <v>2060</v>
      </c>
      <c r="CE75" s="61">
        <f>IF(COUNTIFS(allFYsTable[Code], SummaryTable[[#This Row],[Code]], allFYsTable[year2], BZ$3)=0, NotFound, SUMIFS(allFYsTable[DiffAmount], allFYsTable[Code], SummaryTable[[#This Row],[Code]], allFYsTable[year2], BZ$3))</f>
        <v>398</v>
      </c>
      <c r="CF75" s="63">
        <f>IF(SummaryTable[[#This Row],[OriginalBudget18]]=0, IF(SummaryTable[[#This Row],[DiffAmount18]]=0, ZeroBudgetNoSpending, ZeroBudgetWithSpending), SummaryTable[[#This Row],[DiffAmount18]]/SummaryTable[[#This Row],[OriginalBudget18]])</f>
        <v>0.23947051744885681</v>
      </c>
      <c r="CG75" s="62">
        <f>IF(COUNTIFS(allFYsTable[Code], SummaryTable[[#This Row],[Code]], allFYsTable[year2], CG$3)=0, NotFound, SUMIFS(allFYsTable[OriginalBudget], allFYsTable[Code], SummaryTable[[#This Row],[Code]], allFYsTable[year2], CG$3))</f>
        <v>1625</v>
      </c>
      <c r="CH75" s="61">
        <f>SummaryTable[[#This Row],[OriginalBudget17]]-SummaryTable[[#This Row],[OriginalBudget16]]</f>
        <v>-1780</v>
      </c>
      <c r="CI75" s="54">
        <f>SummaryTable[[#This Row],[BudgetIncreaseAmount17]]/SummaryTable[[#This Row],[OriginalBudget16]]</f>
        <v>-0.52276064610866368</v>
      </c>
      <c r="CJ75" s="61">
        <f>IF(COUNTIFS(allFYsTable[Code], SummaryTable[[#This Row],[Code]], allFYsTable[year2], CG$3)=0, NotFound, SUMIFS(allFYsTable[RevisedBudget], allFYsTable[Code], SummaryTable[[#This Row],[Code]], allFYsTable[year2], CG$3))</f>
        <v>4182</v>
      </c>
      <c r="CK75" s="61">
        <f>IF(COUNTIFS(allFYsTable[Code], SummaryTable[[#This Row],[Code]], allFYsTable[year2], CG$3)=0, NotFound, SUMIFS(allFYsTable[Actual], allFYsTable[Code], SummaryTable[[#This Row],[Code]], allFYsTable[year2], CG$3))</f>
        <v>4181</v>
      </c>
      <c r="CL75" s="61">
        <f>IF(COUNTIFS(allFYsTable[Code], SummaryTable[[#This Row],[Code]], allFYsTable[year2], CG$3)=0, NotFound, SUMIFS(allFYsTable[DiffAmount], allFYsTable[Code], SummaryTable[[#This Row],[Code]], allFYsTable[year2], CG$3))</f>
        <v>2556</v>
      </c>
      <c r="CM75" s="63">
        <f>IF(SummaryTable[[#This Row],[OriginalBudget17]]=0, IF(SummaryTable[[#This Row],[DiffAmount17]]=0, ZeroBudgetNoSpending, ZeroBudgetWithSpending), SummaryTable[[#This Row],[DiffAmount17]]/SummaryTable[[#This Row],[OriginalBudget17]])</f>
        <v>1.5729230769230769</v>
      </c>
      <c r="CN75" s="62">
        <f>IF(COUNTIFS(allFYsTable[Code], SummaryTable[[#This Row],[Code]], allFYsTable[year2], CN$3)=0, NotFound, SUMIFS(allFYsTable[OriginalBudget], allFYsTable[Code], SummaryTable[[#This Row],[Code]], allFYsTable[year2], CN$3))</f>
        <v>3405</v>
      </c>
      <c r="CO75" s="61">
        <f>SummaryTable[[#This Row],[OriginalBudget16]]-SummaryTable[[#This Row],[OriginalBudget15]]</f>
        <v>-200</v>
      </c>
      <c r="CP75" s="54">
        <f>SummaryTable[[#This Row],[BudgetIncreaseAmount16]]/SummaryTable[[#This Row],[OriginalBudget15]]</f>
        <v>-5.5478502080443831E-2</v>
      </c>
      <c r="CQ75" s="61">
        <f>IF(COUNTIFS(allFYsTable[Code], SummaryTable[[#This Row],[Code]], allFYsTable[year2], CN$3)=0, NotFound, SUMIFS(allFYsTable[RevisedBudget], allFYsTable[Code], SummaryTable[[#This Row],[Code]], allFYsTable[year2], CN$3))</f>
        <v>1356</v>
      </c>
      <c r="CR75" s="61">
        <f>IF(COUNTIFS(allFYsTable[Code], SummaryTable[[#This Row],[Code]], allFYsTable[year2], CN$3)=0, NotFound, SUMIFS(allFYsTable[Actual], allFYsTable[Code], SummaryTable[[#This Row],[Code]], allFYsTable[year2], CN$3))</f>
        <v>1342</v>
      </c>
      <c r="CS75" s="61">
        <f>IF(COUNTIFS(allFYsTable[Code], SummaryTable[[#This Row],[Code]], allFYsTable[year2], CN$3)=0, NotFound, SUMIFS(allFYsTable[DiffAmount], allFYsTable[Code], SummaryTable[[#This Row],[Code]], allFYsTable[year2], CN$3))</f>
        <v>-2063</v>
      </c>
      <c r="CT75" s="63">
        <f>IF(SummaryTable[[#This Row],[OriginalBudget16]]=0, IF(SummaryTable[[#This Row],[DiffAmount16]]=0, ZeroBudgetNoSpending, ZeroBudgetWithSpending), SummaryTable[[#This Row],[DiffAmount16]]/SummaryTable[[#This Row],[OriginalBudget16]])</f>
        <v>-0.60587371512481647</v>
      </c>
      <c r="CU75" s="62">
        <f>IF(COUNTIFS(allFYsTable[Code], SummaryTable[[#This Row],[Code]], allFYsTable[year2], CU$3)=0, NotFound, SUMIFS(allFYsTable[OriginalBudget], allFYsTable[Code], SummaryTable[[#This Row],[Code]], allFYsTable[year2], CU$3))</f>
        <v>3605</v>
      </c>
      <c r="CV75" s="61">
        <f>SummaryTable[[#This Row],[OriginalBudget15]]-SummaryTable[[#This Row],[OriginalBudget14]]</f>
        <v>-1460</v>
      </c>
      <c r="CW75" s="54">
        <f>SummaryTable[[#This Row],[BudgetIncreaseAmount15]]/SummaryTable[[#This Row],[OriginalBudget14]]</f>
        <v>-0.28825271470878577</v>
      </c>
      <c r="CX75" s="61">
        <f>IF(COUNTIFS(allFYsTable[Code], SummaryTable[[#This Row],[Code]], allFYsTable[year2], CU$3)=0, NotFound, SUMIFS(allFYsTable[RevisedBudget], allFYsTable[Code], SummaryTable[[#This Row],[Code]], allFYsTable[year2], CU$3))</f>
        <v>834</v>
      </c>
      <c r="CY75" s="61">
        <f>IF(COUNTIFS(allFYsTable[Code], SummaryTable[[#This Row],[Code]], allFYsTable[year2], CU$3)=0, NotFound, SUMIFS(allFYsTable[Actual], allFYsTable[Code], SummaryTable[[#This Row],[Code]], allFYsTable[year2], CU$3))</f>
        <v>782</v>
      </c>
      <c r="CZ75" s="61">
        <f>IF(COUNTIFS(allFYsTable[Code], SummaryTable[[#This Row],[Code]], allFYsTable[year2], CU$3)=0, NotFound, SUMIFS(allFYsTable[DiffAmount], allFYsTable[Code], SummaryTable[[#This Row],[Code]], allFYsTable[year2], CU$3))</f>
        <v>-2823</v>
      </c>
      <c r="DA75" s="63">
        <f>IF(SummaryTable[[#This Row],[OriginalBudget15]]=0, IF(SummaryTable[[#This Row],[DiffAmount15]]=0, ZeroBudgetNoSpending, ZeroBudgetWithSpending), SummaryTable[[#This Row],[DiffAmount15]]/SummaryTable[[#This Row],[OriginalBudget15]])</f>
        <v>-0.78307905686546464</v>
      </c>
      <c r="DB75" s="62">
        <f>IF(COUNTIFS(allFYsTable[Code], SummaryTable[[#This Row],[Code]], allFYsTable[year2], DB$3)=0, NotFound, SUMIFS(allFYsTable[OriginalBudget], allFYsTable[Code], SummaryTable[[#This Row],[Code]], allFYsTable[year2], DB$3))</f>
        <v>5065</v>
      </c>
      <c r="DC75" s="61">
        <f>SummaryTable[[#This Row],[OriginalBudget14]]-SummaryTable[[#This Row],[OriginalBudget13]]</f>
        <v>4281</v>
      </c>
      <c r="DD75" s="54">
        <f>SummaryTable[[#This Row],[BudgetIncreaseAmount14]]/SummaryTable[[#This Row],[OriginalBudget13]]</f>
        <v>5.4604591836734695</v>
      </c>
      <c r="DE75" s="61">
        <f>IF(COUNTIFS(allFYsTable[Code], SummaryTable[[#This Row],[Code]], allFYsTable[year2], DB$3)=0, NotFound, SUMIFS(allFYsTable[RevisedBudget], allFYsTable[Code], SummaryTable[[#This Row],[Code]], allFYsTable[year2], DB$3))</f>
        <v>890</v>
      </c>
      <c r="DF75" s="61">
        <f>IF(COUNTIFS(allFYsTable[Code], SummaryTable[[#This Row],[Code]], allFYsTable[year2], DB$3)=0, NotFound, SUMIFS(allFYsTable[Actual], allFYsTable[Code], SummaryTable[[#This Row],[Code]], allFYsTable[year2], DB$3))</f>
        <v>812</v>
      </c>
      <c r="DG75" s="61">
        <f>IF(COUNTIFS(allFYsTable[Code], SummaryTable[[#This Row],[Code]], allFYsTable[year2], DB$3)=0, NotFound, SUMIFS(allFYsTable[DiffAmount], allFYsTable[Code], SummaryTable[[#This Row],[Code]], allFYsTable[year2], DB$3))</f>
        <v>-4253</v>
      </c>
      <c r="DH75" s="63">
        <f>IF(SummaryTable[[#This Row],[OriginalBudget14]]=0, IF(SummaryTable[[#This Row],[DiffAmount14]]=0, ZeroBudgetNoSpending, ZeroBudgetWithSpending), SummaryTable[[#This Row],[DiffAmount14]]/SummaryTable[[#This Row],[OriginalBudget14]])</f>
        <v>-0.83968410661401782</v>
      </c>
      <c r="DI75" s="62">
        <f>IF(COUNTIFS(allFYsTable[Code], SummaryTable[[#This Row],[Code]], allFYsTable[year2], DI$3)=0, NotFound, SUMIFS(allFYsTable[OriginalBudget], allFYsTable[Code], SummaryTable[[#This Row],[Code]], allFYsTable[year2], DI$3))</f>
        <v>784</v>
      </c>
      <c r="DJ75" s="61">
        <f>SummaryTable[[#This Row],[OriginalBudget13]]-SummaryTable[[#This Row],[OriginalBudget12]]</f>
        <v>113</v>
      </c>
      <c r="DK75" s="54">
        <f>SummaryTable[[#This Row],[BudgetIncreaseAmount13]]/SummaryTable[[#This Row],[OriginalBudget12]]</f>
        <v>0.16840536512667661</v>
      </c>
      <c r="DL75" s="61">
        <f>IF(COUNTIFS(allFYsTable[Code], SummaryTable[[#This Row],[Code]], allFYsTable[year2], DI$3)=0, NotFound, SUMIFS(allFYsTable[RevisedBudget], allFYsTable[Code], SummaryTable[[#This Row],[Code]], allFYsTable[year2], DI$3))</f>
        <v>793</v>
      </c>
      <c r="DM75" s="61">
        <f>IF(COUNTIFS(allFYsTable[Code], SummaryTable[[#This Row],[Code]], allFYsTable[year2], DI$3)=0, NotFound, SUMIFS(allFYsTable[Actual], allFYsTable[Code], SummaryTable[[#This Row],[Code]], allFYsTable[year2], DI$3))</f>
        <v>782</v>
      </c>
      <c r="DN75" s="61">
        <f>IF(COUNTIFS(allFYsTable[Code], SummaryTable[[#This Row],[Code]], allFYsTable[year2], DI$3)=0, NotFound, SUMIFS(allFYsTable[DiffAmount], allFYsTable[Code], SummaryTable[[#This Row],[Code]], allFYsTable[year2], DI$3))</f>
        <v>-2</v>
      </c>
      <c r="DO75" s="63">
        <f>IF(SummaryTable[[#This Row],[OriginalBudget13]]=0, IF(SummaryTable[[#This Row],[DiffAmount13]]=0, ZeroBudgetNoSpending, ZeroBudgetWithSpending), SummaryTable[[#This Row],[DiffAmount13]]/SummaryTable[[#This Row],[OriginalBudget13]])</f>
        <v>-2.5510204081632651E-3</v>
      </c>
      <c r="DP75" s="62">
        <f>IF(COUNTIFS(allFYsTable[Code], SummaryTable[[#This Row],[Code]], allFYsTable[year2], DP$3)=0, NotFound, SUMIFS(allFYsTable[OriginalBudget], allFYsTable[Code], SummaryTable[[#This Row],[Code]], allFYsTable[year2], DP$3))</f>
        <v>671</v>
      </c>
      <c r="DQ75" s="61">
        <f>SummaryTable[[#This Row],[OriginalBudget12]]-SummaryTable[[#This Row],[OriginalBudget11]]</f>
        <v>124</v>
      </c>
      <c r="DR75" s="54">
        <f>SummaryTable[[#This Row],[BudgetIncreaseAmount12]]/SummaryTable[[#This Row],[OriginalBudget11]]</f>
        <v>0.22669104204753199</v>
      </c>
      <c r="DS75" s="61">
        <f>IF(COUNTIFS(allFYsTable[Code], SummaryTable[[#This Row],[Code]], allFYsTable[year2], DP$3)=0, NotFound, SUMIFS(allFYsTable[RevisedBudget], allFYsTable[Code], SummaryTable[[#This Row],[Code]], allFYsTable[year2], DP$3))</f>
        <v>671</v>
      </c>
      <c r="DT75" s="61">
        <f>IF(COUNTIFS(allFYsTable[Code], SummaryTable[[#This Row],[Code]], allFYsTable[year2], DP$3)=0, NotFound, SUMIFS(allFYsTable[Actual], allFYsTable[Code], SummaryTable[[#This Row],[Code]], allFYsTable[year2], DP$3))</f>
        <v>637</v>
      </c>
      <c r="DU75" s="61">
        <f>IF(COUNTIFS(allFYsTable[Code], SummaryTable[[#This Row],[Code]], allFYsTable[year2], DP$3)=0, NotFound, SUMIFS(allFYsTable[DiffAmount], allFYsTable[Code], SummaryTable[[#This Row],[Code]], allFYsTable[year2], DP$3))</f>
        <v>-34</v>
      </c>
      <c r="DV75" s="63">
        <f>IF(SummaryTable[[#This Row],[OriginalBudget12]]=0, IF(SummaryTable[[#This Row],[DiffAmount12]]=0, ZeroBudgetNoSpending, ZeroBudgetWithSpending), SummaryTable[[#This Row],[DiffAmount12]]/SummaryTable[[#This Row],[OriginalBudget12]])</f>
        <v>-5.0670640834575259E-2</v>
      </c>
      <c r="DW75" s="62">
        <f>IF(COUNTIFS(allFYsTable[Code], SummaryTable[[#This Row],[Code]], allFYsTable[year2], DW$3)=0, NotFound, SUMIFS(allFYsTable[OriginalBudget], allFYsTable[Code], SummaryTable[[#This Row],[Code]], allFYsTable[year2], DW$3))</f>
        <v>547</v>
      </c>
      <c r="DX75" s="61">
        <f>SummaryTable[[#This Row],[OriginalBudget11]]-SummaryTable[[#This Row],[OriginalBudget10]]</f>
        <v>-37</v>
      </c>
      <c r="DY75" s="54">
        <f>SummaryTable[[#This Row],[BudgetIncreaseAmount11]]/SummaryTable[[#This Row],[OriginalBudget10]]</f>
        <v>-6.3356164383561647E-2</v>
      </c>
      <c r="DZ75" s="61">
        <f>IF(COUNTIFS(allFYsTable[Code], SummaryTable[[#This Row],[Code]], allFYsTable[year2], DW$3)=0, NotFound, SUMIFS(allFYsTable[RevisedBudget], allFYsTable[Code], SummaryTable[[#This Row],[Code]], allFYsTable[year2], DW$3))</f>
        <v>670</v>
      </c>
      <c r="EA75" s="61">
        <f>IF(COUNTIFS(allFYsTable[Code], SummaryTable[[#This Row],[Code]], allFYsTable[year2], DW$3)=0, NotFound, SUMIFS(allFYsTable[Actual], allFYsTable[Code], SummaryTable[[#This Row],[Code]], allFYsTable[year2], DW$3))</f>
        <v>571</v>
      </c>
      <c r="EB75" s="61">
        <f>IF(COUNTIFS(allFYsTable[Code], SummaryTable[[#This Row],[Code]], allFYsTable[year2], DW$3)=0, NotFound, SUMIFS(allFYsTable[DiffAmount], allFYsTable[Code], SummaryTable[[#This Row],[Code]], allFYsTable[year2], DW$3))</f>
        <v>24</v>
      </c>
      <c r="EC75" s="63">
        <f>IF(SummaryTable[[#This Row],[OriginalBudget11]]=0, IF(SummaryTable[[#This Row],[DiffAmount11]]=0, ZeroBudgetNoSpending, ZeroBudgetWithSpending), SummaryTable[[#This Row],[DiffAmount11]]/SummaryTable[[#This Row],[OriginalBudget11]])</f>
        <v>4.3875685557586835E-2</v>
      </c>
      <c r="ED75" s="62">
        <f>IF(COUNTIFS(allFYsTable[Code], SummaryTable[[#This Row],[Code]], allFYsTable[year2], ED$3)=0, NotFound, SUMIFS(allFYsTable[OriginalBudget], allFYsTable[Code], SummaryTable[[#This Row],[Code]], allFYsTable[year2], ED$3))</f>
        <v>584</v>
      </c>
      <c r="EE75" s="61">
        <f>SummaryTable[[#This Row],[OriginalBudget10]]-SummaryTable[[#This Row],[OriginalBudget09]]</f>
        <v>-68</v>
      </c>
      <c r="EF75" s="54">
        <f>SummaryTable[[#This Row],[BudgetIncreaseAmount10]]/SummaryTable[[#This Row],[OriginalBudget09]]</f>
        <v>-0.10429447852760736</v>
      </c>
      <c r="EG75" s="61">
        <f>IF(COUNTIFS(allFYsTable[Code], SummaryTable[[#This Row],[Code]], allFYsTable[year2], ED$3)=0, NotFound, SUMIFS(allFYsTable[RevisedBudget], allFYsTable[Code], SummaryTable[[#This Row],[Code]], allFYsTable[year2], ED$3))</f>
        <v>554</v>
      </c>
      <c r="EH75" s="61">
        <f>IF(COUNTIFS(allFYsTable[Code], SummaryTable[[#This Row],[Code]], allFYsTable[year2], ED$3)=0, NotFound, SUMIFS(allFYsTable[Actual], allFYsTable[Code], SummaryTable[[#This Row],[Code]], allFYsTable[year2], ED$3))</f>
        <v>518</v>
      </c>
      <c r="EI75" s="61">
        <f>IF(COUNTIFS(allFYsTable[Code], SummaryTable[[#This Row],[Code]], allFYsTable[year2], ED$3)=0, NotFound, SUMIFS(allFYsTable[DiffAmount], allFYsTable[Code], SummaryTable[[#This Row],[Code]], allFYsTable[year2], ED$3))</f>
        <v>-66</v>
      </c>
      <c r="EJ75" s="63">
        <f>IF(SummaryTable[[#This Row],[OriginalBudget10]]=0, IF(SummaryTable[[#This Row],[DiffAmount10]]=0, ZeroBudgetNoSpending, ZeroBudgetWithSpending), SummaryTable[[#This Row],[DiffAmount10]]/SummaryTable[[#This Row],[OriginalBudget10]])</f>
        <v>-0.11301369863013698</v>
      </c>
      <c r="EK75" s="62">
        <f>IF(COUNTIFS(allFYsTable[Code], SummaryTable[[#This Row],[Code]], allFYsTable[year2], EK$3)=0, NotFound, SUMIFS(allFYsTable[OriginalBudget], allFYsTable[Code], SummaryTable[[#This Row],[Code]], allFYsTable[year2], EK$3))</f>
        <v>652</v>
      </c>
      <c r="EL75" s="61">
        <f>SummaryTable[[#This Row],[OriginalBudget09]]-SummaryTable[[#This Row],[OriginalBudget08]]</f>
        <v>-1</v>
      </c>
      <c r="EM75" s="54">
        <f>SummaryTable[[#This Row],[BudgetIncreaseAmount09]]/SummaryTable[[#This Row],[OriginalBudget08]]</f>
        <v>-1.5313935681470138E-3</v>
      </c>
      <c r="EN75" s="61">
        <f>IF(COUNTIFS(allFYsTable[Code], SummaryTable[[#This Row],[Code]], allFYsTable[year2], EK$3)=0, NotFound, SUMIFS(allFYsTable[RevisedBudget], allFYsTable[Code], SummaryTable[[#This Row],[Code]], allFYsTable[year2], EK$3))</f>
        <v>2052</v>
      </c>
      <c r="EO75" s="61">
        <f>IF(COUNTIFS(allFYsTable[Code], SummaryTable[[#This Row],[Code]], allFYsTable[year2], EK$3)=0, NotFound, SUMIFS(allFYsTable[Actual], allFYsTable[Code], SummaryTable[[#This Row],[Code]], allFYsTable[year2], EK$3))</f>
        <v>1990</v>
      </c>
      <c r="EP75" s="61">
        <f>IF(COUNTIFS(allFYsTable[Code], SummaryTable[[#This Row],[Code]], allFYsTable[year2], EK$3)=0, NotFound, SUMIFS(allFYsTable[DiffAmount], allFYsTable[Code], SummaryTable[[#This Row],[Code]], allFYsTable[year2], EK$3))</f>
        <v>1338</v>
      </c>
      <c r="EQ75" s="63">
        <f>IF(SummaryTable[[#This Row],[OriginalBudget09]]=0, IF(SummaryTable[[#This Row],[DiffAmount09]]=0, ZeroBudgetNoSpending, ZeroBudgetWithSpending), SummaryTable[[#This Row],[DiffAmount09]]/SummaryTable[[#This Row],[OriginalBudget09]])</f>
        <v>2.0521472392638036</v>
      </c>
      <c r="ER75" s="62">
        <f>IF(COUNTIFS(allFYsTable[Code], SummaryTable[[#This Row],[Code]], allFYsTable[year2], ER$3)=0, NotFound, SUMIFS(allFYsTable[OriginalBudget], allFYsTable[Code], SummaryTable[[#This Row],[Code]], allFYsTable[year2], ER$3))</f>
        <v>653</v>
      </c>
      <c r="ES75" s="61">
        <f>SummaryTable[[#This Row],[OriginalBudget08]]-SummaryTable[[#This Row],[OriginalBudget07]]</f>
        <v>59</v>
      </c>
      <c r="ET75" s="54">
        <f>SummaryTable[[#This Row],[BudgetIncreaseAmount08]]/SummaryTable[[#This Row],[OriginalBudget07]]</f>
        <v>9.9326599326599332E-2</v>
      </c>
      <c r="EU75" s="61">
        <f>IF(COUNTIFS(allFYsTable[Code], SummaryTable[[#This Row],[Code]], allFYsTable[year2], ER$3)=0, NotFound, SUMIFS(allFYsTable[RevisedBudget], allFYsTable[Code], SummaryTable[[#This Row],[Code]], allFYsTable[year2], ER$3))</f>
        <v>922</v>
      </c>
      <c r="EV75" s="61">
        <f>IF(COUNTIFS(allFYsTable[Code], SummaryTable[[#This Row],[Code]], allFYsTable[year2], ER$3)=0, NotFound, SUMIFS(allFYsTable[Actual], allFYsTable[Code], SummaryTable[[#This Row],[Code]], allFYsTable[year2], ER$3))</f>
        <v>841</v>
      </c>
      <c r="EW75" s="61">
        <f>IF(COUNTIFS(allFYsTable[Code], SummaryTable[[#This Row],[Code]], allFYsTable[year2], ER$3)=0, NotFound, SUMIFS(allFYsTable[DiffAmount], allFYsTable[Code], SummaryTable[[#This Row],[Code]], allFYsTable[year2], ER$3))</f>
        <v>188</v>
      </c>
      <c r="EX75" s="63">
        <f>IF(SummaryTable[[#This Row],[OriginalBudget08]]=0, IF(SummaryTable[[#This Row],[DiffAmount08]]=0, ZeroBudgetNoSpending, ZeroBudgetWithSpending), SummaryTable[[#This Row],[DiffAmount08]]/SummaryTable[[#This Row],[OriginalBudget08]])</f>
        <v>0.28790199081163859</v>
      </c>
      <c r="EY75" s="62">
        <f>IF(COUNTIFS(allFYsTable[Code], SummaryTable[[#This Row],[Code]], allFYsTable[year2], EY$3)=0, NotFound, SUMIFS(allFYsTable[OriginalBudget], allFYsTable[Code], SummaryTable[[#This Row],[Code]], allFYsTable[year2], EY$3))</f>
        <v>594</v>
      </c>
      <c r="EZ75" s="61">
        <f>SummaryTable[[#This Row],[OriginalBudget07]]-SummaryTable[[#This Row],[OriginalBudget06]]</f>
        <v>15</v>
      </c>
      <c r="FA75" s="54">
        <f>SummaryTable[[#This Row],[BudgetIncreaseAmount07]]/SummaryTable[[#This Row],[OriginalBudget06]]</f>
        <v>2.5906735751295335E-2</v>
      </c>
      <c r="FB75" s="61">
        <f>IF(COUNTIFS(allFYsTable[Code], SummaryTable[[#This Row],[Code]], allFYsTable[year2], EY$3)=0, NotFound, SUMIFS(allFYsTable[RevisedBudget], allFYsTable[Code], SummaryTable[[#This Row],[Code]], allFYsTable[year2], EY$3))</f>
        <v>630</v>
      </c>
      <c r="FC75" s="61">
        <f>IF(COUNTIFS(allFYsTable[Code], SummaryTable[[#This Row],[Code]], allFYsTable[year2], EY$3)=0, NotFound, SUMIFS(allFYsTable[Actual], allFYsTable[Code], SummaryTable[[#This Row],[Code]], allFYsTable[year2], EY$3))</f>
        <v>543</v>
      </c>
      <c r="FD75" s="61">
        <f>IF(COUNTIFS(allFYsTable[Code], SummaryTable[[#This Row],[Code]], allFYsTable[year2], EY$3)=0, NotFound, SUMIFS(allFYsTable[DiffAmount], allFYsTable[Code], SummaryTable[[#This Row],[Code]], allFYsTable[year2], EY$3))</f>
        <v>-51</v>
      </c>
      <c r="FE75" s="63">
        <f>IF(SummaryTable[[#This Row],[OriginalBudget07]]=0, IF(SummaryTable[[#This Row],[DiffAmount07]]=0, ZeroBudgetNoSpending, ZeroBudgetWithSpending), SummaryTable[[#This Row],[DiffAmount07]]/SummaryTable[[#This Row],[OriginalBudget07]])</f>
        <v>-8.5858585858585856E-2</v>
      </c>
      <c r="FF75" s="62">
        <f>IF(COUNTIFS(allFYsTable[Code], SummaryTable[[#This Row],[Code]], allFYsTable[year2], FF$3)=0, NotFound, SUMIFS(allFYsTable[OriginalBudget], allFYsTable[Code], SummaryTable[[#This Row],[Code]], allFYsTable[year2], FF$3))</f>
        <v>579</v>
      </c>
      <c r="FI75" s="61">
        <f>IF(COUNTIFS(allFYsTable[Code], SummaryTable[[#This Row],[Code]], allFYsTable[year2], FF$3)=0, NotFound, SUMIFS(allFYsTable[RevisedBudget], allFYsTable[Code], SummaryTable[[#This Row],[Code]], allFYsTable[year2], FF$3))</f>
        <v>594</v>
      </c>
      <c r="FJ75" s="61">
        <f>IF(COUNTIFS(allFYsTable[Code], SummaryTable[[#This Row],[Code]], allFYsTable[year2], FF$3)=0, NotFound, SUMIFS(allFYsTable[Actual], allFYsTable[Code], SummaryTable[[#This Row],[Code]], allFYsTable[year2], FF$3))</f>
        <v>536</v>
      </c>
      <c r="FK75" s="61">
        <f>IF(COUNTIFS(allFYsTable[Code], SummaryTable[[#This Row],[Code]], allFYsTable[year2], FF$3)=0, NotFound, SUMIFS(allFYsTable[DiffAmount], allFYsTable[Code], SummaryTable[[#This Row],[Code]], allFYsTable[year2], FF$3))</f>
        <v>-43</v>
      </c>
      <c r="FL75" s="63">
        <f>IF(SummaryTable[[#This Row],[OriginalBudget06]]=0, IF(SummaryTable[[#This Row],[DiffAmount06]]=0, ZeroBudgetNoSpending, ZeroBudgetWithSpending), SummaryTable[[#This Row],[DiffAmount06]]/SummaryTable[[#This Row],[OriginalBudget06]])</f>
        <v>-7.426597582037997E-2</v>
      </c>
    </row>
    <row r="76" spans="1:168" x14ac:dyDescent="0.45">
      <c r="A76" t="s">
        <v>712</v>
      </c>
      <c r="B76">
        <f>_xlfn.MAXIFS(allFYsTable[year2], allFYsTable[Code], SummaryTable[[#This Row],[Code]])</f>
        <v>2025</v>
      </c>
      <c r="C76" t="str">
        <f>_xlfn.XLOOKUP(SummaryTable[[#This Row],[Code]], NameCodingTable[Code], NameCodingTable[Most Recent Category per allFYs])</f>
        <v>Governmental direction and support</v>
      </c>
      <c r="D76" t="str">
        <f>_xlfn.XLOOKUP(SummaryTable[[#This Row],[Code]], NameCodingTable[Code], NameCodingTable[Unit Display Name])</f>
        <v>Office of Campaign Finance</v>
      </c>
      <c r="E76" t="str">
        <f>_xlfn.XLOOKUP(SummaryTable[[#This Row],[Code]], NameCodingTable[Code], NameCodingTable[Type])</f>
        <v>agency</v>
      </c>
      <c r="F7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7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76" s="54">
        <f>SummaryTable[[#This Row],['# Over]]/SummaryTable[[#This Row],[Count]]</f>
        <v>0</v>
      </c>
      <c r="I7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19</v>
      </c>
      <c r="J76" s="54">
        <f>SummaryTable[[#This Row],['# Under]]/SummaryTable[[#This Row],[Count]]</f>
        <v>0.95</v>
      </c>
      <c r="K7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76" s="54">
        <f>SummaryTable[[#This Row],['# Equal]]/SummaryTable[[#This Row],[Count]]</f>
        <v>0.05</v>
      </c>
      <c r="M76" s="61">
        <f>SUMIFS(allFYsTable[OriginalBudget],allFYsTable[Code],SummaryTable[[#This Row],[Code]])/SummaryTable[[#This Row],[Count]]</f>
        <v>4762.6000000000004</v>
      </c>
      <c r="N76" s="61">
        <f>SUMIFS(allFYsTable[Actual],allFYsTable[Code],SummaryTable[[#This Row],[Code]])/SummaryTable[[#This Row],[Count]]</f>
        <v>3685.95</v>
      </c>
      <c r="O76" s="61">
        <f>SummaryTable[[#This Row],[AvgActAmt]]-SummaryTable[[#This Row],[AvgBudAmt]]</f>
        <v>-1076.6500000000005</v>
      </c>
      <c r="P76" s="54">
        <f>IF(SummaryTable[[#This Row],[AvgBudAmt]]=0, IF(SummaryTable[[#This Row],[AvgDiff'#]]=0, 0, NamedFields!$C$3), SummaryTable[[#This Row],[AvgDiff'#]]/SummaryTable[[#This Row],[AvgBudAmt]])</f>
        <v>-0.22606349472976955</v>
      </c>
      <c r="Q76" s="61">
        <f>IFERROR(SUMIFS(allFYsTable[OriginalBudget],allFYsTable[Code],SummaryTable[[#This Row],[Code]],allFYsTable[DiffAmount], "&gt;0")/SummaryTable[[#This Row],['# Over]], 0)</f>
        <v>0</v>
      </c>
      <c r="R76" s="61">
        <f>IFERROR(SUMIFS(allFYsTable[Actual],allFYsTable[Code],SummaryTable[[#This Row],[Code]],allFYsTable[DiffAmount], "&gt;0")/SummaryTable[[#This Row],['# Over]], 0)</f>
        <v>0</v>
      </c>
      <c r="S76" s="61">
        <f>SummaryTable[[#This Row],[OverAvgAct]]-SummaryTable[[#This Row],[OverAvgBud]]</f>
        <v>0</v>
      </c>
      <c r="T76" s="54">
        <f>IF(SummaryTable[[#This Row],[OverAvgBud]]=0, IF(SummaryTable[[#This Row],[OverAvgDiff'#]]=0, ZeroBudgetNoSpending, ZeroBudgetWithSpending), SummaryTable[[#This Row],[OverAvgDiff'#]]/SummaryTable[[#This Row],[OverAvgBud]])</f>
        <v>0</v>
      </c>
      <c r="U76" s="61">
        <f>IFERROR(SUMIFS(allFYsTable[OriginalBudget],allFYsTable[Code],SummaryTable[[#This Row],[Code]],allFYsTable[DiffAmount], "&lt;0")/SummaryTable[[#This Row],['# Under]], 0)</f>
        <v>4943.5263157894733</v>
      </c>
      <c r="V76" s="61">
        <f>IFERROR( SUMIFS(allFYsTable[Actual],allFYsTable[Code],SummaryTable[[#This Row],[Code]],allFYsTable[DiffAmount], "&lt;0")/SummaryTable[[#This Row],['# Under]], 0)</f>
        <v>3810.2105263157896</v>
      </c>
      <c r="W76" s="61">
        <f>SummaryTable[[#This Row],[UnderAvgAct]]-SummaryTable[[#This Row],[UnderAvgBud]]</f>
        <v>-1133.3157894736837</v>
      </c>
      <c r="X76" s="54">
        <f>IF(SummaryTable[[#This Row],[UnderAvgBud]]=0, IF(SummaryTable[[#This Row],[UnderAvgDiff'#]]=0, ZeroBudgetNoSpending, NamedFields!$C$3), SummaryTable[[#This Row],[UnderAvgDiff'#]]/SummaryTable[[#This Row],[UnderAvgBud]])</f>
        <v>-0.2292525046046397</v>
      </c>
      <c r="Y7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7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76" s="54">
        <f>IF(SummaryTable[[#This Row],[IncreaseYears]]=0, ZeroBudgetNoSpending, SummaryTable[[#This Row],[OSinIncreaseYear'#]]/SummaryTable[[#This Row],[IncreaseYears]])</f>
        <v>0</v>
      </c>
      <c r="AB76" s="58" t="str">
        <f>SummaryTable[[#This Row],[Code]]</f>
        <v>CJ0</v>
      </c>
      <c r="AC76" s="62">
        <f>IF(COUNTIFS(allFYsTable[Code], SummaryTable[[#This Row],[Code]], allFYsTable[year2], AC$3)=0, NotFound, SUMIFS(allFYsTable[OriginalBudget], allFYsTable[Code], SummaryTable[[#This Row],[Code]], allFYsTable[year2], AC$3))</f>
        <v>7840</v>
      </c>
      <c r="AD76" s="61">
        <f>SummaryTable[[#This Row],[OriginalBudget25]]-SummaryTable[[#This Row],[OriginalBudget24]]</f>
        <v>-7</v>
      </c>
      <c r="AE76" s="54">
        <f>SummaryTable[[#This Row],[BudgetIncreaseAmount25]]/SummaryTable[[#This Row],[OriginalBudget24]]</f>
        <v>-8.9206066012488853E-4</v>
      </c>
      <c r="AF76" s="61">
        <f>IF(COUNTIFS(allFYsTable[Code], SummaryTable[[#This Row],[Code]], allFYsTable[year2], AC$3)=0, NotFound, SUMIFS(allFYsTable[RevisedBudget], allFYsTable[Code], SummaryTable[[#This Row],[Code]], allFYsTable[year2], AC$3))</f>
        <v>5279</v>
      </c>
      <c r="AG76" s="61">
        <f>IF(COUNTIFS(allFYsTable[Code], SummaryTable[[#This Row],[Code]], allFYsTable[year2], AC$3)=0, NotFound, SUMIFS(allFYsTable[Actual], allFYsTable[Code], SummaryTable[[#This Row],[Code]], allFYsTable[year2], AC$3))</f>
        <v>5093</v>
      </c>
      <c r="AH76" s="61">
        <f>IF(COUNTIFS(allFYsTable[Code], SummaryTable[[#This Row],[Code]], allFYsTable[year2], AC$3)=0, NotFound, SUMIFS(allFYsTable[DiffAmount], allFYsTable[Code], SummaryTable[[#This Row],[Code]], allFYsTable[year2], AC$3))</f>
        <v>-2747</v>
      </c>
      <c r="AI76" s="63">
        <f>IF(SummaryTable[[#This Row],[OriginalBudget25]]=0, IF(SummaryTable[[#This Row],[DiffAmount25]]=0, ZeroBudgetNoSpending, ZeroBudgetWithSpending), SummaryTable[[#This Row],[DiffAmount25]]/SummaryTable[[#This Row],[OriginalBudget25]])</f>
        <v>-0.35038265306122451</v>
      </c>
      <c r="AJ76" s="62">
        <f>IF(COUNTIFS(allFYsTable[Code], SummaryTable[[#This Row],[Code]], allFYsTable[year2], AJ$3)=0, NotFound, SUMIFS(allFYsTable[OriginalBudget], allFYsTable[Code], SummaryTable[[#This Row],[Code]], allFYsTable[year2], AJ$3))</f>
        <v>7847</v>
      </c>
      <c r="AK76" s="61">
        <f>SummaryTable[[#This Row],[OriginalBudget24]]-SummaryTable[[#This Row],[OriginalBudget23]]</f>
        <v>374</v>
      </c>
      <c r="AL76" s="54">
        <f>SummaryTable[[#This Row],[BudgetIncreaseAmount24]]/SummaryTable[[#This Row],[OriginalBudget23]]</f>
        <v>5.0046835273651814E-2</v>
      </c>
      <c r="AM76" s="61">
        <f>IF(COUNTIFS(allFYsTable[Code], SummaryTable[[#This Row],[Code]], allFYsTable[year2], AK$3)=0, NotFound, SUMIFS(allFYsTable[RevisedBudget], allFYsTable[Code], SummaryTable[[#This Row],[Code]], allFYsTable[year2], AJ$3))</f>
        <v>7647</v>
      </c>
      <c r="AN76" s="61">
        <f>IF(COUNTIFS(allFYsTable[Code], SummaryTable[[#This Row],[Code]], allFYsTable[year2], AJ$3)=0, NotFound, SUMIFS(allFYsTable[Actual], allFYsTable[Code], SummaryTable[[#This Row],[Code]], allFYsTable[year2], AJ$3))</f>
        <v>7333</v>
      </c>
      <c r="AO76" s="61">
        <f>IF(COUNTIFS(allFYsTable[Code], SummaryTable[[#This Row],[Code]], allFYsTable[year2], AJ$3)=0, NotFound, SUMIFS(allFYsTable[DiffAmount], allFYsTable[Code], SummaryTable[[#This Row],[Code]], allFYsTable[year2], AJ$3))</f>
        <v>-514</v>
      </c>
      <c r="AP76" s="63">
        <f>IF(SummaryTable[[#This Row],[OriginalBudget24]]=0, IF(SummaryTable[[#This Row],[DiffAmount24]]=0, ZeroBudgetNoSpending, ZeroBudgetWithSpending), SummaryTable[[#This Row],[DiffAmount24]]/SummaryTable[[#This Row],[OriginalBudget24]])</f>
        <v>-6.5502739900598961E-2</v>
      </c>
      <c r="AQ76" s="62">
        <f>IF(COUNTIFS(allFYsTable[Code], SummaryTable[[#This Row],[Code]], allFYsTable[year2], AQ$3)=0, NotFound, SUMIFS(allFYsTable[OriginalBudget], allFYsTable[Code], SummaryTable[[#This Row],[Code]], allFYsTable[year2], AQ$3))</f>
        <v>7473</v>
      </c>
      <c r="AR76" s="61">
        <f>SummaryTable[[#This Row],[OriginalBudget23]]-SummaryTable[[#This Row],[OriginalBudget22]]</f>
        <v>-15966</v>
      </c>
      <c r="AS76" s="54">
        <f>SummaryTable[[#This Row],[BudgetIncreaseAmount23]]/SummaryTable[[#This Row],[OriginalBudget22]]</f>
        <v>-0.68117240496608222</v>
      </c>
      <c r="AT76" s="61">
        <f>IF(COUNTIFS(allFYsTable[Code], SummaryTable[[#This Row],[Code]], allFYsTable[year2], AQ$3)=0, NotFound, SUMIFS(allFYsTable[RevisedBudget], allFYsTable[Code], SummaryTable[[#This Row],[Code]], allFYsTable[year2], AQ$3))</f>
        <v>7473</v>
      </c>
      <c r="AU76" s="61">
        <f>IF(COUNTIFS(allFYsTable[Code], SummaryTable[[#This Row],[Code]], allFYsTable[year2], AQ$3)=0, NotFound, SUMIFS(allFYsTable[Actual], allFYsTable[Code], SummaryTable[[#This Row],[Code]], allFYsTable[year2], AQ$3))</f>
        <v>4512</v>
      </c>
      <c r="AV76" s="61">
        <f>IF(COUNTIFS(allFYsTable[Code], SummaryTable[[#This Row],[Code]], allFYsTable[year2], AQ$3)=0, NotFound, SUMIFS(allFYsTable[DiffAmount], allFYsTable[Code], SummaryTable[[#This Row],[Code]], allFYsTable[year2], AQ$3))</f>
        <v>-2961</v>
      </c>
      <c r="AW76" s="63">
        <f>IF(SummaryTable[[#This Row],[OriginalBudget23]]=0, IF(SummaryTable[[#This Row],[DiffAmount23]]=0, ZeroBudgetNoSpending, ZeroBudgetWithSpending), SummaryTable[[#This Row],[DiffAmount23]]/SummaryTable[[#This Row],[OriginalBudget23]])</f>
        <v>-0.39622641509433965</v>
      </c>
      <c r="AX76" s="62">
        <f>IF(COUNTIFS(allFYsTable[Code], SummaryTable[[#This Row],[Code]], allFYsTable[year2], AX$3)=0, NotFound, SUMIFS(allFYsTable[OriginalBudget], allFYsTable[Code], SummaryTable[[#This Row],[Code]], allFYsTable[year2], AX$3))</f>
        <v>23439</v>
      </c>
      <c r="AY76" s="61">
        <f>SummaryTable[[#This Row],[OriginalBudget22]]-SummaryTable[[#This Row],[OriginalBudget21]]</f>
        <v>14862</v>
      </c>
      <c r="AZ76" s="54">
        <f>SummaryTable[[#This Row],[BudgetIncreaseAmount22]]/SummaryTable[[#This Row],[OriginalBudget21]]</f>
        <v>1.732773697096887</v>
      </c>
      <c r="BA76" s="61">
        <f>IF(COUNTIFS(allFYsTable[Code], SummaryTable[[#This Row],[Code]], allFYsTable[year2], AX$3)=0, NotFound, SUMIFS(allFYsTable[RevisedBudget], allFYsTable[Code], SummaryTable[[#This Row],[Code]], allFYsTable[year2], AX$3))</f>
        <v>23439</v>
      </c>
      <c r="BB76" s="61">
        <f>IF(COUNTIFS(allFYsTable[Code], SummaryTable[[#This Row],[Code]], allFYsTable[year2], AX$3)=0, NotFound, SUMIFS(allFYsTable[Actual], allFYsTable[Code], SummaryTable[[#This Row],[Code]], allFYsTable[year2], AX$3))</f>
        <v>15306</v>
      </c>
      <c r="BC76" s="61">
        <f>IF(COUNTIFS(allFYsTable[Code], SummaryTable[[#This Row],[Code]], allFYsTable[year2], AX$3)=0, NotFound, SUMIFS(allFYsTable[DiffAmount], allFYsTable[Code], SummaryTable[[#This Row],[Code]], allFYsTable[year2], AX$3))</f>
        <v>-8133</v>
      </c>
      <c r="BD76" s="63">
        <f>IF(SummaryTable[[#This Row],[OriginalBudget22]]=0, IF(SummaryTable[[#This Row],[DiffAmount22]]=0, ZeroBudgetNoSpending, ZeroBudgetWithSpending), SummaryTable[[#This Row],[DiffAmount22]]/SummaryTable[[#This Row],[OriginalBudget22]])</f>
        <v>-0.3469857929092538</v>
      </c>
      <c r="BE76" s="62">
        <f>IF(COUNTIFS(allFYsTable[Code], SummaryTable[[#This Row],[Code]], allFYsTable[year2], BE$3)=0, NotFound, SUMIFS(allFYsTable[OriginalBudget], allFYsTable[Code], SummaryTable[[#This Row],[Code]], allFYsTable[year2], BE$3))</f>
        <v>8577</v>
      </c>
      <c r="BF76" s="61">
        <f>SummaryTable[[#This Row],[OriginalBudget21]]-SummaryTable[[#This Row],[OriginalBudget20]]</f>
        <v>1044</v>
      </c>
      <c r="BG76" s="54">
        <f>SummaryTable[[#This Row],[BudgetIncreaseAmount21]]/SummaryTable[[#This Row],[OriginalBudget20]]</f>
        <v>0.13859020310633213</v>
      </c>
      <c r="BH76" s="61">
        <f>IF(COUNTIFS(allFYsTable[Code], SummaryTable[[#This Row],[Code]], allFYsTable[year2], BE$3)=0, NotFound, SUMIFS(allFYsTable[RevisedBudget], allFYsTable[Code], SummaryTable[[#This Row],[Code]], allFYsTable[year2], BE$3))</f>
        <v>8177</v>
      </c>
      <c r="BI76" s="61">
        <f>IF(COUNTIFS(allFYsTable[Code], SummaryTable[[#This Row],[Code]], allFYsTable[year2], BE$3)=0, NotFound, SUMIFS(allFYsTable[Actual], allFYsTable[Code], SummaryTable[[#This Row],[Code]], allFYsTable[year2], BE$3))</f>
        <v>4083</v>
      </c>
      <c r="BJ76" s="61">
        <f>IF(COUNTIFS(allFYsTable[Code], SummaryTable[[#This Row],[Code]], allFYsTable[year2], BE$3)=0, NotFound, SUMIFS(allFYsTable[DiffAmount], allFYsTable[Code], SummaryTable[[#This Row],[Code]], allFYsTable[year2], BE$3))</f>
        <v>-4494</v>
      </c>
      <c r="BK76" s="63">
        <f>IF(SummaryTable[[#This Row],[OriginalBudget21]]=0, IF(SummaryTable[[#This Row],[DiffAmount21]]=0, ZeroBudgetNoSpending, ZeroBudgetWithSpending), SummaryTable[[#This Row],[DiffAmount21]]/SummaryTable[[#This Row],[OriginalBudget21]])</f>
        <v>-0.52395942637285764</v>
      </c>
      <c r="BL76" s="62">
        <f>IF(COUNTIFS(allFYsTable[Code], SummaryTable[[#This Row],[Code]], allFYsTable[year2], BL$3)=0, NotFound, SUMIFS(allFYsTable[OriginalBudget], allFYsTable[Code], SummaryTable[[#This Row],[Code]], allFYsTable[year2], BL$3))</f>
        <v>7533</v>
      </c>
      <c r="BM76" s="61">
        <f>SummaryTable[[#This Row],[OriginalBudget20]]-SummaryTable[[#This Row],[OriginalBudget19]]</f>
        <v>3432</v>
      </c>
      <c r="BN76" s="54">
        <f>SummaryTable[[#This Row],[BudgetIncreaseAmount20]]/SummaryTable[[#This Row],[OriginalBudget19]]</f>
        <v>0.8368690563277249</v>
      </c>
      <c r="BO76" s="61">
        <f>IF(COUNTIFS(allFYsTable[Code], SummaryTable[[#This Row],[Code]], allFYsTable[year2], BL$3)=0, NotFound, SUMIFS(allFYsTable[RevisedBudget], allFYsTable[Code], SummaryTable[[#This Row],[Code]], allFYsTable[year2], BL$3))</f>
        <v>7395</v>
      </c>
      <c r="BP76" s="61">
        <f>IF(COUNTIFS(allFYsTable[Code], SummaryTable[[#This Row],[Code]], allFYsTable[year2], BL$3)=0, NotFound, SUMIFS(allFYsTable[Actual], allFYsTable[Code], SummaryTable[[#This Row],[Code]], allFYsTable[year2], BL$3))</f>
        <v>7167</v>
      </c>
      <c r="BQ76" s="61">
        <f>IF(COUNTIFS(allFYsTable[Code], SummaryTable[[#This Row],[Code]], allFYsTable[year2], BL$3)=0, NotFound, SUMIFS(allFYsTable[DiffAmount], allFYsTable[Code], SummaryTable[[#This Row],[Code]], allFYsTable[year2], BL$3))</f>
        <v>-366</v>
      </c>
      <c r="BR76" s="63">
        <f>IF(SummaryTable[[#This Row],[OriginalBudget20]]=0, IF(SummaryTable[[#This Row],[DiffAmount20]]=0, ZeroBudgetNoSpending, ZeroBudgetWithSpending), SummaryTable[[#This Row],[DiffAmount20]]/SummaryTable[[#This Row],[OriginalBudget20]])</f>
        <v>-4.8586220629231382E-2</v>
      </c>
      <c r="BS76" s="62">
        <f>IF(COUNTIFS(allFYsTable[Code], SummaryTable[[#This Row],[Code]], allFYsTable[year2], BS$3)=0, NotFound, SUMIFS(allFYsTable[OriginalBudget], allFYsTable[Code], SummaryTable[[#This Row],[Code]], allFYsTable[year2], BS$3))</f>
        <v>4101</v>
      </c>
      <c r="BT76" s="61">
        <f>SummaryTable[[#This Row],[OriginalBudget19]]-SummaryTable[[#This Row],[OriginalBudget18]]</f>
        <v>1193</v>
      </c>
      <c r="BU76" s="54">
        <f>SummaryTable[[#This Row],[BudgetIncreaseAmount19]]/SummaryTable[[#This Row],[OriginalBudget18]]</f>
        <v>0.41024759284731777</v>
      </c>
      <c r="BV76" s="61">
        <f>IF(COUNTIFS(allFYsTable[Code], SummaryTable[[#This Row],[Code]], allFYsTable[year2], BS$3)=0, NotFound, SUMIFS(allFYsTable[RevisedBudget], allFYsTable[Code], SummaryTable[[#This Row],[Code]], allFYsTable[year2], BS$3))</f>
        <v>4001</v>
      </c>
      <c r="BW76" s="61">
        <f>IF(COUNTIFS(allFYsTable[Code], SummaryTable[[#This Row],[Code]], allFYsTable[year2], BS$3)=0, NotFound, SUMIFS(allFYsTable[Actual], allFYsTable[Code], SummaryTable[[#This Row],[Code]], allFYsTable[year2], BS$3))</f>
        <v>3536</v>
      </c>
      <c r="BX76" s="61">
        <f>IF(COUNTIFS(allFYsTable[Code], SummaryTable[[#This Row],[Code]], allFYsTable[year2], BS$3)=0, NotFound, SUMIFS(allFYsTable[DiffAmount], allFYsTable[Code], SummaryTable[[#This Row],[Code]], allFYsTable[year2], BS$3))</f>
        <v>-565</v>
      </c>
      <c r="BY76" s="63">
        <f>IF(SummaryTable[[#This Row],[OriginalBudget19]]=0, IF(SummaryTable[[#This Row],[DiffAmount19]]=0, ZeroBudgetNoSpending, ZeroBudgetWithSpending), SummaryTable[[#This Row],[DiffAmount19]]/SummaryTable[[#This Row],[OriginalBudget19]])</f>
        <v>-0.13777127529870764</v>
      </c>
      <c r="BZ76" s="62">
        <f>IF(COUNTIFS(allFYsTable[Code], SummaryTable[[#This Row],[Code]], allFYsTable[year2], BZ$3)=0, NotFound, SUMIFS(allFYsTable[OriginalBudget], allFYsTable[Code], SummaryTable[[#This Row],[Code]], allFYsTable[year2], BZ$3))</f>
        <v>2908</v>
      </c>
      <c r="CA76" s="61">
        <f>SummaryTable[[#This Row],[OriginalBudget18]]-SummaryTable[[#This Row],[OriginalBudget17]]</f>
        <v>75</v>
      </c>
      <c r="CB76" s="54">
        <f>SummaryTable[[#This Row],[BudgetIncreaseAmount18]]/SummaryTable[[#This Row],[OriginalBudget17]]</f>
        <v>2.6473702788563359E-2</v>
      </c>
      <c r="CC76" s="61">
        <f>IF(COUNTIFS(allFYsTable[Code], SummaryTable[[#This Row],[Code]], allFYsTable[year2], BZ$3)=0, NotFound, SUMIFS(allFYsTable[RevisedBudget], allFYsTable[Code], SummaryTable[[#This Row],[Code]], allFYsTable[year2], BZ$3))</f>
        <v>2808</v>
      </c>
      <c r="CD76" s="61">
        <f>IF(COUNTIFS(allFYsTable[Code], SummaryTable[[#This Row],[Code]], allFYsTable[year2], BZ$3)=0, NotFound, SUMIFS(allFYsTable[Actual], allFYsTable[Code], SummaryTable[[#This Row],[Code]], allFYsTable[year2], BZ$3))</f>
        <v>2722</v>
      </c>
      <c r="CE76" s="61">
        <f>IF(COUNTIFS(allFYsTable[Code], SummaryTable[[#This Row],[Code]], allFYsTable[year2], BZ$3)=0, NotFound, SUMIFS(allFYsTable[DiffAmount], allFYsTable[Code], SummaryTable[[#This Row],[Code]], allFYsTable[year2], BZ$3))</f>
        <v>-186</v>
      </c>
      <c r="CF76" s="63">
        <f>IF(SummaryTable[[#This Row],[OriginalBudget18]]=0, IF(SummaryTable[[#This Row],[DiffAmount18]]=0, ZeroBudgetNoSpending, ZeroBudgetWithSpending), SummaryTable[[#This Row],[DiffAmount18]]/SummaryTable[[#This Row],[OriginalBudget18]])</f>
        <v>-6.3961485557083905E-2</v>
      </c>
      <c r="CG76" s="62">
        <f>IF(COUNTIFS(allFYsTable[Code], SummaryTable[[#This Row],[Code]], allFYsTable[year2], CG$3)=0, NotFound, SUMIFS(allFYsTable[OriginalBudget], allFYsTable[Code], SummaryTable[[#This Row],[Code]], allFYsTable[year2], CG$3))</f>
        <v>2833</v>
      </c>
      <c r="CH76" s="61">
        <f>SummaryTable[[#This Row],[OriginalBudget17]]-SummaryTable[[#This Row],[OriginalBudget16]]</f>
        <v>129</v>
      </c>
      <c r="CI76" s="54">
        <f>SummaryTable[[#This Row],[BudgetIncreaseAmount17]]/SummaryTable[[#This Row],[OriginalBudget16]]</f>
        <v>4.7707100591715977E-2</v>
      </c>
      <c r="CJ76" s="61">
        <f>IF(COUNTIFS(allFYsTable[Code], SummaryTable[[#This Row],[Code]], allFYsTable[year2], CG$3)=0, NotFound, SUMIFS(allFYsTable[RevisedBudget], allFYsTable[Code], SummaryTable[[#This Row],[Code]], allFYsTable[year2], CG$3))</f>
        <v>2833</v>
      </c>
      <c r="CK76" s="61">
        <f>IF(COUNTIFS(allFYsTable[Code], SummaryTable[[#This Row],[Code]], allFYsTable[year2], CG$3)=0, NotFound, SUMIFS(allFYsTable[Actual], allFYsTable[Code], SummaryTable[[#This Row],[Code]], allFYsTable[year2], CG$3))</f>
        <v>2688</v>
      </c>
      <c r="CL76" s="61">
        <f>IF(COUNTIFS(allFYsTable[Code], SummaryTable[[#This Row],[Code]], allFYsTable[year2], CG$3)=0, NotFound, SUMIFS(allFYsTable[DiffAmount], allFYsTable[Code], SummaryTable[[#This Row],[Code]], allFYsTable[year2], CG$3))</f>
        <v>-145</v>
      </c>
      <c r="CM76" s="63">
        <f>IF(SummaryTable[[#This Row],[OriginalBudget17]]=0, IF(SummaryTable[[#This Row],[DiffAmount17]]=0, ZeroBudgetNoSpending, ZeroBudgetWithSpending), SummaryTable[[#This Row],[DiffAmount17]]/SummaryTable[[#This Row],[OriginalBudget17]])</f>
        <v>-5.1182492057889162E-2</v>
      </c>
      <c r="CN76" s="62">
        <f>IF(COUNTIFS(allFYsTable[Code], SummaryTable[[#This Row],[Code]], allFYsTable[year2], CN$3)=0, NotFound, SUMIFS(allFYsTable[OriginalBudget], allFYsTable[Code], SummaryTable[[#This Row],[Code]], allFYsTable[year2], CN$3))</f>
        <v>2704</v>
      </c>
      <c r="CO76" s="61">
        <f>SummaryTable[[#This Row],[OriginalBudget16]]-SummaryTable[[#This Row],[OriginalBudget15]]</f>
        <v>-94</v>
      </c>
      <c r="CP76" s="54">
        <f>SummaryTable[[#This Row],[BudgetIncreaseAmount16]]/SummaryTable[[#This Row],[OriginalBudget15]]</f>
        <v>-3.3595425303788423E-2</v>
      </c>
      <c r="CQ76" s="61">
        <f>IF(COUNTIFS(allFYsTable[Code], SummaryTable[[#This Row],[Code]], allFYsTable[year2], CN$3)=0, NotFound, SUMIFS(allFYsTable[RevisedBudget], allFYsTable[Code], SummaryTable[[#This Row],[Code]], allFYsTable[year2], CN$3))</f>
        <v>2704</v>
      </c>
      <c r="CR76" s="61">
        <f>IF(COUNTIFS(allFYsTable[Code], SummaryTable[[#This Row],[Code]], allFYsTable[year2], CN$3)=0, NotFound, SUMIFS(allFYsTable[Actual], allFYsTable[Code], SummaryTable[[#This Row],[Code]], allFYsTable[year2], CN$3))</f>
        <v>2590</v>
      </c>
      <c r="CS76" s="61">
        <f>IF(COUNTIFS(allFYsTable[Code], SummaryTable[[#This Row],[Code]], allFYsTable[year2], CN$3)=0, NotFound, SUMIFS(allFYsTable[DiffAmount], allFYsTable[Code], SummaryTable[[#This Row],[Code]], allFYsTable[year2], CN$3))</f>
        <v>-114</v>
      </c>
      <c r="CT76" s="63">
        <f>IF(SummaryTable[[#This Row],[OriginalBudget16]]=0, IF(SummaryTable[[#This Row],[DiffAmount16]]=0, ZeroBudgetNoSpending, ZeroBudgetWithSpending), SummaryTable[[#This Row],[DiffAmount16]]/SummaryTable[[#This Row],[OriginalBudget16]])</f>
        <v>-4.2159763313609468E-2</v>
      </c>
      <c r="CU76" s="62">
        <f>IF(COUNTIFS(allFYsTable[Code], SummaryTable[[#This Row],[Code]], allFYsTable[year2], CU$3)=0, NotFound, SUMIFS(allFYsTable[OriginalBudget], allFYsTable[Code], SummaryTable[[#This Row],[Code]], allFYsTable[year2], CU$3))</f>
        <v>2798</v>
      </c>
      <c r="CV76" s="61">
        <f>SummaryTable[[#This Row],[OriginalBudget15]]-SummaryTable[[#This Row],[OriginalBudget14]]</f>
        <v>169</v>
      </c>
      <c r="CW76" s="54">
        <f>SummaryTable[[#This Row],[BudgetIncreaseAmount15]]/SummaryTable[[#This Row],[OriginalBudget14]]</f>
        <v>6.4282997337390638E-2</v>
      </c>
      <c r="CX76" s="61">
        <f>IF(COUNTIFS(allFYsTable[Code], SummaryTable[[#This Row],[Code]], allFYsTable[year2], CU$3)=0, NotFound, SUMIFS(allFYsTable[RevisedBudget], allFYsTable[Code], SummaryTable[[#This Row],[Code]], allFYsTable[year2], CU$3))</f>
        <v>2465</v>
      </c>
      <c r="CY76" s="61">
        <f>IF(COUNTIFS(allFYsTable[Code], SummaryTable[[#This Row],[Code]], allFYsTable[year2], CU$3)=0, NotFound, SUMIFS(allFYsTable[Actual], allFYsTable[Code], SummaryTable[[#This Row],[Code]], allFYsTable[year2], CU$3))</f>
        <v>2439</v>
      </c>
      <c r="CZ76" s="61">
        <f>IF(COUNTIFS(allFYsTable[Code], SummaryTable[[#This Row],[Code]], allFYsTable[year2], CU$3)=0, NotFound, SUMIFS(allFYsTable[DiffAmount], allFYsTable[Code], SummaryTable[[#This Row],[Code]], allFYsTable[year2], CU$3))</f>
        <v>-359</v>
      </c>
      <c r="DA76" s="63">
        <f>IF(SummaryTable[[#This Row],[OriginalBudget15]]=0, IF(SummaryTable[[#This Row],[DiffAmount15]]=0, ZeroBudgetNoSpending, ZeroBudgetWithSpending), SummaryTable[[#This Row],[DiffAmount15]]/SummaryTable[[#This Row],[OriginalBudget15]])</f>
        <v>-0.1283059328091494</v>
      </c>
      <c r="DB76" s="62">
        <f>IF(COUNTIFS(allFYsTable[Code], SummaryTable[[#This Row],[Code]], allFYsTable[year2], DB$3)=0, NotFound, SUMIFS(allFYsTable[OriginalBudget], allFYsTable[Code], SummaryTable[[#This Row],[Code]], allFYsTable[year2], DB$3))</f>
        <v>2629</v>
      </c>
      <c r="DC76" s="61">
        <f>SummaryTable[[#This Row],[OriginalBudget14]]-SummaryTable[[#This Row],[OriginalBudget13]]</f>
        <v>28</v>
      </c>
      <c r="DD76" s="54">
        <f>SummaryTable[[#This Row],[BudgetIncreaseAmount14]]/SummaryTable[[#This Row],[OriginalBudget13]]</f>
        <v>1.0765090349865437E-2</v>
      </c>
      <c r="DE76" s="61">
        <f>IF(COUNTIFS(allFYsTable[Code], SummaryTable[[#This Row],[Code]], allFYsTable[year2], DB$3)=0, NotFound, SUMIFS(allFYsTable[RevisedBudget], allFYsTable[Code], SummaryTable[[#This Row],[Code]], allFYsTable[year2], DB$3))</f>
        <v>2704</v>
      </c>
      <c r="DF76" s="61">
        <f>IF(COUNTIFS(allFYsTable[Code], SummaryTable[[#This Row],[Code]], allFYsTable[year2], DB$3)=0, NotFound, SUMIFS(allFYsTable[Actual], allFYsTable[Code], SummaryTable[[#This Row],[Code]], allFYsTable[year2], DB$3))</f>
        <v>2593</v>
      </c>
      <c r="DG76" s="61">
        <f>IF(COUNTIFS(allFYsTable[Code], SummaryTable[[#This Row],[Code]], allFYsTable[year2], DB$3)=0, NotFound, SUMIFS(allFYsTable[DiffAmount], allFYsTable[Code], SummaryTable[[#This Row],[Code]], allFYsTable[year2], DB$3))</f>
        <v>-36</v>
      </c>
      <c r="DH76" s="63">
        <f>IF(SummaryTable[[#This Row],[OriginalBudget14]]=0, IF(SummaryTable[[#This Row],[DiffAmount14]]=0, ZeroBudgetNoSpending, ZeroBudgetWithSpending), SummaryTable[[#This Row],[DiffAmount14]]/SummaryTable[[#This Row],[OriginalBudget14]])</f>
        <v>-1.3693419551160137E-2</v>
      </c>
      <c r="DI76" s="62">
        <f>IF(COUNTIFS(allFYsTable[Code], SummaryTable[[#This Row],[Code]], allFYsTable[year2], DI$3)=0, NotFound, SUMIFS(allFYsTable[OriginalBudget], allFYsTable[Code], SummaryTable[[#This Row],[Code]], allFYsTable[year2], DI$3))</f>
        <v>2601</v>
      </c>
      <c r="DJ76" s="61">
        <f>SummaryTable[[#This Row],[OriginalBudget13]]-SummaryTable[[#This Row],[OriginalBudget12]]</f>
        <v>1288</v>
      </c>
      <c r="DK76" s="54">
        <f>SummaryTable[[#This Row],[BudgetIncreaseAmount13]]/SummaryTable[[#This Row],[OriginalBudget12]]</f>
        <v>0.98095963442498091</v>
      </c>
      <c r="DL76" s="61">
        <f>IF(COUNTIFS(allFYsTable[Code], SummaryTable[[#This Row],[Code]], allFYsTable[year2], DI$3)=0, NotFound, SUMIFS(allFYsTable[RevisedBudget], allFYsTable[Code], SummaryTable[[#This Row],[Code]], allFYsTable[year2], DI$3))</f>
        <v>2601</v>
      </c>
      <c r="DM76" s="61">
        <f>IF(COUNTIFS(allFYsTable[Code], SummaryTable[[#This Row],[Code]], allFYsTable[year2], DI$3)=0, NotFound, SUMIFS(allFYsTable[Actual], allFYsTable[Code], SummaryTable[[#This Row],[Code]], allFYsTable[year2], DI$3))</f>
        <v>2017</v>
      </c>
      <c r="DN76" s="61">
        <f>IF(COUNTIFS(allFYsTable[Code], SummaryTable[[#This Row],[Code]], allFYsTable[year2], DI$3)=0, NotFound, SUMIFS(allFYsTable[DiffAmount], allFYsTable[Code], SummaryTable[[#This Row],[Code]], allFYsTable[year2], DI$3))</f>
        <v>-584</v>
      </c>
      <c r="DO76" s="63">
        <f>IF(SummaryTable[[#This Row],[OriginalBudget13]]=0, IF(SummaryTable[[#This Row],[DiffAmount13]]=0, ZeroBudgetNoSpending, ZeroBudgetWithSpending), SummaryTable[[#This Row],[DiffAmount13]]/SummaryTable[[#This Row],[OriginalBudget13]])</f>
        <v>-0.2245290272971934</v>
      </c>
      <c r="DP76" s="62">
        <f>IF(COUNTIFS(allFYsTable[Code], SummaryTable[[#This Row],[Code]], allFYsTable[year2], DP$3)=0, NotFound, SUMIFS(allFYsTable[OriginalBudget], allFYsTable[Code], SummaryTable[[#This Row],[Code]], allFYsTable[year2], DP$3))</f>
        <v>1313</v>
      </c>
      <c r="DQ76" s="61">
        <f>SummaryTable[[#This Row],[OriginalBudget12]]-SummaryTable[[#This Row],[OriginalBudget11]]</f>
        <v>-12</v>
      </c>
      <c r="DR76" s="54">
        <f>SummaryTable[[#This Row],[BudgetIncreaseAmount12]]/SummaryTable[[#This Row],[OriginalBudget11]]</f>
        <v>-9.0566037735849061E-3</v>
      </c>
      <c r="DS76" s="61">
        <f>IF(COUNTIFS(allFYsTable[Code], SummaryTable[[#This Row],[Code]], allFYsTable[year2], DP$3)=0, NotFound, SUMIFS(allFYsTable[RevisedBudget], allFYsTable[Code], SummaryTable[[#This Row],[Code]], allFYsTable[year2], DP$3))</f>
        <v>1329</v>
      </c>
      <c r="DT76" s="61">
        <f>IF(COUNTIFS(allFYsTable[Code], SummaryTable[[#This Row],[Code]], allFYsTable[year2], DP$3)=0, NotFound, SUMIFS(allFYsTable[Actual], allFYsTable[Code], SummaryTable[[#This Row],[Code]], allFYsTable[year2], DP$3))</f>
        <v>1301</v>
      </c>
      <c r="DU76" s="61">
        <f>IF(COUNTIFS(allFYsTable[Code], SummaryTable[[#This Row],[Code]], allFYsTable[year2], DP$3)=0, NotFound, SUMIFS(allFYsTable[DiffAmount], allFYsTable[Code], SummaryTable[[#This Row],[Code]], allFYsTable[year2], DP$3))</f>
        <v>-12</v>
      </c>
      <c r="DV76" s="63">
        <f>IF(SummaryTable[[#This Row],[OriginalBudget12]]=0, IF(SummaryTable[[#This Row],[DiffAmount12]]=0, ZeroBudgetNoSpending, ZeroBudgetWithSpending), SummaryTable[[#This Row],[DiffAmount12]]/SummaryTable[[#This Row],[OriginalBudget12]])</f>
        <v>-9.13937547600914E-3</v>
      </c>
      <c r="DW76" s="62">
        <f>IF(COUNTIFS(allFYsTable[Code], SummaryTable[[#This Row],[Code]], allFYsTable[year2], DW$3)=0, NotFound, SUMIFS(allFYsTable[OriginalBudget], allFYsTable[Code], SummaryTable[[#This Row],[Code]], allFYsTable[year2], DW$3))</f>
        <v>1325</v>
      </c>
      <c r="DX76" s="61">
        <f>SummaryTable[[#This Row],[OriginalBudget11]]-SummaryTable[[#This Row],[OriginalBudget10]]</f>
        <v>-365</v>
      </c>
      <c r="DY76" s="54">
        <f>SummaryTable[[#This Row],[BudgetIncreaseAmount11]]/SummaryTable[[#This Row],[OriginalBudget10]]</f>
        <v>-0.21597633136094674</v>
      </c>
      <c r="DZ76" s="61">
        <f>IF(COUNTIFS(allFYsTable[Code], SummaryTable[[#This Row],[Code]], allFYsTable[year2], DW$3)=0, NotFound, SUMIFS(allFYsTable[RevisedBudget], allFYsTable[Code], SummaryTable[[#This Row],[Code]], allFYsTable[year2], DW$3))</f>
        <v>1325</v>
      </c>
      <c r="EA76" s="61">
        <f>IF(COUNTIFS(allFYsTable[Code], SummaryTable[[#This Row],[Code]], allFYsTable[year2], DW$3)=0, NotFound, SUMIFS(allFYsTable[Actual], allFYsTable[Code], SummaryTable[[#This Row],[Code]], allFYsTable[year2], DW$3))</f>
        <v>1325</v>
      </c>
      <c r="EB76" s="61">
        <f>IF(COUNTIFS(allFYsTable[Code], SummaryTable[[#This Row],[Code]], allFYsTable[year2], DW$3)=0, NotFound, SUMIFS(allFYsTable[DiffAmount], allFYsTable[Code], SummaryTable[[#This Row],[Code]], allFYsTable[year2], DW$3))</f>
        <v>0</v>
      </c>
      <c r="EC76" s="63">
        <f>IF(SummaryTable[[#This Row],[OriginalBudget11]]=0, IF(SummaryTable[[#This Row],[DiffAmount11]]=0, ZeroBudgetNoSpending, ZeroBudgetWithSpending), SummaryTable[[#This Row],[DiffAmount11]]/SummaryTable[[#This Row],[OriginalBudget11]])</f>
        <v>0</v>
      </c>
      <c r="ED76" s="62">
        <f>IF(COUNTIFS(allFYsTable[Code], SummaryTable[[#This Row],[Code]], allFYsTable[year2], ED$3)=0, NotFound, SUMIFS(allFYsTable[OriginalBudget], allFYsTable[Code], SummaryTable[[#This Row],[Code]], allFYsTable[year2], ED$3))</f>
        <v>1690</v>
      </c>
      <c r="EE76" s="61">
        <f>SummaryTable[[#This Row],[OriginalBudget10]]-SummaryTable[[#This Row],[OriginalBudget09]]</f>
        <v>-31</v>
      </c>
      <c r="EF76" s="54">
        <f>SummaryTable[[#This Row],[BudgetIncreaseAmount10]]/SummaryTable[[#This Row],[OriginalBudget09]]</f>
        <v>-1.801278326554329E-2</v>
      </c>
      <c r="EG76" s="61">
        <f>IF(COUNTIFS(allFYsTable[Code], SummaryTable[[#This Row],[Code]], allFYsTable[year2], ED$3)=0, NotFound, SUMIFS(allFYsTable[RevisedBudget], allFYsTable[Code], SummaryTable[[#This Row],[Code]], allFYsTable[year2], ED$3))</f>
        <v>1640</v>
      </c>
      <c r="EH76" s="61">
        <f>IF(COUNTIFS(allFYsTable[Code], SummaryTable[[#This Row],[Code]], allFYsTable[year2], ED$3)=0, NotFound, SUMIFS(allFYsTable[Actual], allFYsTable[Code], SummaryTable[[#This Row],[Code]], allFYsTable[year2], ED$3))</f>
        <v>1636</v>
      </c>
      <c r="EI76" s="61">
        <f>IF(COUNTIFS(allFYsTable[Code], SummaryTable[[#This Row],[Code]], allFYsTable[year2], ED$3)=0, NotFound, SUMIFS(allFYsTable[DiffAmount], allFYsTable[Code], SummaryTable[[#This Row],[Code]], allFYsTable[year2], ED$3))</f>
        <v>-54</v>
      </c>
      <c r="EJ76" s="63">
        <f>IF(SummaryTable[[#This Row],[OriginalBudget10]]=0, IF(SummaryTable[[#This Row],[DiffAmount10]]=0, ZeroBudgetNoSpending, ZeroBudgetWithSpending), SummaryTable[[#This Row],[DiffAmount10]]/SummaryTable[[#This Row],[OriginalBudget10]])</f>
        <v>-3.1952662721893489E-2</v>
      </c>
      <c r="EK76" s="62">
        <f>IF(COUNTIFS(allFYsTable[Code], SummaryTable[[#This Row],[Code]], allFYsTable[year2], EK$3)=0, NotFound, SUMIFS(allFYsTable[OriginalBudget], allFYsTable[Code], SummaryTable[[#This Row],[Code]], allFYsTable[year2], EK$3))</f>
        <v>1721</v>
      </c>
      <c r="EL76" s="61">
        <f>SummaryTable[[#This Row],[OriginalBudget09]]-SummaryTable[[#This Row],[OriginalBudget08]]</f>
        <v>1</v>
      </c>
      <c r="EM76" s="54">
        <f>SummaryTable[[#This Row],[BudgetIncreaseAmount09]]/SummaryTable[[#This Row],[OriginalBudget08]]</f>
        <v>5.8139534883720929E-4</v>
      </c>
      <c r="EN76" s="61">
        <f>IF(COUNTIFS(allFYsTable[Code], SummaryTable[[#This Row],[Code]], allFYsTable[year2], EK$3)=0, NotFound, SUMIFS(allFYsTable[RevisedBudget], allFYsTable[Code], SummaryTable[[#This Row],[Code]], allFYsTable[year2], EK$3))</f>
        <v>1721</v>
      </c>
      <c r="EO76" s="61">
        <f>IF(COUNTIFS(allFYsTable[Code], SummaryTable[[#This Row],[Code]], allFYsTable[year2], EK$3)=0, NotFound, SUMIFS(allFYsTable[Actual], allFYsTable[Code], SummaryTable[[#This Row],[Code]], allFYsTable[year2], EK$3))</f>
        <v>1648</v>
      </c>
      <c r="EP76" s="61">
        <f>IF(COUNTIFS(allFYsTable[Code], SummaryTable[[#This Row],[Code]], allFYsTable[year2], EK$3)=0, NotFound, SUMIFS(allFYsTable[DiffAmount], allFYsTable[Code], SummaryTable[[#This Row],[Code]], allFYsTable[year2], EK$3))</f>
        <v>-73</v>
      </c>
      <c r="EQ76" s="63">
        <f>IF(SummaryTable[[#This Row],[OriginalBudget09]]=0, IF(SummaryTable[[#This Row],[DiffAmount09]]=0, ZeroBudgetNoSpending, ZeroBudgetWithSpending), SummaryTable[[#This Row],[DiffAmount09]]/SummaryTable[[#This Row],[OriginalBudget09]])</f>
        <v>-4.2417199302730968E-2</v>
      </c>
      <c r="ER76" s="62">
        <f>IF(COUNTIFS(allFYsTable[Code], SummaryTable[[#This Row],[Code]], allFYsTable[year2], ER$3)=0, NotFound, SUMIFS(allFYsTable[OriginalBudget], allFYsTable[Code], SummaryTable[[#This Row],[Code]], allFYsTable[year2], ER$3))</f>
        <v>1720</v>
      </c>
      <c r="ES76" s="61">
        <f>SummaryTable[[#This Row],[OriginalBudget08]]-SummaryTable[[#This Row],[OriginalBudget07]]</f>
        <v>218</v>
      </c>
      <c r="ET76" s="54">
        <f>SummaryTable[[#This Row],[BudgetIncreaseAmount08]]/SummaryTable[[#This Row],[OriginalBudget07]]</f>
        <v>0.14513981358189082</v>
      </c>
      <c r="EU76" s="61">
        <f>IF(COUNTIFS(allFYsTable[Code], SummaryTable[[#This Row],[Code]], allFYsTable[year2], ER$3)=0, NotFound, SUMIFS(allFYsTable[RevisedBudget], allFYsTable[Code], SummaryTable[[#This Row],[Code]], allFYsTable[year2], ER$3))</f>
        <v>1720</v>
      </c>
      <c r="EV76" s="61">
        <f>IF(COUNTIFS(allFYsTable[Code], SummaryTable[[#This Row],[Code]], allFYsTable[year2], ER$3)=0, NotFound, SUMIFS(allFYsTable[Actual], allFYsTable[Code], SummaryTable[[#This Row],[Code]], allFYsTable[year2], ER$3))</f>
        <v>1589</v>
      </c>
      <c r="EW76" s="61">
        <f>IF(COUNTIFS(allFYsTable[Code], SummaryTable[[#This Row],[Code]], allFYsTable[year2], ER$3)=0, NotFound, SUMIFS(allFYsTable[DiffAmount], allFYsTable[Code], SummaryTable[[#This Row],[Code]], allFYsTable[year2], ER$3))</f>
        <v>-131</v>
      </c>
      <c r="EX76" s="63">
        <f>IF(SummaryTable[[#This Row],[OriginalBudget08]]=0, IF(SummaryTable[[#This Row],[DiffAmount08]]=0, ZeroBudgetNoSpending, ZeroBudgetWithSpending), SummaryTable[[#This Row],[DiffAmount08]]/SummaryTable[[#This Row],[OriginalBudget08]])</f>
        <v>-7.6162790697674412E-2</v>
      </c>
      <c r="EY76" s="62">
        <f>IF(COUNTIFS(allFYsTable[Code], SummaryTable[[#This Row],[Code]], allFYsTable[year2], EY$3)=0, NotFound, SUMIFS(allFYsTable[OriginalBudget], allFYsTable[Code], SummaryTable[[#This Row],[Code]], allFYsTable[year2], EY$3))</f>
        <v>1502</v>
      </c>
      <c r="EZ76" s="61">
        <f>SummaryTable[[#This Row],[OriginalBudget07]]-SummaryTable[[#This Row],[OriginalBudget06]]</f>
        <v>128</v>
      </c>
      <c r="FA76" s="54">
        <f>SummaryTable[[#This Row],[BudgetIncreaseAmount07]]/SummaryTable[[#This Row],[OriginalBudget06]]</f>
        <v>9.3158660844250368E-2</v>
      </c>
      <c r="FB76" s="61">
        <f>IF(COUNTIFS(allFYsTable[Code], SummaryTable[[#This Row],[Code]], allFYsTable[year2], EY$3)=0, NotFound, SUMIFS(allFYsTable[RevisedBudget], allFYsTable[Code], SummaryTable[[#This Row],[Code]], allFYsTable[year2], EY$3))</f>
        <v>1543</v>
      </c>
      <c r="FC76" s="61">
        <f>IF(COUNTIFS(allFYsTable[Code], SummaryTable[[#This Row],[Code]], allFYsTable[year2], EY$3)=0, NotFound, SUMIFS(allFYsTable[Actual], allFYsTable[Code], SummaryTable[[#This Row],[Code]], allFYsTable[year2], EY$3))</f>
        <v>1495</v>
      </c>
      <c r="FD76" s="61">
        <f>IF(COUNTIFS(allFYsTable[Code], SummaryTable[[#This Row],[Code]], allFYsTable[year2], EY$3)=0, NotFound, SUMIFS(allFYsTable[DiffAmount], allFYsTable[Code], SummaryTable[[#This Row],[Code]], allFYsTable[year2], EY$3))</f>
        <v>-7</v>
      </c>
      <c r="FE76" s="63">
        <f>IF(SummaryTable[[#This Row],[OriginalBudget07]]=0, IF(SummaryTable[[#This Row],[DiffAmount07]]=0, ZeroBudgetNoSpending, ZeroBudgetWithSpending), SummaryTable[[#This Row],[DiffAmount07]]/SummaryTable[[#This Row],[OriginalBudget07]])</f>
        <v>-4.6604527296937419E-3</v>
      </c>
      <c r="FF76" s="62">
        <f>IF(COUNTIFS(allFYsTable[Code], SummaryTable[[#This Row],[Code]], allFYsTable[year2], FF$3)=0, NotFound, SUMIFS(allFYsTable[OriginalBudget], allFYsTable[Code], SummaryTable[[#This Row],[Code]], allFYsTable[year2], FF$3))</f>
        <v>1374</v>
      </c>
      <c r="FI76" s="61">
        <f>IF(COUNTIFS(allFYsTable[Code], SummaryTable[[#This Row],[Code]], allFYsTable[year2], FF$3)=0, NotFound, SUMIFS(allFYsTable[RevisedBudget], allFYsTable[Code], SummaryTable[[#This Row],[Code]], allFYsTable[year2], FF$3))</f>
        <v>1460</v>
      </c>
      <c r="FJ76" s="61">
        <f>IF(COUNTIFS(allFYsTable[Code], SummaryTable[[#This Row],[Code]], allFYsTable[year2], FF$3)=0, NotFound, SUMIFS(allFYsTable[Actual], allFYsTable[Code], SummaryTable[[#This Row],[Code]], allFYsTable[year2], FF$3))</f>
        <v>1354</v>
      </c>
      <c r="FK76" s="61">
        <f>IF(COUNTIFS(allFYsTable[Code], SummaryTable[[#This Row],[Code]], allFYsTable[year2], FF$3)=0, NotFound, SUMIFS(allFYsTable[DiffAmount], allFYsTable[Code], SummaryTable[[#This Row],[Code]], allFYsTable[year2], FF$3))</f>
        <v>-20</v>
      </c>
      <c r="FL76" s="63">
        <f>IF(SummaryTable[[#This Row],[OriginalBudget06]]=0, IF(SummaryTable[[#This Row],[DiffAmount06]]=0, ZeroBudgetNoSpending, ZeroBudgetWithSpending), SummaryTable[[#This Row],[DiffAmount06]]/SummaryTable[[#This Row],[OriginalBudget06]])</f>
        <v>-1.4556040756914119E-2</v>
      </c>
    </row>
    <row r="77" spans="1:168" x14ac:dyDescent="0.45">
      <c r="A77" t="s">
        <v>713</v>
      </c>
      <c r="B77">
        <f>_xlfn.MAXIFS(allFYsTable[year2], allFYsTable[Code], SummaryTable[[#This Row],[Code]])</f>
        <v>2025</v>
      </c>
      <c r="C77" t="str">
        <f>_xlfn.XLOOKUP(SummaryTable[[#This Row],[Code]], NameCodingTable[Code], NameCodingTable[Most Recent Category per allFYs])</f>
        <v>Governmental direction and support</v>
      </c>
      <c r="D77" t="str">
        <f>_xlfn.XLOOKUP(SummaryTable[[#This Row],[Code]], NameCodingTable[Code], NameCodingTable[Unit Display Name])</f>
        <v>Office of Contracting and Procurement (OCP)</v>
      </c>
      <c r="E77" t="str">
        <f>_xlfn.XLOOKUP(SummaryTable[[#This Row],[Code]], NameCodingTable[Code], NameCodingTable[Type])</f>
        <v>agency</v>
      </c>
      <c r="F7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7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10</v>
      </c>
      <c r="H77" s="54">
        <f>SummaryTable[[#This Row],['# Over]]/SummaryTable[[#This Row],[Count]]</f>
        <v>0.5</v>
      </c>
      <c r="I7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77" s="54">
        <f>SummaryTable[[#This Row],['# Under]]/SummaryTable[[#This Row],[Count]]</f>
        <v>0.5</v>
      </c>
      <c r="K7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77" s="54">
        <f>SummaryTable[[#This Row],['# Equal]]/SummaryTable[[#This Row],[Count]]</f>
        <v>0</v>
      </c>
      <c r="M77" s="61">
        <f>SUMIFS(allFYsTable[OriginalBudget],allFYsTable[Code],SummaryTable[[#This Row],[Code]])/SummaryTable[[#This Row],[Count]]</f>
        <v>17815.099999999999</v>
      </c>
      <c r="N77" s="61">
        <f>SUMIFS(allFYsTable[Actual],allFYsTable[Code],SummaryTable[[#This Row],[Code]])/SummaryTable[[#This Row],[Count]]</f>
        <v>31552.05</v>
      </c>
      <c r="O77" s="61">
        <f>SummaryTable[[#This Row],[AvgActAmt]]-SummaryTable[[#This Row],[AvgBudAmt]]</f>
        <v>13736.95</v>
      </c>
      <c r="P77" s="54">
        <f>IF(SummaryTable[[#This Row],[AvgBudAmt]]=0, IF(SummaryTable[[#This Row],[AvgDiff'#]]=0, 0, NamedFields!$C$3), SummaryTable[[#This Row],[AvgDiff'#]]/SummaryTable[[#This Row],[AvgBudAmt]])</f>
        <v>0.77108464168037238</v>
      </c>
      <c r="Q77" s="61">
        <f>IFERROR(SUMIFS(allFYsTable[OriginalBudget],allFYsTable[Code],SummaryTable[[#This Row],[Code]],allFYsTable[DiffAmount], "&gt;0")/SummaryTable[[#This Row],['# Over]], 0)</f>
        <v>20680.900000000001</v>
      </c>
      <c r="R77" s="61">
        <f>IFERROR(SUMIFS(allFYsTable[Actual],allFYsTable[Code],SummaryTable[[#This Row],[Code]],allFYsTable[DiffAmount], "&gt;0")/SummaryTable[[#This Row],['# Over]], 0)</f>
        <v>48839.7</v>
      </c>
      <c r="S77" s="61">
        <f>SummaryTable[[#This Row],[OverAvgAct]]-SummaryTable[[#This Row],[OverAvgBud]]</f>
        <v>28158.799999999996</v>
      </c>
      <c r="T77" s="54">
        <f>IF(SummaryTable[[#This Row],[OverAvgBud]]=0, IF(SummaryTable[[#This Row],[OverAvgDiff'#]]=0, ZeroBudgetNoSpending, ZeroBudgetWithSpending), SummaryTable[[#This Row],[OverAvgDiff'#]]/SummaryTable[[#This Row],[OverAvgBud]])</f>
        <v>1.3615848439864799</v>
      </c>
      <c r="U77" s="61">
        <f>IFERROR(SUMIFS(allFYsTable[OriginalBudget],allFYsTable[Code],SummaryTable[[#This Row],[Code]],allFYsTable[DiffAmount], "&lt;0")/SummaryTable[[#This Row],['# Under]], 0)</f>
        <v>14949.3</v>
      </c>
      <c r="V77" s="61">
        <f>IFERROR( SUMIFS(allFYsTable[Actual],allFYsTable[Code],SummaryTable[[#This Row],[Code]],allFYsTable[DiffAmount], "&lt;0")/SummaryTable[[#This Row],['# Under]], 0)</f>
        <v>14264.4</v>
      </c>
      <c r="W77" s="61">
        <f>SummaryTable[[#This Row],[UnderAvgAct]]-SummaryTable[[#This Row],[UnderAvgBud]]</f>
        <v>-684.89999999999964</v>
      </c>
      <c r="X77" s="54">
        <f>IF(SummaryTable[[#This Row],[UnderAvgBud]]=0, IF(SummaryTable[[#This Row],[UnderAvgDiff'#]]=0, ZeroBudgetNoSpending, NamedFields!$C$3), SummaryTable[[#This Row],[UnderAvgDiff'#]]/SummaryTable[[#This Row],[UnderAvgBud]])</f>
        <v>-4.5814854207220382E-2</v>
      </c>
      <c r="Y7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7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2</v>
      </c>
      <c r="AA77" s="54">
        <f>IF(SummaryTable[[#This Row],[IncreaseYears]]=0, ZeroBudgetNoSpending, SummaryTable[[#This Row],[OSinIncreaseYear'#]]/SummaryTable[[#This Row],[IncreaseYears]])</f>
        <v>0.33333333333333331</v>
      </c>
      <c r="AB77" s="58" t="str">
        <f>SummaryTable[[#This Row],[Code]]</f>
        <v>PO0</v>
      </c>
      <c r="AC77" s="62">
        <f>IF(COUNTIFS(allFYsTable[Code], SummaryTable[[#This Row],[Code]], allFYsTable[year2], AC$3)=0, NotFound, SUMIFS(allFYsTable[OriginalBudget], allFYsTable[Code], SummaryTable[[#This Row],[Code]], allFYsTable[year2], AC$3))</f>
        <v>27612</v>
      </c>
      <c r="AD77" s="61">
        <f>SummaryTable[[#This Row],[OriginalBudget25]]-SummaryTable[[#This Row],[OriginalBudget24]]</f>
        <v>14</v>
      </c>
      <c r="AE77" s="54">
        <f>SummaryTable[[#This Row],[BudgetIncreaseAmount25]]/SummaryTable[[#This Row],[OriginalBudget24]]</f>
        <v>5.0728313645916371E-4</v>
      </c>
      <c r="AF77" s="61">
        <f>IF(COUNTIFS(allFYsTable[Code], SummaryTable[[#This Row],[Code]], allFYsTable[year2], AC$3)=0, NotFound, SUMIFS(allFYsTable[RevisedBudget], allFYsTable[Code], SummaryTable[[#This Row],[Code]], allFYsTable[year2], AC$3))</f>
        <v>25146</v>
      </c>
      <c r="AG77" s="61">
        <f>IF(COUNTIFS(allFYsTable[Code], SummaryTable[[#This Row],[Code]], allFYsTable[year2], AC$3)=0, NotFound, SUMIFS(allFYsTable[Actual], allFYsTable[Code], SummaryTable[[#This Row],[Code]], allFYsTable[year2], AC$3))</f>
        <v>24249</v>
      </c>
      <c r="AH77" s="61">
        <f>IF(COUNTIFS(allFYsTable[Code], SummaryTable[[#This Row],[Code]], allFYsTable[year2], AC$3)=0, NotFound, SUMIFS(allFYsTable[DiffAmount], allFYsTable[Code], SummaryTable[[#This Row],[Code]], allFYsTable[year2], AC$3))</f>
        <v>-3363</v>
      </c>
      <c r="AI77" s="63">
        <f>IF(SummaryTable[[#This Row],[OriginalBudget25]]=0, IF(SummaryTable[[#This Row],[DiffAmount25]]=0, ZeroBudgetNoSpending, ZeroBudgetWithSpending), SummaryTable[[#This Row],[DiffAmount25]]/SummaryTable[[#This Row],[OriginalBudget25]])</f>
        <v>-0.12179487179487179</v>
      </c>
      <c r="AJ77" s="62">
        <f>IF(COUNTIFS(allFYsTable[Code], SummaryTable[[#This Row],[Code]], allFYsTable[year2], AJ$3)=0, NotFound, SUMIFS(allFYsTable[OriginalBudget], allFYsTable[Code], SummaryTable[[#This Row],[Code]], allFYsTable[year2], AJ$3))</f>
        <v>27598</v>
      </c>
      <c r="AK77" s="61">
        <f>SummaryTable[[#This Row],[OriginalBudget24]]-SummaryTable[[#This Row],[OriginalBudget23]]</f>
        <v>-2224</v>
      </c>
      <c r="AL77" s="54">
        <f>SummaryTable[[#This Row],[BudgetIncreaseAmount24]]/SummaryTable[[#This Row],[OriginalBudget23]]</f>
        <v>-7.457581651130038E-2</v>
      </c>
      <c r="AM77" s="61">
        <f>IF(COUNTIFS(allFYsTable[Code], SummaryTable[[#This Row],[Code]], allFYsTable[year2], AK$3)=0, NotFound, SUMIFS(allFYsTable[RevisedBudget], allFYsTable[Code], SummaryTable[[#This Row],[Code]], allFYsTable[year2], AJ$3))</f>
        <v>29057</v>
      </c>
      <c r="AN77" s="61">
        <f>IF(COUNTIFS(allFYsTable[Code], SummaryTable[[#This Row],[Code]], allFYsTable[year2], AJ$3)=0, NotFound, SUMIFS(allFYsTable[Actual], allFYsTable[Code], SummaryTable[[#This Row],[Code]], allFYsTable[year2], AJ$3))</f>
        <v>28968</v>
      </c>
      <c r="AO77" s="61">
        <f>IF(COUNTIFS(allFYsTable[Code], SummaryTable[[#This Row],[Code]], allFYsTable[year2], AJ$3)=0, NotFound, SUMIFS(allFYsTable[DiffAmount], allFYsTable[Code], SummaryTable[[#This Row],[Code]], allFYsTable[year2], AJ$3))</f>
        <v>1370</v>
      </c>
      <c r="AP77" s="63">
        <f>IF(SummaryTable[[#This Row],[OriginalBudget24]]=0, IF(SummaryTable[[#This Row],[DiffAmount24]]=0, ZeroBudgetNoSpending, ZeroBudgetWithSpending), SummaryTable[[#This Row],[DiffAmount24]]/SummaryTable[[#This Row],[OriginalBudget24]])</f>
        <v>4.9641278353503876E-2</v>
      </c>
      <c r="AQ77" s="62">
        <f>IF(COUNTIFS(allFYsTable[Code], SummaryTable[[#This Row],[Code]], allFYsTable[year2], AQ$3)=0, NotFound, SUMIFS(allFYsTable[OriginalBudget], allFYsTable[Code], SummaryTable[[#This Row],[Code]], allFYsTable[year2], AQ$3))</f>
        <v>29822</v>
      </c>
      <c r="AR77" s="61">
        <f>SummaryTable[[#This Row],[OriginalBudget23]]-SummaryTable[[#This Row],[OriginalBudget22]]</f>
        <v>1546</v>
      </c>
      <c r="AS77" s="54">
        <f>SummaryTable[[#This Row],[BudgetIncreaseAmount23]]/SummaryTable[[#This Row],[OriginalBudget22]]</f>
        <v>5.467534304710709E-2</v>
      </c>
      <c r="AT77" s="61">
        <f>IF(COUNTIFS(allFYsTable[Code], SummaryTable[[#This Row],[Code]], allFYsTable[year2], AQ$3)=0, NotFound, SUMIFS(allFYsTable[RevisedBudget], allFYsTable[Code], SummaryTable[[#This Row],[Code]], allFYsTable[year2], AQ$3))</f>
        <v>32967</v>
      </c>
      <c r="AU77" s="61">
        <f>IF(COUNTIFS(allFYsTable[Code], SummaryTable[[#This Row],[Code]], allFYsTable[year2], AQ$3)=0, NotFound, SUMIFS(allFYsTable[Actual], allFYsTable[Code], SummaryTable[[#This Row],[Code]], allFYsTable[year2], AQ$3))</f>
        <v>31759</v>
      </c>
      <c r="AV77" s="61">
        <f>IF(COUNTIFS(allFYsTable[Code], SummaryTable[[#This Row],[Code]], allFYsTable[year2], AQ$3)=0, NotFound, SUMIFS(allFYsTable[DiffAmount], allFYsTable[Code], SummaryTable[[#This Row],[Code]], allFYsTable[year2], AQ$3))</f>
        <v>1937</v>
      </c>
      <c r="AW77" s="63">
        <f>IF(SummaryTable[[#This Row],[OriginalBudget23]]=0, IF(SummaryTable[[#This Row],[DiffAmount23]]=0, ZeroBudgetNoSpending, ZeroBudgetWithSpending), SummaryTable[[#This Row],[DiffAmount23]]/SummaryTable[[#This Row],[OriginalBudget23]])</f>
        <v>6.495204882301657E-2</v>
      </c>
      <c r="AX77" s="62">
        <f>IF(COUNTIFS(allFYsTable[Code], SummaryTable[[#This Row],[Code]], allFYsTable[year2], AX$3)=0, NotFound, SUMIFS(allFYsTable[OriginalBudget], allFYsTable[Code], SummaryTable[[#This Row],[Code]], allFYsTable[year2], AX$3))</f>
        <v>28276</v>
      </c>
      <c r="AY77" s="61">
        <f>SummaryTable[[#This Row],[OriginalBudget22]]-SummaryTable[[#This Row],[OriginalBudget21]]</f>
        <v>3863</v>
      </c>
      <c r="AZ77" s="54">
        <f>SummaryTable[[#This Row],[BudgetIncreaseAmount22]]/SummaryTable[[#This Row],[OriginalBudget21]]</f>
        <v>0.15823536640314587</v>
      </c>
      <c r="BA77" s="61">
        <f>IF(COUNTIFS(allFYsTable[Code], SummaryTable[[#This Row],[Code]], allFYsTable[year2], AX$3)=0, NotFound, SUMIFS(allFYsTable[RevisedBudget], allFYsTable[Code], SummaryTable[[#This Row],[Code]], allFYsTable[year2], AX$3))</f>
        <v>139496</v>
      </c>
      <c r="BB77" s="61">
        <f>IF(COUNTIFS(allFYsTable[Code], SummaryTable[[#This Row],[Code]], allFYsTable[year2], AX$3)=0, NotFound, SUMIFS(allFYsTable[Actual], allFYsTable[Code], SummaryTable[[#This Row],[Code]], allFYsTable[year2], AX$3))</f>
        <v>138304</v>
      </c>
      <c r="BC77" s="61">
        <f>IF(COUNTIFS(allFYsTable[Code], SummaryTable[[#This Row],[Code]], allFYsTable[year2], AX$3)=0, NotFound, SUMIFS(allFYsTable[DiffAmount], allFYsTable[Code], SummaryTable[[#This Row],[Code]], allFYsTable[year2], AX$3))</f>
        <v>110028</v>
      </c>
      <c r="BD77" s="63">
        <f>IF(SummaryTable[[#This Row],[OriginalBudget22]]=0, IF(SummaryTable[[#This Row],[DiffAmount22]]=0, ZeroBudgetNoSpending, ZeroBudgetWithSpending), SummaryTable[[#This Row],[DiffAmount22]]/SummaryTable[[#This Row],[OriginalBudget22]])</f>
        <v>3.8912151648040743</v>
      </c>
      <c r="BE77" s="62">
        <f>IF(COUNTIFS(allFYsTable[Code], SummaryTable[[#This Row],[Code]], allFYsTable[year2], BE$3)=0, NotFound, SUMIFS(allFYsTable[OriginalBudget], allFYsTable[Code], SummaryTable[[#This Row],[Code]], allFYsTable[year2], BE$3))</f>
        <v>24413</v>
      </c>
      <c r="BF77" s="61">
        <f>SummaryTable[[#This Row],[OriginalBudget21]]-SummaryTable[[#This Row],[OriginalBudget20]]</f>
        <v>226</v>
      </c>
      <c r="BG77" s="54">
        <f>SummaryTable[[#This Row],[BudgetIncreaseAmount21]]/SummaryTable[[#This Row],[OriginalBudget20]]</f>
        <v>9.343862405424402E-3</v>
      </c>
      <c r="BH77" s="61">
        <f>IF(COUNTIFS(allFYsTable[Code], SummaryTable[[#This Row],[Code]], allFYsTable[year2], BE$3)=0, NotFound, SUMIFS(allFYsTable[RevisedBudget], allFYsTable[Code], SummaryTable[[#This Row],[Code]], allFYsTable[year2], BE$3))</f>
        <v>109131</v>
      </c>
      <c r="BI77" s="61">
        <f>IF(COUNTIFS(allFYsTable[Code], SummaryTable[[#This Row],[Code]], allFYsTable[year2], BE$3)=0, NotFound, SUMIFS(allFYsTable[Actual], allFYsTable[Code], SummaryTable[[#This Row],[Code]], allFYsTable[year2], BE$3))</f>
        <v>108568</v>
      </c>
      <c r="BJ77" s="61">
        <f>IF(COUNTIFS(allFYsTable[Code], SummaryTable[[#This Row],[Code]], allFYsTable[year2], BE$3)=0, NotFound, SUMIFS(allFYsTable[DiffAmount], allFYsTable[Code], SummaryTable[[#This Row],[Code]], allFYsTable[year2], BE$3))</f>
        <v>84155</v>
      </c>
      <c r="BK77" s="63">
        <f>IF(SummaryTable[[#This Row],[OriginalBudget21]]=0, IF(SummaryTable[[#This Row],[DiffAmount21]]=0, ZeroBudgetNoSpending, ZeroBudgetWithSpending), SummaryTable[[#This Row],[DiffAmount21]]/SummaryTable[[#This Row],[OriginalBudget21]])</f>
        <v>3.4471388194814239</v>
      </c>
      <c r="BL77" s="62">
        <f>IF(COUNTIFS(allFYsTable[Code], SummaryTable[[#This Row],[Code]], allFYsTable[year2], BL$3)=0, NotFound, SUMIFS(allFYsTable[OriginalBudget], allFYsTable[Code], SummaryTable[[#This Row],[Code]], allFYsTable[year2], BL$3))</f>
        <v>24187</v>
      </c>
      <c r="BM77" s="61">
        <f>SummaryTable[[#This Row],[OriginalBudget20]]-SummaryTable[[#This Row],[OriginalBudget19]]</f>
        <v>794</v>
      </c>
      <c r="BN77" s="54">
        <f>SummaryTable[[#This Row],[BudgetIncreaseAmount20]]/SummaryTable[[#This Row],[OriginalBudget19]]</f>
        <v>3.3941777454794167E-2</v>
      </c>
      <c r="BO77" s="61">
        <f>IF(COUNTIFS(allFYsTable[Code], SummaryTable[[#This Row],[Code]], allFYsTable[year2], BL$3)=0, NotFound, SUMIFS(allFYsTable[RevisedBudget], allFYsTable[Code], SummaryTable[[#This Row],[Code]], allFYsTable[year2], BL$3))</f>
        <v>66029</v>
      </c>
      <c r="BP77" s="61">
        <f>IF(COUNTIFS(allFYsTable[Code], SummaryTable[[#This Row],[Code]], allFYsTable[year2], BL$3)=0, NotFound, SUMIFS(allFYsTable[Actual], allFYsTable[Code], SummaryTable[[#This Row],[Code]], allFYsTable[year2], BL$3))</f>
        <v>65978</v>
      </c>
      <c r="BQ77" s="61">
        <f>IF(COUNTIFS(allFYsTable[Code], SummaryTable[[#This Row],[Code]], allFYsTable[year2], BL$3)=0, NotFound, SUMIFS(allFYsTable[DiffAmount], allFYsTable[Code], SummaryTable[[#This Row],[Code]], allFYsTable[year2], BL$3))</f>
        <v>41791</v>
      </c>
      <c r="BR77" s="63">
        <f>IF(SummaryTable[[#This Row],[OriginalBudget20]]=0, IF(SummaryTable[[#This Row],[DiffAmount20]]=0, ZeroBudgetNoSpending, ZeroBudgetWithSpending), SummaryTable[[#This Row],[DiffAmount20]]/SummaryTable[[#This Row],[OriginalBudget20]])</f>
        <v>1.7278289990490761</v>
      </c>
      <c r="BS77" s="62">
        <f>IF(COUNTIFS(allFYsTable[Code], SummaryTable[[#This Row],[Code]], allFYsTable[year2], BS$3)=0, NotFound, SUMIFS(allFYsTable[OriginalBudget], allFYsTable[Code], SummaryTable[[#This Row],[Code]], allFYsTable[year2], BS$3))</f>
        <v>23393</v>
      </c>
      <c r="BT77" s="61">
        <f>SummaryTable[[#This Row],[OriginalBudget19]]-SummaryTable[[#This Row],[OriginalBudget18]]</f>
        <v>553</v>
      </c>
      <c r="BU77" s="54">
        <f>SummaryTable[[#This Row],[BudgetIncreaseAmount19]]/SummaryTable[[#This Row],[OriginalBudget18]]</f>
        <v>2.4211908931698774E-2</v>
      </c>
      <c r="BV77" s="61">
        <f>IF(COUNTIFS(allFYsTable[Code], SummaryTable[[#This Row],[Code]], allFYsTable[year2], BS$3)=0, NotFound, SUMIFS(allFYsTable[RevisedBudget], allFYsTable[Code], SummaryTable[[#This Row],[Code]], allFYsTable[year2], BS$3))</f>
        <v>23393</v>
      </c>
      <c r="BW77" s="61">
        <f>IF(COUNTIFS(allFYsTable[Code], SummaryTable[[#This Row],[Code]], allFYsTable[year2], BS$3)=0, NotFound, SUMIFS(allFYsTable[Actual], allFYsTable[Code], SummaryTable[[#This Row],[Code]], allFYsTable[year2], BS$3))</f>
        <v>23252</v>
      </c>
      <c r="BX77" s="61">
        <f>IF(COUNTIFS(allFYsTable[Code], SummaryTable[[#This Row],[Code]], allFYsTable[year2], BS$3)=0, NotFound, SUMIFS(allFYsTable[DiffAmount], allFYsTable[Code], SummaryTable[[#This Row],[Code]], allFYsTable[year2], BS$3))</f>
        <v>-141</v>
      </c>
      <c r="BY77" s="63">
        <f>IF(SummaryTable[[#This Row],[OriginalBudget19]]=0, IF(SummaryTable[[#This Row],[DiffAmount19]]=0, ZeroBudgetNoSpending, ZeroBudgetWithSpending), SummaryTable[[#This Row],[DiffAmount19]]/SummaryTable[[#This Row],[OriginalBudget19]])</f>
        <v>-6.0274441072115589E-3</v>
      </c>
      <c r="BZ77" s="62">
        <f>IF(COUNTIFS(allFYsTable[Code], SummaryTable[[#This Row],[Code]], allFYsTable[year2], BZ$3)=0, NotFound, SUMIFS(allFYsTable[OriginalBudget], allFYsTable[Code], SummaryTable[[#This Row],[Code]], allFYsTable[year2], BZ$3))</f>
        <v>22840</v>
      </c>
      <c r="CA77" s="61">
        <f>SummaryTable[[#This Row],[OriginalBudget18]]-SummaryTable[[#This Row],[OriginalBudget17]]</f>
        <v>-606</v>
      </c>
      <c r="CB77" s="54">
        <f>SummaryTable[[#This Row],[BudgetIncreaseAmount18]]/SummaryTable[[#This Row],[OriginalBudget17]]</f>
        <v>-2.5846626290198755E-2</v>
      </c>
      <c r="CC77" s="61">
        <f>IF(COUNTIFS(allFYsTable[Code], SummaryTable[[#This Row],[Code]], allFYsTable[year2], BZ$3)=0, NotFound, SUMIFS(allFYsTable[RevisedBudget], allFYsTable[Code], SummaryTable[[#This Row],[Code]], allFYsTable[year2], BZ$3))</f>
        <v>22992</v>
      </c>
      <c r="CD77" s="61">
        <f>IF(COUNTIFS(allFYsTable[Code], SummaryTable[[#This Row],[Code]], allFYsTable[year2], BZ$3)=0, NotFound, SUMIFS(allFYsTable[Actual], allFYsTable[Code], SummaryTable[[#This Row],[Code]], allFYsTable[year2], BZ$3))</f>
        <v>22764</v>
      </c>
      <c r="CE77" s="61">
        <f>IF(COUNTIFS(allFYsTable[Code], SummaryTable[[#This Row],[Code]], allFYsTable[year2], BZ$3)=0, NotFound, SUMIFS(allFYsTable[DiffAmount], allFYsTable[Code], SummaryTable[[#This Row],[Code]], allFYsTable[year2], BZ$3))</f>
        <v>-76</v>
      </c>
      <c r="CF77" s="63">
        <f>IF(SummaryTable[[#This Row],[OriginalBudget18]]=0, IF(SummaryTable[[#This Row],[DiffAmount18]]=0, ZeroBudgetNoSpending, ZeroBudgetWithSpending), SummaryTable[[#This Row],[DiffAmount18]]/SummaryTable[[#This Row],[OriginalBudget18]])</f>
        <v>-3.3274956217162872E-3</v>
      </c>
      <c r="CG77" s="62">
        <f>IF(COUNTIFS(allFYsTable[Code], SummaryTable[[#This Row],[Code]], allFYsTable[year2], CG$3)=0, NotFound, SUMIFS(allFYsTable[OriginalBudget], allFYsTable[Code], SummaryTable[[#This Row],[Code]], allFYsTable[year2], CG$3))</f>
        <v>23446</v>
      </c>
      <c r="CH77" s="61">
        <f>SummaryTable[[#This Row],[OriginalBudget17]]-SummaryTable[[#This Row],[OriginalBudget16]]</f>
        <v>2478</v>
      </c>
      <c r="CI77" s="54">
        <f>SummaryTable[[#This Row],[BudgetIncreaseAmount17]]/SummaryTable[[#This Row],[OriginalBudget16]]</f>
        <v>0.11818008393742846</v>
      </c>
      <c r="CJ77" s="61">
        <f>IF(COUNTIFS(allFYsTable[Code], SummaryTable[[#This Row],[Code]], allFYsTable[year2], CG$3)=0, NotFound, SUMIFS(allFYsTable[RevisedBudget], allFYsTable[Code], SummaryTable[[#This Row],[Code]], allFYsTable[year2], CG$3))</f>
        <v>22836</v>
      </c>
      <c r="CK77" s="61">
        <f>IF(COUNTIFS(allFYsTable[Code], SummaryTable[[#This Row],[Code]], allFYsTable[year2], CG$3)=0, NotFound, SUMIFS(allFYsTable[Actual], allFYsTable[Code], SummaryTable[[#This Row],[Code]], allFYsTable[year2], CG$3))</f>
        <v>22664</v>
      </c>
      <c r="CL77" s="61">
        <f>IF(COUNTIFS(allFYsTable[Code], SummaryTable[[#This Row],[Code]], allFYsTable[year2], CG$3)=0, NotFound, SUMIFS(allFYsTable[DiffAmount], allFYsTable[Code], SummaryTable[[#This Row],[Code]], allFYsTable[year2], CG$3))</f>
        <v>-782</v>
      </c>
      <c r="CM77" s="63">
        <f>IF(SummaryTable[[#This Row],[OriginalBudget17]]=0, IF(SummaryTable[[#This Row],[DiffAmount17]]=0, ZeroBudgetNoSpending, ZeroBudgetWithSpending), SummaryTable[[#This Row],[DiffAmount17]]/SummaryTable[[#This Row],[OriginalBudget17]])</f>
        <v>-3.3353237225966052E-2</v>
      </c>
      <c r="CN77" s="62">
        <f>IF(COUNTIFS(allFYsTable[Code], SummaryTable[[#This Row],[Code]], allFYsTable[year2], CN$3)=0, NotFound, SUMIFS(allFYsTable[OriginalBudget], allFYsTable[Code], SummaryTable[[#This Row],[Code]], allFYsTable[year2], CN$3))</f>
        <v>20968</v>
      </c>
      <c r="CO77" s="61">
        <f>SummaryTable[[#This Row],[OriginalBudget16]]-SummaryTable[[#This Row],[OriginalBudget15]]</f>
        <v>3698</v>
      </c>
      <c r="CP77" s="54">
        <f>SummaryTable[[#This Row],[BudgetIncreaseAmount16]]/SummaryTable[[#This Row],[OriginalBudget15]]</f>
        <v>0.21412854661262304</v>
      </c>
      <c r="CQ77" s="61">
        <f>IF(COUNTIFS(allFYsTable[Code], SummaryTable[[#This Row],[Code]], allFYsTable[year2], CN$3)=0, NotFound, SUMIFS(allFYsTable[RevisedBudget], allFYsTable[Code], SummaryTable[[#This Row],[Code]], allFYsTable[year2], CN$3))</f>
        <v>58418</v>
      </c>
      <c r="CR77" s="61">
        <f>IF(COUNTIFS(allFYsTable[Code], SummaryTable[[#This Row],[Code]], allFYsTable[year2], CN$3)=0, NotFound, SUMIFS(allFYsTable[Actual], allFYsTable[Code], SummaryTable[[#This Row],[Code]], allFYsTable[year2], CN$3))</f>
        <v>58338</v>
      </c>
      <c r="CS77" s="61">
        <f>IF(COUNTIFS(allFYsTable[Code], SummaryTable[[#This Row],[Code]], allFYsTable[year2], CN$3)=0, NotFound, SUMIFS(allFYsTable[DiffAmount], allFYsTable[Code], SummaryTable[[#This Row],[Code]], allFYsTable[year2], CN$3))</f>
        <v>37370</v>
      </c>
      <c r="CT77" s="63">
        <f>IF(SummaryTable[[#This Row],[OriginalBudget16]]=0, IF(SummaryTable[[#This Row],[DiffAmount16]]=0, ZeroBudgetNoSpending, ZeroBudgetWithSpending), SummaryTable[[#This Row],[DiffAmount16]]/SummaryTable[[#This Row],[OriginalBudget16]])</f>
        <v>1.7822396032048837</v>
      </c>
      <c r="CU77" s="62">
        <f>IF(COUNTIFS(allFYsTable[Code], SummaryTable[[#This Row],[Code]], allFYsTable[year2], CU$3)=0, NotFound, SUMIFS(allFYsTable[OriginalBudget], allFYsTable[Code], SummaryTable[[#This Row],[Code]], allFYsTable[year2], CU$3))</f>
        <v>17270</v>
      </c>
      <c r="CV77" s="61">
        <f>SummaryTable[[#This Row],[OriginalBudget15]]-SummaryTable[[#This Row],[OriginalBudget14]]</f>
        <v>5539</v>
      </c>
      <c r="CW77" s="54">
        <f>SummaryTable[[#This Row],[BudgetIncreaseAmount15]]/SummaryTable[[#This Row],[OriginalBudget14]]</f>
        <v>0.472167760634217</v>
      </c>
      <c r="CX77" s="61">
        <f>IF(COUNTIFS(allFYsTable[Code], SummaryTable[[#This Row],[Code]], allFYsTable[year2], CU$3)=0, NotFound, SUMIFS(allFYsTable[RevisedBudget], allFYsTable[Code], SummaryTable[[#This Row],[Code]], allFYsTable[year2], CU$3))</f>
        <v>16343</v>
      </c>
      <c r="CY77" s="61">
        <f>IF(COUNTIFS(allFYsTable[Code], SummaryTable[[#This Row],[Code]], allFYsTable[year2], CU$3)=0, NotFound, SUMIFS(allFYsTable[Actual], allFYsTable[Code], SummaryTable[[#This Row],[Code]], allFYsTable[year2], CU$3))</f>
        <v>16123</v>
      </c>
      <c r="CZ77" s="61">
        <f>IF(COUNTIFS(allFYsTable[Code], SummaryTable[[#This Row],[Code]], allFYsTable[year2], CU$3)=0, NotFound, SUMIFS(allFYsTable[DiffAmount], allFYsTable[Code], SummaryTable[[#This Row],[Code]], allFYsTable[year2], CU$3))</f>
        <v>-1147</v>
      </c>
      <c r="DA77" s="63">
        <f>IF(SummaryTable[[#This Row],[OriginalBudget15]]=0, IF(SummaryTable[[#This Row],[DiffAmount15]]=0, ZeroBudgetNoSpending, ZeroBudgetWithSpending), SummaryTable[[#This Row],[DiffAmount15]]/SummaryTable[[#This Row],[OriginalBudget15]])</f>
        <v>-6.6415749855240305E-2</v>
      </c>
      <c r="DB77" s="62">
        <f>IF(COUNTIFS(allFYsTable[Code], SummaryTable[[#This Row],[Code]], allFYsTable[year2], DB$3)=0, NotFound, SUMIFS(allFYsTable[OriginalBudget], allFYsTable[Code], SummaryTable[[#This Row],[Code]], allFYsTable[year2], DB$3))</f>
        <v>11731</v>
      </c>
      <c r="DC77" s="61">
        <f>SummaryTable[[#This Row],[OriginalBudget14]]-SummaryTable[[#This Row],[OriginalBudget13]]</f>
        <v>2760</v>
      </c>
      <c r="DD77" s="54">
        <f>SummaryTable[[#This Row],[BudgetIncreaseAmount14]]/SummaryTable[[#This Row],[OriginalBudget13]]</f>
        <v>0.30765800914056401</v>
      </c>
      <c r="DE77" s="61">
        <f>IF(COUNTIFS(allFYsTable[Code], SummaryTable[[#This Row],[Code]], allFYsTable[year2], DB$3)=0, NotFound, SUMIFS(allFYsTable[RevisedBudget], allFYsTable[Code], SummaryTable[[#This Row],[Code]], allFYsTable[year2], DB$3))</f>
        <v>12965</v>
      </c>
      <c r="DF77" s="61">
        <f>IF(COUNTIFS(allFYsTable[Code], SummaryTable[[#This Row],[Code]], allFYsTable[year2], DB$3)=0, NotFound, SUMIFS(allFYsTable[Actual], allFYsTable[Code], SummaryTable[[#This Row],[Code]], allFYsTable[year2], DB$3))</f>
        <v>12116</v>
      </c>
      <c r="DG77" s="61">
        <f>IF(COUNTIFS(allFYsTable[Code], SummaryTable[[#This Row],[Code]], allFYsTable[year2], DB$3)=0, NotFound, SUMIFS(allFYsTable[DiffAmount], allFYsTable[Code], SummaryTable[[#This Row],[Code]], allFYsTable[year2], DB$3))</f>
        <v>385</v>
      </c>
      <c r="DH77" s="63">
        <f>IF(SummaryTable[[#This Row],[OriginalBudget14]]=0, IF(SummaryTable[[#This Row],[DiffAmount14]]=0, ZeroBudgetNoSpending, ZeroBudgetWithSpending), SummaryTable[[#This Row],[DiffAmount14]]/SummaryTable[[#This Row],[OriginalBudget14]])</f>
        <v>3.2819026510953885E-2</v>
      </c>
      <c r="DI77" s="62">
        <f>IF(COUNTIFS(allFYsTable[Code], SummaryTable[[#This Row],[Code]], allFYsTable[year2], DI$3)=0, NotFound, SUMIFS(allFYsTable[OriginalBudget], allFYsTable[Code], SummaryTable[[#This Row],[Code]], allFYsTable[year2], DI$3))</f>
        <v>8971</v>
      </c>
      <c r="DJ77" s="61">
        <f>SummaryTable[[#This Row],[OriginalBudget13]]-SummaryTable[[#This Row],[OriginalBudget12]]</f>
        <v>273</v>
      </c>
      <c r="DK77" s="54">
        <f>SummaryTable[[#This Row],[BudgetIncreaseAmount13]]/SummaryTable[[#This Row],[OriginalBudget12]]</f>
        <v>3.1386525638077721E-2</v>
      </c>
      <c r="DL77" s="61">
        <f>IF(COUNTIFS(allFYsTable[Code], SummaryTable[[#This Row],[Code]], allFYsTable[year2], DI$3)=0, NotFound, SUMIFS(allFYsTable[RevisedBudget], allFYsTable[Code], SummaryTable[[#This Row],[Code]], allFYsTable[year2], DI$3))</f>
        <v>11002</v>
      </c>
      <c r="DM77" s="61">
        <f>IF(COUNTIFS(allFYsTable[Code], SummaryTable[[#This Row],[Code]], allFYsTable[year2], DI$3)=0, NotFound, SUMIFS(allFYsTable[Actual], allFYsTable[Code], SummaryTable[[#This Row],[Code]], allFYsTable[year2], DI$3))</f>
        <v>10730</v>
      </c>
      <c r="DN77" s="61">
        <f>IF(COUNTIFS(allFYsTable[Code], SummaryTable[[#This Row],[Code]], allFYsTable[year2], DI$3)=0, NotFound, SUMIFS(allFYsTable[DiffAmount], allFYsTable[Code], SummaryTable[[#This Row],[Code]], allFYsTable[year2], DI$3))</f>
        <v>1759</v>
      </c>
      <c r="DO77" s="63">
        <f>IF(SummaryTable[[#This Row],[OriginalBudget13]]=0, IF(SummaryTable[[#This Row],[DiffAmount13]]=0, ZeroBudgetNoSpending, ZeroBudgetWithSpending), SummaryTable[[#This Row],[DiffAmount13]]/SummaryTable[[#This Row],[OriginalBudget13]])</f>
        <v>0.19607624568052615</v>
      </c>
      <c r="DP77" s="62">
        <f>IF(COUNTIFS(allFYsTable[Code], SummaryTable[[#This Row],[Code]], allFYsTable[year2], DP$3)=0, NotFound, SUMIFS(allFYsTable[OriginalBudget], allFYsTable[Code], SummaryTable[[#This Row],[Code]], allFYsTable[year2], DP$3))</f>
        <v>8698</v>
      </c>
      <c r="DQ77" s="61">
        <f>SummaryTable[[#This Row],[OriginalBudget12]]-SummaryTable[[#This Row],[OriginalBudget11]]</f>
        <v>-55</v>
      </c>
      <c r="DR77" s="54">
        <f>SummaryTable[[#This Row],[BudgetIncreaseAmount12]]/SummaryTable[[#This Row],[OriginalBudget11]]</f>
        <v>-6.28355992231235E-3</v>
      </c>
      <c r="DS77" s="61">
        <f>IF(COUNTIFS(allFYsTable[Code], SummaryTable[[#This Row],[Code]], allFYsTable[year2], DP$3)=0, NotFound, SUMIFS(allFYsTable[RevisedBudget], allFYsTable[Code], SummaryTable[[#This Row],[Code]], allFYsTable[year2], DP$3))</f>
        <v>11541</v>
      </c>
      <c r="DT77" s="61">
        <f>IF(COUNTIFS(allFYsTable[Code], SummaryTable[[#This Row],[Code]], allFYsTable[year2], DP$3)=0, NotFound, SUMIFS(allFYsTable[Actual], allFYsTable[Code], SummaryTable[[#This Row],[Code]], allFYsTable[year2], DP$3))</f>
        <v>11222</v>
      </c>
      <c r="DU77" s="61">
        <f>IF(COUNTIFS(allFYsTable[Code], SummaryTable[[#This Row],[Code]], allFYsTable[year2], DP$3)=0, NotFound, SUMIFS(allFYsTable[DiffAmount], allFYsTable[Code], SummaryTable[[#This Row],[Code]], allFYsTable[year2], DP$3))</f>
        <v>2524</v>
      </c>
      <c r="DV77" s="63">
        <f>IF(SummaryTable[[#This Row],[OriginalBudget12]]=0, IF(SummaryTable[[#This Row],[DiffAmount12]]=0, ZeroBudgetNoSpending, ZeroBudgetWithSpending), SummaryTable[[#This Row],[DiffAmount12]]/SummaryTable[[#This Row],[OriginalBudget12]])</f>
        <v>0.29018165095424236</v>
      </c>
      <c r="DW77" s="62">
        <f>IF(COUNTIFS(allFYsTable[Code], SummaryTable[[#This Row],[Code]], allFYsTable[year2], DW$3)=0, NotFound, SUMIFS(allFYsTable[OriginalBudget], allFYsTable[Code], SummaryTable[[#This Row],[Code]], allFYsTable[year2], DW$3))</f>
        <v>8753</v>
      </c>
      <c r="DX77" s="61">
        <f>SummaryTable[[#This Row],[OriginalBudget11]]-SummaryTable[[#This Row],[OriginalBudget10]]</f>
        <v>5732</v>
      </c>
      <c r="DY77" s="54">
        <f>SummaryTable[[#This Row],[BudgetIncreaseAmount11]]/SummaryTable[[#This Row],[OriginalBudget10]]</f>
        <v>1.8973849718636213</v>
      </c>
      <c r="DZ77" s="61">
        <f>IF(COUNTIFS(allFYsTable[Code], SummaryTable[[#This Row],[Code]], allFYsTable[year2], DW$3)=0, NotFound, SUMIFS(allFYsTable[RevisedBudget], allFYsTable[Code], SummaryTable[[#This Row],[Code]], allFYsTable[year2], DW$3))</f>
        <v>8753</v>
      </c>
      <c r="EA77" s="61">
        <f>IF(COUNTIFS(allFYsTable[Code], SummaryTable[[#This Row],[Code]], allFYsTable[year2], DW$3)=0, NotFound, SUMIFS(allFYsTable[Actual], allFYsTable[Code], SummaryTable[[#This Row],[Code]], allFYsTable[year2], DW$3))</f>
        <v>8294</v>
      </c>
      <c r="EB77" s="61">
        <f>IF(COUNTIFS(allFYsTable[Code], SummaryTable[[#This Row],[Code]], allFYsTable[year2], DW$3)=0, NotFound, SUMIFS(allFYsTable[DiffAmount], allFYsTable[Code], SummaryTable[[#This Row],[Code]], allFYsTable[year2], DW$3))</f>
        <v>-459</v>
      </c>
      <c r="EC77" s="63">
        <f>IF(SummaryTable[[#This Row],[OriginalBudget11]]=0, IF(SummaryTable[[#This Row],[DiffAmount11]]=0, ZeroBudgetNoSpending, ZeroBudgetWithSpending), SummaryTable[[#This Row],[DiffAmount11]]/SummaryTable[[#This Row],[OriginalBudget11]])</f>
        <v>-5.243916371529761E-2</v>
      </c>
      <c r="ED77" s="62">
        <f>IF(COUNTIFS(allFYsTable[Code], SummaryTable[[#This Row],[Code]], allFYsTable[year2], ED$3)=0, NotFound, SUMIFS(allFYsTable[OriginalBudget], allFYsTable[Code], SummaryTable[[#This Row],[Code]], allFYsTable[year2], ED$3))</f>
        <v>3021</v>
      </c>
      <c r="EE77" s="61">
        <f>SummaryTable[[#This Row],[OriginalBudget10]]-SummaryTable[[#This Row],[OriginalBudget09]]</f>
        <v>-2480</v>
      </c>
      <c r="EF77" s="54">
        <f>SummaryTable[[#This Row],[BudgetIncreaseAmount10]]/SummaryTable[[#This Row],[OriginalBudget09]]</f>
        <v>-0.45082712234139249</v>
      </c>
      <c r="EG77" s="61">
        <f>IF(COUNTIFS(allFYsTable[Code], SummaryTable[[#This Row],[Code]], allFYsTable[year2], ED$3)=0, NotFound, SUMIFS(allFYsTable[RevisedBudget], allFYsTable[Code], SummaryTable[[#This Row],[Code]], allFYsTable[year2], ED$3))</f>
        <v>2921</v>
      </c>
      <c r="EH77" s="61">
        <f>IF(COUNTIFS(allFYsTable[Code], SummaryTable[[#This Row],[Code]], allFYsTable[year2], ED$3)=0, NotFound, SUMIFS(allFYsTable[Actual], allFYsTable[Code], SummaryTable[[#This Row],[Code]], allFYsTable[year2], ED$3))</f>
        <v>2775</v>
      </c>
      <c r="EI77" s="61">
        <f>IF(COUNTIFS(allFYsTable[Code], SummaryTable[[#This Row],[Code]], allFYsTable[year2], ED$3)=0, NotFound, SUMIFS(allFYsTable[DiffAmount], allFYsTable[Code], SummaryTable[[#This Row],[Code]], allFYsTable[year2], ED$3))</f>
        <v>-246</v>
      </c>
      <c r="EJ77" s="63">
        <f>IF(SummaryTable[[#This Row],[OriginalBudget10]]=0, IF(SummaryTable[[#This Row],[DiffAmount10]]=0, ZeroBudgetNoSpending, ZeroBudgetWithSpending), SummaryTable[[#This Row],[DiffAmount10]]/SummaryTable[[#This Row],[OriginalBudget10]])</f>
        <v>-8.1429990069513403E-2</v>
      </c>
      <c r="EK77" s="62">
        <f>IF(COUNTIFS(allFYsTable[Code], SummaryTable[[#This Row],[Code]], allFYsTable[year2], EK$3)=0, NotFound, SUMIFS(allFYsTable[OriginalBudget], allFYsTable[Code], SummaryTable[[#This Row],[Code]], allFYsTable[year2], EK$3))</f>
        <v>5501</v>
      </c>
      <c r="EL77" s="61">
        <f>SummaryTable[[#This Row],[OriginalBudget09]]-SummaryTable[[#This Row],[OriginalBudget08]]</f>
        <v>-67</v>
      </c>
      <c r="EM77" s="54">
        <f>SummaryTable[[#This Row],[BudgetIncreaseAmount09]]/SummaryTable[[#This Row],[OriginalBudget08]]</f>
        <v>-1.2033045977011493E-2</v>
      </c>
      <c r="EN77" s="61">
        <f>IF(COUNTIFS(allFYsTable[Code], SummaryTable[[#This Row],[Code]], allFYsTable[year2], EK$3)=0, NotFound, SUMIFS(allFYsTable[RevisedBudget], allFYsTable[Code], SummaryTable[[#This Row],[Code]], allFYsTable[year2], EK$3))</f>
        <v>5144</v>
      </c>
      <c r="EO77" s="61">
        <f>IF(COUNTIFS(allFYsTable[Code], SummaryTable[[#This Row],[Code]], allFYsTable[year2], EK$3)=0, NotFound, SUMIFS(allFYsTable[Actual], allFYsTable[Code], SummaryTable[[#This Row],[Code]], allFYsTable[year2], EK$3))</f>
        <v>5033</v>
      </c>
      <c r="EP77" s="61">
        <f>IF(COUNTIFS(allFYsTable[Code], SummaryTable[[#This Row],[Code]], allFYsTable[year2], EK$3)=0, NotFound, SUMIFS(allFYsTable[DiffAmount], allFYsTable[Code], SummaryTable[[#This Row],[Code]], allFYsTable[year2], EK$3))</f>
        <v>-468</v>
      </c>
      <c r="EQ77" s="63">
        <f>IF(SummaryTable[[#This Row],[OriginalBudget09]]=0, IF(SummaryTable[[#This Row],[DiffAmount09]]=0, ZeroBudgetNoSpending, ZeroBudgetWithSpending), SummaryTable[[#This Row],[DiffAmount09]]/SummaryTable[[#This Row],[OriginalBudget09]])</f>
        <v>-8.5075440828940196E-2</v>
      </c>
      <c r="ER77" s="62">
        <f>IF(COUNTIFS(allFYsTable[Code], SummaryTable[[#This Row],[Code]], allFYsTable[year2], ER$3)=0, NotFound, SUMIFS(allFYsTable[OriginalBudget], allFYsTable[Code], SummaryTable[[#This Row],[Code]], allFYsTable[year2], ER$3))</f>
        <v>5568</v>
      </c>
      <c r="ES77" s="61">
        <f>SummaryTable[[#This Row],[OriginalBudget08]]-SummaryTable[[#This Row],[OriginalBudget07]]</f>
        <v>-5769</v>
      </c>
      <c r="ET77" s="54">
        <f>SummaryTable[[#This Row],[BudgetIncreaseAmount08]]/SummaryTable[[#This Row],[OriginalBudget07]]</f>
        <v>-0.50886477904207461</v>
      </c>
      <c r="EU77" s="61">
        <f>IF(COUNTIFS(allFYsTable[Code], SummaryTable[[#This Row],[Code]], allFYsTable[year2], ER$3)=0, NotFound, SUMIFS(allFYsTable[RevisedBudget], allFYsTable[Code], SummaryTable[[#This Row],[Code]], allFYsTable[year2], ER$3))</f>
        <v>5568</v>
      </c>
      <c r="EV77" s="61">
        <f>IF(COUNTIFS(allFYsTable[Code], SummaryTable[[#This Row],[Code]], allFYsTable[year2], ER$3)=0, NotFound, SUMIFS(allFYsTable[Actual], allFYsTable[Code], SummaryTable[[#This Row],[Code]], allFYsTable[year2], ER$3))</f>
        <v>5414</v>
      </c>
      <c r="EW77" s="61">
        <f>IF(COUNTIFS(allFYsTable[Code], SummaryTable[[#This Row],[Code]], allFYsTable[year2], ER$3)=0, NotFound, SUMIFS(allFYsTable[DiffAmount], allFYsTable[Code], SummaryTable[[#This Row],[Code]], allFYsTable[year2], ER$3))</f>
        <v>-154</v>
      </c>
      <c r="EX77" s="63">
        <f>IF(SummaryTable[[#This Row],[OriginalBudget08]]=0, IF(SummaryTable[[#This Row],[DiffAmount08]]=0, ZeroBudgetNoSpending, ZeroBudgetWithSpending), SummaryTable[[#This Row],[DiffAmount08]]/SummaryTable[[#This Row],[OriginalBudget08]])</f>
        <v>-2.7658045977011495E-2</v>
      </c>
      <c r="EY77" s="62">
        <f>IF(COUNTIFS(allFYsTable[Code], SummaryTable[[#This Row],[Code]], allFYsTable[year2], EY$3)=0, NotFound, SUMIFS(allFYsTable[OriginalBudget], allFYsTable[Code], SummaryTable[[#This Row],[Code]], allFYsTable[year2], EY$3))</f>
        <v>11337</v>
      </c>
      <c r="EZ77" s="61">
        <f>SummaryTable[[#This Row],[OriginalBudget07]]-SummaryTable[[#This Row],[OriginalBudget06]]</f>
        <v>-752</v>
      </c>
      <c r="FA77" s="54">
        <f>SummaryTable[[#This Row],[BudgetIncreaseAmount07]]/SummaryTable[[#This Row],[OriginalBudget06]]</f>
        <v>-6.2205310612953923E-2</v>
      </c>
      <c r="FB77" s="61">
        <f>IF(COUNTIFS(allFYsTable[Code], SummaryTable[[#This Row],[Code]], allFYsTable[year2], EY$3)=0, NotFound, SUMIFS(allFYsTable[RevisedBudget], allFYsTable[Code], SummaryTable[[#This Row],[Code]], allFYsTable[year2], EY$3))</f>
        <v>11664</v>
      </c>
      <c r="FC77" s="61">
        <f>IF(COUNTIFS(allFYsTable[Code], SummaryTable[[#This Row],[Code]], allFYsTable[year2], EY$3)=0, NotFound, SUMIFS(allFYsTable[Actual], allFYsTable[Code], SummaryTable[[#This Row],[Code]], allFYsTable[year2], EY$3))</f>
        <v>11523</v>
      </c>
      <c r="FD77" s="61">
        <f>IF(COUNTIFS(allFYsTable[Code], SummaryTable[[#This Row],[Code]], allFYsTable[year2], EY$3)=0, NotFound, SUMIFS(allFYsTable[DiffAmount], allFYsTable[Code], SummaryTable[[#This Row],[Code]], allFYsTable[year2], EY$3))</f>
        <v>186</v>
      </c>
      <c r="FE77" s="63">
        <f>IF(SummaryTable[[#This Row],[OriginalBudget07]]=0, IF(SummaryTable[[#This Row],[DiffAmount07]]=0, ZeroBudgetNoSpending, ZeroBudgetWithSpending), SummaryTable[[#This Row],[DiffAmount07]]/SummaryTable[[#This Row],[OriginalBudget07]])</f>
        <v>1.6406456734585868E-2</v>
      </c>
      <c r="FF77" s="62">
        <f>IF(COUNTIFS(allFYsTable[Code], SummaryTable[[#This Row],[Code]], allFYsTable[year2], FF$3)=0, NotFound, SUMIFS(allFYsTable[OriginalBudget], allFYsTable[Code], SummaryTable[[#This Row],[Code]], allFYsTable[year2], FF$3))</f>
        <v>12089</v>
      </c>
      <c r="FI77" s="61">
        <f>IF(COUNTIFS(allFYsTable[Code], SummaryTable[[#This Row],[Code]], allFYsTable[year2], FF$3)=0, NotFound, SUMIFS(allFYsTable[RevisedBudget], allFYsTable[Code], SummaryTable[[#This Row],[Code]], allFYsTable[year2], FF$3))</f>
        <v>12424</v>
      </c>
      <c r="FJ77" s="61">
        <f>IF(COUNTIFS(allFYsTable[Code], SummaryTable[[#This Row],[Code]], allFYsTable[year2], FF$3)=0, NotFound, SUMIFS(allFYsTable[Actual], allFYsTable[Code], SummaryTable[[#This Row],[Code]], allFYsTable[year2], FF$3))</f>
        <v>12076</v>
      </c>
      <c r="FK77" s="61">
        <f>IF(COUNTIFS(allFYsTable[Code], SummaryTable[[#This Row],[Code]], allFYsTable[year2], FF$3)=0, NotFound, SUMIFS(allFYsTable[DiffAmount], allFYsTable[Code], SummaryTable[[#This Row],[Code]], allFYsTable[year2], FF$3))</f>
        <v>-13</v>
      </c>
      <c r="FL77" s="63">
        <f>IF(SummaryTable[[#This Row],[OriginalBudget06]]=0, IF(SummaryTable[[#This Row],[DiffAmount06]]=0, ZeroBudgetNoSpending, ZeroBudgetWithSpending), SummaryTable[[#This Row],[DiffAmount06]]/SummaryTable[[#This Row],[OriginalBudget06]])</f>
        <v>-1.0753577632558525E-3</v>
      </c>
    </row>
    <row r="78" spans="1:168" x14ac:dyDescent="0.45">
      <c r="A78" t="s">
        <v>714</v>
      </c>
      <c r="B78">
        <f>_xlfn.MAXIFS(allFYsTable[year2], allFYsTable[Code], SummaryTable[[#This Row],[Code]])</f>
        <v>2025</v>
      </c>
      <c r="C78" t="str">
        <f>_xlfn.XLOOKUP(SummaryTable[[#This Row],[Code]], NameCodingTable[Code], NameCodingTable[Most Recent Category per allFYs])</f>
        <v>Governmental direction and support</v>
      </c>
      <c r="D78" t="str">
        <f>_xlfn.XLOOKUP(SummaryTable[[#This Row],[Code]], NameCodingTable[Code], NameCodingTable[Unit Display Name])</f>
        <v>Office of Disability Rights (ODR)</v>
      </c>
      <c r="E78" t="str">
        <f>_xlfn.XLOOKUP(SummaryTable[[#This Row],[Code]], NameCodingTable[Code], NameCodingTable[Type])</f>
        <v>agency</v>
      </c>
      <c r="F7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18</v>
      </c>
      <c r="G7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78" s="54">
        <f>SummaryTable[[#This Row],['# Over]]/SummaryTable[[#This Row],[Count]]</f>
        <v>5.5555555555555552E-2</v>
      </c>
      <c r="I7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78" s="54">
        <f>SummaryTable[[#This Row],['# Under]]/SummaryTable[[#This Row],[Count]]</f>
        <v>0.94444444444444442</v>
      </c>
      <c r="K7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78" s="54">
        <f>SummaryTable[[#This Row],['# Equal]]/SummaryTable[[#This Row],[Count]]</f>
        <v>0</v>
      </c>
      <c r="M78" s="61">
        <f>SUMIFS(allFYsTable[OriginalBudget],allFYsTable[Code],SummaryTable[[#This Row],[Code]])/SummaryTable[[#This Row],[Count]]</f>
        <v>1154.6111111111111</v>
      </c>
      <c r="N78" s="61">
        <f>SUMIFS(allFYsTable[Actual],allFYsTable[Code],SummaryTable[[#This Row],[Code]])/SummaryTable[[#This Row],[Count]]</f>
        <v>1043.2777777777778</v>
      </c>
      <c r="O78" s="61">
        <f>SummaryTable[[#This Row],[AvgActAmt]]-SummaryTable[[#This Row],[AvgBudAmt]]</f>
        <v>-111.33333333333326</v>
      </c>
      <c r="P78" s="54">
        <f>IF(SummaryTable[[#This Row],[AvgBudAmt]]=0, IF(SummaryTable[[#This Row],[AvgDiff'#]]=0, 0, NamedFields!$C$3), SummaryTable[[#This Row],[AvgDiff'#]]/SummaryTable[[#This Row],[AvgBudAmt]])</f>
        <v>-9.6424962709907067E-2</v>
      </c>
      <c r="Q78" s="61">
        <f>IFERROR(SUMIFS(allFYsTable[OriginalBudget],allFYsTable[Code],SummaryTable[[#This Row],[Code]],allFYsTable[DiffAmount], "&gt;0")/SummaryTable[[#This Row],['# Over]], 0)</f>
        <v>1133</v>
      </c>
      <c r="R78" s="61">
        <f>IFERROR(SUMIFS(allFYsTable[Actual],allFYsTable[Code],SummaryTable[[#This Row],[Code]],allFYsTable[DiffAmount], "&gt;0")/SummaryTable[[#This Row],['# Over]], 0)</f>
        <v>1143</v>
      </c>
      <c r="S78" s="61">
        <f>SummaryTable[[#This Row],[OverAvgAct]]-SummaryTable[[#This Row],[OverAvgBud]]</f>
        <v>10</v>
      </c>
      <c r="T78" s="54">
        <f>IF(SummaryTable[[#This Row],[OverAvgBud]]=0, IF(SummaryTable[[#This Row],[OverAvgDiff'#]]=0, ZeroBudgetNoSpending, ZeroBudgetWithSpending), SummaryTable[[#This Row],[OverAvgDiff'#]]/SummaryTable[[#This Row],[OverAvgBud]])</f>
        <v>8.8261253309796991E-3</v>
      </c>
      <c r="U78" s="61">
        <f>IFERROR(SUMIFS(allFYsTable[OriginalBudget],allFYsTable[Code],SummaryTable[[#This Row],[Code]],allFYsTable[DiffAmount], "&lt;0")/SummaryTable[[#This Row],['# Under]], 0)</f>
        <v>1155.8823529411766</v>
      </c>
      <c r="V78" s="61">
        <f>IFERROR( SUMIFS(allFYsTable[Actual],allFYsTable[Code],SummaryTable[[#This Row],[Code]],allFYsTable[DiffAmount], "&lt;0")/SummaryTable[[#This Row],['# Under]], 0)</f>
        <v>1037.4117647058824</v>
      </c>
      <c r="W78" s="61">
        <f>SummaryTable[[#This Row],[UnderAvgAct]]-SummaryTable[[#This Row],[UnderAvgBud]]</f>
        <v>-118.47058823529414</v>
      </c>
      <c r="X78" s="54">
        <f>IF(SummaryTable[[#This Row],[UnderAvgBud]]=0, IF(SummaryTable[[#This Row],[UnderAvgDiff'#]]=0, ZeroBudgetNoSpending, NamedFields!$C$3), SummaryTable[[#This Row],[UnderAvgDiff'#]]/SummaryTable[[#This Row],[UnderAvgBud]])</f>
        <v>-0.1024936386768448</v>
      </c>
      <c r="Y7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7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78" s="54">
        <f>IF(SummaryTable[[#This Row],[IncreaseYears]]=0, ZeroBudgetNoSpending, SummaryTable[[#This Row],[OSinIncreaseYear'#]]/SummaryTable[[#This Row],[IncreaseYears]])</f>
        <v>0</v>
      </c>
      <c r="AB78" s="58" t="str">
        <f>SummaryTable[[#This Row],[Code]]</f>
        <v>JR0</v>
      </c>
      <c r="AC78" s="62">
        <f>IF(COUNTIFS(allFYsTable[Code], SummaryTable[[#This Row],[Code]], allFYsTable[year2], AC$3)=0, NotFound, SUMIFS(allFYsTable[OriginalBudget], allFYsTable[Code], SummaryTable[[#This Row],[Code]], allFYsTable[year2], AC$3))</f>
        <v>1426</v>
      </c>
      <c r="AD78" s="61">
        <f>SummaryTable[[#This Row],[OriginalBudget25]]-SummaryTable[[#This Row],[OriginalBudget24]]</f>
        <v>-41</v>
      </c>
      <c r="AE78" s="54">
        <f>SummaryTable[[#This Row],[BudgetIncreaseAmount25]]/SummaryTable[[#This Row],[OriginalBudget24]]</f>
        <v>-2.7948193592365372E-2</v>
      </c>
      <c r="AF78" s="61">
        <f>IF(COUNTIFS(allFYsTable[Code], SummaryTable[[#This Row],[Code]], allFYsTable[year2], AC$3)=0, NotFound, SUMIFS(allFYsTable[RevisedBudget], allFYsTable[Code], SummaryTable[[#This Row],[Code]], allFYsTable[year2], AC$3))</f>
        <v>1319</v>
      </c>
      <c r="AG78" s="61">
        <f>IF(COUNTIFS(allFYsTable[Code], SummaryTable[[#This Row],[Code]], allFYsTable[year2], AC$3)=0, NotFound, SUMIFS(allFYsTable[Actual], allFYsTable[Code], SummaryTable[[#This Row],[Code]], allFYsTable[year2], AC$3))</f>
        <v>1319</v>
      </c>
      <c r="AH78" s="61">
        <f>IF(COUNTIFS(allFYsTable[Code], SummaryTable[[#This Row],[Code]], allFYsTable[year2], AC$3)=0, NotFound, SUMIFS(allFYsTable[DiffAmount], allFYsTable[Code], SummaryTable[[#This Row],[Code]], allFYsTable[year2], AC$3))</f>
        <v>-107</v>
      </c>
      <c r="AI78" s="63">
        <f>IF(SummaryTable[[#This Row],[OriginalBudget25]]=0, IF(SummaryTable[[#This Row],[DiffAmount25]]=0, ZeroBudgetNoSpending, ZeroBudgetWithSpending), SummaryTable[[#This Row],[DiffAmount25]]/SummaryTable[[#This Row],[OriginalBudget25]])</f>
        <v>-7.5035063113604486E-2</v>
      </c>
      <c r="AJ78" s="62">
        <f>IF(COUNTIFS(allFYsTable[Code], SummaryTable[[#This Row],[Code]], allFYsTable[year2], AJ$3)=0, NotFound, SUMIFS(allFYsTable[OriginalBudget], allFYsTable[Code], SummaryTable[[#This Row],[Code]], allFYsTable[year2], AJ$3))</f>
        <v>1467</v>
      </c>
      <c r="AK78" s="61">
        <f>SummaryTable[[#This Row],[OriginalBudget24]]-SummaryTable[[#This Row],[OriginalBudget23]]</f>
        <v>15</v>
      </c>
      <c r="AL78" s="54">
        <f>SummaryTable[[#This Row],[BudgetIncreaseAmount24]]/SummaryTable[[#This Row],[OriginalBudget23]]</f>
        <v>1.0330578512396695E-2</v>
      </c>
      <c r="AM78" s="61">
        <f>IF(COUNTIFS(allFYsTable[Code], SummaryTable[[#This Row],[Code]], allFYsTable[year2], AK$3)=0, NotFound, SUMIFS(allFYsTable[RevisedBudget], allFYsTable[Code], SummaryTable[[#This Row],[Code]], allFYsTable[year2], AJ$3))</f>
        <v>1387</v>
      </c>
      <c r="AN78" s="61">
        <f>IF(COUNTIFS(allFYsTable[Code], SummaryTable[[#This Row],[Code]], allFYsTable[year2], AJ$3)=0, NotFound, SUMIFS(allFYsTable[Actual], allFYsTable[Code], SummaryTable[[#This Row],[Code]], allFYsTable[year2], AJ$3))</f>
        <v>1386</v>
      </c>
      <c r="AO78" s="61">
        <f>IF(COUNTIFS(allFYsTable[Code], SummaryTable[[#This Row],[Code]], allFYsTable[year2], AJ$3)=0, NotFound, SUMIFS(allFYsTable[DiffAmount], allFYsTable[Code], SummaryTable[[#This Row],[Code]], allFYsTable[year2], AJ$3))</f>
        <v>-81</v>
      </c>
      <c r="AP78" s="63">
        <f>IF(SummaryTable[[#This Row],[OriginalBudget24]]=0, IF(SummaryTable[[#This Row],[DiffAmount24]]=0, ZeroBudgetNoSpending, ZeroBudgetWithSpending), SummaryTable[[#This Row],[DiffAmount24]]/SummaryTable[[#This Row],[OriginalBudget24]])</f>
        <v>-5.5214723926380369E-2</v>
      </c>
      <c r="AQ78" s="62">
        <f>IF(COUNTIFS(allFYsTable[Code], SummaryTable[[#This Row],[Code]], allFYsTable[year2], AQ$3)=0, NotFound, SUMIFS(allFYsTable[OriginalBudget], allFYsTable[Code], SummaryTable[[#This Row],[Code]], allFYsTable[year2], AQ$3))</f>
        <v>1452</v>
      </c>
      <c r="AR78" s="61">
        <f>SummaryTable[[#This Row],[OriginalBudget23]]-SummaryTable[[#This Row],[OriginalBudget22]]</f>
        <v>103</v>
      </c>
      <c r="AS78" s="54">
        <f>SummaryTable[[#This Row],[BudgetIncreaseAmount23]]/SummaryTable[[#This Row],[OriginalBudget22]]</f>
        <v>7.6352853965900663E-2</v>
      </c>
      <c r="AT78" s="61">
        <f>IF(COUNTIFS(allFYsTable[Code], SummaryTable[[#This Row],[Code]], allFYsTable[year2], AQ$3)=0, NotFound, SUMIFS(allFYsTable[RevisedBudget], allFYsTable[Code], SummaryTable[[#This Row],[Code]], allFYsTable[year2], AQ$3))</f>
        <v>1344</v>
      </c>
      <c r="AU78" s="61">
        <f>IF(COUNTIFS(allFYsTable[Code], SummaryTable[[#This Row],[Code]], allFYsTable[year2], AQ$3)=0, NotFound, SUMIFS(allFYsTable[Actual], allFYsTable[Code], SummaryTable[[#This Row],[Code]], allFYsTable[year2], AQ$3))</f>
        <v>1283</v>
      </c>
      <c r="AV78" s="61">
        <f>IF(COUNTIFS(allFYsTable[Code], SummaryTable[[#This Row],[Code]], allFYsTable[year2], AQ$3)=0, NotFound, SUMIFS(allFYsTable[DiffAmount], allFYsTable[Code], SummaryTable[[#This Row],[Code]], allFYsTable[year2], AQ$3))</f>
        <v>-169</v>
      </c>
      <c r="AW78" s="63">
        <f>IF(SummaryTable[[#This Row],[OriginalBudget23]]=0, IF(SummaryTable[[#This Row],[DiffAmount23]]=0, ZeroBudgetNoSpending, ZeroBudgetWithSpending), SummaryTable[[#This Row],[DiffAmount23]]/SummaryTable[[#This Row],[OriginalBudget23]])</f>
        <v>-0.11639118457300275</v>
      </c>
      <c r="AX78" s="62">
        <f>IF(COUNTIFS(allFYsTable[Code], SummaryTable[[#This Row],[Code]], allFYsTable[year2], AX$3)=0, NotFound, SUMIFS(allFYsTable[OriginalBudget], allFYsTable[Code], SummaryTable[[#This Row],[Code]], allFYsTable[year2], AX$3))</f>
        <v>1349</v>
      </c>
      <c r="AY78" s="61">
        <f>SummaryTable[[#This Row],[OriginalBudget22]]-SummaryTable[[#This Row],[OriginalBudget21]]</f>
        <v>196</v>
      </c>
      <c r="AZ78" s="54">
        <f>SummaryTable[[#This Row],[BudgetIncreaseAmount22]]/SummaryTable[[#This Row],[OriginalBudget21]]</f>
        <v>0.16999132697311362</v>
      </c>
      <c r="BA78" s="61">
        <f>IF(COUNTIFS(allFYsTable[Code], SummaryTable[[#This Row],[Code]], allFYsTable[year2], AX$3)=0, NotFound, SUMIFS(allFYsTable[RevisedBudget], allFYsTable[Code], SummaryTable[[#This Row],[Code]], allFYsTable[year2], AX$3))</f>
        <v>1349</v>
      </c>
      <c r="BB78" s="61">
        <f>IF(COUNTIFS(allFYsTable[Code], SummaryTable[[#This Row],[Code]], allFYsTable[year2], AX$3)=0, NotFound, SUMIFS(allFYsTable[Actual], allFYsTable[Code], SummaryTable[[#This Row],[Code]], allFYsTable[year2], AX$3))</f>
        <v>1270</v>
      </c>
      <c r="BC78" s="61">
        <f>IF(COUNTIFS(allFYsTable[Code], SummaryTable[[#This Row],[Code]], allFYsTable[year2], AX$3)=0, NotFound, SUMIFS(allFYsTable[DiffAmount], allFYsTable[Code], SummaryTable[[#This Row],[Code]], allFYsTable[year2], AX$3))</f>
        <v>-79</v>
      </c>
      <c r="BD78" s="63">
        <f>IF(SummaryTable[[#This Row],[OriginalBudget22]]=0, IF(SummaryTable[[#This Row],[DiffAmount22]]=0, ZeroBudgetNoSpending, ZeroBudgetWithSpending), SummaryTable[[#This Row],[DiffAmount22]]/SummaryTable[[#This Row],[OriginalBudget22]])</f>
        <v>-5.8561897702001479E-2</v>
      </c>
      <c r="BE78" s="62">
        <f>IF(COUNTIFS(allFYsTable[Code], SummaryTable[[#This Row],[Code]], allFYsTable[year2], BE$3)=0, NotFound, SUMIFS(allFYsTable[OriginalBudget], allFYsTable[Code], SummaryTable[[#This Row],[Code]], allFYsTable[year2], BE$3))</f>
        <v>1153</v>
      </c>
      <c r="BF78" s="61">
        <f>SummaryTable[[#This Row],[OriginalBudget21]]-SummaryTable[[#This Row],[OriginalBudget20]]</f>
        <v>-34</v>
      </c>
      <c r="BG78" s="54">
        <f>SummaryTable[[#This Row],[BudgetIncreaseAmount21]]/SummaryTable[[#This Row],[OriginalBudget20]]</f>
        <v>-2.8643639427127211E-2</v>
      </c>
      <c r="BH78" s="61">
        <f>IF(COUNTIFS(allFYsTable[Code], SummaryTable[[#This Row],[Code]], allFYsTable[year2], BE$3)=0, NotFound, SUMIFS(allFYsTable[RevisedBudget], allFYsTable[Code], SummaryTable[[#This Row],[Code]], allFYsTable[year2], BE$3))</f>
        <v>1099</v>
      </c>
      <c r="BI78" s="61">
        <f>IF(COUNTIFS(allFYsTable[Code], SummaryTable[[#This Row],[Code]], allFYsTable[year2], BE$3)=0, NotFound, SUMIFS(allFYsTable[Actual], allFYsTable[Code], SummaryTable[[#This Row],[Code]], allFYsTable[year2], BE$3))</f>
        <v>1016</v>
      </c>
      <c r="BJ78" s="61">
        <f>IF(COUNTIFS(allFYsTable[Code], SummaryTable[[#This Row],[Code]], allFYsTable[year2], BE$3)=0, NotFound, SUMIFS(allFYsTable[DiffAmount], allFYsTable[Code], SummaryTable[[#This Row],[Code]], allFYsTable[year2], BE$3))</f>
        <v>-137</v>
      </c>
      <c r="BK78" s="63">
        <f>IF(SummaryTable[[#This Row],[OriginalBudget21]]=0, IF(SummaryTable[[#This Row],[DiffAmount21]]=0, ZeroBudgetNoSpending, ZeroBudgetWithSpending), SummaryTable[[#This Row],[DiffAmount21]]/SummaryTable[[#This Row],[OriginalBudget21]])</f>
        <v>-0.11882046834345186</v>
      </c>
      <c r="BL78" s="62">
        <f>IF(COUNTIFS(allFYsTable[Code], SummaryTable[[#This Row],[Code]], allFYsTable[year2], BL$3)=0, NotFound, SUMIFS(allFYsTable[OriginalBudget], allFYsTable[Code], SummaryTable[[#This Row],[Code]], allFYsTable[year2], BL$3))</f>
        <v>1187</v>
      </c>
      <c r="BM78" s="61">
        <f>SummaryTable[[#This Row],[OriginalBudget20]]-SummaryTable[[#This Row],[OriginalBudget19]]</f>
        <v>54</v>
      </c>
      <c r="BN78" s="54">
        <f>SummaryTable[[#This Row],[BudgetIncreaseAmount20]]/SummaryTable[[#This Row],[OriginalBudget19]]</f>
        <v>4.7661076787290382E-2</v>
      </c>
      <c r="BO78" s="61">
        <f>IF(COUNTIFS(allFYsTable[Code], SummaryTable[[#This Row],[Code]], allFYsTable[year2], BL$3)=0, NotFound, SUMIFS(allFYsTable[RevisedBudget], allFYsTable[Code], SummaryTable[[#This Row],[Code]], allFYsTable[year2], BL$3))</f>
        <v>1135</v>
      </c>
      <c r="BP78" s="61">
        <f>IF(COUNTIFS(allFYsTable[Code], SummaryTable[[#This Row],[Code]], allFYsTable[year2], BL$3)=0, NotFound, SUMIFS(allFYsTable[Actual], allFYsTable[Code], SummaryTable[[#This Row],[Code]], allFYsTable[year2], BL$3))</f>
        <v>1101</v>
      </c>
      <c r="BQ78" s="61">
        <f>IF(COUNTIFS(allFYsTable[Code], SummaryTable[[#This Row],[Code]], allFYsTable[year2], BL$3)=0, NotFound, SUMIFS(allFYsTable[DiffAmount], allFYsTable[Code], SummaryTable[[#This Row],[Code]], allFYsTable[year2], BL$3))</f>
        <v>-86</v>
      </c>
      <c r="BR78" s="63">
        <f>IF(SummaryTable[[#This Row],[OriginalBudget20]]=0, IF(SummaryTable[[#This Row],[DiffAmount20]]=0, ZeroBudgetNoSpending, ZeroBudgetWithSpending), SummaryTable[[#This Row],[DiffAmount20]]/SummaryTable[[#This Row],[OriginalBudget20]])</f>
        <v>-7.2451558550968825E-2</v>
      </c>
      <c r="BS78" s="62">
        <f>IF(COUNTIFS(allFYsTable[Code], SummaryTable[[#This Row],[Code]], allFYsTable[year2], BS$3)=0, NotFound, SUMIFS(allFYsTable[OriginalBudget], allFYsTable[Code], SummaryTable[[#This Row],[Code]], allFYsTable[year2], BS$3))</f>
        <v>1133</v>
      </c>
      <c r="BT78" s="61">
        <f>SummaryTable[[#This Row],[OriginalBudget19]]-SummaryTable[[#This Row],[OriginalBudget18]]</f>
        <v>28</v>
      </c>
      <c r="BU78" s="54">
        <f>SummaryTable[[#This Row],[BudgetIncreaseAmount19]]/SummaryTable[[#This Row],[OriginalBudget18]]</f>
        <v>2.5339366515837104E-2</v>
      </c>
      <c r="BV78" s="61">
        <f>IF(COUNTIFS(allFYsTable[Code], SummaryTable[[#This Row],[Code]], allFYsTable[year2], BS$3)=0, NotFound, SUMIFS(allFYsTable[RevisedBudget], allFYsTable[Code], SummaryTable[[#This Row],[Code]], allFYsTable[year2], BS$3))</f>
        <v>1153</v>
      </c>
      <c r="BW78" s="61">
        <f>IF(COUNTIFS(allFYsTable[Code], SummaryTable[[#This Row],[Code]], allFYsTable[year2], BS$3)=0, NotFound, SUMIFS(allFYsTable[Actual], allFYsTable[Code], SummaryTable[[#This Row],[Code]], allFYsTable[year2], BS$3))</f>
        <v>1143</v>
      </c>
      <c r="BX78" s="61">
        <f>IF(COUNTIFS(allFYsTable[Code], SummaryTable[[#This Row],[Code]], allFYsTable[year2], BS$3)=0, NotFound, SUMIFS(allFYsTable[DiffAmount], allFYsTable[Code], SummaryTable[[#This Row],[Code]], allFYsTable[year2], BS$3))</f>
        <v>10</v>
      </c>
      <c r="BY78" s="63">
        <f>IF(SummaryTable[[#This Row],[OriginalBudget19]]=0, IF(SummaryTable[[#This Row],[DiffAmount19]]=0, ZeroBudgetNoSpending, ZeroBudgetWithSpending), SummaryTable[[#This Row],[DiffAmount19]]/SummaryTable[[#This Row],[OriginalBudget19]])</f>
        <v>8.8261253309796991E-3</v>
      </c>
      <c r="BZ78" s="62">
        <f>IF(COUNTIFS(allFYsTable[Code], SummaryTable[[#This Row],[Code]], allFYsTable[year2], BZ$3)=0, NotFound, SUMIFS(allFYsTable[OriginalBudget], allFYsTable[Code], SummaryTable[[#This Row],[Code]], allFYsTable[year2], BZ$3))</f>
        <v>1105</v>
      </c>
      <c r="CA78" s="61">
        <f>SummaryTable[[#This Row],[OriginalBudget18]]-SummaryTable[[#This Row],[OriginalBudget17]]</f>
        <v>2</v>
      </c>
      <c r="CB78" s="54">
        <f>SummaryTable[[#This Row],[BudgetIncreaseAmount18]]/SummaryTable[[#This Row],[OriginalBudget17]]</f>
        <v>1.8132366273798731E-3</v>
      </c>
      <c r="CC78" s="61">
        <f>IF(COUNTIFS(allFYsTable[Code], SummaryTable[[#This Row],[Code]], allFYsTable[year2], BZ$3)=0, NotFound, SUMIFS(allFYsTable[RevisedBudget], allFYsTable[Code], SummaryTable[[#This Row],[Code]], allFYsTable[year2], BZ$3))</f>
        <v>1065</v>
      </c>
      <c r="CD78" s="61">
        <f>IF(COUNTIFS(allFYsTable[Code], SummaryTable[[#This Row],[Code]], allFYsTable[year2], BZ$3)=0, NotFound, SUMIFS(allFYsTable[Actual], allFYsTable[Code], SummaryTable[[#This Row],[Code]], allFYsTable[year2], BZ$3))</f>
        <v>1031</v>
      </c>
      <c r="CE78" s="61">
        <f>IF(COUNTIFS(allFYsTable[Code], SummaryTable[[#This Row],[Code]], allFYsTable[year2], BZ$3)=0, NotFound, SUMIFS(allFYsTable[DiffAmount], allFYsTable[Code], SummaryTable[[#This Row],[Code]], allFYsTable[year2], BZ$3))</f>
        <v>-74</v>
      </c>
      <c r="CF78" s="63">
        <f>IF(SummaryTable[[#This Row],[OriginalBudget18]]=0, IF(SummaryTable[[#This Row],[DiffAmount18]]=0, ZeroBudgetNoSpending, ZeroBudgetWithSpending), SummaryTable[[#This Row],[DiffAmount18]]/SummaryTable[[#This Row],[OriginalBudget18]])</f>
        <v>-6.6968325791855202E-2</v>
      </c>
      <c r="CG78" s="62">
        <f>IF(COUNTIFS(allFYsTable[Code], SummaryTable[[#This Row],[Code]], allFYsTable[year2], CG$3)=0, NotFound, SUMIFS(allFYsTable[OriginalBudget], allFYsTable[Code], SummaryTable[[#This Row],[Code]], allFYsTable[year2], CG$3))</f>
        <v>1103</v>
      </c>
      <c r="CH78" s="61">
        <f>SummaryTable[[#This Row],[OriginalBudget17]]-SummaryTable[[#This Row],[OriginalBudget16]]</f>
        <v>33</v>
      </c>
      <c r="CI78" s="54">
        <f>SummaryTable[[#This Row],[BudgetIncreaseAmount17]]/SummaryTable[[#This Row],[OriginalBudget16]]</f>
        <v>3.0841121495327101E-2</v>
      </c>
      <c r="CJ78" s="61">
        <f>IF(COUNTIFS(allFYsTable[Code], SummaryTable[[#This Row],[Code]], allFYsTable[year2], CG$3)=0, NotFound, SUMIFS(allFYsTable[RevisedBudget], allFYsTable[Code], SummaryTable[[#This Row],[Code]], allFYsTable[year2], CG$3))</f>
        <v>1104</v>
      </c>
      <c r="CK78" s="61">
        <f>IF(COUNTIFS(allFYsTable[Code], SummaryTable[[#This Row],[Code]], allFYsTable[year2], CG$3)=0, NotFound, SUMIFS(allFYsTable[Actual], allFYsTable[Code], SummaryTable[[#This Row],[Code]], allFYsTable[year2], CG$3))</f>
        <v>1041</v>
      </c>
      <c r="CL78" s="61">
        <f>IF(COUNTIFS(allFYsTable[Code], SummaryTable[[#This Row],[Code]], allFYsTable[year2], CG$3)=0, NotFound, SUMIFS(allFYsTable[DiffAmount], allFYsTable[Code], SummaryTable[[#This Row],[Code]], allFYsTable[year2], CG$3))</f>
        <v>-62</v>
      </c>
      <c r="CM78" s="63">
        <f>IF(SummaryTable[[#This Row],[OriginalBudget17]]=0, IF(SummaryTable[[#This Row],[DiffAmount17]]=0, ZeroBudgetNoSpending, ZeroBudgetWithSpending), SummaryTable[[#This Row],[DiffAmount17]]/SummaryTable[[#This Row],[OriginalBudget17]])</f>
        <v>-5.6210335448776065E-2</v>
      </c>
      <c r="CN78" s="62">
        <f>IF(COUNTIFS(allFYsTable[Code], SummaryTable[[#This Row],[Code]], allFYsTable[year2], CN$3)=0, NotFound, SUMIFS(allFYsTable[OriginalBudget], allFYsTable[Code], SummaryTable[[#This Row],[Code]], allFYsTable[year2], CN$3))</f>
        <v>1070</v>
      </c>
      <c r="CO78" s="61">
        <f>SummaryTable[[#This Row],[OriginalBudget16]]-SummaryTable[[#This Row],[OriginalBudget15]]</f>
        <v>27</v>
      </c>
      <c r="CP78" s="54">
        <f>SummaryTable[[#This Row],[BudgetIncreaseAmount16]]/SummaryTable[[#This Row],[OriginalBudget15]]</f>
        <v>2.5886864813039309E-2</v>
      </c>
      <c r="CQ78" s="61">
        <f>IF(COUNTIFS(allFYsTable[Code], SummaryTable[[#This Row],[Code]], allFYsTable[year2], CN$3)=0, NotFound, SUMIFS(allFYsTable[RevisedBudget], allFYsTable[Code], SummaryTable[[#This Row],[Code]], allFYsTable[year2], CN$3))</f>
        <v>1070</v>
      </c>
      <c r="CR78" s="61">
        <f>IF(COUNTIFS(allFYsTable[Code], SummaryTable[[#This Row],[Code]], allFYsTable[year2], CN$3)=0, NotFound, SUMIFS(allFYsTable[Actual], allFYsTable[Code], SummaryTable[[#This Row],[Code]], allFYsTable[year2], CN$3))</f>
        <v>983</v>
      </c>
      <c r="CS78" s="61">
        <f>IF(COUNTIFS(allFYsTable[Code], SummaryTable[[#This Row],[Code]], allFYsTable[year2], CN$3)=0, NotFound, SUMIFS(allFYsTable[DiffAmount], allFYsTable[Code], SummaryTable[[#This Row],[Code]], allFYsTable[year2], CN$3))</f>
        <v>-87</v>
      </c>
      <c r="CT78" s="63">
        <f>IF(SummaryTable[[#This Row],[OriginalBudget16]]=0, IF(SummaryTable[[#This Row],[DiffAmount16]]=0, ZeroBudgetNoSpending, ZeroBudgetWithSpending), SummaryTable[[#This Row],[DiffAmount16]]/SummaryTable[[#This Row],[OriginalBudget16]])</f>
        <v>-8.1308411214953275E-2</v>
      </c>
      <c r="CU78" s="62">
        <f>IF(COUNTIFS(allFYsTable[Code], SummaryTable[[#This Row],[Code]], allFYsTable[year2], CU$3)=0, NotFound, SUMIFS(allFYsTable[OriginalBudget], allFYsTable[Code], SummaryTable[[#This Row],[Code]], allFYsTable[year2], CU$3))</f>
        <v>1043</v>
      </c>
      <c r="CV78" s="61">
        <f>SummaryTable[[#This Row],[OriginalBudget15]]-SummaryTable[[#This Row],[OriginalBudget14]]</f>
        <v>63</v>
      </c>
      <c r="CW78" s="54">
        <f>SummaryTable[[#This Row],[BudgetIncreaseAmount15]]/SummaryTable[[#This Row],[OriginalBudget14]]</f>
        <v>6.4285714285714279E-2</v>
      </c>
      <c r="CX78" s="61">
        <f>IF(COUNTIFS(allFYsTable[Code], SummaryTable[[#This Row],[Code]], allFYsTable[year2], CU$3)=0, NotFound, SUMIFS(allFYsTable[RevisedBudget], allFYsTable[Code], SummaryTable[[#This Row],[Code]], allFYsTable[year2], CU$3))</f>
        <v>1043</v>
      </c>
      <c r="CY78" s="61">
        <f>IF(COUNTIFS(allFYsTable[Code], SummaryTable[[#This Row],[Code]], allFYsTable[year2], CU$3)=0, NotFound, SUMIFS(allFYsTable[Actual], allFYsTable[Code], SummaryTable[[#This Row],[Code]], allFYsTable[year2], CU$3))</f>
        <v>980</v>
      </c>
      <c r="CZ78" s="61">
        <f>IF(COUNTIFS(allFYsTable[Code], SummaryTable[[#This Row],[Code]], allFYsTable[year2], CU$3)=0, NotFound, SUMIFS(allFYsTable[DiffAmount], allFYsTable[Code], SummaryTable[[#This Row],[Code]], allFYsTable[year2], CU$3))</f>
        <v>-63</v>
      </c>
      <c r="DA78" s="63">
        <f>IF(SummaryTable[[#This Row],[OriginalBudget15]]=0, IF(SummaryTable[[#This Row],[DiffAmount15]]=0, ZeroBudgetNoSpending, ZeroBudgetWithSpending), SummaryTable[[#This Row],[DiffAmount15]]/SummaryTable[[#This Row],[OriginalBudget15]])</f>
        <v>-6.0402684563758392E-2</v>
      </c>
      <c r="DB78" s="62">
        <f>IF(COUNTIFS(allFYsTable[Code], SummaryTable[[#This Row],[Code]], allFYsTable[year2], DB$3)=0, NotFound, SUMIFS(allFYsTable[OriginalBudget], allFYsTable[Code], SummaryTable[[#This Row],[Code]], allFYsTable[year2], DB$3))</f>
        <v>980</v>
      </c>
      <c r="DC78" s="61">
        <f>SummaryTable[[#This Row],[OriginalBudget14]]-SummaryTable[[#This Row],[OriginalBudget13]]</f>
        <v>10</v>
      </c>
      <c r="DD78" s="54">
        <f>SummaryTable[[#This Row],[BudgetIncreaseAmount14]]/SummaryTable[[#This Row],[OriginalBudget13]]</f>
        <v>1.0309278350515464E-2</v>
      </c>
      <c r="DE78" s="61">
        <f>IF(COUNTIFS(allFYsTable[Code], SummaryTable[[#This Row],[Code]], allFYsTable[year2], DB$3)=0, NotFound, SUMIFS(allFYsTable[RevisedBudget], allFYsTable[Code], SummaryTable[[#This Row],[Code]], allFYsTable[year2], DB$3))</f>
        <v>1004</v>
      </c>
      <c r="DF78" s="61">
        <f>IF(COUNTIFS(allFYsTable[Code], SummaryTable[[#This Row],[Code]], allFYsTable[year2], DB$3)=0, NotFound, SUMIFS(allFYsTable[Actual], allFYsTable[Code], SummaryTable[[#This Row],[Code]], allFYsTable[year2], DB$3))</f>
        <v>916</v>
      </c>
      <c r="DG78" s="61">
        <f>IF(COUNTIFS(allFYsTable[Code], SummaryTable[[#This Row],[Code]], allFYsTable[year2], DB$3)=0, NotFound, SUMIFS(allFYsTable[DiffAmount], allFYsTable[Code], SummaryTable[[#This Row],[Code]], allFYsTable[year2], DB$3))</f>
        <v>-64</v>
      </c>
      <c r="DH78" s="63">
        <f>IF(SummaryTable[[#This Row],[OriginalBudget14]]=0, IF(SummaryTable[[#This Row],[DiffAmount14]]=0, ZeroBudgetNoSpending, ZeroBudgetWithSpending), SummaryTable[[#This Row],[DiffAmount14]]/SummaryTable[[#This Row],[OriginalBudget14]])</f>
        <v>-6.5306122448979598E-2</v>
      </c>
      <c r="DI78" s="62">
        <f>IF(COUNTIFS(allFYsTable[Code], SummaryTable[[#This Row],[Code]], allFYsTable[year2], DI$3)=0, NotFound, SUMIFS(allFYsTable[OriginalBudget], allFYsTable[Code], SummaryTable[[#This Row],[Code]], allFYsTable[year2], DI$3))</f>
        <v>970</v>
      </c>
      <c r="DJ78" s="61">
        <f>SummaryTable[[#This Row],[OriginalBudget13]]-SummaryTable[[#This Row],[OriginalBudget12]]</f>
        <v>18</v>
      </c>
      <c r="DK78" s="54">
        <f>SummaryTable[[#This Row],[BudgetIncreaseAmount13]]/SummaryTable[[#This Row],[OriginalBudget12]]</f>
        <v>1.8907563025210083E-2</v>
      </c>
      <c r="DL78" s="61">
        <f>IF(COUNTIFS(allFYsTable[Code], SummaryTable[[#This Row],[Code]], allFYsTable[year2], DI$3)=0, NotFound, SUMIFS(allFYsTable[RevisedBudget], allFYsTable[Code], SummaryTable[[#This Row],[Code]], allFYsTable[year2], DI$3))</f>
        <v>970</v>
      </c>
      <c r="DM78" s="61">
        <f>IF(COUNTIFS(allFYsTable[Code], SummaryTable[[#This Row],[Code]], allFYsTable[year2], DI$3)=0, NotFound, SUMIFS(allFYsTable[Actual], allFYsTable[Code], SummaryTable[[#This Row],[Code]], allFYsTable[year2], DI$3))</f>
        <v>900</v>
      </c>
      <c r="DN78" s="61">
        <f>IF(COUNTIFS(allFYsTable[Code], SummaryTable[[#This Row],[Code]], allFYsTable[year2], DI$3)=0, NotFound, SUMIFS(allFYsTable[DiffAmount], allFYsTable[Code], SummaryTable[[#This Row],[Code]], allFYsTable[year2], DI$3))</f>
        <v>-70</v>
      </c>
      <c r="DO78" s="63">
        <f>IF(SummaryTable[[#This Row],[OriginalBudget13]]=0, IF(SummaryTable[[#This Row],[DiffAmount13]]=0, ZeroBudgetNoSpending, ZeroBudgetWithSpending), SummaryTable[[#This Row],[DiffAmount13]]/SummaryTable[[#This Row],[OriginalBudget13]])</f>
        <v>-7.2164948453608241E-2</v>
      </c>
      <c r="DP78" s="62">
        <f>IF(COUNTIFS(allFYsTable[Code], SummaryTable[[#This Row],[Code]], allFYsTable[year2], DP$3)=0, NotFound, SUMIFS(allFYsTable[OriginalBudget], allFYsTable[Code], SummaryTable[[#This Row],[Code]], allFYsTable[year2], DP$3))</f>
        <v>952</v>
      </c>
      <c r="DQ78" s="61">
        <f>SummaryTable[[#This Row],[OriginalBudget12]]-SummaryTable[[#This Row],[OriginalBudget11]]</f>
        <v>46</v>
      </c>
      <c r="DR78" s="54">
        <f>SummaryTable[[#This Row],[BudgetIncreaseAmount12]]/SummaryTable[[#This Row],[OriginalBudget11]]</f>
        <v>5.0772626931567331E-2</v>
      </c>
      <c r="DS78" s="61">
        <f>IF(COUNTIFS(allFYsTable[Code], SummaryTable[[#This Row],[Code]], allFYsTable[year2], DP$3)=0, NotFound, SUMIFS(allFYsTable[RevisedBudget], allFYsTable[Code], SummaryTable[[#This Row],[Code]], allFYsTable[year2], DP$3))</f>
        <v>952</v>
      </c>
      <c r="DT78" s="61">
        <f>IF(COUNTIFS(allFYsTable[Code], SummaryTable[[#This Row],[Code]], allFYsTable[year2], DP$3)=0, NotFound, SUMIFS(allFYsTable[Actual], allFYsTable[Code], SummaryTable[[#This Row],[Code]], allFYsTable[year2], DP$3))</f>
        <v>924</v>
      </c>
      <c r="DU78" s="61">
        <f>IF(COUNTIFS(allFYsTable[Code], SummaryTable[[#This Row],[Code]], allFYsTable[year2], DP$3)=0, NotFound, SUMIFS(allFYsTable[DiffAmount], allFYsTable[Code], SummaryTable[[#This Row],[Code]], allFYsTable[year2], DP$3))</f>
        <v>-28</v>
      </c>
      <c r="DV78" s="63">
        <f>IF(SummaryTable[[#This Row],[OriginalBudget12]]=0, IF(SummaryTable[[#This Row],[DiffAmount12]]=0, ZeroBudgetNoSpending, ZeroBudgetWithSpending), SummaryTable[[#This Row],[DiffAmount12]]/SummaryTable[[#This Row],[OriginalBudget12]])</f>
        <v>-2.9411764705882353E-2</v>
      </c>
      <c r="DW78" s="62">
        <f>IF(COUNTIFS(allFYsTable[Code], SummaryTable[[#This Row],[Code]], allFYsTable[year2], DW$3)=0, NotFound, SUMIFS(allFYsTable[OriginalBudget], allFYsTable[Code], SummaryTable[[#This Row],[Code]], allFYsTable[year2], DW$3))</f>
        <v>906</v>
      </c>
      <c r="DX78" s="61">
        <f>SummaryTable[[#This Row],[OriginalBudget11]]-SummaryTable[[#This Row],[OriginalBudget10]]</f>
        <v>-229</v>
      </c>
      <c r="DY78" s="54">
        <f>SummaryTable[[#This Row],[BudgetIncreaseAmount11]]/SummaryTable[[#This Row],[OriginalBudget10]]</f>
        <v>-0.20176211453744494</v>
      </c>
      <c r="DZ78" s="61">
        <f>IF(COUNTIFS(allFYsTable[Code], SummaryTable[[#This Row],[Code]], allFYsTable[year2], DW$3)=0, NotFound, SUMIFS(allFYsTable[RevisedBudget], allFYsTable[Code], SummaryTable[[#This Row],[Code]], allFYsTable[year2], DW$3))</f>
        <v>906</v>
      </c>
      <c r="EA78" s="61">
        <f>IF(COUNTIFS(allFYsTable[Code], SummaryTable[[#This Row],[Code]], allFYsTable[year2], DW$3)=0, NotFound, SUMIFS(allFYsTable[Actual], allFYsTable[Code], SummaryTable[[#This Row],[Code]], allFYsTable[year2], DW$3))</f>
        <v>819</v>
      </c>
      <c r="EB78" s="61">
        <f>IF(COUNTIFS(allFYsTable[Code], SummaryTable[[#This Row],[Code]], allFYsTable[year2], DW$3)=0, NotFound, SUMIFS(allFYsTable[DiffAmount], allFYsTable[Code], SummaryTable[[#This Row],[Code]], allFYsTable[year2], DW$3))</f>
        <v>-87</v>
      </c>
      <c r="EC78" s="63">
        <f>IF(SummaryTable[[#This Row],[OriginalBudget11]]=0, IF(SummaryTable[[#This Row],[DiffAmount11]]=0, ZeroBudgetNoSpending, ZeroBudgetWithSpending), SummaryTable[[#This Row],[DiffAmount11]]/SummaryTable[[#This Row],[OriginalBudget11]])</f>
        <v>-9.602649006622517E-2</v>
      </c>
      <c r="ED78" s="62">
        <f>IF(COUNTIFS(allFYsTable[Code], SummaryTable[[#This Row],[Code]], allFYsTable[year2], ED$3)=0, NotFound, SUMIFS(allFYsTable[OriginalBudget], allFYsTable[Code], SummaryTable[[#This Row],[Code]], allFYsTable[year2], ED$3))</f>
        <v>1135</v>
      </c>
      <c r="EE78" s="61">
        <f>SummaryTable[[#This Row],[OriginalBudget10]]-SummaryTable[[#This Row],[OriginalBudget09]]</f>
        <v>-335</v>
      </c>
      <c r="EF78" s="54">
        <f>SummaryTable[[#This Row],[BudgetIncreaseAmount10]]/SummaryTable[[#This Row],[OriginalBudget09]]</f>
        <v>-0.22789115646258504</v>
      </c>
      <c r="EG78" s="61">
        <f>IF(COUNTIFS(allFYsTable[Code], SummaryTable[[#This Row],[Code]], allFYsTable[year2], ED$3)=0, NotFound, SUMIFS(allFYsTable[RevisedBudget], allFYsTable[Code], SummaryTable[[#This Row],[Code]], allFYsTable[year2], ED$3))</f>
        <v>1033</v>
      </c>
      <c r="EH78" s="61">
        <f>IF(COUNTIFS(allFYsTable[Code], SummaryTable[[#This Row],[Code]], allFYsTable[year2], ED$3)=0, NotFound, SUMIFS(allFYsTable[Actual], allFYsTable[Code], SummaryTable[[#This Row],[Code]], allFYsTable[year2], ED$3))</f>
        <v>961</v>
      </c>
      <c r="EI78" s="61">
        <f>IF(COUNTIFS(allFYsTable[Code], SummaryTable[[#This Row],[Code]], allFYsTable[year2], ED$3)=0, NotFound, SUMIFS(allFYsTable[DiffAmount], allFYsTable[Code], SummaryTable[[#This Row],[Code]], allFYsTable[year2], ED$3))</f>
        <v>-174</v>
      </c>
      <c r="EJ78" s="63">
        <f>IF(SummaryTable[[#This Row],[OriginalBudget10]]=0, IF(SummaryTable[[#This Row],[DiffAmount10]]=0, ZeroBudgetNoSpending, ZeroBudgetWithSpending), SummaryTable[[#This Row],[DiffAmount10]]/SummaryTable[[#This Row],[OriginalBudget10]])</f>
        <v>-0.15330396475770924</v>
      </c>
      <c r="EK78" s="62">
        <f>IF(COUNTIFS(allFYsTable[Code], SummaryTable[[#This Row],[Code]], allFYsTable[year2], EK$3)=0, NotFound, SUMIFS(allFYsTable[OriginalBudget], allFYsTable[Code], SummaryTable[[#This Row],[Code]], allFYsTable[year2], EK$3))</f>
        <v>1470</v>
      </c>
      <c r="EL78" s="61">
        <f>SummaryTable[[#This Row],[OriginalBudget09]]-SummaryTable[[#This Row],[OriginalBudget08]]</f>
        <v>588</v>
      </c>
      <c r="EM78" s="54">
        <f>SummaryTable[[#This Row],[BudgetIncreaseAmount09]]/SummaryTable[[#This Row],[OriginalBudget08]]</f>
        <v>0.66666666666666663</v>
      </c>
      <c r="EN78" s="61">
        <f>IF(COUNTIFS(allFYsTable[Code], SummaryTable[[#This Row],[Code]], allFYsTable[year2], EK$3)=0, NotFound, SUMIFS(allFYsTable[RevisedBudget], allFYsTable[Code], SummaryTable[[#This Row],[Code]], allFYsTable[year2], EK$3))</f>
        <v>1371</v>
      </c>
      <c r="EO78" s="61">
        <f>IF(COUNTIFS(allFYsTable[Code], SummaryTable[[#This Row],[Code]], allFYsTable[year2], EK$3)=0, NotFound, SUMIFS(allFYsTable[Actual], allFYsTable[Code], SummaryTable[[#This Row],[Code]], allFYsTable[year2], EK$3))</f>
        <v>1140</v>
      </c>
      <c r="EP78" s="61">
        <f>IF(COUNTIFS(allFYsTable[Code], SummaryTable[[#This Row],[Code]], allFYsTable[year2], EK$3)=0, NotFound, SUMIFS(allFYsTable[DiffAmount], allFYsTable[Code], SummaryTable[[#This Row],[Code]], allFYsTable[year2], EK$3))</f>
        <v>-330</v>
      </c>
      <c r="EQ78" s="63">
        <f>IF(SummaryTable[[#This Row],[OriginalBudget09]]=0, IF(SummaryTable[[#This Row],[DiffAmount09]]=0, ZeroBudgetNoSpending, ZeroBudgetWithSpending), SummaryTable[[#This Row],[DiffAmount09]]/SummaryTable[[#This Row],[OriginalBudget09]])</f>
        <v>-0.22448979591836735</v>
      </c>
      <c r="ER78" s="62">
        <f>IF(COUNTIFS(allFYsTable[Code], SummaryTable[[#This Row],[Code]], allFYsTable[year2], ER$3)=0, NotFound, SUMIFS(allFYsTable[OriginalBudget], allFYsTable[Code], SummaryTable[[#This Row],[Code]], allFYsTable[year2], ER$3))</f>
        <v>882</v>
      </c>
      <c r="ES78" s="61" t="e">
        <f>SummaryTable[[#This Row],[OriginalBudget08]]-SummaryTable[[#This Row],[OriginalBudget07]]</f>
        <v>#N/A</v>
      </c>
      <c r="ET78" s="54" t="e">
        <f>SummaryTable[[#This Row],[BudgetIncreaseAmount08]]/SummaryTable[[#This Row],[OriginalBudget07]]</f>
        <v>#N/A</v>
      </c>
      <c r="EU78" s="61">
        <f>IF(COUNTIFS(allFYsTable[Code], SummaryTable[[#This Row],[Code]], allFYsTable[year2], ER$3)=0, NotFound, SUMIFS(allFYsTable[RevisedBudget], allFYsTable[Code], SummaryTable[[#This Row],[Code]], allFYsTable[year2], ER$3))</f>
        <v>882</v>
      </c>
      <c r="EV78" s="61">
        <f>IF(COUNTIFS(allFYsTable[Code], SummaryTable[[#This Row],[Code]], allFYsTable[year2], ER$3)=0, NotFound, SUMIFS(allFYsTable[Actual], allFYsTable[Code], SummaryTable[[#This Row],[Code]], allFYsTable[year2], ER$3))</f>
        <v>566</v>
      </c>
      <c r="EW78" s="61">
        <f>IF(COUNTIFS(allFYsTable[Code], SummaryTable[[#This Row],[Code]], allFYsTable[year2], ER$3)=0, NotFound, SUMIFS(allFYsTable[DiffAmount], allFYsTable[Code], SummaryTable[[#This Row],[Code]], allFYsTable[year2], ER$3))</f>
        <v>-316</v>
      </c>
      <c r="EX78" s="63">
        <f>IF(SummaryTable[[#This Row],[OriginalBudget08]]=0, IF(SummaryTable[[#This Row],[DiffAmount08]]=0, ZeroBudgetNoSpending, ZeroBudgetWithSpending), SummaryTable[[#This Row],[DiffAmount08]]/SummaryTable[[#This Row],[OriginalBudget08]])</f>
        <v>-0.35827664399092973</v>
      </c>
      <c r="EY78" s="62" t="e">
        <f>IF(COUNTIFS(allFYsTable[Code], SummaryTable[[#This Row],[Code]], allFYsTable[year2], EY$3)=0, NotFound, SUMIFS(allFYsTable[OriginalBudget], allFYsTable[Code], SummaryTable[[#This Row],[Code]], allFYsTable[year2], EY$3))</f>
        <v>#N/A</v>
      </c>
      <c r="EZ78" s="61" t="e">
        <f>SummaryTable[[#This Row],[OriginalBudget07]]-SummaryTable[[#This Row],[OriginalBudget06]]</f>
        <v>#N/A</v>
      </c>
      <c r="FA78" s="54" t="e">
        <f>SummaryTable[[#This Row],[BudgetIncreaseAmount07]]/SummaryTable[[#This Row],[OriginalBudget06]]</f>
        <v>#N/A</v>
      </c>
      <c r="FB78" s="61" t="e">
        <f>IF(COUNTIFS(allFYsTable[Code], SummaryTable[[#This Row],[Code]], allFYsTable[year2], EY$3)=0, NotFound, SUMIFS(allFYsTable[RevisedBudget], allFYsTable[Code], SummaryTable[[#This Row],[Code]], allFYsTable[year2], EY$3))</f>
        <v>#N/A</v>
      </c>
      <c r="FC78" s="61" t="e">
        <f>IF(COUNTIFS(allFYsTable[Code], SummaryTable[[#This Row],[Code]], allFYsTable[year2], EY$3)=0, NotFound, SUMIFS(allFYsTable[Actual], allFYsTable[Code], SummaryTable[[#This Row],[Code]], allFYsTable[year2], EY$3))</f>
        <v>#N/A</v>
      </c>
      <c r="FD78" s="61" t="e">
        <f>IF(COUNTIFS(allFYsTable[Code], SummaryTable[[#This Row],[Code]], allFYsTable[year2], EY$3)=0, NotFound, SUMIFS(allFYsTable[DiffAmount], allFYsTable[Code], SummaryTable[[#This Row],[Code]], allFYsTable[year2], EY$3))</f>
        <v>#N/A</v>
      </c>
      <c r="FE78" s="63" t="e">
        <f>IF(SummaryTable[[#This Row],[OriginalBudget07]]=0, IF(SummaryTable[[#This Row],[DiffAmount07]]=0, ZeroBudgetNoSpending, ZeroBudgetWithSpending), SummaryTable[[#This Row],[DiffAmount07]]/SummaryTable[[#This Row],[OriginalBudget07]])</f>
        <v>#N/A</v>
      </c>
      <c r="FF78" s="62" t="e">
        <f>IF(COUNTIFS(allFYsTable[Code], SummaryTable[[#This Row],[Code]], allFYsTable[year2], FF$3)=0, NotFound, SUMIFS(allFYsTable[OriginalBudget], allFYsTable[Code], SummaryTable[[#This Row],[Code]], allFYsTable[year2], FF$3))</f>
        <v>#N/A</v>
      </c>
      <c r="FI78" s="61" t="e">
        <f>IF(COUNTIFS(allFYsTable[Code], SummaryTable[[#This Row],[Code]], allFYsTable[year2], FF$3)=0, NotFound, SUMIFS(allFYsTable[RevisedBudget], allFYsTable[Code], SummaryTable[[#This Row],[Code]], allFYsTable[year2], FF$3))</f>
        <v>#N/A</v>
      </c>
      <c r="FJ78" s="61" t="e">
        <f>IF(COUNTIFS(allFYsTable[Code], SummaryTable[[#This Row],[Code]], allFYsTable[year2], FF$3)=0, NotFound, SUMIFS(allFYsTable[Actual], allFYsTable[Code], SummaryTable[[#This Row],[Code]], allFYsTable[year2], FF$3))</f>
        <v>#N/A</v>
      </c>
      <c r="FK78" s="61" t="e">
        <f>IF(COUNTIFS(allFYsTable[Code], SummaryTable[[#This Row],[Code]], allFYsTable[year2], FF$3)=0, NotFound, SUMIFS(allFYsTable[DiffAmount], allFYsTable[Code], SummaryTable[[#This Row],[Code]], allFYsTable[year2], FF$3))</f>
        <v>#N/A</v>
      </c>
      <c r="FL78" s="63" t="e">
        <f>IF(SummaryTable[[#This Row],[OriginalBudget06]]=0, IF(SummaryTable[[#This Row],[DiffAmount06]]=0, ZeroBudgetNoSpending, ZeroBudgetWithSpending), SummaryTable[[#This Row],[DiffAmount06]]/SummaryTable[[#This Row],[OriginalBudget06]])</f>
        <v>#N/A</v>
      </c>
    </row>
    <row r="79" spans="1:168" x14ac:dyDescent="0.45">
      <c r="A79" t="s">
        <v>715</v>
      </c>
      <c r="B79">
        <f>_xlfn.MAXIFS(allFYsTable[year2], allFYsTable[Code], SummaryTable[[#This Row],[Code]])</f>
        <v>2025</v>
      </c>
      <c r="C79" t="str">
        <f>_xlfn.XLOOKUP(SummaryTable[[#This Row],[Code]], NameCodingTable[Code], NameCodingTable[Most Recent Category per allFYs])</f>
        <v>Governmental direction and support</v>
      </c>
      <c r="D79" t="str">
        <f>_xlfn.XLOOKUP(SummaryTable[[#This Row],[Code]], NameCodingTable[Code], NameCodingTable[Unit Display Name])</f>
        <v>Office of Employee Appeals (OEA)</v>
      </c>
      <c r="E79" t="str">
        <f>_xlfn.XLOOKUP(SummaryTable[[#This Row],[Code]], NameCodingTable[Code], NameCodingTable[Type])</f>
        <v>agency</v>
      </c>
      <c r="F7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7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79" s="54">
        <f>SummaryTable[[#This Row],['# Over]]/SummaryTable[[#This Row],[Count]]</f>
        <v>0.1</v>
      </c>
      <c r="I7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79" s="54">
        <f>SummaryTable[[#This Row],['# Under]]/SummaryTable[[#This Row],[Count]]</f>
        <v>0.85</v>
      </c>
      <c r="K7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79" s="54">
        <f>SummaryTable[[#This Row],['# Equal]]/SummaryTable[[#This Row],[Count]]</f>
        <v>0.05</v>
      </c>
      <c r="M79" s="61">
        <f>SUMIFS(allFYsTable[OriginalBudget],allFYsTable[Code],SummaryTable[[#This Row],[Code]])/SummaryTable[[#This Row],[Count]]</f>
        <v>1967.7</v>
      </c>
      <c r="N79" s="61">
        <f>SUMIFS(allFYsTable[Actual],allFYsTable[Code],SummaryTable[[#This Row],[Code]])/SummaryTable[[#This Row],[Count]]</f>
        <v>1908</v>
      </c>
      <c r="O79" s="61">
        <f>SummaryTable[[#This Row],[AvgActAmt]]-SummaryTable[[#This Row],[AvgBudAmt]]</f>
        <v>-59.700000000000045</v>
      </c>
      <c r="P79" s="54">
        <f>IF(SummaryTable[[#This Row],[AvgBudAmt]]=0, IF(SummaryTable[[#This Row],[AvgDiff'#]]=0, 0, NamedFields!$C$3), SummaryTable[[#This Row],[AvgDiff'#]]/SummaryTable[[#This Row],[AvgBudAmt]])</f>
        <v>-3.0339990852264086E-2</v>
      </c>
      <c r="Q79" s="61">
        <f>IFERROR(SUMIFS(allFYsTable[OriginalBudget],allFYsTable[Code],SummaryTable[[#This Row],[Code]],allFYsTable[DiffAmount], "&gt;0")/SummaryTable[[#This Row],['# Over]], 0)</f>
        <v>2006</v>
      </c>
      <c r="R79" s="61">
        <f>IFERROR(SUMIFS(allFYsTable[Actual],allFYsTable[Code],SummaryTable[[#This Row],[Code]],allFYsTable[DiffAmount], "&gt;0")/SummaryTable[[#This Row],['# Over]], 0)</f>
        <v>2080.5</v>
      </c>
      <c r="S79" s="61">
        <f>SummaryTable[[#This Row],[OverAvgAct]]-SummaryTable[[#This Row],[OverAvgBud]]</f>
        <v>74.5</v>
      </c>
      <c r="T79" s="54">
        <f>IF(SummaryTable[[#This Row],[OverAvgBud]]=0, IF(SummaryTable[[#This Row],[OverAvgDiff'#]]=0, ZeroBudgetNoSpending, ZeroBudgetWithSpending), SummaryTable[[#This Row],[OverAvgDiff'#]]/SummaryTable[[#This Row],[OverAvgBud]])</f>
        <v>3.7138584247258223E-2</v>
      </c>
      <c r="U79" s="61">
        <f>IFERROR(SUMIFS(allFYsTable[OriginalBudget],allFYsTable[Code],SummaryTable[[#This Row],[Code]],allFYsTable[DiffAmount], "&lt;0")/SummaryTable[[#This Row],['# Under]], 0)</f>
        <v>1947.5294117647059</v>
      </c>
      <c r="V79" s="61">
        <f>IFERROR( SUMIFS(allFYsTable[Actual],allFYsTable[Code],SummaryTable[[#This Row],[Code]],allFYsTable[DiffAmount], "&lt;0")/SummaryTable[[#This Row],['# Under]], 0)</f>
        <v>1868.5294117647059</v>
      </c>
      <c r="W79" s="61">
        <f>SummaryTable[[#This Row],[UnderAvgAct]]-SummaryTable[[#This Row],[UnderAvgBud]]</f>
        <v>-79</v>
      </c>
      <c r="X79" s="54">
        <f>IF(SummaryTable[[#This Row],[UnderAvgBud]]=0, IF(SummaryTable[[#This Row],[UnderAvgDiff'#]]=0, ZeroBudgetNoSpending, NamedFields!$C$3), SummaryTable[[#This Row],[UnderAvgDiff'#]]/SummaryTable[[#This Row],[UnderAvgBud]])</f>
        <v>-4.0564214087229676E-2</v>
      </c>
      <c r="Y7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7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79" s="54">
        <f>IF(SummaryTable[[#This Row],[IncreaseYears]]=0, ZeroBudgetNoSpending, SummaryTable[[#This Row],[OSinIncreaseYear'#]]/SummaryTable[[#This Row],[IncreaseYears]])</f>
        <v>0</v>
      </c>
      <c r="AB79" s="58" t="str">
        <f>SummaryTable[[#This Row],[Code]]</f>
        <v>CH0</v>
      </c>
      <c r="AC79" s="62">
        <f>IF(COUNTIFS(allFYsTable[Code], SummaryTable[[#This Row],[Code]], allFYsTable[year2], AC$3)=0, NotFound, SUMIFS(allFYsTable[OriginalBudget], allFYsTable[Code], SummaryTable[[#This Row],[Code]], allFYsTable[year2], AC$3))</f>
        <v>2540</v>
      </c>
      <c r="AD79" s="61">
        <f>SummaryTable[[#This Row],[OriginalBudget25]]-SummaryTable[[#This Row],[OriginalBudget24]]</f>
        <v>9</v>
      </c>
      <c r="AE79" s="54">
        <f>SummaryTable[[#This Row],[BudgetIncreaseAmount25]]/SummaryTable[[#This Row],[OriginalBudget24]]</f>
        <v>3.5559067562228367E-3</v>
      </c>
      <c r="AF79" s="61">
        <f>IF(COUNTIFS(allFYsTable[Code], SummaryTable[[#This Row],[Code]], allFYsTable[year2], AC$3)=0, NotFound, SUMIFS(allFYsTable[RevisedBudget], allFYsTable[Code], SummaryTable[[#This Row],[Code]], allFYsTable[year2], AC$3))</f>
        <v>2396</v>
      </c>
      <c r="AG79" s="61">
        <f>IF(COUNTIFS(allFYsTable[Code], SummaryTable[[#This Row],[Code]], allFYsTable[year2], AC$3)=0, NotFound, SUMIFS(allFYsTable[Actual], allFYsTable[Code], SummaryTable[[#This Row],[Code]], allFYsTable[year2], AC$3))</f>
        <v>2395</v>
      </c>
      <c r="AH79" s="61">
        <f>IF(COUNTIFS(allFYsTable[Code], SummaryTable[[#This Row],[Code]], allFYsTable[year2], AC$3)=0, NotFound, SUMIFS(allFYsTable[DiffAmount], allFYsTable[Code], SummaryTable[[#This Row],[Code]], allFYsTable[year2], AC$3))</f>
        <v>-145</v>
      </c>
      <c r="AI79" s="63">
        <f>IF(SummaryTable[[#This Row],[OriginalBudget25]]=0, IF(SummaryTable[[#This Row],[DiffAmount25]]=0, ZeroBudgetNoSpending, ZeroBudgetWithSpending), SummaryTable[[#This Row],[DiffAmount25]]/SummaryTable[[#This Row],[OriginalBudget25]])</f>
        <v>-5.7086614173228349E-2</v>
      </c>
      <c r="AJ79" s="62">
        <f>IF(COUNTIFS(allFYsTable[Code], SummaryTable[[#This Row],[Code]], allFYsTable[year2], AJ$3)=0, NotFound, SUMIFS(allFYsTable[OriginalBudget], allFYsTable[Code], SummaryTable[[#This Row],[Code]], allFYsTable[year2], AJ$3))</f>
        <v>2531</v>
      </c>
      <c r="AK79" s="61">
        <f>SummaryTable[[#This Row],[OriginalBudget24]]-SummaryTable[[#This Row],[OriginalBudget23]]</f>
        <v>220</v>
      </c>
      <c r="AL79" s="54">
        <f>SummaryTable[[#This Row],[BudgetIncreaseAmount24]]/SummaryTable[[#This Row],[OriginalBudget23]]</f>
        <v>9.5196884465599305E-2</v>
      </c>
      <c r="AM79" s="61">
        <f>IF(COUNTIFS(allFYsTable[Code], SummaryTable[[#This Row],[Code]], allFYsTable[year2], AK$3)=0, NotFound, SUMIFS(allFYsTable[RevisedBudget], allFYsTable[Code], SummaryTable[[#This Row],[Code]], allFYsTable[year2], AJ$3))</f>
        <v>2366</v>
      </c>
      <c r="AN79" s="61">
        <f>IF(COUNTIFS(allFYsTable[Code], SummaryTable[[#This Row],[Code]], allFYsTable[year2], AJ$3)=0, NotFound, SUMIFS(allFYsTable[Actual], allFYsTable[Code], SummaryTable[[#This Row],[Code]], allFYsTable[year2], AJ$3))</f>
        <v>2331</v>
      </c>
      <c r="AO79" s="61">
        <f>IF(COUNTIFS(allFYsTable[Code], SummaryTable[[#This Row],[Code]], allFYsTable[year2], AJ$3)=0, NotFound, SUMIFS(allFYsTable[DiffAmount], allFYsTable[Code], SummaryTable[[#This Row],[Code]], allFYsTable[year2], AJ$3))</f>
        <v>-200</v>
      </c>
      <c r="AP79" s="63">
        <f>IF(SummaryTable[[#This Row],[OriginalBudget24]]=0, IF(SummaryTable[[#This Row],[DiffAmount24]]=0, ZeroBudgetNoSpending, ZeroBudgetWithSpending), SummaryTable[[#This Row],[DiffAmount24]]/SummaryTable[[#This Row],[OriginalBudget24]])</f>
        <v>-7.9020150138285269E-2</v>
      </c>
      <c r="AQ79" s="62">
        <f>IF(COUNTIFS(allFYsTable[Code], SummaryTable[[#This Row],[Code]], allFYsTable[year2], AQ$3)=0, NotFound, SUMIFS(allFYsTable[OriginalBudget], allFYsTable[Code], SummaryTable[[#This Row],[Code]], allFYsTable[year2], AQ$3))</f>
        <v>2311</v>
      </c>
      <c r="AR79" s="61">
        <f>SummaryTable[[#This Row],[OriginalBudget23]]-SummaryTable[[#This Row],[OriginalBudget22]]</f>
        <v>77</v>
      </c>
      <c r="AS79" s="54">
        <f>SummaryTable[[#This Row],[BudgetIncreaseAmount23]]/SummaryTable[[#This Row],[OriginalBudget22]]</f>
        <v>3.4467323187108323E-2</v>
      </c>
      <c r="AT79" s="61">
        <f>IF(COUNTIFS(allFYsTable[Code], SummaryTable[[#This Row],[Code]], allFYsTable[year2], AQ$3)=0, NotFound, SUMIFS(allFYsTable[RevisedBudget], allFYsTable[Code], SummaryTable[[#This Row],[Code]], allFYsTable[year2], AQ$3))</f>
        <v>2311</v>
      </c>
      <c r="AU79" s="61">
        <f>IF(COUNTIFS(allFYsTable[Code], SummaryTable[[#This Row],[Code]], allFYsTable[year2], AQ$3)=0, NotFound, SUMIFS(allFYsTable[Actual], allFYsTable[Code], SummaryTable[[#This Row],[Code]], allFYsTable[year2], AQ$3))</f>
        <v>2128</v>
      </c>
      <c r="AV79" s="61">
        <f>IF(COUNTIFS(allFYsTable[Code], SummaryTable[[#This Row],[Code]], allFYsTable[year2], AQ$3)=0, NotFound, SUMIFS(allFYsTable[DiffAmount], allFYsTable[Code], SummaryTable[[#This Row],[Code]], allFYsTable[year2], AQ$3))</f>
        <v>-183</v>
      </c>
      <c r="AW79" s="63">
        <f>IF(SummaryTable[[#This Row],[OriginalBudget23]]=0, IF(SummaryTable[[#This Row],[DiffAmount23]]=0, ZeroBudgetNoSpending, ZeroBudgetWithSpending), SummaryTable[[#This Row],[DiffAmount23]]/SummaryTable[[#This Row],[OriginalBudget23]])</f>
        <v>-7.9186499350930334E-2</v>
      </c>
      <c r="AX79" s="62">
        <f>IF(COUNTIFS(allFYsTable[Code], SummaryTable[[#This Row],[Code]], allFYsTable[year2], AX$3)=0, NotFound, SUMIFS(allFYsTable[OriginalBudget], allFYsTable[Code], SummaryTable[[#This Row],[Code]], allFYsTable[year2], AX$3))</f>
        <v>2234</v>
      </c>
      <c r="AY79" s="61">
        <f>SummaryTable[[#This Row],[OriginalBudget22]]-SummaryTable[[#This Row],[OriginalBudget21]]</f>
        <v>0</v>
      </c>
      <c r="AZ79" s="54">
        <f>SummaryTable[[#This Row],[BudgetIncreaseAmount22]]/SummaryTable[[#This Row],[OriginalBudget21]]</f>
        <v>0</v>
      </c>
      <c r="BA79" s="61">
        <f>IF(COUNTIFS(allFYsTable[Code], SummaryTable[[#This Row],[Code]], allFYsTable[year2], AX$3)=0, NotFound, SUMIFS(allFYsTable[RevisedBudget], allFYsTable[Code], SummaryTable[[#This Row],[Code]], allFYsTable[year2], AX$3))</f>
        <v>2388</v>
      </c>
      <c r="BB79" s="61">
        <f>IF(COUNTIFS(allFYsTable[Code], SummaryTable[[#This Row],[Code]], allFYsTable[year2], AX$3)=0, NotFound, SUMIFS(allFYsTable[Actual], allFYsTable[Code], SummaryTable[[#This Row],[Code]], allFYsTable[year2], AX$3))</f>
        <v>2381</v>
      </c>
      <c r="BC79" s="61">
        <f>IF(COUNTIFS(allFYsTable[Code], SummaryTable[[#This Row],[Code]], allFYsTable[year2], AX$3)=0, NotFound, SUMIFS(allFYsTable[DiffAmount], allFYsTable[Code], SummaryTable[[#This Row],[Code]], allFYsTable[year2], AX$3))</f>
        <v>147</v>
      </c>
      <c r="BD79" s="63">
        <f>IF(SummaryTable[[#This Row],[OriginalBudget22]]=0, IF(SummaryTable[[#This Row],[DiffAmount22]]=0, ZeroBudgetNoSpending, ZeroBudgetWithSpending), SummaryTable[[#This Row],[DiffAmount22]]/SummaryTable[[#This Row],[OriginalBudget22]])</f>
        <v>6.580125335720681E-2</v>
      </c>
      <c r="BE79" s="62">
        <f>IF(COUNTIFS(allFYsTable[Code], SummaryTable[[#This Row],[Code]], allFYsTable[year2], BE$3)=0, NotFound, SUMIFS(allFYsTable[OriginalBudget], allFYsTable[Code], SummaryTable[[#This Row],[Code]], allFYsTable[year2], BE$3))</f>
        <v>2234</v>
      </c>
      <c r="BF79" s="61">
        <f>SummaryTable[[#This Row],[OriginalBudget21]]-SummaryTable[[#This Row],[OriginalBudget20]]</f>
        <v>-2</v>
      </c>
      <c r="BG79" s="54">
        <f>SummaryTable[[#This Row],[BudgetIncreaseAmount21]]/SummaryTable[[#This Row],[OriginalBudget20]]</f>
        <v>-8.9445438282647585E-4</v>
      </c>
      <c r="BH79" s="61">
        <f>IF(COUNTIFS(allFYsTable[Code], SummaryTable[[#This Row],[Code]], allFYsTable[year2], BE$3)=0, NotFound, SUMIFS(allFYsTable[RevisedBudget], allFYsTable[Code], SummaryTable[[#This Row],[Code]], allFYsTable[year2], BE$3))</f>
        <v>2270</v>
      </c>
      <c r="BI79" s="61">
        <f>IF(COUNTIFS(allFYsTable[Code], SummaryTable[[#This Row],[Code]], allFYsTable[year2], BE$3)=0, NotFound, SUMIFS(allFYsTable[Actual], allFYsTable[Code], SummaryTable[[#This Row],[Code]], allFYsTable[year2], BE$3))</f>
        <v>2234</v>
      </c>
      <c r="BJ79" s="61">
        <f>IF(COUNTIFS(allFYsTable[Code], SummaryTable[[#This Row],[Code]], allFYsTable[year2], BE$3)=0, NotFound, SUMIFS(allFYsTable[DiffAmount], allFYsTable[Code], SummaryTable[[#This Row],[Code]], allFYsTable[year2], BE$3))</f>
        <v>0</v>
      </c>
      <c r="BK79" s="63">
        <f>IF(SummaryTable[[#This Row],[OriginalBudget21]]=0, IF(SummaryTable[[#This Row],[DiffAmount21]]=0, ZeroBudgetNoSpending, ZeroBudgetWithSpending), SummaryTable[[#This Row],[DiffAmount21]]/SummaryTable[[#This Row],[OriginalBudget21]])</f>
        <v>0</v>
      </c>
      <c r="BL79" s="62">
        <f>IF(COUNTIFS(allFYsTable[Code], SummaryTable[[#This Row],[Code]], allFYsTable[year2], BL$3)=0, NotFound, SUMIFS(allFYsTable[OriginalBudget], allFYsTable[Code], SummaryTable[[#This Row],[Code]], allFYsTable[year2], BL$3))</f>
        <v>2236</v>
      </c>
      <c r="BM79" s="61">
        <f>SummaryTable[[#This Row],[OriginalBudget20]]-SummaryTable[[#This Row],[OriginalBudget19]]</f>
        <v>58</v>
      </c>
      <c r="BN79" s="54">
        <f>SummaryTable[[#This Row],[BudgetIncreaseAmount20]]/SummaryTable[[#This Row],[OriginalBudget19]]</f>
        <v>2.6629935720844811E-2</v>
      </c>
      <c r="BO79" s="61">
        <f>IF(COUNTIFS(allFYsTable[Code], SummaryTable[[#This Row],[Code]], allFYsTable[year2], BL$3)=0, NotFound, SUMIFS(allFYsTable[RevisedBudget], allFYsTable[Code], SummaryTable[[#This Row],[Code]], allFYsTable[year2], BL$3))</f>
        <v>2201</v>
      </c>
      <c r="BP79" s="61">
        <f>IF(COUNTIFS(allFYsTable[Code], SummaryTable[[#This Row],[Code]], allFYsTable[year2], BL$3)=0, NotFound, SUMIFS(allFYsTable[Actual], allFYsTable[Code], SummaryTable[[#This Row],[Code]], allFYsTable[year2], BL$3))</f>
        <v>2176</v>
      </c>
      <c r="BQ79" s="61">
        <f>IF(COUNTIFS(allFYsTable[Code], SummaryTable[[#This Row],[Code]], allFYsTable[year2], BL$3)=0, NotFound, SUMIFS(allFYsTable[DiffAmount], allFYsTable[Code], SummaryTable[[#This Row],[Code]], allFYsTable[year2], BL$3))</f>
        <v>-60</v>
      </c>
      <c r="BR79" s="63">
        <f>IF(SummaryTable[[#This Row],[OriginalBudget20]]=0, IF(SummaryTable[[#This Row],[DiffAmount20]]=0, ZeroBudgetNoSpending, ZeroBudgetWithSpending), SummaryTable[[#This Row],[DiffAmount20]]/SummaryTable[[#This Row],[OriginalBudget20]])</f>
        <v>-2.6833631484794274E-2</v>
      </c>
      <c r="BS79" s="62">
        <f>IF(COUNTIFS(allFYsTable[Code], SummaryTable[[#This Row],[Code]], allFYsTable[year2], BS$3)=0, NotFound, SUMIFS(allFYsTable[OriginalBudget], allFYsTable[Code], SummaryTable[[#This Row],[Code]], allFYsTable[year2], BS$3))</f>
        <v>2178</v>
      </c>
      <c r="BT79" s="61">
        <f>SummaryTable[[#This Row],[OriginalBudget19]]-SummaryTable[[#This Row],[OriginalBudget18]]</f>
        <v>49</v>
      </c>
      <c r="BU79" s="54">
        <f>SummaryTable[[#This Row],[BudgetIncreaseAmount19]]/SummaryTable[[#This Row],[OriginalBudget18]]</f>
        <v>2.3015500234852042E-2</v>
      </c>
      <c r="BV79" s="61">
        <f>IF(COUNTIFS(allFYsTable[Code], SummaryTable[[#This Row],[Code]], allFYsTable[year2], BS$3)=0, NotFound, SUMIFS(allFYsTable[RevisedBudget], allFYsTable[Code], SummaryTable[[#This Row],[Code]], allFYsTable[year2], BS$3))</f>
        <v>2153</v>
      </c>
      <c r="BW79" s="61">
        <f>IF(COUNTIFS(allFYsTable[Code], SummaryTable[[#This Row],[Code]], allFYsTable[year2], BS$3)=0, NotFound, SUMIFS(allFYsTable[Actual], allFYsTable[Code], SummaryTable[[#This Row],[Code]], allFYsTable[year2], BS$3))</f>
        <v>2101</v>
      </c>
      <c r="BX79" s="61">
        <f>IF(COUNTIFS(allFYsTable[Code], SummaryTable[[#This Row],[Code]], allFYsTable[year2], BS$3)=0, NotFound, SUMIFS(allFYsTable[DiffAmount], allFYsTable[Code], SummaryTable[[#This Row],[Code]], allFYsTable[year2], BS$3))</f>
        <v>-77</v>
      </c>
      <c r="BY79" s="63">
        <f>IF(SummaryTable[[#This Row],[OriginalBudget19]]=0, IF(SummaryTable[[#This Row],[DiffAmount19]]=0, ZeroBudgetNoSpending, ZeroBudgetWithSpending), SummaryTable[[#This Row],[DiffAmount19]]/SummaryTable[[#This Row],[OriginalBudget19]])</f>
        <v>-3.5353535353535352E-2</v>
      </c>
      <c r="BZ79" s="62">
        <f>IF(COUNTIFS(allFYsTable[Code], SummaryTable[[#This Row],[Code]], allFYsTable[year2], BZ$3)=0, NotFound, SUMIFS(allFYsTable[OriginalBudget], allFYsTable[Code], SummaryTable[[#This Row],[Code]], allFYsTable[year2], BZ$3))</f>
        <v>2129</v>
      </c>
      <c r="CA79" s="61">
        <f>SummaryTable[[#This Row],[OriginalBudget18]]-SummaryTable[[#This Row],[OriginalBudget17]]</f>
        <v>314</v>
      </c>
      <c r="CB79" s="54">
        <f>SummaryTable[[#This Row],[BudgetIncreaseAmount18]]/SummaryTable[[#This Row],[OriginalBudget17]]</f>
        <v>0.17300275482093663</v>
      </c>
      <c r="CC79" s="61">
        <f>IF(COUNTIFS(allFYsTable[Code], SummaryTable[[#This Row],[Code]], allFYsTable[year2], BZ$3)=0, NotFound, SUMIFS(allFYsTable[RevisedBudget], allFYsTable[Code], SummaryTable[[#This Row],[Code]], allFYsTable[year2], BZ$3))</f>
        <v>2173</v>
      </c>
      <c r="CD79" s="61">
        <f>IF(COUNTIFS(allFYsTable[Code], SummaryTable[[#This Row],[Code]], allFYsTable[year2], BZ$3)=0, NotFound, SUMIFS(allFYsTable[Actual], allFYsTable[Code], SummaryTable[[#This Row],[Code]], allFYsTable[year2], BZ$3))</f>
        <v>2099</v>
      </c>
      <c r="CE79" s="61">
        <f>IF(COUNTIFS(allFYsTable[Code], SummaryTable[[#This Row],[Code]], allFYsTable[year2], BZ$3)=0, NotFound, SUMIFS(allFYsTable[DiffAmount], allFYsTable[Code], SummaryTable[[#This Row],[Code]], allFYsTable[year2], BZ$3))</f>
        <v>-30</v>
      </c>
      <c r="CF79" s="63">
        <f>IF(SummaryTable[[#This Row],[OriginalBudget18]]=0, IF(SummaryTable[[#This Row],[DiffAmount18]]=0, ZeroBudgetNoSpending, ZeroBudgetWithSpending), SummaryTable[[#This Row],[DiffAmount18]]/SummaryTable[[#This Row],[OriginalBudget18]])</f>
        <v>-1.4091122592766557E-2</v>
      </c>
      <c r="CG79" s="62">
        <f>IF(COUNTIFS(allFYsTable[Code], SummaryTable[[#This Row],[Code]], allFYsTable[year2], CG$3)=0, NotFound, SUMIFS(allFYsTable[OriginalBudget], allFYsTable[Code], SummaryTable[[#This Row],[Code]], allFYsTable[year2], CG$3))</f>
        <v>1815</v>
      </c>
      <c r="CH79" s="61">
        <f>SummaryTable[[#This Row],[OriginalBudget17]]-SummaryTable[[#This Row],[OriginalBudget16]]</f>
        <v>70</v>
      </c>
      <c r="CI79" s="54">
        <f>SummaryTable[[#This Row],[BudgetIncreaseAmount17]]/SummaryTable[[#This Row],[OriginalBudget16]]</f>
        <v>4.0114613180515762E-2</v>
      </c>
      <c r="CJ79" s="61">
        <f>IF(COUNTIFS(allFYsTable[Code], SummaryTable[[#This Row],[Code]], allFYsTable[year2], CG$3)=0, NotFound, SUMIFS(allFYsTable[RevisedBudget], allFYsTable[Code], SummaryTable[[#This Row],[Code]], allFYsTable[year2], CG$3))</f>
        <v>1815</v>
      </c>
      <c r="CK79" s="61">
        <f>IF(COUNTIFS(allFYsTable[Code], SummaryTable[[#This Row],[Code]], allFYsTable[year2], CG$3)=0, NotFound, SUMIFS(allFYsTable[Actual], allFYsTable[Code], SummaryTable[[#This Row],[Code]], allFYsTable[year2], CG$3))</f>
        <v>1767</v>
      </c>
      <c r="CL79" s="61">
        <f>IF(COUNTIFS(allFYsTable[Code], SummaryTable[[#This Row],[Code]], allFYsTable[year2], CG$3)=0, NotFound, SUMIFS(allFYsTable[DiffAmount], allFYsTable[Code], SummaryTable[[#This Row],[Code]], allFYsTable[year2], CG$3))</f>
        <v>-48</v>
      </c>
      <c r="CM79" s="63">
        <f>IF(SummaryTable[[#This Row],[OriginalBudget17]]=0, IF(SummaryTable[[#This Row],[DiffAmount17]]=0, ZeroBudgetNoSpending, ZeroBudgetWithSpending), SummaryTable[[#This Row],[DiffAmount17]]/SummaryTable[[#This Row],[OriginalBudget17]])</f>
        <v>-2.6446280991735537E-2</v>
      </c>
      <c r="CN79" s="62">
        <f>IF(COUNTIFS(allFYsTable[Code], SummaryTable[[#This Row],[Code]], allFYsTable[year2], CN$3)=0, NotFound, SUMIFS(allFYsTable[OriginalBudget], allFYsTable[Code], SummaryTable[[#This Row],[Code]], allFYsTable[year2], CN$3))</f>
        <v>1745</v>
      </c>
      <c r="CO79" s="61">
        <f>SummaryTable[[#This Row],[OriginalBudget16]]-SummaryTable[[#This Row],[OriginalBudget15]]</f>
        <v>175</v>
      </c>
      <c r="CP79" s="54">
        <f>SummaryTable[[#This Row],[BudgetIncreaseAmount16]]/SummaryTable[[#This Row],[OriginalBudget15]]</f>
        <v>0.11146496815286625</v>
      </c>
      <c r="CQ79" s="61">
        <f>IF(COUNTIFS(allFYsTable[Code], SummaryTable[[#This Row],[Code]], allFYsTable[year2], CN$3)=0, NotFound, SUMIFS(allFYsTable[RevisedBudget], allFYsTable[Code], SummaryTable[[#This Row],[Code]], allFYsTable[year2], CN$3))</f>
        <v>1745</v>
      </c>
      <c r="CR79" s="61">
        <f>IF(COUNTIFS(allFYsTable[Code], SummaryTable[[#This Row],[Code]], allFYsTable[year2], CN$3)=0, NotFound, SUMIFS(allFYsTable[Actual], allFYsTable[Code], SummaryTable[[#This Row],[Code]], allFYsTable[year2], CN$3))</f>
        <v>1684</v>
      </c>
      <c r="CS79" s="61">
        <f>IF(COUNTIFS(allFYsTable[Code], SummaryTable[[#This Row],[Code]], allFYsTable[year2], CN$3)=0, NotFound, SUMIFS(allFYsTable[DiffAmount], allFYsTable[Code], SummaryTable[[#This Row],[Code]], allFYsTable[year2], CN$3))</f>
        <v>-61</v>
      </c>
      <c r="CT79" s="63">
        <f>IF(SummaryTable[[#This Row],[OriginalBudget16]]=0, IF(SummaryTable[[#This Row],[DiffAmount16]]=0, ZeroBudgetNoSpending, ZeroBudgetWithSpending), SummaryTable[[#This Row],[DiffAmount16]]/SummaryTable[[#This Row],[OriginalBudget16]])</f>
        <v>-3.4957020057306588E-2</v>
      </c>
      <c r="CU79" s="62">
        <f>IF(COUNTIFS(allFYsTable[Code], SummaryTable[[#This Row],[Code]], allFYsTable[year2], CU$3)=0, NotFound, SUMIFS(allFYsTable[OriginalBudget], allFYsTable[Code], SummaryTable[[#This Row],[Code]], allFYsTable[year2], CU$3))</f>
        <v>1570</v>
      </c>
      <c r="CV79" s="61">
        <f>SummaryTable[[#This Row],[OriginalBudget15]]-SummaryTable[[#This Row],[OriginalBudget14]]</f>
        <v>90</v>
      </c>
      <c r="CW79" s="54">
        <f>SummaryTable[[#This Row],[BudgetIncreaseAmount15]]/SummaryTable[[#This Row],[OriginalBudget14]]</f>
        <v>6.0810810810810814E-2</v>
      </c>
      <c r="CX79" s="61">
        <f>IF(COUNTIFS(allFYsTable[Code], SummaryTable[[#This Row],[Code]], allFYsTable[year2], CU$3)=0, NotFound, SUMIFS(allFYsTable[RevisedBudget], allFYsTable[Code], SummaryTable[[#This Row],[Code]], allFYsTable[year2], CU$3))</f>
        <v>1570</v>
      </c>
      <c r="CY79" s="61">
        <f>IF(COUNTIFS(allFYsTable[Code], SummaryTable[[#This Row],[Code]], allFYsTable[year2], CU$3)=0, NotFound, SUMIFS(allFYsTable[Actual], allFYsTable[Code], SummaryTable[[#This Row],[Code]], allFYsTable[year2], CU$3))</f>
        <v>1525</v>
      </c>
      <c r="CZ79" s="61">
        <f>IF(COUNTIFS(allFYsTable[Code], SummaryTable[[#This Row],[Code]], allFYsTable[year2], CU$3)=0, NotFound, SUMIFS(allFYsTable[DiffAmount], allFYsTable[Code], SummaryTable[[#This Row],[Code]], allFYsTable[year2], CU$3))</f>
        <v>-45</v>
      </c>
      <c r="DA79" s="63">
        <f>IF(SummaryTable[[#This Row],[OriginalBudget15]]=0, IF(SummaryTable[[#This Row],[DiffAmount15]]=0, ZeroBudgetNoSpending, ZeroBudgetWithSpending), SummaryTable[[#This Row],[DiffAmount15]]/SummaryTable[[#This Row],[OriginalBudget15]])</f>
        <v>-2.8662420382165606E-2</v>
      </c>
      <c r="DB79" s="62">
        <f>IF(COUNTIFS(allFYsTable[Code], SummaryTable[[#This Row],[Code]], allFYsTable[year2], DB$3)=0, NotFound, SUMIFS(allFYsTable[OriginalBudget], allFYsTable[Code], SummaryTable[[#This Row],[Code]], allFYsTable[year2], DB$3))</f>
        <v>1480</v>
      </c>
      <c r="DC79" s="61">
        <f>SummaryTable[[#This Row],[OriginalBudget14]]-SummaryTable[[#This Row],[OriginalBudget13]]</f>
        <v>12</v>
      </c>
      <c r="DD79" s="54">
        <f>SummaryTable[[#This Row],[BudgetIncreaseAmount14]]/SummaryTable[[#This Row],[OriginalBudget13]]</f>
        <v>8.1743869209809257E-3</v>
      </c>
      <c r="DE79" s="61">
        <f>IF(COUNTIFS(allFYsTable[Code], SummaryTable[[#This Row],[Code]], allFYsTable[year2], DB$3)=0, NotFound, SUMIFS(allFYsTable[RevisedBudget], allFYsTable[Code], SummaryTable[[#This Row],[Code]], allFYsTable[year2], DB$3))</f>
        <v>1521</v>
      </c>
      <c r="DF79" s="61">
        <f>IF(COUNTIFS(allFYsTable[Code], SummaryTable[[#This Row],[Code]], allFYsTable[year2], DB$3)=0, NotFound, SUMIFS(allFYsTable[Actual], allFYsTable[Code], SummaryTable[[#This Row],[Code]], allFYsTable[year2], DB$3))</f>
        <v>1465</v>
      </c>
      <c r="DG79" s="61">
        <f>IF(COUNTIFS(allFYsTable[Code], SummaryTable[[#This Row],[Code]], allFYsTable[year2], DB$3)=0, NotFound, SUMIFS(allFYsTable[DiffAmount], allFYsTable[Code], SummaryTable[[#This Row],[Code]], allFYsTable[year2], DB$3))</f>
        <v>-15</v>
      </c>
      <c r="DH79" s="63">
        <f>IF(SummaryTable[[#This Row],[OriginalBudget14]]=0, IF(SummaryTable[[#This Row],[DiffAmount14]]=0, ZeroBudgetNoSpending, ZeroBudgetWithSpending), SummaryTable[[#This Row],[DiffAmount14]]/SummaryTable[[#This Row],[OriginalBudget14]])</f>
        <v>-1.0135135135135136E-2</v>
      </c>
      <c r="DI79" s="62">
        <f>IF(COUNTIFS(allFYsTable[Code], SummaryTable[[#This Row],[Code]], allFYsTable[year2], DI$3)=0, NotFound, SUMIFS(allFYsTable[OriginalBudget], allFYsTable[Code], SummaryTable[[#This Row],[Code]], allFYsTable[year2], DI$3))</f>
        <v>1468</v>
      </c>
      <c r="DJ79" s="61">
        <f>SummaryTable[[#This Row],[OriginalBudget13]]-SummaryTable[[#This Row],[OriginalBudget12]]</f>
        <v>108</v>
      </c>
      <c r="DK79" s="54">
        <f>SummaryTable[[#This Row],[BudgetIncreaseAmount13]]/SummaryTable[[#This Row],[OriginalBudget12]]</f>
        <v>7.9411764705882348E-2</v>
      </c>
      <c r="DL79" s="61">
        <f>IF(COUNTIFS(allFYsTable[Code], SummaryTable[[#This Row],[Code]], allFYsTable[year2], DI$3)=0, NotFound, SUMIFS(allFYsTable[RevisedBudget], allFYsTable[Code], SummaryTable[[#This Row],[Code]], allFYsTable[year2], DI$3))</f>
        <v>1468</v>
      </c>
      <c r="DM79" s="61">
        <f>IF(COUNTIFS(allFYsTable[Code], SummaryTable[[#This Row],[Code]], allFYsTable[year2], DI$3)=0, NotFound, SUMIFS(allFYsTable[Actual], allFYsTable[Code], SummaryTable[[#This Row],[Code]], allFYsTable[year2], DI$3))</f>
        <v>1439</v>
      </c>
      <c r="DN79" s="61">
        <f>IF(COUNTIFS(allFYsTable[Code], SummaryTable[[#This Row],[Code]], allFYsTable[year2], DI$3)=0, NotFound, SUMIFS(allFYsTable[DiffAmount], allFYsTable[Code], SummaryTable[[#This Row],[Code]], allFYsTable[year2], DI$3))</f>
        <v>-29</v>
      </c>
      <c r="DO79" s="63">
        <f>IF(SummaryTable[[#This Row],[OriginalBudget13]]=0, IF(SummaryTable[[#This Row],[DiffAmount13]]=0, ZeroBudgetNoSpending, ZeroBudgetWithSpending), SummaryTable[[#This Row],[DiffAmount13]]/SummaryTable[[#This Row],[OriginalBudget13]])</f>
        <v>-1.9754768392370572E-2</v>
      </c>
      <c r="DP79" s="62">
        <f>IF(COUNTIFS(allFYsTable[Code], SummaryTable[[#This Row],[Code]], allFYsTable[year2], DP$3)=0, NotFound, SUMIFS(allFYsTable[OriginalBudget], allFYsTable[Code], SummaryTable[[#This Row],[Code]], allFYsTable[year2], DP$3))</f>
        <v>1360</v>
      </c>
      <c r="DQ79" s="61">
        <f>SummaryTable[[#This Row],[OriginalBudget12]]-SummaryTable[[#This Row],[OriginalBudget11]]</f>
        <v>73</v>
      </c>
      <c r="DR79" s="54">
        <f>SummaryTable[[#This Row],[BudgetIncreaseAmount12]]/SummaryTable[[#This Row],[OriginalBudget11]]</f>
        <v>5.672105672105672E-2</v>
      </c>
      <c r="DS79" s="61">
        <f>IF(COUNTIFS(allFYsTable[Code], SummaryTable[[#This Row],[Code]], allFYsTable[year2], DP$3)=0, NotFound, SUMIFS(allFYsTable[RevisedBudget], allFYsTable[Code], SummaryTable[[#This Row],[Code]], allFYsTable[year2], DP$3))</f>
        <v>1368</v>
      </c>
      <c r="DT79" s="61">
        <f>IF(COUNTIFS(allFYsTable[Code], SummaryTable[[#This Row],[Code]], allFYsTable[year2], DP$3)=0, NotFound, SUMIFS(allFYsTable[Actual], allFYsTable[Code], SummaryTable[[#This Row],[Code]], allFYsTable[year2], DP$3))</f>
        <v>1343</v>
      </c>
      <c r="DU79" s="61">
        <f>IF(COUNTIFS(allFYsTable[Code], SummaryTable[[#This Row],[Code]], allFYsTable[year2], DP$3)=0, NotFound, SUMIFS(allFYsTable[DiffAmount], allFYsTable[Code], SummaryTable[[#This Row],[Code]], allFYsTable[year2], DP$3))</f>
        <v>-17</v>
      </c>
      <c r="DV79" s="63">
        <f>IF(SummaryTable[[#This Row],[OriginalBudget12]]=0, IF(SummaryTable[[#This Row],[DiffAmount12]]=0, ZeroBudgetNoSpending, ZeroBudgetWithSpending), SummaryTable[[#This Row],[DiffAmount12]]/SummaryTable[[#This Row],[OriginalBudget12]])</f>
        <v>-1.2500000000000001E-2</v>
      </c>
      <c r="DW79" s="62">
        <f>IF(COUNTIFS(allFYsTable[Code], SummaryTable[[#This Row],[Code]], allFYsTable[year2], DW$3)=0, NotFound, SUMIFS(allFYsTable[OriginalBudget], allFYsTable[Code], SummaryTable[[#This Row],[Code]], allFYsTable[year2], DW$3))</f>
        <v>1287</v>
      </c>
      <c r="DX79" s="61">
        <f>SummaryTable[[#This Row],[OriginalBudget11]]-SummaryTable[[#This Row],[OriginalBudget10]]</f>
        <v>-511</v>
      </c>
      <c r="DY79" s="54">
        <f>SummaryTable[[#This Row],[BudgetIncreaseAmount11]]/SummaryTable[[#This Row],[OriginalBudget10]]</f>
        <v>-0.28420467185761955</v>
      </c>
      <c r="DZ79" s="61">
        <f>IF(COUNTIFS(allFYsTable[Code], SummaryTable[[#This Row],[Code]], allFYsTable[year2], DW$3)=0, NotFound, SUMIFS(allFYsTable[RevisedBudget], allFYsTable[Code], SummaryTable[[#This Row],[Code]], allFYsTable[year2], DW$3))</f>
        <v>1212</v>
      </c>
      <c r="EA79" s="61">
        <f>IF(COUNTIFS(allFYsTable[Code], SummaryTable[[#This Row],[Code]], allFYsTable[year2], DW$3)=0, NotFound, SUMIFS(allFYsTable[Actual], allFYsTable[Code], SummaryTable[[#This Row],[Code]], allFYsTable[year2], DW$3))</f>
        <v>1116</v>
      </c>
      <c r="EB79" s="61">
        <f>IF(COUNTIFS(allFYsTable[Code], SummaryTable[[#This Row],[Code]], allFYsTable[year2], DW$3)=0, NotFound, SUMIFS(allFYsTable[DiffAmount], allFYsTable[Code], SummaryTable[[#This Row],[Code]], allFYsTable[year2], DW$3))</f>
        <v>-171</v>
      </c>
      <c r="EC79" s="63">
        <f>IF(SummaryTable[[#This Row],[OriginalBudget11]]=0, IF(SummaryTable[[#This Row],[DiffAmount11]]=0, ZeroBudgetNoSpending, ZeroBudgetWithSpending), SummaryTable[[#This Row],[DiffAmount11]]/SummaryTable[[#This Row],[OriginalBudget11]])</f>
        <v>-0.13286713286713286</v>
      </c>
      <c r="ED79" s="62">
        <f>IF(COUNTIFS(allFYsTable[Code], SummaryTable[[#This Row],[Code]], allFYsTable[year2], ED$3)=0, NotFound, SUMIFS(allFYsTable[OriginalBudget], allFYsTable[Code], SummaryTable[[#This Row],[Code]], allFYsTable[year2], ED$3))</f>
        <v>1798</v>
      </c>
      <c r="EE79" s="61">
        <f>SummaryTable[[#This Row],[OriginalBudget10]]-SummaryTable[[#This Row],[OriginalBudget09]]</f>
        <v>20</v>
      </c>
      <c r="EF79" s="54">
        <f>SummaryTable[[#This Row],[BudgetIncreaseAmount10]]/SummaryTable[[#This Row],[OriginalBudget09]]</f>
        <v>1.1248593925759279E-2</v>
      </c>
      <c r="EG79" s="61">
        <f>IF(COUNTIFS(allFYsTable[Code], SummaryTable[[#This Row],[Code]], allFYsTable[year2], ED$3)=0, NotFound, SUMIFS(allFYsTable[RevisedBudget], allFYsTable[Code], SummaryTable[[#This Row],[Code]], allFYsTable[year2], ED$3))</f>
        <v>1798</v>
      </c>
      <c r="EH79" s="61">
        <f>IF(COUNTIFS(allFYsTable[Code], SummaryTable[[#This Row],[Code]], allFYsTable[year2], ED$3)=0, NotFound, SUMIFS(allFYsTable[Actual], allFYsTable[Code], SummaryTable[[#This Row],[Code]], allFYsTable[year2], ED$3))</f>
        <v>1753</v>
      </c>
      <c r="EI79" s="61">
        <f>IF(COUNTIFS(allFYsTable[Code], SummaryTable[[#This Row],[Code]], allFYsTable[year2], ED$3)=0, NotFound, SUMIFS(allFYsTable[DiffAmount], allFYsTable[Code], SummaryTable[[#This Row],[Code]], allFYsTable[year2], ED$3))</f>
        <v>-45</v>
      </c>
      <c r="EJ79" s="63">
        <f>IF(SummaryTable[[#This Row],[OriginalBudget10]]=0, IF(SummaryTable[[#This Row],[DiffAmount10]]=0, ZeroBudgetNoSpending, ZeroBudgetWithSpending), SummaryTable[[#This Row],[DiffAmount10]]/SummaryTable[[#This Row],[OriginalBudget10]])</f>
        <v>-2.5027808676307009E-2</v>
      </c>
      <c r="EK79" s="62">
        <f>IF(COUNTIFS(allFYsTable[Code], SummaryTable[[#This Row],[Code]], allFYsTable[year2], EK$3)=0, NotFound, SUMIFS(allFYsTable[OriginalBudget], allFYsTable[Code], SummaryTable[[#This Row],[Code]], allFYsTable[year2], EK$3))</f>
        <v>1778</v>
      </c>
      <c r="EL79" s="61">
        <f>SummaryTable[[#This Row],[OriginalBudget09]]-SummaryTable[[#This Row],[OriginalBudget08]]</f>
        <v>-80</v>
      </c>
      <c r="EM79" s="54">
        <f>SummaryTable[[#This Row],[BudgetIncreaseAmount09]]/SummaryTable[[#This Row],[OriginalBudget08]]</f>
        <v>-4.3057050592034449E-2</v>
      </c>
      <c r="EN79" s="61">
        <f>IF(COUNTIFS(allFYsTable[Code], SummaryTable[[#This Row],[Code]], allFYsTable[year2], EK$3)=0, NotFound, SUMIFS(allFYsTable[RevisedBudget], allFYsTable[Code], SummaryTable[[#This Row],[Code]], allFYsTable[year2], EK$3))</f>
        <v>1818</v>
      </c>
      <c r="EO79" s="61">
        <f>IF(COUNTIFS(allFYsTable[Code], SummaryTable[[#This Row],[Code]], allFYsTable[year2], EK$3)=0, NotFound, SUMIFS(allFYsTable[Actual], allFYsTable[Code], SummaryTable[[#This Row],[Code]], allFYsTable[year2], EK$3))</f>
        <v>1780</v>
      </c>
      <c r="EP79" s="61">
        <f>IF(COUNTIFS(allFYsTable[Code], SummaryTable[[#This Row],[Code]], allFYsTable[year2], EK$3)=0, NotFound, SUMIFS(allFYsTable[DiffAmount], allFYsTable[Code], SummaryTable[[#This Row],[Code]], allFYsTable[year2], EK$3))</f>
        <v>2</v>
      </c>
      <c r="EQ79" s="63">
        <f>IF(SummaryTable[[#This Row],[OriginalBudget09]]=0, IF(SummaryTable[[#This Row],[DiffAmount09]]=0, ZeroBudgetNoSpending, ZeroBudgetWithSpending), SummaryTable[[#This Row],[DiffAmount09]]/SummaryTable[[#This Row],[OriginalBudget09]])</f>
        <v>1.1248593925759281E-3</v>
      </c>
      <c r="ER79" s="62">
        <f>IF(COUNTIFS(allFYsTable[Code], SummaryTable[[#This Row],[Code]], allFYsTable[year2], ER$3)=0, NotFound, SUMIFS(allFYsTable[OriginalBudget], allFYsTable[Code], SummaryTable[[#This Row],[Code]], allFYsTable[year2], ER$3))</f>
        <v>1858</v>
      </c>
      <c r="ES79" s="61">
        <f>SummaryTable[[#This Row],[OriginalBudget08]]-SummaryTable[[#This Row],[OriginalBudget07]]</f>
        <v>181</v>
      </c>
      <c r="ET79" s="54">
        <f>SummaryTable[[#This Row],[BudgetIncreaseAmount08]]/SummaryTable[[#This Row],[OriginalBudget07]]</f>
        <v>0.10793082886106142</v>
      </c>
      <c r="EU79" s="61">
        <f>IF(COUNTIFS(allFYsTable[Code], SummaryTable[[#This Row],[Code]], allFYsTable[year2], ER$3)=0, NotFound, SUMIFS(allFYsTable[RevisedBudget], allFYsTable[Code], SummaryTable[[#This Row],[Code]], allFYsTable[year2], ER$3))</f>
        <v>1858</v>
      </c>
      <c r="EV79" s="61">
        <f>IF(COUNTIFS(allFYsTable[Code], SummaryTable[[#This Row],[Code]], allFYsTable[year2], ER$3)=0, NotFound, SUMIFS(allFYsTable[Actual], allFYsTable[Code], SummaryTable[[#This Row],[Code]], allFYsTable[year2], ER$3))</f>
        <v>1775</v>
      </c>
      <c r="EW79" s="61">
        <f>IF(COUNTIFS(allFYsTable[Code], SummaryTable[[#This Row],[Code]], allFYsTable[year2], ER$3)=0, NotFound, SUMIFS(allFYsTable[DiffAmount], allFYsTable[Code], SummaryTable[[#This Row],[Code]], allFYsTable[year2], ER$3))</f>
        <v>-83</v>
      </c>
      <c r="EX79" s="63">
        <f>IF(SummaryTable[[#This Row],[OriginalBudget08]]=0, IF(SummaryTable[[#This Row],[DiffAmount08]]=0, ZeroBudgetNoSpending, ZeroBudgetWithSpending), SummaryTable[[#This Row],[DiffAmount08]]/SummaryTable[[#This Row],[OriginalBudget08]])</f>
        <v>-4.4671689989235736E-2</v>
      </c>
      <c r="EY79" s="62">
        <f>IF(COUNTIFS(allFYsTable[Code], SummaryTable[[#This Row],[Code]], allFYsTable[year2], EY$3)=0, NotFound, SUMIFS(allFYsTable[OriginalBudget], allFYsTable[Code], SummaryTable[[#This Row],[Code]], allFYsTable[year2], EY$3))</f>
        <v>1677</v>
      </c>
      <c r="EZ79" s="61">
        <f>SummaryTable[[#This Row],[OriginalBudget07]]-SummaryTable[[#This Row],[OriginalBudget06]]</f>
        <v>88</v>
      </c>
      <c r="FA79" s="54">
        <f>SummaryTable[[#This Row],[BudgetIncreaseAmount07]]/SummaryTable[[#This Row],[OriginalBudget06]]</f>
        <v>5.538074260541221E-2</v>
      </c>
      <c r="FB79" s="61">
        <f>IF(COUNTIFS(allFYsTable[Code], SummaryTable[[#This Row],[Code]], allFYsTable[year2], EY$3)=0, NotFound, SUMIFS(allFYsTable[RevisedBudget], allFYsTable[Code], SummaryTable[[#This Row],[Code]], allFYsTable[year2], EY$3))</f>
        <v>1722</v>
      </c>
      <c r="FC79" s="61">
        <f>IF(COUNTIFS(allFYsTable[Code], SummaryTable[[#This Row],[Code]], allFYsTable[year2], EY$3)=0, NotFound, SUMIFS(allFYsTable[Actual], allFYsTable[Code], SummaryTable[[#This Row],[Code]], allFYsTable[year2], EY$3))</f>
        <v>1652</v>
      </c>
      <c r="FD79" s="61">
        <f>IF(COUNTIFS(allFYsTable[Code], SummaryTable[[#This Row],[Code]], allFYsTable[year2], EY$3)=0, NotFound, SUMIFS(allFYsTable[DiffAmount], allFYsTable[Code], SummaryTable[[#This Row],[Code]], allFYsTable[year2], EY$3))</f>
        <v>-25</v>
      </c>
      <c r="FE79" s="63">
        <f>IF(SummaryTable[[#This Row],[OriginalBudget07]]=0, IF(SummaryTable[[#This Row],[DiffAmount07]]=0, ZeroBudgetNoSpending, ZeroBudgetWithSpending), SummaryTable[[#This Row],[DiffAmount07]]/SummaryTable[[#This Row],[OriginalBudget07]])</f>
        <v>-1.4907573047107931E-2</v>
      </c>
      <c r="FF79" s="62">
        <f>IF(COUNTIFS(allFYsTable[Code], SummaryTable[[#This Row],[Code]], allFYsTable[year2], FF$3)=0, NotFound, SUMIFS(allFYsTable[OriginalBudget], allFYsTable[Code], SummaryTable[[#This Row],[Code]], allFYsTable[year2], FF$3))</f>
        <v>1589</v>
      </c>
      <c r="FI79" s="61">
        <f>IF(COUNTIFS(allFYsTable[Code], SummaryTable[[#This Row],[Code]], allFYsTable[year2], FF$3)=0, NotFound, SUMIFS(allFYsTable[RevisedBudget], allFYsTable[Code], SummaryTable[[#This Row],[Code]], allFYsTable[year2], FF$3))</f>
        <v>1669</v>
      </c>
      <c r="FJ79" s="61">
        <f>IF(COUNTIFS(allFYsTable[Code], SummaryTable[[#This Row],[Code]], allFYsTable[year2], FF$3)=0, NotFound, SUMIFS(allFYsTable[Actual], allFYsTable[Code], SummaryTable[[#This Row],[Code]], allFYsTable[year2], FF$3))</f>
        <v>1578</v>
      </c>
      <c r="FK79" s="61">
        <f>IF(COUNTIFS(allFYsTable[Code], SummaryTable[[#This Row],[Code]], allFYsTable[year2], FF$3)=0, NotFound, SUMIFS(allFYsTable[DiffAmount], allFYsTable[Code], SummaryTable[[#This Row],[Code]], allFYsTable[year2], FF$3))</f>
        <v>-11</v>
      </c>
      <c r="FL79" s="63">
        <f>IF(SummaryTable[[#This Row],[OriginalBudget06]]=0, IF(SummaryTable[[#This Row],[DiffAmount06]]=0, ZeroBudgetNoSpending, ZeroBudgetWithSpending), SummaryTable[[#This Row],[DiffAmount06]]/SummaryTable[[#This Row],[OriginalBudget06]])</f>
        <v>-6.9225928256765263E-3</v>
      </c>
    </row>
    <row r="80" spans="1:168" x14ac:dyDescent="0.45">
      <c r="A80" t="s">
        <v>716</v>
      </c>
      <c r="B80">
        <f>_xlfn.MAXIFS(allFYsTable[year2], allFYsTable[Code], SummaryTable[[#This Row],[Code]])</f>
        <v>2025</v>
      </c>
      <c r="C80" t="str">
        <f>_xlfn.XLOOKUP(SummaryTable[[#This Row],[Code]], NameCodingTable[Code], NameCodingTable[Most Recent Category per allFYs])</f>
        <v>Governmental direction and support</v>
      </c>
      <c r="D80" t="str">
        <f>_xlfn.XLOOKUP(SummaryTable[[#This Row],[Code]], NameCodingTable[Code], NameCodingTable[Unit Display Name])</f>
        <v>Office of Finance and Resource Management (OFRM)</v>
      </c>
      <c r="E80" t="str">
        <f>_xlfn.XLOOKUP(SummaryTable[[#This Row],[Code]], NameCodingTable[Code], NameCodingTable[Type])</f>
        <v>agency</v>
      </c>
      <c r="F8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8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80" s="54">
        <f>SummaryTable[[#This Row],['# Over]]/SummaryTable[[#This Row],[Count]]</f>
        <v>0.1</v>
      </c>
      <c r="I8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18</v>
      </c>
      <c r="J80" s="54">
        <f>SummaryTable[[#This Row],['# Under]]/SummaryTable[[#This Row],[Count]]</f>
        <v>0.9</v>
      </c>
      <c r="K8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0" s="54">
        <f>SummaryTable[[#This Row],['# Equal]]/SummaryTable[[#This Row],[Count]]</f>
        <v>0</v>
      </c>
      <c r="M80" s="61">
        <f>SUMIFS(allFYsTable[OriginalBudget],allFYsTable[Code],SummaryTable[[#This Row],[Code]])/SummaryTable[[#This Row],[Count]]</f>
        <v>20938</v>
      </c>
      <c r="N80" s="61">
        <f>SUMIFS(allFYsTable[Actual],allFYsTable[Code],SummaryTable[[#This Row],[Code]])/SummaryTable[[#This Row],[Count]]</f>
        <v>20497.95</v>
      </c>
      <c r="O80" s="61">
        <f>SummaryTable[[#This Row],[AvgActAmt]]-SummaryTable[[#This Row],[AvgBudAmt]]</f>
        <v>-440.04999999999927</v>
      </c>
      <c r="P80" s="54">
        <f>IF(SummaryTable[[#This Row],[AvgBudAmt]]=0, IF(SummaryTable[[#This Row],[AvgDiff'#]]=0, 0, NamedFields!$C$3), SummaryTable[[#This Row],[AvgDiff'#]]/SummaryTable[[#This Row],[AvgBudAmt]])</f>
        <v>-2.1016811538828888E-2</v>
      </c>
      <c r="Q80" s="61">
        <f>IFERROR(SUMIFS(allFYsTable[OriginalBudget],allFYsTable[Code],SummaryTable[[#This Row],[Code]],allFYsTable[DiffAmount], "&gt;0")/SummaryTable[[#This Row],['# Over]], 0)</f>
        <v>9823.5</v>
      </c>
      <c r="R80" s="61">
        <f>IFERROR(SUMIFS(allFYsTable[Actual],allFYsTable[Code],SummaryTable[[#This Row],[Code]],allFYsTable[DiffAmount], "&gt;0")/SummaryTable[[#This Row],['# Over]], 0)</f>
        <v>10834</v>
      </c>
      <c r="S80" s="61">
        <f>SummaryTable[[#This Row],[OverAvgAct]]-SummaryTable[[#This Row],[OverAvgBud]]</f>
        <v>1010.5</v>
      </c>
      <c r="T80" s="54">
        <f>IF(SummaryTable[[#This Row],[OverAvgBud]]=0, IF(SummaryTable[[#This Row],[OverAvgDiff'#]]=0, ZeroBudgetNoSpending, ZeroBudgetWithSpending), SummaryTable[[#This Row],[OverAvgDiff'#]]/SummaryTable[[#This Row],[OverAvgBud]])</f>
        <v>0.10286557744184863</v>
      </c>
      <c r="U80" s="61">
        <f>IFERROR(SUMIFS(allFYsTable[OriginalBudget],allFYsTable[Code],SummaryTable[[#This Row],[Code]],allFYsTable[DiffAmount], "&lt;0")/SummaryTable[[#This Row],['# Under]], 0)</f>
        <v>22172.944444444445</v>
      </c>
      <c r="V80" s="61">
        <f>IFERROR( SUMIFS(allFYsTable[Actual],allFYsTable[Code],SummaryTable[[#This Row],[Code]],allFYsTable[DiffAmount], "&lt;0")/SummaryTable[[#This Row],['# Under]], 0)</f>
        <v>21571.722222222223</v>
      </c>
      <c r="W80" s="61">
        <f>SummaryTable[[#This Row],[UnderAvgAct]]-SummaryTable[[#This Row],[UnderAvgBud]]</f>
        <v>-601.22222222222263</v>
      </c>
      <c r="X80" s="54">
        <f>IF(SummaryTable[[#This Row],[UnderAvgBud]]=0, IF(SummaryTable[[#This Row],[UnderAvgDiff'#]]=0, ZeroBudgetNoSpending, NamedFields!$C$3), SummaryTable[[#This Row],[UnderAvgDiff'#]]/SummaryTable[[#This Row],[UnderAvgBud]])</f>
        <v>-2.7115127795887397E-2</v>
      </c>
      <c r="Y8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8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0" s="54">
        <f>IF(SummaryTable[[#This Row],[IncreaseYears]]=0, ZeroBudgetNoSpending, SummaryTable[[#This Row],[OSinIncreaseYear'#]]/SummaryTable[[#This Row],[IncreaseYears]])</f>
        <v>0</v>
      </c>
      <c r="AB80" s="58" t="str">
        <f>SummaryTable[[#This Row],[Code]]</f>
        <v>AS0</v>
      </c>
      <c r="AC80" s="62">
        <f>IF(COUNTIFS(allFYsTable[Code], SummaryTable[[#This Row],[Code]], allFYsTable[year2], AC$3)=0, NotFound, SUMIFS(allFYsTable[OriginalBudget], allFYsTable[Code], SummaryTable[[#This Row],[Code]], allFYsTable[year2], AC$3))</f>
        <v>31459</v>
      </c>
      <c r="AD80" s="61">
        <f>SummaryTable[[#This Row],[OriginalBudget25]]-SummaryTable[[#This Row],[OriginalBudget24]]</f>
        <v>-617</v>
      </c>
      <c r="AE80" s="54">
        <f>SummaryTable[[#This Row],[BudgetIncreaseAmount25]]/SummaryTable[[#This Row],[OriginalBudget24]]</f>
        <v>-1.9235565531861828E-2</v>
      </c>
      <c r="AF80" s="61">
        <f>IF(COUNTIFS(allFYsTable[Code], SummaryTable[[#This Row],[Code]], allFYsTable[year2], AC$3)=0, NotFound, SUMIFS(allFYsTable[RevisedBudget], allFYsTable[Code], SummaryTable[[#This Row],[Code]], allFYsTable[year2], AC$3))</f>
        <v>31309</v>
      </c>
      <c r="AG80" s="61">
        <f>IF(COUNTIFS(allFYsTable[Code], SummaryTable[[#This Row],[Code]], allFYsTable[year2], AC$3)=0, NotFound, SUMIFS(allFYsTable[Actual], allFYsTable[Code], SummaryTable[[#This Row],[Code]], allFYsTable[year2], AC$3))</f>
        <v>30894</v>
      </c>
      <c r="AH80" s="61">
        <f>IF(COUNTIFS(allFYsTable[Code], SummaryTable[[#This Row],[Code]], allFYsTable[year2], AC$3)=0, NotFound, SUMIFS(allFYsTable[DiffAmount], allFYsTable[Code], SummaryTable[[#This Row],[Code]], allFYsTable[year2], AC$3))</f>
        <v>-565</v>
      </c>
      <c r="AI80" s="63">
        <f>IF(SummaryTable[[#This Row],[OriginalBudget25]]=0, IF(SummaryTable[[#This Row],[DiffAmount25]]=0, ZeroBudgetNoSpending, ZeroBudgetWithSpending), SummaryTable[[#This Row],[DiffAmount25]]/SummaryTable[[#This Row],[OriginalBudget25]])</f>
        <v>-1.7959884293842779E-2</v>
      </c>
      <c r="AJ80" s="62">
        <f>IF(COUNTIFS(allFYsTable[Code], SummaryTable[[#This Row],[Code]], allFYsTable[year2], AJ$3)=0, NotFound, SUMIFS(allFYsTable[OriginalBudget], allFYsTable[Code], SummaryTable[[#This Row],[Code]], allFYsTable[year2], AJ$3))</f>
        <v>32076</v>
      </c>
      <c r="AK80" s="61">
        <f>SummaryTable[[#This Row],[OriginalBudget24]]-SummaryTable[[#This Row],[OriginalBudget23]]</f>
        <v>-222</v>
      </c>
      <c r="AL80" s="54">
        <f>SummaryTable[[#This Row],[BudgetIncreaseAmount24]]/SummaryTable[[#This Row],[OriginalBudget23]]</f>
        <v>-6.8734906186141559E-3</v>
      </c>
      <c r="AM80" s="61">
        <f>IF(COUNTIFS(allFYsTable[Code], SummaryTable[[#This Row],[Code]], allFYsTable[year2], AK$3)=0, NotFound, SUMIFS(allFYsTable[RevisedBudget], allFYsTable[Code], SummaryTable[[#This Row],[Code]], allFYsTable[year2], AJ$3))</f>
        <v>31475</v>
      </c>
      <c r="AN80" s="61">
        <f>IF(COUNTIFS(allFYsTable[Code], SummaryTable[[#This Row],[Code]], allFYsTable[year2], AJ$3)=0, NotFound, SUMIFS(allFYsTable[Actual], allFYsTable[Code], SummaryTable[[#This Row],[Code]], allFYsTable[year2], AJ$3))</f>
        <v>31438</v>
      </c>
      <c r="AO80" s="61">
        <f>IF(COUNTIFS(allFYsTable[Code], SummaryTable[[#This Row],[Code]], allFYsTable[year2], AJ$3)=0, NotFound, SUMIFS(allFYsTable[DiffAmount], allFYsTable[Code], SummaryTable[[#This Row],[Code]], allFYsTable[year2], AJ$3))</f>
        <v>-638</v>
      </c>
      <c r="AP80" s="63">
        <f>IF(SummaryTable[[#This Row],[OriginalBudget24]]=0, IF(SummaryTable[[#This Row],[DiffAmount24]]=0, ZeroBudgetNoSpending, ZeroBudgetWithSpending), SummaryTable[[#This Row],[DiffAmount24]]/SummaryTable[[#This Row],[OriginalBudget24]])</f>
        <v>-1.9890260631001373E-2</v>
      </c>
      <c r="AQ80" s="62">
        <f>IF(COUNTIFS(allFYsTable[Code], SummaryTable[[#This Row],[Code]], allFYsTable[year2], AQ$3)=0, NotFound, SUMIFS(allFYsTable[OriginalBudget], allFYsTable[Code], SummaryTable[[#This Row],[Code]], allFYsTable[year2], AQ$3))</f>
        <v>32298</v>
      </c>
      <c r="AR80" s="61">
        <f>SummaryTable[[#This Row],[OriginalBudget23]]-SummaryTable[[#This Row],[OriginalBudget22]]</f>
        <v>717</v>
      </c>
      <c r="AS80" s="54">
        <f>SummaryTable[[#This Row],[BudgetIncreaseAmount23]]/SummaryTable[[#This Row],[OriginalBudget22]]</f>
        <v>2.2703524270922391E-2</v>
      </c>
      <c r="AT80" s="61">
        <f>IF(COUNTIFS(allFYsTable[Code], SummaryTable[[#This Row],[Code]], allFYsTable[year2], AQ$3)=0, NotFound, SUMIFS(allFYsTable[RevisedBudget], allFYsTable[Code], SummaryTable[[#This Row],[Code]], allFYsTable[year2], AQ$3))</f>
        <v>32298</v>
      </c>
      <c r="AU80" s="61">
        <f>IF(COUNTIFS(allFYsTable[Code], SummaryTable[[#This Row],[Code]], allFYsTable[year2], AQ$3)=0, NotFound, SUMIFS(allFYsTable[Actual], allFYsTable[Code], SummaryTable[[#This Row],[Code]], allFYsTable[year2], AQ$3))</f>
        <v>32121</v>
      </c>
      <c r="AV80" s="61">
        <f>IF(COUNTIFS(allFYsTable[Code], SummaryTable[[#This Row],[Code]], allFYsTable[year2], AQ$3)=0, NotFound, SUMIFS(allFYsTable[DiffAmount], allFYsTable[Code], SummaryTable[[#This Row],[Code]], allFYsTable[year2], AQ$3))</f>
        <v>-177</v>
      </c>
      <c r="AW80" s="63">
        <f>IF(SummaryTable[[#This Row],[OriginalBudget23]]=0, IF(SummaryTable[[#This Row],[DiffAmount23]]=0, ZeroBudgetNoSpending, ZeroBudgetWithSpending), SummaryTable[[#This Row],[DiffAmount23]]/SummaryTable[[#This Row],[OriginalBudget23]])</f>
        <v>-5.4802154932193942E-3</v>
      </c>
      <c r="AX80" s="62">
        <f>IF(COUNTIFS(allFYsTable[Code], SummaryTable[[#This Row],[Code]], allFYsTable[year2], AX$3)=0, NotFound, SUMIFS(allFYsTable[OriginalBudget], allFYsTable[Code], SummaryTable[[#This Row],[Code]], allFYsTable[year2], AX$3))</f>
        <v>31581</v>
      </c>
      <c r="AY80" s="61">
        <f>SummaryTable[[#This Row],[OriginalBudget22]]-SummaryTable[[#This Row],[OriginalBudget21]]</f>
        <v>931</v>
      </c>
      <c r="AZ80" s="54">
        <f>SummaryTable[[#This Row],[BudgetIncreaseAmount22]]/SummaryTable[[#This Row],[OriginalBudget21]]</f>
        <v>3.0375203915171289E-2</v>
      </c>
      <c r="BA80" s="61">
        <f>IF(COUNTIFS(allFYsTable[Code], SummaryTable[[#This Row],[Code]], allFYsTable[year2], AX$3)=0, NotFound, SUMIFS(allFYsTable[RevisedBudget], allFYsTable[Code], SummaryTable[[#This Row],[Code]], allFYsTable[year2], AX$3))</f>
        <v>31779</v>
      </c>
      <c r="BB80" s="61">
        <f>IF(COUNTIFS(allFYsTable[Code], SummaryTable[[#This Row],[Code]], allFYsTable[year2], AX$3)=0, NotFound, SUMIFS(allFYsTable[Actual], allFYsTable[Code], SummaryTable[[#This Row],[Code]], allFYsTable[year2], AX$3))</f>
        <v>31343</v>
      </c>
      <c r="BC80" s="61">
        <f>IF(COUNTIFS(allFYsTable[Code], SummaryTable[[#This Row],[Code]], allFYsTable[year2], AX$3)=0, NotFound, SUMIFS(allFYsTable[DiffAmount], allFYsTable[Code], SummaryTable[[#This Row],[Code]], allFYsTable[year2], AX$3))</f>
        <v>-238</v>
      </c>
      <c r="BD80" s="63">
        <f>IF(SummaryTable[[#This Row],[OriginalBudget22]]=0, IF(SummaryTable[[#This Row],[DiffAmount22]]=0, ZeroBudgetNoSpending, ZeroBudgetWithSpending), SummaryTable[[#This Row],[DiffAmount22]]/SummaryTable[[#This Row],[OriginalBudget22]])</f>
        <v>-7.5361768151736806E-3</v>
      </c>
      <c r="BE80" s="62">
        <f>IF(COUNTIFS(allFYsTable[Code], SummaryTable[[#This Row],[Code]], allFYsTable[year2], BE$3)=0, NotFound, SUMIFS(allFYsTable[OriginalBudget], allFYsTable[Code], SummaryTable[[#This Row],[Code]], allFYsTable[year2], BE$3))</f>
        <v>30650</v>
      </c>
      <c r="BF80" s="61">
        <f>SummaryTable[[#This Row],[OriginalBudget21]]-SummaryTable[[#This Row],[OriginalBudget20]]</f>
        <v>2182</v>
      </c>
      <c r="BG80" s="54">
        <f>SummaryTable[[#This Row],[BudgetIncreaseAmount21]]/SummaryTable[[#This Row],[OriginalBudget20]]</f>
        <v>7.6647463819024875E-2</v>
      </c>
      <c r="BH80" s="61">
        <f>IF(COUNTIFS(allFYsTable[Code], SummaryTable[[#This Row],[Code]], allFYsTable[year2], BE$3)=0, NotFound, SUMIFS(allFYsTable[RevisedBudget], allFYsTable[Code], SummaryTable[[#This Row],[Code]], allFYsTable[year2], BE$3))</f>
        <v>30650</v>
      </c>
      <c r="BI80" s="61">
        <f>IF(COUNTIFS(allFYsTable[Code], SummaryTable[[#This Row],[Code]], allFYsTable[year2], BE$3)=0, NotFound, SUMIFS(allFYsTable[Actual], allFYsTable[Code], SummaryTable[[#This Row],[Code]], allFYsTable[year2], BE$3))</f>
        <v>29916</v>
      </c>
      <c r="BJ80" s="61">
        <f>IF(COUNTIFS(allFYsTable[Code], SummaryTable[[#This Row],[Code]], allFYsTable[year2], BE$3)=0, NotFound, SUMIFS(allFYsTable[DiffAmount], allFYsTable[Code], SummaryTable[[#This Row],[Code]], allFYsTable[year2], BE$3))</f>
        <v>-734</v>
      </c>
      <c r="BK80" s="63">
        <f>IF(SummaryTable[[#This Row],[OriginalBudget21]]=0, IF(SummaryTable[[#This Row],[DiffAmount21]]=0, ZeroBudgetNoSpending, ZeroBudgetWithSpending), SummaryTable[[#This Row],[DiffAmount21]]/SummaryTable[[#This Row],[OriginalBudget21]])</f>
        <v>-2.394779771615008E-2</v>
      </c>
      <c r="BL80" s="62">
        <f>IF(COUNTIFS(allFYsTable[Code], SummaryTable[[#This Row],[Code]], allFYsTable[year2], BL$3)=0, NotFound, SUMIFS(allFYsTable[OriginalBudget], allFYsTable[Code], SummaryTable[[#This Row],[Code]], allFYsTable[year2], BL$3))</f>
        <v>28468</v>
      </c>
      <c r="BM80" s="61">
        <f>SummaryTable[[#This Row],[OriginalBudget20]]-SummaryTable[[#This Row],[OriginalBudget19]]</f>
        <v>1345</v>
      </c>
      <c r="BN80" s="54">
        <f>SummaryTable[[#This Row],[BudgetIncreaseAmount20]]/SummaryTable[[#This Row],[OriginalBudget19]]</f>
        <v>4.9588909781366368E-2</v>
      </c>
      <c r="BO80" s="61">
        <f>IF(COUNTIFS(allFYsTable[Code], SummaryTable[[#This Row],[Code]], allFYsTable[year2], BL$3)=0, NotFound, SUMIFS(allFYsTable[RevisedBudget], allFYsTable[Code], SummaryTable[[#This Row],[Code]], allFYsTable[year2], BL$3))</f>
        <v>28085</v>
      </c>
      <c r="BP80" s="61">
        <f>IF(COUNTIFS(allFYsTable[Code], SummaryTable[[#This Row],[Code]], allFYsTable[year2], BL$3)=0, NotFound, SUMIFS(allFYsTable[Actual], allFYsTable[Code], SummaryTable[[#This Row],[Code]], allFYsTable[year2], BL$3))</f>
        <v>28016</v>
      </c>
      <c r="BQ80" s="61">
        <f>IF(COUNTIFS(allFYsTable[Code], SummaryTable[[#This Row],[Code]], allFYsTable[year2], BL$3)=0, NotFound, SUMIFS(allFYsTable[DiffAmount], allFYsTable[Code], SummaryTable[[#This Row],[Code]], allFYsTable[year2], BL$3))</f>
        <v>-452</v>
      </c>
      <c r="BR80" s="63">
        <f>IF(SummaryTable[[#This Row],[OriginalBudget20]]=0, IF(SummaryTable[[#This Row],[DiffAmount20]]=0, ZeroBudgetNoSpending, ZeroBudgetWithSpending), SummaryTable[[#This Row],[DiffAmount20]]/SummaryTable[[#This Row],[OriginalBudget20]])</f>
        <v>-1.5877476464802587E-2</v>
      </c>
      <c r="BS80" s="62">
        <f>IF(COUNTIFS(allFYsTable[Code], SummaryTable[[#This Row],[Code]], allFYsTable[year2], BS$3)=0, NotFound, SUMIFS(allFYsTable[OriginalBudget], allFYsTable[Code], SummaryTable[[#This Row],[Code]], allFYsTable[year2], BS$3))</f>
        <v>27123</v>
      </c>
      <c r="BT80" s="61">
        <f>SummaryTable[[#This Row],[OriginalBudget19]]-SummaryTable[[#This Row],[OriginalBudget18]]</f>
        <v>2859</v>
      </c>
      <c r="BU80" s="54">
        <f>SummaryTable[[#This Row],[BudgetIncreaseAmount19]]/SummaryTable[[#This Row],[OriginalBudget18]]</f>
        <v>0.11782888229475767</v>
      </c>
      <c r="BV80" s="61">
        <f>IF(COUNTIFS(allFYsTable[Code], SummaryTable[[#This Row],[Code]], allFYsTable[year2], BS$3)=0, NotFound, SUMIFS(allFYsTable[RevisedBudget], allFYsTable[Code], SummaryTable[[#This Row],[Code]], allFYsTable[year2], BS$3))</f>
        <v>27037</v>
      </c>
      <c r="BW80" s="61">
        <f>IF(COUNTIFS(allFYsTable[Code], SummaryTable[[#This Row],[Code]], allFYsTable[year2], BS$3)=0, NotFound, SUMIFS(allFYsTable[Actual], allFYsTable[Code], SummaryTable[[#This Row],[Code]], allFYsTable[year2], BS$3))</f>
        <v>26480</v>
      </c>
      <c r="BX80" s="61">
        <f>IF(COUNTIFS(allFYsTable[Code], SummaryTable[[#This Row],[Code]], allFYsTable[year2], BS$3)=0, NotFound, SUMIFS(allFYsTable[DiffAmount], allFYsTable[Code], SummaryTable[[#This Row],[Code]], allFYsTable[year2], BS$3))</f>
        <v>-643</v>
      </c>
      <c r="BY80" s="63">
        <f>IF(SummaryTable[[#This Row],[OriginalBudget19]]=0, IF(SummaryTable[[#This Row],[DiffAmount19]]=0, ZeroBudgetNoSpending, ZeroBudgetWithSpending), SummaryTable[[#This Row],[DiffAmount19]]/SummaryTable[[#This Row],[OriginalBudget19]])</f>
        <v>-2.3706817092504516E-2</v>
      </c>
      <c r="BZ80" s="62">
        <f>IF(COUNTIFS(allFYsTable[Code], SummaryTable[[#This Row],[Code]], allFYsTable[year2], BZ$3)=0, NotFound, SUMIFS(allFYsTable[OriginalBudget], allFYsTable[Code], SummaryTable[[#This Row],[Code]], allFYsTable[year2], BZ$3))</f>
        <v>24264</v>
      </c>
      <c r="CA80" s="61">
        <f>SummaryTable[[#This Row],[OriginalBudget18]]-SummaryTable[[#This Row],[OriginalBudget17]]</f>
        <v>884</v>
      </c>
      <c r="CB80" s="54">
        <f>SummaryTable[[#This Row],[BudgetIncreaseAmount18]]/SummaryTable[[#This Row],[OriginalBudget17]]</f>
        <v>3.7810094097519245E-2</v>
      </c>
      <c r="CC80" s="61">
        <f>IF(COUNTIFS(allFYsTable[Code], SummaryTable[[#This Row],[Code]], allFYsTable[year2], BZ$3)=0, NotFound, SUMIFS(allFYsTable[RevisedBudget], allFYsTable[Code], SummaryTable[[#This Row],[Code]], allFYsTable[year2], BZ$3))</f>
        <v>24242</v>
      </c>
      <c r="CD80" s="61">
        <f>IF(COUNTIFS(allFYsTable[Code], SummaryTable[[#This Row],[Code]], allFYsTable[year2], BZ$3)=0, NotFound, SUMIFS(allFYsTable[Actual], allFYsTable[Code], SummaryTable[[#This Row],[Code]], allFYsTable[year2], BZ$3))</f>
        <v>23970</v>
      </c>
      <c r="CE80" s="61">
        <f>IF(COUNTIFS(allFYsTable[Code], SummaryTable[[#This Row],[Code]], allFYsTable[year2], BZ$3)=0, NotFound, SUMIFS(allFYsTable[DiffAmount], allFYsTable[Code], SummaryTable[[#This Row],[Code]], allFYsTable[year2], BZ$3))</f>
        <v>-294</v>
      </c>
      <c r="CF80" s="63">
        <f>IF(SummaryTable[[#This Row],[OriginalBudget18]]=0, IF(SummaryTable[[#This Row],[DiffAmount18]]=0, ZeroBudgetNoSpending, ZeroBudgetWithSpending), SummaryTable[[#This Row],[DiffAmount18]]/SummaryTable[[#This Row],[OriginalBudget18]])</f>
        <v>-1.211671612265084E-2</v>
      </c>
      <c r="CG80" s="62">
        <f>IF(COUNTIFS(allFYsTable[Code], SummaryTable[[#This Row],[Code]], allFYsTable[year2], CG$3)=0, NotFound, SUMIFS(allFYsTable[OriginalBudget], allFYsTable[Code], SummaryTable[[#This Row],[Code]], allFYsTable[year2], CG$3))</f>
        <v>23380</v>
      </c>
      <c r="CH80" s="61">
        <f>SummaryTable[[#This Row],[OriginalBudget17]]-SummaryTable[[#This Row],[OriginalBudget16]]</f>
        <v>1808</v>
      </c>
      <c r="CI80" s="54">
        <f>SummaryTable[[#This Row],[BudgetIncreaseAmount17]]/SummaryTable[[#This Row],[OriginalBudget16]]</f>
        <v>8.3812349341739298E-2</v>
      </c>
      <c r="CJ80" s="61">
        <f>IF(COUNTIFS(allFYsTable[Code], SummaryTable[[#This Row],[Code]], allFYsTable[year2], CG$3)=0, NotFound, SUMIFS(allFYsTable[RevisedBudget], allFYsTable[Code], SummaryTable[[#This Row],[Code]], allFYsTable[year2], CG$3))</f>
        <v>23275</v>
      </c>
      <c r="CK80" s="61">
        <f>IF(COUNTIFS(allFYsTable[Code], SummaryTable[[#This Row],[Code]], allFYsTable[year2], CG$3)=0, NotFound, SUMIFS(allFYsTable[Actual], allFYsTable[Code], SummaryTable[[#This Row],[Code]], allFYsTable[year2], CG$3))</f>
        <v>23230</v>
      </c>
      <c r="CL80" s="61">
        <f>IF(COUNTIFS(allFYsTable[Code], SummaryTable[[#This Row],[Code]], allFYsTable[year2], CG$3)=0, NotFound, SUMIFS(allFYsTable[DiffAmount], allFYsTable[Code], SummaryTable[[#This Row],[Code]], allFYsTable[year2], CG$3))</f>
        <v>-150</v>
      </c>
      <c r="CM80" s="63">
        <f>IF(SummaryTable[[#This Row],[OriginalBudget17]]=0, IF(SummaryTable[[#This Row],[DiffAmount17]]=0, ZeroBudgetNoSpending, ZeroBudgetWithSpending), SummaryTable[[#This Row],[DiffAmount17]]/SummaryTable[[#This Row],[OriginalBudget17]])</f>
        <v>-6.4157399486740804E-3</v>
      </c>
      <c r="CN80" s="62">
        <f>IF(COUNTIFS(allFYsTable[Code], SummaryTable[[#This Row],[Code]], allFYsTable[year2], CN$3)=0, NotFound, SUMIFS(allFYsTable[OriginalBudget], allFYsTable[Code], SummaryTable[[#This Row],[Code]], allFYsTable[year2], CN$3))</f>
        <v>21572</v>
      </c>
      <c r="CO80" s="61">
        <f>SummaryTable[[#This Row],[OriginalBudget16]]-SummaryTable[[#This Row],[OriginalBudget15]]</f>
        <v>369</v>
      </c>
      <c r="CP80" s="54">
        <f>SummaryTable[[#This Row],[BudgetIncreaseAmount16]]/SummaryTable[[#This Row],[OriginalBudget15]]</f>
        <v>1.7403197660708389E-2</v>
      </c>
      <c r="CQ80" s="61">
        <f>IF(COUNTIFS(allFYsTable[Code], SummaryTable[[#This Row],[Code]], allFYsTable[year2], CN$3)=0, NotFound, SUMIFS(allFYsTable[RevisedBudget], allFYsTable[Code], SummaryTable[[#This Row],[Code]], allFYsTable[year2], CN$3))</f>
        <v>21222</v>
      </c>
      <c r="CR80" s="61">
        <f>IF(COUNTIFS(allFYsTable[Code], SummaryTable[[#This Row],[Code]], allFYsTable[year2], CN$3)=0, NotFound, SUMIFS(allFYsTable[Actual], allFYsTable[Code], SummaryTable[[#This Row],[Code]], allFYsTable[year2], CN$3))</f>
        <v>20800</v>
      </c>
      <c r="CS80" s="61">
        <f>IF(COUNTIFS(allFYsTable[Code], SummaryTable[[#This Row],[Code]], allFYsTable[year2], CN$3)=0, NotFound, SUMIFS(allFYsTable[DiffAmount], allFYsTable[Code], SummaryTable[[#This Row],[Code]], allFYsTable[year2], CN$3))</f>
        <v>-772</v>
      </c>
      <c r="CT80" s="63">
        <f>IF(SummaryTable[[#This Row],[OriginalBudget16]]=0, IF(SummaryTable[[#This Row],[DiffAmount16]]=0, ZeroBudgetNoSpending, ZeroBudgetWithSpending), SummaryTable[[#This Row],[DiffAmount16]]/SummaryTable[[#This Row],[OriginalBudget16]])</f>
        <v>-3.5787131466716117E-2</v>
      </c>
      <c r="CU80" s="62">
        <f>IF(COUNTIFS(allFYsTable[Code], SummaryTable[[#This Row],[Code]], allFYsTable[year2], CU$3)=0, NotFound, SUMIFS(allFYsTable[OriginalBudget], allFYsTable[Code], SummaryTable[[#This Row],[Code]], allFYsTable[year2], CU$3))</f>
        <v>21203</v>
      </c>
      <c r="CV80" s="61">
        <f>SummaryTable[[#This Row],[OriginalBudget15]]-SummaryTable[[#This Row],[OriginalBudget14]]</f>
        <v>1538</v>
      </c>
      <c r="CW80" s="54">
        <f>SummaryTable[[#This Row],[BudgetIncreaseAmount15]]/SummaryTable[[#This Row],[OriginalBudget14]]</f>
        <v>7.8210017798118481E-2</v>
      </c>
      <c r="CX80" s="61">
        <f>IF(COUNTIFS(allFYsTable[Code], SummaryTable[[#This Row],[Code]], allFYsTable[year2], CU$3)=0, NotFound, SUMIFS(allFYsTable[RevisedBudget], allFYsTable[Code], SummaryTable[[#This Row],[Code]], allFYsTable[year2], CU$3))</f>
        <v>21203</v>
      </c>
      <c r="CY80" s="61">
        <f>IF(COUNTIFS(allFYsTable[Code], SummaryTable[[#This Row],[Code]], allFYsTable[year2], CU$3)=0, NotFound, SUMIFS(allFYsTable[Actual], allFYsTable[Code], SummaryTable[[#This Row],[Code]], allFYsTable[year2], CU$3))</f>
        <v>18999</v>
      </c>
      <c r="CZ80" s="61">
        <f>IF(COUNTIFS(allFYsTable[Code], SummaryTable[[#This Row],[Code]], allFYsTable[year2], CU$3)=0, NotFound, SUMIFS(allFYsTable[DiffAmount], allFYsTable[Code], SummaryTable[[#This Row],[Code]], allFYsTable[year2], CU$3))</f>
        <v>-2204</v>
      </c>
      <c r="DA80" s="63">
        <f>IF(SummaryTable[[#This Row],[OriginalBudget15]]=0, IF(SummaryTable[[#This Row],[DiffAmount15]]=0, ZeroBudgetNoSpending, ZeroBudgetWithSpending), SummaryTable[[#This Row],[DiffAmount15]]/SummaryTable[[#This Row],[OriginalBudget15]])</f>
        <v>-0.10394755459133141</v>
      </c>
      <c r="DB80" s="62">
        <f>IF(COUNTIFS(allFYsTable[Code], SummaryTable[[#This Row],[Code]], allFYsTable[year2], DB$3)=0, NotFound, SUMIFS(allFYsTable[OriginalBudget], allFYsTable[Code], SummaryTable[[#This Row],[Code]], allFYsTable[year2], DB$3))</f>
        <v>19665</v>
      </c>
      <c r="DC80" s="61">
        <f>SummaryTable[[#This Row],[OriginalBudget14]]-SummaryTable[[#This Row],[OriginalBudget13]]</f>
        <v>292</v>
      </c>
      <c r="DD80" s="54">
        <f>SummaryTable[[#This Row],[BudgetIncreaseAmount14]]/SummaryTable[[#This Row],[OriginalBudget13]]</f>
        <v>1.5072523615340939E-2</v>
      </c>
      <c r="DE80" s="61">
        <f>IF(COUNTIFS(allFYsTable[Code], SummaryTable[[#This Row],[Code]], allFYsTable[year2], DB$3)=0, NotFound, SUMIFS(allFYsTable[RevisedBudget], allFYsTable[Code], SummaryTable[[#This Row],[Code]], allFYsTable[year2], DB$3))</f>
        <v>19791</v>
      </c>
      <c r="DF80" s="61">
        <f>IF(COUNTIFS(allFYsTable[Code], SummaryTable[[#This Row],[Code]], allFYsTable[year2], DB$3)=0, NotFound, SUMIFS(allFYsTable[Actual], allFYsTable[Code], SummaryTable[[#This Row],[Code]], allFYsTable[year2], DB$3))</f>
        <v>19091</v>
      </c>
      <c r="DG80" s="61">
        <f>IF(COUNTIFS(allFYsTable[Code], SummaryTable[[#This Row],[Code]], allFYsTable[year2], DB$3)=0, NotFound, SUMIFS(allFYsTable[DiffAmount], allFYsTable[Code], SummaryTable[[#This Row],[Code]], allFYsTable[year2], DB$3))</f>
        <v>-574</v>
      </c>
      <c r="DH80" s="63">
        <f>IF(SummaryTable[[#This Row],[OriginalBudget14]]=0, IF(SummaryTable[[#This Row],[DiffAmount14]]=0, ZeroBudgetNoSpending, ZeroBudgetWithSpending), SummaryTable[[#This Row],[DiffAmount14]]/SummaryTable[[#This Row],[OriginalBudget14]])</f>
        <v>-2.9188914314772437E-2</v>
      </c>
      <c r="DI80" s="62">
        <f>IF(COUNTIFS(allFYsTable[Code], SummaryTable[[#This Row],[Code]], allFYsTable[year2], DI$3)=0, NotFound, SUMIFS(allFYsTable[OriginalBudget], allFYsTable[Code], SummaryTable[[#This Row],[Code]], allFYsTable[year2], DI$3))</f>
        <v>19373</v>
      </c>
      <c r="DJ80" s="61">
        <f>SummaryTable[[#This Row],[OriginalBudget13]]-SummaryTable[[#This Row],[OriginalBudget12]]</f>
        <v>305</v>
      </c>
      <c r="DK80" s="54">
        <f>SummaryTable[[#This Row],[BudgetIncreaseAmount13]]/SummaryTable[[#This Row],[OriginalBudget12]]</f>
        <v>1.5995384938116215E-2</v>
      </c>
      <c r="DL80" s="61">
        <f>IF(COUNTIFS(allFYsTable[Code], SummaryTable[[#This Row],[Code]], allFYsTable[year2], DI$3)=0, NotFound, SUMIFS(allFYsTable[RevisedBudget], allFYsTable[Code], SummaryTable[[#This Row],[Code]], allFYsTable[year2], DI$3))</f>
        <v>19373</v>
      </c>
      <c r="DM80" s="61">
        <f>IF(COUNTIFS(allFYsTable[Code], SummaryTable[[#This Row],[Code]], allFYsTable[year2], DI$3)=0, NotFound, SUMIFS(allFYsTable[Actual], allFYsTable[Code], SummaryTable[[#This Row],[Code]], allFYsTable[year2], DI$3))</f>
        <v>19154</v>
      </c>
      <c r="DN80" s="61">
        <f>IF(COUNTIFS(allFYsTable[Code], SummaryTable[[#This Row],[Code]], allFYsTable[year2], DI$3)=0, NotFound, SUMIFS(allFYsTable[DiffAmount], allFYsTable[Code], SummaryTable[[#This Row],[Code]], allFYsTable[year2], DI$3))</f>
        <v>-219</v>
      </c>
      <c r="DO80" s="63">
        <f>IF(SummaryTable[[#This Row],[OriginalBudget13]]=0, IF(SummaryTable[[#This Row],[DiffAmount13]]=0, ZeroBudgetNoSpending, ZeroBudgetWithSpending), SummaryTable[[#This Row],[DiffAmount13]]/SummaryTable[[#This Row],[OriginalBudget13]])</f>
        <v>-1.1304392711505703E-2</v>
      </c>
      <c r="DP80" s="62">
        <f>IF(COUNTIFS(allFYsTable[Code], SummaryTable[[#This Row],[Code]], allFYsTable[year2], DP$3)=0, NotFound, SUMIFS(allFYsTable[OriginalBudget], allFYsTable[Code], SummaryTable[[#This Row],[Code]], allFYsTable[year2], DP$3))</f>
        <v>19068</v>
      </c>
      <c r="DQ80" s="61">
        <f>SummaryTable[[#This Row],[OriginalBudget12]]-SummaryTable[[#This Row],[OriginalBudget11]]</f>
        <v>711</v>
      </c>
      <c r="DR80" s="54">
        <f>SummaryTable[[#This Row],[BudgetIncreaseAmount12]]/SummaryTable[[#This Row],[OriginalBudget11]]</f>
        <v>3.8731818924660891E-2</v>
      </c>
      <c r="DS80" s="61">
        <f>IF(COUNTIFS(allFYsTable[Code], SummaryTable[[#This Row],[Code]], allFYsTable[year2], DP$3)=0, NotFound, SUMIFS(allFYsTable[RevisedBudget], allFYsTable[Code], SummaryTable[[#This Row],[Code]], allFYsTable[year2], DP$3))</f>
        <v>19068</v>
      </c>
      <c r="DT80" s="61">
        <f>IF(COUNTIFS(allFYsTable[Code], SummaryTable[[#This Row],[Code]], allFYsTable[year2], DP$3)=0, NotFound, SUMIFS(allFYsTable[Actual], allFYsTable[Code], SummaryTable[[#This Row],[Code]], allFYsTable[year2], DP$3))</f>
        <v>16536</v>
      </c>
      <c r="DU80" s="61">
        <f>IF(COUNTIFS(allFYsTable[Code], SummaryTable[[#This Row],[Code]], allFYsTable[year2], DP$3)=0, NotFound, SUMIFS(allFYsTable[DiffAmount], allFYsTable[Code], SummaryTable[[#This Row],[Code]], allFYsTable[year2], DP$3))</f>
        <v>-2532</v>
      </c>
      <c r="DV80" s="63">
        <f>IF(SummaryTable[[#This Row],[OriginalBudget12]]=0, IF(SummaryTable[[#This Row],[DiffAmount12]]=0, ZeroBudgetNoSpending, ZeroBudgetWithSpending), SummaryTable[[#This Row],[DiffAmount12]]/SummaryTable[[#This Row],[OriginalBudget12]])</f>
        <v>-0.13278791692888608</v>
      </c>
      <c r="DW80" s="62">
        <f>IF(COUNTIFS(allFYsTable[Code], SummaryTable[[#This Row],[Code]], allFYsTable[year2], DW$3)=0, NotFound, SUMIFS(allFYsTable[OriginalBudget], allFYsTable[Code], SummaryTable[[#This Row],[Code]], allFYsTable[year2], DW$3))</f>
        <v>18357</v>
      </c>
      <c r="DX80" s="61">
        <f>SummaryTable[[#This Row],[OriginalBudget11]]-SummaryTable[[#This Row],[OriginalBudget10]]</f>
        <v>14034</v>
      </c>
      <c r="DY80" s="54">
        <f>SummaryTable[[#This Row],[BudgetIncreaseAmount11]]/SummaryTable[[#This Row],[OriginalBudget10]]</f>
        <v>3.2463566967383763</v>
      </c>
      <c r="DZ80" s="61">
        <f>IF(COUNTIFS(allFYsTable[Code], SummaryTable[[#This Row],[Code]], allFYsTable[year2], DW$3)=0, NotFound, SUMIFS(allFYsTable[RevisedBudget], allFYsTable[Code], SummaryTable[[#This Row],[Code]], allFYsTable[year2], DW$3))</f>
        <v>18357</v>
      </c>
      <c r="EA80" s="61">
        <f>IF(COUNTIFS(allFYsTable[Code], SummaryTable[[#This Row],[Code]], allFYsTable[year2], DW$3)=0, NotFound, SUMIFS(allFYsTable[Actual], allFYsTable[Code], SummaryTable[[#This Row],[Code]], allFYsTable[year2], DW$3))</f>
        <v>17874</v>
      </c>
      <c r="EB80" s="61">
        <f>IF(COUNTIFS(allFYsTable[Code], SummaryTable[[#This Row],[Code]], allFYsTable[year2], DW$3)=0, NotFound, SUMIFS(allFYsTable[DiffAmount], allFYsTable[Code], SummaryTable[[#This Row],[Code]], allFYsTable[year2], DW$3))</f>
        <v>-483</v>
      </c>
      <c r="EC80" s="63">
        <f>IF(SummaryTable[[#This Row],[OriginalBudget11]]=0, IF(SummaryTable[[#This Row],[DiffAmount11]]=0, ZeroBudgetNoSpending, ZeroBudgetWithSpending), SummaryTable[[#This Row],[DiffAmount11]]/SummaryTable[[#This Row],[OriginalBudget11]])</f>
        <v>-2.6311488805360352E-2</v>
      </c>
      <c r="ED80" s="62">
        <f>IF(COUNTIFS(allFYsTable[Code], SummaryTable[[#This Row],[Code]], allFYsTable[year2], ED$3)=0, NotFound, SUMIFS(allFYsTable[OriginalBudget], allFYsTable[Code], SummaryTable[[#This Row],[Code]], allFYsTable[year2], ED$3))</f>
        <v>4323</v>
      </c>
      <c r="EE80" s="61">
        <f>SummaryTable[[#This Row],[OriginalBudget10]]-SummaryTable[[#This Row],[OriginalBudget09]]</f>
        <v>-148</v>
      </c>
      <c r="EF80" s="54">
        <f>SummaryTable[[#This Row],[BudgetIncreaseAmount10]]/SummaryTable[[#This Row],[OriginalBudget09]]</f>
        <v>-3.3102214269738313E-2</v>
      </c>
      <c r="EG80" s="61">
        <f>IF(COUNTIFS(allFYsTable[Code], SummaryTable[[#This Row],[Code]], allFYsTable[year2], ED$3)=0, NotFound, SUMIFS(allFYsTable[RevisedBudget], allFYsTable[Code], SummaryTable[[#This Row],[Code]], allFYsTable[year2], ED$3))</f>
        <v>4323</v>
      </c>
      <c r="EH80" s="61">
        <f>IF(COUNTIFS(allFYsTable[Code], SummaryTable[[#This Row],[Code]], allFYsTable[year2], ED$3)=0, NotFound, SUMIFS(allFYsTable[Actual], allFYsTable[Code], SummaryTable[[#This Row],[Code]], allFYsTable[year2], ED$3))</f>
        <v>4297</v>
      </c>
      <c r="EI80" s="61">
        <f>IF(COUNTIFS(allFYsTable[Code], SummaryTable[[#This Row],[Code]], allFYsTable[year2], ED$3)=0, NotFound, SUMIFS(allFYsTable[DiffAmount], allFYsTable[Code], SummaryTable[[#This Row],[Code]], allFYsTable[year2], ED$3))</f>
        <v>-26</v>
      </c>
      <c r="EJ80" s="63">
        <f>IF(SummaryTable[[#This Row],[OriginalBudget10]]=0, IF(SummaryTable[[#This Row],[DiffAmount10]]=0, ZeroBudgetNoSpending, ZeroBudgetWithSpending), SummaryTable[[#This Row],[DiffAmount10]]/SummaryTable[[#This Row],[OriginalBudget10]])</f>
        <v>-6.0143418922044877E-3</v>
      </c>
      <c r="EK80" s="62">
        <f>IF(COUNTIFS(allFYsTable[Code], SummaryTable[[#This Row],[Code]], allFYsTable[year2], EK$3)=0, NotFound, SUMIFS(allFYsTable[OriginalBudget], allFYsTable[Code], SummaryTable[[#This Row],[Code]], allFYsTable[year2], EK$3))</f>
        <v>4471</v>
      </c>
      <c r="EL80" s="61">
        <f>SummaryTable[[#This Row],[OriginalBudget09]]-SummaryTable[[#This Row],[OriginalBudget08]]</f>
        <v>-407</v>
      </c>
      <c r="EM80" s="54">
        <f>SummaryTable[[#This Row],[BudgetIncreaseAmount09]]/SummaryTable[[#This Row],[OriginalBudget08]]</f>
        <v>-8.3435834358343577E-2</v>
      </c>
      <c r="EN80" s="61">
        <f>IF(COUNTIFS(allFYsTable[Code], SummaryTable[[#This Row],[Code]], allFYsTable[year2], EK$3)=0, NotFound, SUMIFS(allFYsTable[RevisedBudget], allFYsTable[Code], SummaryTable[[#This Row],[Code]], allFYsTable[year2], EK$3))</f>
        <v>4471</v>
      </c>
      <c r="EO80" s="61">
        <f>IF(COUNTIFS(allFYsTable[Code], SummaryTable[[#This Row],[Code]], allFYsTable[year2], EK$3)=0, NotFound, SUMIFS(allFYsTable[Actual], allFYsTable[Code], SummaryTable[[#This Row],[Code]], allFYsTable[year2], EK$3))</f>
        <v>4444</v>
      </c>
      <c r="EP80" s="61">
        <f>IF(COUNTIFS(allFYsTable[Code], SummaryTable[[#This Row],[Code]], allFYsTable[year2], EK$3)=0, NotFound, SUMIFS(allFYsTable[DiffAmount], allFYsTable[Code], SummaryTable[[#This Row],[Code]], allFYsTable[year2], EK$3))</f>
        <v>-27</v>
      </c>
      <c r="EQ80" s="63">
        <f>IF(SummaryTable[[#This Row],[OriginalBudget09]]=0, IF(SummaryTable[[#This Row],[DiffAmount09]]=0, ZeroBudgetNoSpending, ZeroBudgetWithSpending), SummaryTable[[#This Row],[DiffAmount09]]/SummaryTable[[#This Row],[OriginalBudget09]])</f>
        <v>-6.0389174681279353E-3</v>
      </c>
      <c r="ER80" s="62">
        <f>IF(COUNTIFS(allFYsTable[Code], SummaryTable[[#This Row],[Code]], allFYsTable[year2], ER$3)=0, NotFound, SUMIFS(allFYsTable[OriginalBudget], allFYsTable[Code], SummaryTable[[#This Row],[Code]], allFYsTable[year2], ER$3))</f>
        <v>4878</v>
      </c>
      <c r="ES80" s="61">
        <f>SummaryTable[[#This Row],[OriginalBudget08]]-SummaryTable[[#This Row],[OriginalBudget07]]</f>
        <v>-3168</v>
      </c>
      <c r="ET80" s="54">
        <f>SummaryTable[[#This Row],[BudgetIncreaseAmount08]]/SummaryTable[[#This Row],[OriginalBudget07]]</f>
        <v>-0.39373601789709173</v>
      </c>
      <c r="EU80" s="61">
        <f>IF(COUNTIFS(allFYsTable[Code], SummaryTable[[#This Row],[Code]], allFYsTable[year2], ER$3)=0, NotFound, SUMIFS(allFYsTable[RevisedBudget], allFYsTable[Code], SummaryTable[[#This Row],[Code]], allFYsTable[year2], ER$3))</f>
        <v>5017</v>
      </c>
      <c r="EV80" s="61">
        <f>IF(COUNTIFS(allFYsTable[Code], SummaryTable[[#This Row],[Code]], allFYsTable[year2], ER$3)=0, NotFound, SUMIFS(allFYsTable[Actual], allFYsTable[Code], SummaryTable[[#This Row],[Code]], allFYsTable[year2], ER$3))</f>
        <v>4971</v>
      </c>
      <c r="EW80" s="61">
        <f>IF(COUNTIFS(allFYsTable[Code], SummaryTable[[#This Row],[Code]], allFYsTable[year2], ER$3)=0, NotFound, SUMIFS(allFYsTable[DiffAmount], allFYsTable[Code], SummaryTable[[#This Row],[Code]], allFYsTable[year2], ER$3))</f>
        <v>93</v>
      </c>
      <c r="EX80" s="63">
        <f>IF(SummaryTable[[#This Row],[OriginalBudget08]]=0, IF(SummaryTable[[#This Row],[DiffAmount08]]=0, ZeroBudgetNoSpending, ZeroBudgetWithSpending), SummaryTable[[#This Row],[DiffAmount08]]/SummaryTable[[#This Row],[OriginalBudget08]])</f>
        <v>1.9065190651906518E-2</v>
      </c>
      <c r="EY80" s="62">
        <f>IF(COUNTIFS(allFYsTable[Code], SummaryTable[[#This Row],[Code]], allFYsTable[year2], EY$3)=0, NotFound, SUMIFS(allFYsTable[OriginalBudget], allFYsTable[Code], SummaryTable[[#This Row],[Code]], allFYsTable[year2], EY$3))</f>
        <v>8046</v>
      </c>
      <c r="EZ80" s="61">
        <f>SummaryTable[[#This Row],[OriginalBudget07]]-SummaryTable[[#This Row],[OriginalBudget06]]</f>
        <v>-1736</v>
      </c>
      <c r="FA80" s="54">
        <f>SummaryTable[[#This Row],[BudgetIncreaseAmount07]]/SummaryTable[[#This Row],[OriginalBudget06]]</f>
        <v>-0.17746882028215089</v>
      </c>
      <c r="FB80" s="61">
        <f>IF(COUNTIFS(allFYsTable[Code], SummaryTable[[#This Row],[Code]], allFYsTable[year2], EY$3)=0, NotFound, SUMIFS(allFYsTable[RevisedBudget], allFYsTable[Code], SummaryTable[[#This Row],[Code]], allFYsTable[year2], EY$3))</f>
        <v>8134</v>
      </c>
      <c r="FC80" s="61">
        <f>IF(COUNTIFS(allFYsTable[Code], SummaryTable[[#This Row],[Code]], allFYsTable[year2], EY$3)=0, NotFound, SUMIFS(allFYsTable[Actual], allFYsTable[Code], SummaryTable[[#This Row],[Code]], allFYsTable[year2], EY$3))</f>
        <v>8120</v>
      </c>
      <c r="FD80" s="61">
        <f>IF(COUNTIFS(allFYsTable[Code], SummaryTable[[#This Row],[Code]], allFYsTable[year2], EY$3)=0, NotFound, SUMIFS(allFYsTable[DiffAmount], allFYsTable[Code], SummaryTable[[#This Row],[Code]], allFYsTable[year2], EY$3))</f>
        <v>74</v>
      </c>
      <c r="FE80" s="63">
        <f>IF(SummaryTable[[#This Row],[OriginalBudget07]]=0, IF(SummaryTable[[#This Row],[DiffAmount07]]=0, ZeroBudgetNoSpending, ZeroBudgetWithSpending), SummaryTable[[#This Row],[DiffAmount07]]/SummaryTable[[#This Row],[OriginalBudget07]])</f>
        <v>9.1971165796669151E-3</v>
      </c>
      <c r="FF80" s="62">
        <f>IF(COUNTIFS(allFYsTable[Code], SummaryTable[[#This Row],[Code]], allFYsTable[year2], FF$3)=0, NotFound, SUMIFS(allFYsTable[OriginalBudget], allFYsTable[Code], SummaryTable[[#This Row],[Code]], allFYsTable[year2], FF$3))</f>
        <v>9782</v>
      </c>
      <c r="FI80" s="61">
        <f>IF(COUNTIFS(allFYsTable[Code], SummaryTable[[#This Row],[Code]], allFYsTable[year2], FF$3)=0, NotFound, SUMIFS(allFYsTable[RevisedBudget], allFYsTable[Code], SummaryTable[[#This Row],[Code]], allFYsTable[year2], FF$3))</f>
        <v>9782</v>
      </c>
      <c r="FJ80" s="61">
        <f>IF(COUNTIFS(allFYsTable[Code], SummaryTable[[#This Row],[Code]], allFYsTable[year2], FF$3)=0, NotFound, SUMIFS(allFYsTable[Actual], allFYsTable[Code], SummaryTable[[#This Row],[Code]], allFYsTable[year2], FF$3))</f>
        <v>9688</v>
      </c>
      <c r="FK80" s="61">
        <f>IF(COUNTIFS(allFYsTable[Code], SummaryTable[[#This Row],[Code]], allFYsTable[year2], FF$3)=0, NotFound, SUMIFS(allFYsTable[DiffAmount], allFYsTable[Code], SummaryTable[[#This Row],[Code]], allFYsTable[year2], FF$3))</f>
        <v>-94</v>
      </c>
      <c r="FL80" s="63">
        <f>IF(SummaryTable[[#This Row],[OriginalBudget06]]=0, IF(SummaryTable[[#This Row],[DiffAmount06]]=0, ZeroBudgetNoSpending, ZeroBudgetWithSpending), SummaryTable[[#This Row],[DiffAmount06]]/SummaryTable[[#This Row],[OriginalBudget06]])</f>
        <v>-9.609486812512778E-3</v>
      </c>
    </row>
    <row r="81" spans="1:168" x14ac:dyDescent="0.45">
      <c r="A81" t="s">
        <v>760</v>
      </c>
      <c r="B81">
        <f>_xlfn.MAXIFS(allFYsTable[year2], allFYsTable[Code], SummaryTable[[#This Row],[Code]])</f>
        <v>2025</v>
      </c>
      <c r="C81" t="str">
        <f>_xlfn.XLOOKUP(SummaryTable[[#This Row],[Code]], NameCodingTable[Code], NameCodingTable[Most Recent Category per allFYs])</f>
        <v>Public safety and justice</v>
      </c>
      <c r="D81" t="str">
        <f>_xlfn.XLOOKUP(SummaryTable[[#This Row],[Code]], NameCodingTable[Code], NameCodingTable[Unit Display Name])</f>
        <v>Office of Human Rights (OHR)</v>
      </c>
      <c r="E81" t="str">
        <f>_xlfn.XLOOKUP(SummaryTable[[#This Row],[Code]], NameCodingTable[Code], NameCodingTable[Type])</f>
        <v>agency</v>
      </c>
      <c r="F8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8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4</v>
      </c>
      <c r="H81" s="54">
        <f>SummaryTable[[#This Row],['# Over]]/SummaryTable[[#This Row],[Count]]</f>
        <v>0.2</v>
      </c>
      <c r="I8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16</v>
      </c>
      <c r="J81" s="54">
        <f>SummaryTable[[#This Row],['# Under]]/SummaryTable[[#This Row],[Count]]</f>
        <v>0.8</v>
      </c>
      <c r="K8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1" s="54">
        <f>SummaryTable[[#This Row],['# Equal]]/SummaryTable[[#This Row],[Count]]</f>
        <v>0</v>
      </c>
      <c r="M81" s="61">
        <f>SUMIFS(allFYsTable[OriginalBudget],allFYsTable[Code],SummaryTable[[#This Row],[Code]])/SummaryTable[[#This Row],[Count]]</f>
        <v>4739.1000000000004</v>
      </c>
      <c r="N81" s="61">
        <f>SUMIFS(allFYsTable[Actual],allFYsTable[Code],SummaryTable[[#This Row],[Code]])/SummaryTable[[#This Row],[Count]]</f>
        <v>4205.1499999999996</v>
      </c>
      <c r="O81" s="61">
        <f>SummaryTable[[#This Row],[AvgActAmt]]-SummaryTable[[#This Row],[AvgBudAmt]]</f>
        <v>-533.95000000000073</v>
      </c>
      <c r="P81" s="54">
        <f>IF(SummaryTable[[#This Row],[AvgBudAmt]]=0, IF(SummaryTable[[#This Row],[AvgDiff'#]]=0, 0, NamedFields!$C$3), SummaryTable[[#This Row],[AvgDiff'#]]/SummaryTable[[#This Row],[AvgBudAmt]])</f>
        <v>-0.11266907218670226</v>
      </c>
      <c r="Q81" s="61">
        <f>IFERROR(SUMIFS(allFYsTable[OriginalBudget],allFYsTable[Code],SummaryTable[[#This Row],[Code]],allFYsTable[DiffAmount], "&gt;0")/SummaryTable[[#This Row],['# Over]], 0)</f>
        <v>2305.25</v>
      </c>
      <c r="R81" s="61">
        <f>IFERROR(SUMIFS(allFYsTable[Actual],allFYsTable[Code],SummaryTable[[#This Row],[Code]],allFYsTable[DiffAmount], "&gt;0")/SummaryTable[[#This Row],['# Over]], 0)</f>
        <v>2382</v>
      </c>
      <c r="S81" s="61">
        <f>SummaryTable[[#This Row],[OverAvgAct]]-SummaryTable[[#This Row],[OverAvgBud]]</f>
        <v>76.75</v>
      </c>
      <c r="T81" s="54">
        <f>IF(SummaryTable[[#This Row],[OverAvgBud]]=0, IF(SummaryTable[[#This Row],[OverAvgDiff'#]]=0, ZeroBudgetNoSpending, ZeroBudgetWithSpending), SummaryTable[[#This Row],[OverAvgDiff'#]]/SummaryTable[[#This Row],[OverAvgBud]])</f>
        <v>3.3293569027220478E-2</v>
      </c>
      <c r="U81" s="61">
        <f>IFERROR(SUMIFS(allFYsTable[OriginalBudget],allFYsTable[Code],SummaryTable[[#This Row],[Code]],allFYsTable[DiffAmount], "&lt;0")/SummaryTable[[#This Row],['# Under]], 0)</f>
        <v>5347.5625</v>
      </c>
      <c r="V81" s="61">
        <f>IFERROR( SUMIFS(allFYsTable[Actual],allFYsTable[Code],SummaryTable[[#This Row],[Code]],allFYsTable[DiffAmount], "&lt;0")/SummaryTable[[#This Row],['# Under]], 0)</f>
        <v>4660.9375</v>
      </c>
      <c r="W81" s="61">
        <f>SummaryTable[[#This Row],[UnderAvgAct]]-SummaryTable[[#This Row],[UnderAvgBud]]</f>
        <v>-686.625</v>
      </c>
      <c r="X81" s="54">
        <f>IF(SummaryTable[[#This Row],[UnderAvgBud]]=0, IF(SummaryTable[[#This Row],[UnderAvgDiff'#]]=0, ZeroBudgetNoSpending, NamedFields!$C$3), SummaryTable[[#This Row],[UnderAvgDiff'#]]/SummaryTable[[#This Row],[UnderAvgBud]])</f>
        <v>-0.12839962132279895</v>
      </c>
      <c r="Y8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7</v>
      </c>
      <c r="Z8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1" s="54">
        <f>IF(SummaryTable[[#This Row],[IncreaseYears]]=0, ZeroBudgetNoSpending, SummaryTable[[#This Row],[OSinIncreaseYear'#]]/SummaryTable[[#This Row],[IncreaseYears]])</f>
        <v>0</v>
      </c>
      <c r="AB81" s="58" t="str">
        <f>SummaryTable[[#This Row],[Code]]</f>
        <v>HM0</v>
      </c>
      <c r="AC81" s="62">
        <f>IF(COUNTIFS(allFYsTable[Code], SummaryTable[[#This Row],[Code]], allFYsTable[year2], AC$3)=0, NotFound, SUMIFS(allFYsTable[OriginalBudget], allFYsTable[Code], SummaryTable[[#This Row],[Code]], allFYsTable[year2], AC$3))</f>
        <v>9555</v>
      </c>
      <c r="AD81" s="61">
        <f>SummaryTable[[#This Row],[OriginalBudget25]]-SummaryTable[[#This Row],[OriginalBudget24]]</f>
        <v>646</v>
      </c>
      <c r="AE81" s="54">
        <f>SummaryTable[[#This Row],[BudgetIncreaseAmount25]]/SummaryTable[[#This Row],[OriginalBudget24]]</f>
        <v>7.2510943989224377E-2</v>
      </c>
      <c r="AF81" s="61">
        <f>IF(COUNTIFS(allFYsTable[Code], SummaryTable[[#This Row],[Code]], allFYsTable[year2], AC$3)=0, NotFound, SUMIFS(allFYsTable[RevisedBudget], allFYsTable[Code], SummaryTable[[#This Row],[Code]], allFYsTable[year2], AC$3))</f>
        <v>8348</v>
      </c>
      <c r="AG81" s="61">
        <f>IF(COUNTIFS(allFYsTable[Code], SummaryTable[[#This Row],[Code]], allFYsTable[year2], AC$3)=0, NotFound, SUMIFS(allFYsTable[Actual], allFYsTable[Code], SummaryTable[[#This Row],[Code]], allFYsTable[year2], AC$3))</f>
        <v>8082</v>
      </c>
      <c r="AH81" s="61">
        <f>IF(COUNTIFS(allFYsTable[Code], SummaryTable[[#This Row],[Code]], allFYsTable[year2], AC$3)=0, NotFound, SUMIFS(allFYsTable[DiffAmount], allFYsTable[Code], SummaryTable[[#This Row],[Code]], allFYsTable[year2], AC$3))</f>
        <v>-1473</v>
      </c>
      <c r="AI81" s="63">
        <f>IF(SummaryTable[[#This Row],[OriginalBudget25]]=0, IF(SummaryTable[[#This Row],[DiffAmount25]]=0, ZeroBudgetNoSpending, ZeroBudgetWithSpending), SummaryTable[[#This Row],[DiffAmount25]]/SummaryTable[[#This Row],[OriginalBudget25]])</f>
        <v>-0.15416012558869702</v>
      </c>
      <c r="AJ81" s="62">
        <f>IF(COUNTIFS(allFYsTable[Code], SummaryTable[[#This Row],[Code]], allFYsTable[year2], AJ$3)=0, NotFound, SUMIFS(allFYsTable[OriginalBudget], allFYsTable[Code], SummaryTable[[#This Row],[Code]], allFYsTable[year2], AJ$3))</f>
        <v>8909</v>
      </c>
      <c r="AK81" s="61">
        <f>SummaryTable[[#This Row],[OriginalBudget24]]-SummaryTable[[#This Row],[OriginalBudget23]]</f>
        <v>-354</v>
      </c>
      <c r="AL81" s="54">
        <f>SummaryTable[[#This Row],[BudgetIncreaseAmount24]]/SummaryTable[[#This Row],[OriginalBudget23]]</f>
        <v>-3.8216560509554139E-2</v>
      </c>
      <c r="AM81" s="61">
        <f>IF(COUNTIFS(allFYsTable[Code], SummaryTable[[#This Row],[Code]], allFYsTable[year2], AK$3)=0, NotFound, SUMIFS(allFYsTable[RevisedBudget], allFYsTable[Code], SummaryTable[[#This Row],[Code]], allFYsTable[year2], AJ$3))</f>
        <v>8082</v>
      </c>
      <c r="AN81" s="61">
        <f>IF(COUNTIFS(allFYsTable[Code], SummaryTable[[#This Row],[Code]], allFYsTable[year2], AJ$3)=0, NotFound, SUMIFS(allFYsTable[Actual], allFYsTable[Code], SummaryTable[[#This Row],[Code]], allFYsTable[year2], AJ$3))</f>
        <v>7555</v>
      </c>
      <c r="AO81" s="61">
        <f>IF(COUNTIFS(allFYsTable[Code], SummaryTable[[#This Row],[Code]], allFYsTable[year2], AJ$3)=0, NotFound, SUMIFS(allFYsTable[DiffAmount], allFYsTable[Code], SummaryTable[[#This Row],[Code]], allFYsTable[year2], AJ$3))</f>
        <v>-1354</v>
      </c>
      <c r="AP81" s="63">
        <f>IF(SummaryTable[[#This Row],[OriginalBudget24]]=0, IF(SummaryTable[[#This Row],[DiffAmount24]]=0, ZeroBudgetNoSpending, ZeroBudgetWithSpending), SummaryTable[[#This Row],[DiffAmount24]]/SummaryTable[[#This Row],[OriginalBudget24]])</f>
        <v>-0.15198114266472107</v>
      </c>
      <c r="AQ81" s="62">
        <f>IF(COUNTIFS(allFYsTable[Code], SummaryTable[[#This Row],[Code]], allFYsTable[year2], AQ$3)=0, NotFound, SUMIFS(allFYsTable[OriginalBudget], allFYsTable[Code], SummaryTable[[#This Row],[Code]], allFYsTable[year2], AQ$3))</f>
        <v>9263</v>
      </c>
      <c r="AR81" s="61">
        <f>SummaryTable[[#This Row],[OriginalBudget23]]-SummaryTable[[#This Row],[OriginalBudget22]]</f>
        <v>702</v>
      </c>
      <c r="AS81" s="54">
        <f>SummaryTable[[#This Row],[BudgetIncreaseAmount23]]/SummaryTable[[#This Row],[OriginalBudget22]]</f>
        <v>8.1999766382431963E-2</v>
      </c>
      <c r="AT81" s="61">
        <f>IF(COUNTIFS(allFYsTable[Code], SummaryTable[[#This Row],[Code]], allFYsTable[year2], AQ$3)=0, NotFound, SUMIFS(allFYsTable[RevisedBudget], allFYsTable[Code], SummaryTable[[#This Row],[Code]], allFYsTable[year2], AQ$3))</f>
        <v>8015</v>
      </c>
      <c r="AU81" s="61">
        <f>IF(COUNTIFS(allFYsTable[Code], SummaryTable[[#This Row],[Code]], allFYsTable[year2], AQ$3)=0, NotFound, SUMIFS(allFYsTable[Actual], allFYsTable[Code], SummaryTable[[#This Row],[Code]], allFYsTable[year2], AQ$3))</f>
        <v>7264</v>
      </c>
      <c r="AV81" s="61">
        <f>IF(COUNTIFS(allFYsTable[Code], SummaryTable[[#This Row],[Code]], allFYsTable[year2], AQ$3)=0, NotFound, SUMIFS(allFYsTable[DiffAmount], allFYsTable[Code], SummaryTable[[#This Row],[Code]], allFYsTable[year2], AQ$3))</f>
        <v>-1999</v>
      </c>
      <c r="AW81" s="63">
        <f>IF(SummaryTable[[#This Row],[OriginalBudget23]]=0, IF(SummaryTable[[#This Row],[DiffAmount23]]=0, ZeroBudgetNoSpending, ZeroBudgetWithSpending), SummaryTable[[#This Row],[DiffAmount23]]/SummaryTable[[#This Row],[OriginalBudget23]])</f>
        <v>-0.21580481485479866</v>
      </c>
      <c r="AX81" s="62">
        <f>IF(COUNTIFS(allFYsTable[Code], SummaryTable[[#This Row],[Code]], allFYsTable[year2], AX$3)=0, NotFound, SUMIFS(allFYsTable[OriginalBudget], allFYsTable[Code], SummaryTable[[#This Row],[Code]], allFYsTable[year2], AX$3))</f>
        <v>8561</v>
      </c>
      <c r="AY81" s="61">
        <f>SummaryTable[[#This Row],[OriginalBudget22]]-SummaryTable[[#This Row],[OriginalBudget21]]</f>
        <v>619</v>
      </c>
      <c r="AZ81" s="54">
        <f>SummaryTable[[#This Row],[BudgetIncreaseAmount22]]/SummaryTable[[#This Row],[OriginalBudget21]]</f>
        <v>7.7940065474691511E-2</v>
      </c>
      <c r="BA81" s="61">
        <f>IF(COUNTIFS(allFYsTable[Code], SummaryTable[[#This Row],[Code]], allFYsTable[year2], AX$3)=0, NotFound, SUMIFS(allFYsTable[RevisedBudget], allFYsTable[Code], SummaryTable[[#This Row],[Code]], allFYsTable[year2], AX$3))</f>
        <v>7157</v>
      </c>
      <c r="BB81" s="61">
        <f>IF(COUNTIFS(allFYsTable[Code], SummaryTable[[#This Row],[Code]], allFYsTable[year2], AX$3)=0, NotFound, SUMIFS(allFYsTable[Actual], allFYsTable[Code], SummaryTable[[#This Row],[Code]], allFYsTable[year2], AX$3))</f>
        <v>6959</v>
      </c>
      <c r="BC81" s="61">
        <f>IF(COUNTIFS(allFYsTable[Code], SummaryTable[[#This Row],[Code]], allFYsTable[year2], AX$3)=0, NotFound, SUMIFS(allFYsTable[DiffAmount], allFYsTable[Code], SummaryTable[[#This Row],[Code]], allFYsTable[year2], AX$3))</f>
        <v>-1602</v>
      </c>
      <c r="BD81" s="63">
        <f>IF(SummaryTable[[#This Row],[OriginalBudget22]]=0, IF(SummaryTable[[#This Row],[DiffAmount22]]=0, ZeroBudgetNoSpending, ZeroBudgetWithSpending), SummaryTable[[#This Row],[DiffAmount22]]/SummaryTable[[#This Row],[OriginalBudget22]])</f>
        <v>-0.18712767200093447</v>
      </c>
      <c r="BE81" s="62">
        <f>IF(COUNTIFS(allFYsTable[Code], SummaryTable[[#This Row],[Code]], allFYsTable[year2], BE$3)=0, NotFound, SUMIFS(allFYsTable[OriginalBudget], allFYsTable[Code], SummaryTable[[#This Row],[Code]], allFYsTable[year2], BE$3))</f>
        <v>7942</v>
      </c>
      <c r="BF81" s="61">
        <f>SummaryTable[[#This Row],[OriginalBudget21]]-SummaryTable[[#This Row],[OriginalBudget20]]</f>
        <v>2295</v>
      </c>
      <c r="BG81" s="54">
        <f>SummaryTable[[#This Row],[BudgetIncreaseAmount21]]/SummaryTable[[#This Row],[OriginalBudget20]]</f>
        <v>0.40641048344253589</v>
      </c>
      <c r="BH81" s="61">
        <f>IF(COUNTIFS(allFYsTable[Code], SummaryTable[[#This Row],[Code]], allFYsTable[year2], BE$3)=0, NotFound, SUMIFS(allFYsTable[RevisedBudget], allFYsTable[Code], SummaryTable[[#This Row],[Code]], allFYsTable[year2], BE$3))</f>
        <v>7464</v>
      </c>
      <c r="BI81" s="61">
        <f>IF(COUNTIFS(allFYsTable[Code], SummaryTable[[#This Row],[Code]], allFYsTable[year2], BE$3)=0, NotFound, SUMIFS(allFYsTable[Actual], allFYsTable[Code], SummaryTable[[#This Row],[Code]], allFYsTable[year2], BE$3))</f>
        <v>5462</v>
      </c>
      <c r="BJ81" s="61">
        <f>IF(COUNTIFS(allFYsTable[Code], SummaryTable[[#This Row],[Code]], allFYsTable[year2], BE$3)=0, NotFound, SUMIFS(allFYsTable[DiffAmount], allFYsTable[Code], SummaryTable[[#This Row],[Code]], allFYsTable[year2], BE$3))</f>
        <v>-2480</v>
      </c>
      <c r="BK81" s="63">
        <f>IF(SummaryTable[[#This Row],[OriginalBudget21]]=0, IF(SummaryTable[[#This Row],[DiffAmount21]]=0, ZeroBudgetNoSpending, ZeroBudgetWithSpending), SummaryTable[[#This Row],[DiffAmount21]]/SummaryTable[[#This Row],[OriginalBudget21]])</f>
        <v>-0.31226391337194659</v>
      </c>
      <c r="BL81" s="62">
        <f>IF(COUNTIFS(allFYsTable[Code], SummaryTable[[#This Row],[Code]], allFYsTable[year2], BL$3)=0, NotFound, SUMIFS(allFYsTable[OriginalBudget], allFYsTable[Code], SummaryTable[[#This Row],[Code]], allFYsTable[year2], BL$3))</f>
        <v>5647</v>
      </c>
      <c r="BM81" s="61">
        <f>SummaryTable[[#This Row],[OriginalBudget20]]-SummaryTable[[#This Row],[OriginalBudget19]]</f>
        <v>647</v>
      </c>
      <c r="BN81" s="54">
        <f>SummaryTable[[#This Row],[BudgetIncreaseAmount20]]/SummaryTable[[#This Row],[OriginalBudget19]]</f>
        <v>0.12939999999999999</v>
      </c>
      <c r="BO81" s="61">
        <f>IF(COUNTIFS(allFYsTable[Code], SummaryTable[[#This Row],[Code]], allFYsTable[year2], BL$3)=0, NotFound, SUMIFS(allFYsTable[RevisedBudget], allFYsTable[Code], SummaryTable[[#This Row],[Code]], allFYsTable[year2], BL$3))</f>
        <v>4918</v>
      </c>
      <c r="BP81" s="61">
        <f>IF(COUNTIFS(allFYsTable[Code], SummaryTable[[#This Row],[Code]], allFYsTable[year2], BL$3)=0, NotFound, SUMIFS(allFYsTable[Actual], allFYsTable[Code], SummaryTable[[#This Row],[Code]], allFYsTable[year2], BL$3))</f>
        <v>4773</v>
      </c>
      <c r="BQ81" s="61">
        <f>IF(COUNTIFS(allFYsTable[Code], SummaryTable[[#This Row],[Code]], allFYsTable[year2], BL$3)=0, NotFound, SUMIFS(allFYsTable[DiffAmount], allFYsTable[Code], SummaryTable[[#This Row],[Code]], allFYsTable[year2], BL$3))</f>
        <v>-874</v>
      </c>
      <c r="BR81" s="63">
        <f>IF(SummaryTable[[#This Row],[OriginalBudget20]]=0, IF(SummaryTable[[#This Row],[DiffAmount20]]=0, ZeroBudgetNoSpending, ZeroBudgetWithSpending), SummaryTable[[#This Row],[DiffAmount20]]/SummaryTable[[#This Row],[OriginalBudget20]])</f>
        <v>-0.15477244554630779</v>
      </c>
      <c r="BS81" s="62">
        <f>IF(COUNTIFS(allFYsTable[Code], SummaryTable[[#This Row],[Code]], allFYsTable[year2], BS$3)=0, NotFound, SUMIFS(allFYsTable[OriginalBudget], allFYsTable[Code], SummaryTable[[#This Row],[Code]], allFYsTable[year2], BS$3))</f>
        <v>5000</v>
      </c>
      <c r="BT81" s="61">
        <f>SummaryTable[[#This Row],[OriginalBudget19]]-SummaryTable[[#This Row],[OriginalBudget18]]</f>
        <v>400</v>
      </c>
      <c r="BU81" s="54">
        <f>SummaryTable[[#This Row],[BudgetIncreaseAmount19]]/SummaryTable[[#This Row],[OriginalBudget18]]</f>
        <v>8.6956521739130432E-2</v>
      </c>
      <c r="BV81" s="61">
        <f>IF(COUNTIFS(allFYsTable[Code], SummaryTable[[#This Row],[Code]], allFYsTable[year2], BS$3)=0, NotFound, SUMIFS(allFYsTable[RevisedBudget], allFYsTable[Code], SummaryTable[[#This Row],[Code]], allFYsTable[year2], BS$3))</f>
        <v>4975</v>
      </c>
      <c r="BW81" s="61">
        <f>IF(COUNTIFS(allFYsTable[Code], SummaryTable[[#This Row],[Code]], allFYsTable[year2], BS$3)=0, NotFound, SUMIFS(allFYsTable[Actual], allFYsTable[Code], SummaryTable[[#This Row],[Code]], allFYsTable[year2], BS$3))</f>
        <v>4975</v>
      </c>
      <c r="BX81" s="61">
        <f>IF(COUNTIFS(allFYsTable[Code], SummaryTable[[#This Row],[Code]], allFYsTable[year2], BS$3)=0, NotFound, SUMIFS(allFYsTable[DiffAmount], allFYsTable[Code], SummaryTable[[#This Row],[Code]], allFYsTable[year2], BS$3))</f>
        <v>-25</v>
      </c>
      <c r="BY81" s="63">
        <f>IF(SummaryTable[[#This Row],[OriginalBudget19]]=0, IF(SummaryTable[[#This Row],[DiffAmount19]]=0, ZeroBudgetNoSpending, ZeroBudgetWithSpending), SummaryTable[[#This Row],[DiffAmount19]]/SummaryTable[[#This Row],[OriginalBudget19]])</f>
        <v>-5.0000000000000001E-3</v>
      </c>
      <c r="BZ81" s="62">
        <f>IF(COUNTIFS(allFYsTable[Code], SummaryTable[[#This Row],[Code]], allFYsTable[year2], BZ$3)=0, NotFound, SUMIFS(allFYsTable[OriginalBudget], allFYsTable[Code], SummaryTable[[#This Row],[Code]], allFYsTable[year2], BZ$3))</f>
        <v>4600</v>
      </c>
      <c r="CA81" s="61">
        <f>SummaryTable[[#This Row],[OriginalBudget18]]-SummaryTable[[#This Row],[OriginalBudget17]]</f>
        <v>542</v>
      </c>
      <c r="CB81" s="54">
        <f>SummaryTable[[#This Row],[BudgetIncreaseAmount18]]/SummaryTable[[#This Row],[OriginalBudget17]]</f>
        <v>0.13356333169048792</v>
      </c>
      <c r="CC81" s="61">
        <f>IF(COUNTIFS(allFYsTable[Code], SummaryTable[[#This Row],[Code]], allFYsTable[year2], BZ$3)=0, NotFound, SUMIFS(allFYsTable[RevisedBudget], allFYsTable[Code], SummaryTable[[#This Row],[Code]], allFYsTable[year2], BZ$3))</f>
        <v>4600</v>
      </c>
      <c r="CD81" s="61">
        <f>IF(COUNTIFS(allFYsTable[Code], SummaryTable[[#This Row],[Code]], allFYsTable[year2], BZ$3)=0, NotFound, SUMIFS(allFYsTable[Actual], allFYsTable[Code], SummaryTable[[#This Row],[Code]], allFYsTable[year2], BZ$3))</f>
        <v>4425</v>
      </c>
      <c r="CE81" s="61">
        <f>IF(COUNTIFS(allFYsTable[Code], SummaryTable[[#This Row],[Code]], allFYsTable[year2], BZ$3)=0, NotFound, SUMIFS(allFYsTable[DiffAmount], allFYsTable[Code], SummaryTable[[#This Row],[Code]], allFYsTable[year2], BZ$3))</f>
        <v>-175</v>
      </c>
      <c r="CF81" s="63">
        <f>IF(SummaryTable[[#This Row],[OriginalBudget18]]=0, IF(SummaryTable[[#This Row],[DiffAmount18]]=0, ZeroBudgetNoSpending, ZeroBudgetWithSpending), SummaryTable[[#This Row],[DiffAmount18]]/SummaryTable[[#This Row],[OriginalBudget18]])</f>
        <v>-3.8043478260869568E-2</v>
      </c>
      <c r="CG81" s="62">
        <f>IF(COUNTIFS(allFYsTable[Code], SummaryTable[[#This Row],[Code]], allFYsTable[year2], CG$3)=0, NotFound, SUMIFS(allFYsTable[OriginalBudget], allFYsTable[Code], SummaryTable[[#This Row],[Code]], allFYsTable[year2], CG$3))</f>
        <v>4058</v>
      </c>
      <c r="CH81" s="61">
        <f>SummaryTable[[#This Row],[OriginalBudget17]]-SummaryTable[[#This Row],[OriginalBudget16]]</f>
        <v>317</v>
      </c>
      <c r="CI81" s="54">
        <f>SummaryTable[[#This Row],[BudgetIncreaseAmount17]]/SummaryTable[[#This Row],[OriginalBudget16]]</f>
        <v>8.4736701416733493E-2</v>
      </c>
      <c r="CJ81" s="61">
        <f>IF(COUNTIFS(allFYsTable[Code], SummaryTable[[#This Row],[Code]], allFYsTable[year2], CG$3)=0, NotFound, SUMIFS(allFYsTable[RevisedBudget], allFYsTable[Code], SummaryTable[[#This Row],[Code]], allFYsTable[year2], CG$3))</f>
        <v>4044</v>
      </c>
      <c r="CK81" s="61">
        <f>IF(COUNTIFS(allFYsTable[Code], SummaryTable[[#This Row],[Code]], allFYsTable[year2], CG$3)=0, NotFound, SUMIFS(allFYsTable[Actual], allFYsTable[Code], SummaryTable[[#This Row],[Code]], allFYsTable[year2], CG$3))</f>
        <v>4035</v>
      </c>
      <c r="CL81" s="61">
        <f>IF(COUNTIFS(allFYsTable[Code], SummaryTable[[#This Row],[Code]], allFYsTable[year2], CG$3)=0, NotFound, SUMIFS(allFYsTable[DiffAmount], allFYsTable[Code], SummaryTable[[#This Row],[Code]], allFYsTable[year2], CG$3))</f>
        <v>-23</v>
      </c>
      <c r="CM81" s="63">
        <f>IF(SummaryTable[[#This Row],[OriginalBudget17]]=0, IF(SummaryTable[[#This Row],[DiffAmount17]]=0, ZeroBudgetNoSpending, ZeroBudgetWithSpending), SummaryTable[[#This Row],[DiffAmount17]]/SummaryTable[[#This Row],[OriginalBudget17]])</f>
        <v>-5.6678166584524393E-3</v>
      </c>
      <c r="CN81" s="62">
        <f>IF(COUNTIFS(allFYsTable[Code], SummaryTable[[#This Row],[Code]], allFYsTable[year2], CN$3)=0, NotFound, SUMIFS(allFYsTable[OriginalBudget], allFYsTable[Code], SummaryTable[[#This Row],[Code]], allFYsTable[year2], CN$3))</f>
        <v>3741</v>
      </c>
      <c r="CO81" s="61">
        <f>SummaryTable[[#This Row],[OriginalBudget16]]-SummaryTable[[#This Row],[OriginalBudget15]]</f>
        <v>603</v>
      </c>
      <c r="CP81" s="54">
        <f>SummaryTable[[#This Row],[BudgetIncreaseAmount16]]/SummaryTable[[#This Row],[OriginalBudget15]]</f>
        <v>0.1921606118546845</v>
      </c>
      <c r="CQ81" s="61">
        <f>IF(COUNTIFS(allFYsTable[Code], SummaryTable[[#This Row],[Code]], allFYsTable[year2], CN$3)=0, NotFound, SUMIFS(allFYsTable[RevisedBudget], allFYsTable[Code], SummaryTable[[#This Row],[Code]], allFYsTable[year2], CN$3))</f>
        <v>3741</v>
      </c>
      <c r="CR81" s="61">
        <f>IF(COUNTIFS(allFYsTable[Code], SummaryTable[[#This Row],[Code]], allFYsTable[year2], CN$3)=0, NotFound, SUMIFS(allFYsTable[Actual], allFYsTable[Code], SummaryTable[[#This Row],[Code]], allFYsTable[year2], CN$3))</f>
        <v>3734</v>
      </c>
      <c r="CS81" s="61">
        <f>IF(COUNTIFS(allFYsTable[Code], SummaryTable[[#This Row],[Code]], allFYsTable[year2], CN$3)=0, NotFound, SUMIFS(allFYsTable[DiffAmount], allFYsTable[Code], SummaryTable[[#This Row],[Code]], allFYsTable[year2], CN$3))</f>
        <v>-7</v>
      </c>
      <c r="CT81" s="63">
        <f>IF(SummaryTable[[#This Row],[OriginalBudget16]]=0, IF(SummaryTable[[#This Row],[DiffAmount16]]=0, ZeroBudgetNoSpending, ZeroBudgetWithSpending), SummaryTable[[#This Row],[DiffAmount16]]/SummaryTable[[#This Row],[OriginalBudget16]])</f>
        <v>-1.8711574445335472E-3</v>
      </c>
      <c r="CU81" s="62">
        <f>IF(COUNTIFS(allFYsTable[Code], SummaryTable[[#This Row],[Code]], allFYsTable[year2], CU$3)=0, NotFound, SUMIFS(allFYsTable[OriginalBudget], allFYsTable[Code], SummaryTable[[#This Row],[Code]], allFYsTable[year2], CU$3))</f>
        <v>3138</v>
      </c>
      <c r="CV81" s="61">
        <f>SummaryTable[[#This Row],[OriginalBudget15]]-SummaryTable[[#This Row],[OriginalBudget14]]</f>
        <v>543</v>
      </c>
      <c r="CW81" s="54">
        <f>SummaryTable[[#This Row],[BudgetIncreaseAmount15]]/SummaryTable[[#This Row],[OriginalBudget14]]</f>
        <v>0.2092485549132948</v>
      </c>
      <c r="CX81" s="61">
        <f>IF(COUNTIFS(allFYsTable[Code], SummaryTable[[#This Row],[Code]], allFYsTable[year2], CU$3)=0, NotFound, SUMIFS(allFYsTable[RevisedBudget], allFYsTable[Code], SummaryTable[[#This Row],[Code]], allFYsTable[year2], CU$3))</f>
        <v>3134</v>
      </c>
      <c r="CY81" s="61">
        <f>IF(COUNTIFS(allFYsTable[Code], SummaryTable[[#This Row],[Code]], allFYsTable[year2], CU$3)=0, NotFound, SUMIFS(allFYsTable[Actual], allFYsTable[Code], SummaryTable[[#This Row],[Code]], allFYsTable[year2], CU$3))</f>
        <v>3134</v>
      </c>
      <c r="CZ81" s="61">
        <f>IF(COUNTIFS(allFYsTable[Code], SummaryTable[[#This Row],[Code]], allFYsTable[year2], CU$3)=0, NotFound, SUMIFS(allFYsTable[DiffAmount], allFYsTable[Code], SummaryTable[[#This Row],[Code]], allFYsTable[year2], CU$3))</f>
        <v>-4</v>
      </c>
      <c r="DA81" s="63">
        <f>IF(SummaryTable[[#This Row],[OriginalBudget15]]=0, IF(SummaryTable[[#This Row],[DiffAmount15]]=0, ZeroBudgetNoSpending, ZeroBudgetWithSpending), SummaryTable[[#This Row],[DiffAmount15]]/SummaryTable[[#This Row],[OriginalBudget15]])</f>
        <v>-1.2746972594008922E-3</v>
      </c>
      <c r="DB81" s="62">
        <f>IF(COUNTIFS(allFYsTable[Code], SummaryTable[[#This Row],[Code]], allFYsTable[year2], DB$3)=0, NotFound, SUMIFS(allFYsTable[OriginalBudget], allFYsTable[Code], SummaryTable[[#This Row],[Code]], allFYsTable[year2], DB$3))</f>
        <v>2595</v>
      </c>
      <c r="DC81" s="61">
        <f>SummaryTable[[#This Row],[OriginalBudget14]]-SummaryTable[[#This Row],[OriginalBudget13]]</f>
        <v>402</v>
      </c>
      <c r="DD81" s="54">
        <f>SummaryTable[[#This Row],[BudgetIncreaseAmount14]]/SummaryTable[[#This Row],[OriginalBudget13]]</f>
        <v>0.18331053351573187</v>
      </c>
      <c r="DE81" s="61">
        <f>IF(COUNTIFS(allFYsTable[Code], SummaryTable[[#This Row],[Code]], allFYsTable[year2], DB$3)=0, NotFound, SUMIFS(allFYsTable[RevisedBudget], allFYsTable[Code], SummaryTable[[#This Row],[Code]], allFYsTable[year2], DB$3))</f>
        <v>2710</v>
      </c>
      <c r="DF81" s="61">
        <f>IF(COUNTIFS(allFYsTable[Code], SummaryTable[[#This Row],[Code]], allFYsTable[year2], DB$3)=0, NotFound, SUMIFS(allFYsTable[Actual], allFYsTable[Code], SummaryTable[[#This Row],[Code]], allFYsTable[year2], DB$3))</f>
        <v>2710</v>
      </c>
      <c r="DG81" s="61">
        <f>IF(COUNTIFS(allFYsTable[Code], SummaryTable[[#This Row],[Code]], allFYsTable[year2], DB$3)=0, NotFound, SUMIFS(allFYsTable[DiffAmount], allFYsTable[Code], SummaryTable[[#This Row],[Code]], allFYsTable[year2], DB$3))</f>
        <v>115</v>
      </c>
      <c r="DH81" s="63">
        <f>IF(SummaryTable[[#This Row],[OriginalBudget14]]=0, IF(SummaryTable[[#This Row],[DiffAmount14]]=0, ZeroBudgetNoSpending, ZeroBudgetWithSpending), SummaryTable[[#This Row],[DiffAmount14]]/SummaryTable[[#This Row],[OriginalBudget14]])</f>
        <v>4.4315992292870907E-2</v>
      </c>
      <c r="DI81" s="62">
        <f>IF(COUNTIFS(allFYsTable[Code], SummaryTable[[#This Row],[Code]], allFYsTable[year2], DI$3)=0, NotFound, SUMIFS(allFYsTable[OriginalBudget], allFYsTable[Code], SummaryTable[[#This Row],[Code]], allFYsTable[year2], DI$3))</f>
        <v>2193</v>
      </c>
      <c r="DJ81" s="61">
        <f>SummaryTable[[#This Row],[OriginalBudget13]]-SummaryTable[[#This Row],[OriginalBudget12]]</f>
        <v>45</v>
      </c>
      <c r="DK81" s="54">
        <f>SummaryTable[[#This Row],[BudgetIncreaseAmount13]]/SummaryTable[[#This Row],[OriginalBudget12]]</f>
        <v>2.094972067039106E-2</v>
      </c>
      <c r="DL81" s="61">
        <f>IF(COUNTIFS(allFYsTable[Code], SummaryTable[[#This Row],[Code]], allFYsTable[year2], DI$3)=0, NotFound, SUMIFS(allFYsTable[RevisedBudget], allFYsTable[Code], SummaryTable[[#This Row],[Code]], allFYsTable[year2], DI$3))</f>
        <v>2327</v>
      </c>
      <c r="DM81" s="61">
        <f>IF(COUNTIFS(allFYsTable[Code], SummaryTable[[#This Row],[Code]], allFYsTable[year2], DI$3)=0, NotFound, SUMIFS(allFYsTable[Actual], allFYsTable[Code], SummaryTable[[#This Row],[Code]], allFYsTable[year2], DI$3))</f>
        <v>2327</v>
      </c>
      <c r="DN81" s="61">
        <f>IF(COUNTIFS(allFYsTable[Code], SummaryTable[[#This Row],[Code]], allFYsTable[year2], DI$3)=0, NotFound, SUMIFS(allFYsTable[DiffAmount], allFYsTable[Code], SummaryTable[[#This Row],[Code]], allFYsTable[year2], DI$3))</f>
        <v>134</v>
      </c>
      <c r="DO81" s="63">
        <f>IF(SummaryTable[[#This Row],[OriginalBudget13]]=0, IF(SummaryTable[[#This Row],[DiffAmount13]]=0, ZeroBudgetNoSpending, ZeroBudgetWithSpending), SummaryTable[[#This Row],[DiffAmount13]]/SummaryTable[[#This Row],[OriginalBudget13]])</f>
        <v>6.1103511171910624E-2</v>
      </c>
      <c r="DP81" s="62">
        <f>IF(COUNTIFS(allFYsTable[Code], SummaryTable[[#This Row],[Code]], allFYsTable[year2], DP$3)=0, NotFound, SUMIFS(allFYsTable[OriginalBudget], allFYsTable[Code], SummaryTable[[#This Row],[Code]], allFYsTable[year2], DP$3))</f>
        <v>2148</v>
      </c>
      <c r="DQ81" s="61">
        <f>SummaryTable[[#This Row],[OriginalBudget12]]-SummaryTable[[#This Row],[OriginalBudget11]]</f>
        <v>-18</v>
      </c>
      <c r="DR81" s="54">
        <f>SummaryTable[[#This Row],[BudgetIncreaseAmount12]]/SummaryTable[[#This Row],[OriginalBudget11]]</f>
        <v>-8.3102493074792248E-3</v>
      </c>
      <c r="DS81" s="61">
        <f>IF(COUNTIFS(allFYsTable[Code], SummaryTable[[#This Row],[Code]], allFYsTable[year2], DP$3)=0, NotFound, SUMIFS(allFYsTable[RevisedBudget], allFYsTable[Code], SummaryTable[[#This Row],[Code]], allFYsTable[year2], DP$3))</f>
        <v>2172</v>
      </c>
      <c r="DT81" s="61">
        <f>IF(COUNTIFS(allFYsTable[Code], SummaryTable[[#This Row],[Code]], allFYsTable[year2], DP$3)=0, NotFound, SUMIFS(allFYsTable[Actual], allFYsTable[Code], SummaryTable[[#This Row],[Code]], allFYsTable[year2], DP$3))</f>
        <v>2169</v>
      </c>
      <c r="DU81" s="61">
        <f>IF(COUNTIFS(allFYsTable[Code], SummaryTable[[#This Row],[Code]], allFYsTable[year2], DP$3)=0, NotFound, SUMIFS(allFYsTable[DiffAmount], allFYsTable[Code], SummaryTable[[#This Row],[Code]], allFYsTable[year2], DP$3))</f>
        <v>21</v>
      </c>
      <c r="DV81" s="63">
        <f>IF(SummaryTable[[#This Row],[OriginalBudget12]]=0, IF(SummaryTable[[#This Row],[DiffAmount12]]=0, ZeroBudgetNoSpending, ZeroBudgetWithSpending), SummaryTable[[#This Row],[DiffAmount12]]/SummaryTable[[#This Row],[OriginalBudget12]])</f>
        <v>9.7765363128491621E-3</v>
      </c>
      <c r="DW81" s="62">
        <f>IF(COUNTIFS(allFYsTable[Code], SummaryTable[[#This Row],[Code]], allFYsTable[year2], DW$3)=0, NotFound, SUMIFS(allFYsTable[OriginalBudget], allFYsTable[Code], SummaryTable[[#This Row],[Code]], allFYsTable[year2], DW$3))</f>
        <v>2166</v>
      </c>
      <c r="DX81" s="61">
        <f>SummaryTable[[#This Row],[OriginalBudget11]]-SummaryTable[[#This Row],[OriginalBudget10]]</f>
        <v>-451</v>
      </c>
      <c r="DY81" s="54">
        <f>SummaryTable[[#This Row],[BudgetIncreaseAmount11]]/SummaryTable[[#This Row],[OriginalBudget10]]</f>
        <v>-0.1723347344287352</v>
      </c>
      <c r="DZ81" s="61">
        <f>IF(COUNTIFS(allFYsTable[Code], SummaryTable[[#This Row],[Code]], allFYsTable[year2], DW$3)=0, NotFound, SUMIFS(allFYsTable[RevisedBudget], allFYsTable[Code], SummaryTable[[#This Row],[Code]], allFYsTable[year2], DW$3))</f>
        <v>2166</v>
      </c>
      <c r="EA81" s="61">
        <f>IF(COUNTIFS(allFYsTable[Code], SummaryTable[[#This Row],[Code]], allFYsTable[year2], DW$3)=0, NotFound, SUMIFS(allFYsTable[Actual], allFYsTable[Code], SummaryTable[[#This Row],[Code]], allFYsTable[year2], DW$3))</f>
        <v>2150</v>
      </c>
      <c r="EB81" s="61">
        <f>IF(COUNTIFS(allFYsTable[Code], SummaryTable[[#This Row],[Code]], allFYsTable[year2], DW$3)=0, NotFound, SUMIFS(allFYsTable[DiffAmount], allFYsTable[Code], SummaryTable[[#This Row],[Code]], allFYsTable[year2], DW$3))</f>
        <v>-16</v>
      </c>
      <c r="EC81" s="63">
        <f>IF(SummaryTable[[#This Row],[OriginalBudget11]]=0, IF(SummaryTable[[#This Row],[DiffAmount11]]=0, ZeroBudgetNoSpending, ZeroBudgetWithSpending), SummaryTable[[#This Row],[DiffAmount11]]/SummaryTable[[#This Row],[OriginalBudget11]])</f>
        <v>-7.3868882733148658E-3</v>
      </c>
      <c r="ED81" s="62">
        <f>IF(COUNTIFS(allFYsTable[Code], SummaryTable[[#This Row],[Code]], allFYsTable[year2], ED$3)=0, NotFound, SUMIFS(allFYsTable[OriginalBudget], allFYsTable[Code], SummaryTable[[#This Row],[Code]], allFYsTable[year2], ED$3))</f>
        <v>2617</v>
      </c>
      <c r="EE81" s="61">
        <f>SummaryTable[[#This Row],[OriginalBudget10]]-SummaryTable[[#This Row],[OriginalBudget09]]</f>
        <v>-140</v>
      </c>
      <c r="EF81" s="54">
        <f>SummaryTable[[#This Row],[BudgetIncreaseAmount10]]/SummaryTable[[#This Row],[OriginalBudget09]]</f>
        <v>-5.0779833151976789E-2</v>
      </c>
      <c r="EG81" s="61">
        <f>IF(COUNTIFS(allFYsTable[Code], SummaryTable[[#This Row],[Code]], allFYsTable[year2], ED$3)=0, NotFound, SUMIFS(allFYsTable[RevisedBudget], allFYsTable[Code], SummaryTable[[#This Row],[Code]], allFYsTable[year2], ED$3))</f>
        <v>2306</v>
      </c>
      <c r="EH81" s="61">
        <f>IF(COUNTIFS(allFYsTable[Code], SummaryTable[[#This Row],[Code]], allFYsTable[year2], ED$3)=0, NotFound, SUMIFS(allFYsTable[Actual], allFYsTable[Code], SummaryTable[[#This Row],[Code]], allFYsTable[year2], ED$3))</f>
        <v>2222</v>
      </c>
      <c r="EI81" s="61">
        <f>IF(COUNTIFS(allFYsTable[Code], SummaryTable[[#This Row],[Code]], allFYsTable[year2], ED$3)=0, NotFound, SUMIFS(allFYsTable[DiffAmount], allFYsTable[Code], SummaryTable[[#This Row],[Code]], allFYsTable[year2], ED$3))</f>
        <v>-395</v>
      </c>
      <c r="EJ81" s="63">
        <f>IF(SummaryTable[[#This Row],[OriginalBudget10]]=0, IF(SummaryTable[[#This Row],[DiffAmount10]]=0, ZeroBudgetNoSpending, ZeroBudgetWithSpending), SummaryTable[[#This Row],[DiffAmount10]]/SummaryTable[[#This Row],[OriginalBudget10]])</f>
        <v>-0.15093618647306076</v>
      </c>
      <c r="EK81" s="62">
        <f>IF(COUNTIFS(allFYsTable[Code], SummaryTable[[#This Row],[Code]], allFYsTable[year2], EK$3)=0, NotFound, SUMIFS(allFYsTable[OriginalBudget], allFYsTable[Code], SummaryTable[[#This Row],[Code]], allFYsTable[year2], EK$3))</f>
        <v>2757</v>
      </c>
      <c r="EL81" s="61">
        <f>SummaryTable[[#This Row],[OriginalBudget09]]-SummaryTable[[#This Row],[OriginalBudget08]]</f>
        <v>-82</v>
      </c>
      <c r="EM81" s="54">
        <f>SummaryTable[[#This Row],[BudgetIncreaseAmount09]]/SummaryTable[[#This Row],[OriginalBudget08]]</f>
        <v>-2.8883409651285663E-2</v>
      </c>
      <c r="EN81" s="61">
        <f>IF(COUNTIFS(allFYsTable[Code], SummaryTable[[#This Row],[Code]], allFYsTable[year2], EK$3)=0, NotFound, SUMIFS(allFYsTable[RevisedBudget], allFYsTable[Code], SummaryTable[[#This Row],[Code]], allFYsTable[year2], EK$3))</f>
        <v>2700</v>
      </c>
      <c r="EO81" s="61">
        <f>IF(COUNTIFS(allFYsTable[Code], SummaryTable[[#This Row],[Code]], allFYsTable[year2], EK$3)=0, NotFound, SUMIFS(allFYsTable[Actual], allFYsTable[Code], SummaryTable[[#This Row],[Code]], allFYsTable[year2], EK$3))</f>
        <v>2626</v>
      </c>
      <c r="EP81" s="61">
        <f>IF(COUNTIFS(allFYsTable[Code], SummaryTable[[#This Row],[Code]], allFYsTable[year2], EK$3)=0, NotFound, SUMIFS(allFYsTable[DiffAmount], allFYsTable[Code], SummaryTable[[#This Row],[Code]], allFYsTable[year2], EK$3))</f>
        <v>-131</v>
      </c>
      <c r="EQ81" s="63">
        <f>IF(SummaryTable[[#This Row],[OriginalBudget09]]=0, IF(SummaryTable[[#This Row],[DiffAmount09]]=0, ZeroBudgetNoSpending, ZeroBudgetWithSpending), SummaryTable[[#This Row],[DiffAmount09]]/SummaryTable[[#This Row],[OriginalBudget09]])</f>
        <v>-4.7515415306492566E-2</v>
      </c>
      <c r="ER81" s="62">
        <f>IF(COUNTIFS(allFYsTable[Code], SummaryTable[[#This Row],[Code]], allFYsTable[year2], ER$3)=0, NotFound, SUMIFS(allFYsTable[OriginalBudget], allFYsTable[Code], SummaryTable[[#This Row],[Code]], allFYsTable[year2], ER$3))</f>
        <v>2839</v>
      </c>
      <c r="ES81" s="61">
        <f>SummaryTable[[#This Row],[OriginalBudget08]]-SummaryTable[[#This Row],[OriginalBudget07]]</f>
        <v>352</v>
      </c>
      <c r="ET81" s="54">
        <f>SummaryTable[[#This Row],[BudgetIncreaseAmount08]]/SummaryTable[[#This Row],[OriginalBudget07]]</f>
        <v>0.14153598713309207</v>
      </c>
      <c r="EU81" s="61">
        <f>IF(COUNTIFS(allFYsTable[Code], SummaryTable[[#This Row],[Code]], allFYsTable[year2], ER$3)=0, NotFound, SUMIFS(allFYsTable[RevisedBudget], allFYsTable[Code], SummaryTable[[#This Row],[Code]], allFYsTable[year2], ER$3))</f>
        <v>2914</v>
      </c>
      <c r="EV81" s="61">
        <f>IF(COUNTIFS(allFYsTable[Code], SummaryTable[[#This Row],[Code]], allFYsTable[year2], ER$3)=0, NotFound, SUMIFS(allFYsTable[Actual], allFYsTable[Code], SummaryTable[[#This Row],[Code]], allFYsTable[year2], ER$3))</f>
        <v>2605</v>
      </c>
      <c r="EW81" s="61">
        <f>IF(COUNTIFS(allFYsTable[Code], SummaryTable[[#This Row],[Code]], allFYsTable[year2], ER$3)=0, NotFound, SUMIFS(allFYsTable[DiffAmount], allFYsTable[Code], SummaryTable[[#This Row],[Code]], allFYsTable[year2], ER$3))</f>
        <v>-234</v>
      </c>
      <c r="EX81" s="63">
        <f>IF(SummaryTable[[#This Row],[OriginalBudget08]]=0, IF(SummaryTable[[#This Row],[DiffAmount08]]=0, ZeroBudgetNoSpending, ZeroBudgetWithSpending), SummaryTable[[#This Row],[DiffAmount08]]/SummaryTable[[#This Row],[OriginalBudget08]])</f>
        <v>-8.2423388517083473E-2</v>
      </c>
      <c r="EY81" s="62">
        <f>IF(COUNTIFS(allFYsTable[Code], SummaryTable[[#This Row],[Code]], allFYsTable[year2], EY$3)=0, NotFound, SUMIFS(allFYsTable[OriginalBudget], allFYsTable[Code], SummaryTable[[#This Row],[Code]], allFYsTable[year2], EY$3))</f>
        <v>2487</v>
      </c>
      <c r="EZ81" s="61">
        <f>SummaryTable[[#This Row],[OriginalBudget07]]-SummaryTable[[#This Row],[OriginalBudget06]]</f>
        <v>202</v>
      </c>
      <c r="FA81" s="54">
        <f>SummaryTable[[#This Row],[BudgetIncreaseAmount07]]/SummaryTable[[#This Row],[OriginalBudget06]]</f>
        <v>8.8402625820568931E-2</v>
      </c>
      <c r="FB81" s="61">
        <f>IF(COUNTIFS(allFYsTable[Code], SummaryTable[[#This Row],[Code]], allFYsTable[year2], EY$3)=0, NotFound, SUMIFS(allFYsTable[RevisedBudget], allFYsTable[Code], SummaryTable[[#This Row],[Code]], allFYsTable[year2], EY$3))</f>
        <v>2499</v>
      </c>
      <c r="FC81" s="61">
        <f>IF(COUNTIFS(allFYsTable[Code], SummaryTable[[#This Row],[Code]], allFYsTable[year2], EY$3)=0, NotFound, SUMIFS(allFYsTable[Actual], allFYsTable[Code], SummaryTable[[#This Row],[Code]], allFYsTable[year2], EY$3))</f>
        <v>2359</v>
      </c>
      <c r="FD81" s="61">
        <f>IF(COUNTIFS(allFYsTable[Code], SummaryTable[[#This Row],[Code]], allFYsTable[year2], EY$3)=0, NotFound, SUMIFS(allFYsTable[DiffAmount], allFYsTable[Code], SummaryTable[[#This Row],[Code]], allFYsTable[year2], EY$3))</f>
        <v>-128</v>
      </c>
      <c r="FE81" s="63">
        <f>IF(SummaryTable[[#This Row],[OriginalBudget07]]=0, IF(SummaryTable[[#This Row],[DiffAmount07]]=0, ZeroBudgetNoSpending, ZeroBudgetWithSpending), SummaryTable[[#This Row],[DiffAmount07]]/SummaryTable[[#This Row],[OriginalBudget07]])</f>
        <v>-5.1467631684760755E-2</v>
      </c>
      <c r="FF81" s="62">
        <f>IF(COUNTIFS(allFYsTable[Code], SummaryTable[[#This Row],[Code]], allFYsTable[year2], FF$3)=0, NotFound, SUMIFS(allFYsTable[OriginalBudget], allFYsTable[Code], SummaryTable[[#This Row],[Code]], allFYsTable[year2], FF$3))</f>
        <v>2285</v>
      </c>
      <c r="FI81" s="61">
        <f>IF(COUNTIFS(allFYsTable[Code], SummaryTable[[#This Row],[Code]], allFYsTable[year2], FF$3)=0, NotFound, SUMIFS(allFYsTable[RevisedBudget], allFYsTable[Code], SummaryTable[[#This Row],[Code]], allFYsTable[year2], FF$3))</f>
        <v>2399</v>
      </c>
      <c r="FJ81" s="61">
        <f>IF(COUNTIFS(allFYsTable[Code], SummaryTable[[#This Row],[Code]], allFYsTable[year2], FF$3)=0, NotFound, SUMIFS(allFYsTable[Actual], allFYsTable[Code], SummaryTable[[#This Row],[Code]], allFYsTable[year2], FF$3))</f>
        <v>2322</v>
      </c>
      <c r="FK81" s="61">
        <f>IF(COUNTIFS(allFYsTable[Code], SummaryTable[[#This Row],[Code]], allFYsTable[year2], FF$3)=0, NotFound, SUMIFS(allFYsTable[DiffAmount], allFYsTable[Code], SummaryTable[[#This Row],[Code]], allFYsTable[year2], FF$3))</f>
        <v>37</v>
      </c>
      <c r="FL81" s="63">
        <f>IF(SummaryTable[[#This Row],[OriginalBudget06]]=0, IF(SummaryTable[[#This Row],[DiffAmount06]]=0, ZeroBudgetNoSpending, ZeroBudgetWithSpending), SummaryTable[[#This Row],[DiffAmount06]]/SummaryTable[[#This Row],[OriginalBudget06]])</f>
        <v>1.6192560175054705E-2</v>
      </c>
    </row>
    <row r="82" spans="1:168" x14ac:dyDescent="0.45">
      <c r="A82" t="s">
        <v>717</v>
      </c>
      <c r="B82">
        <f>_xlfn.MAXIFS(allFYsTable[year2], allFYsTable[Code], SummaryTable[[#This Row],[Code]])</f>
        <v>2025</v>
      </c>
      <c r="C82" t="str">
        <f>_xlfn.XLOOKUP(SummaryTable[[#This Row],[Code]], NameCodingTable[Code], NameCodingTable[Most Recent Category per allFYs])</f>
        <v>Governmental direction and support</v>
      </c>
      <c r="D82" t="str">
        <f>_xlfn.XLOOKUP(SummaryTable[[#This Row],[Code]], NameCodingTable[Code], NameCodingTable[Unit Display Name])</f>
        <v>Office of Labor Relations and Collective Bargaining</v>
      </c>
      <c r="E82" t="str">
        <f>_xlfn.XLOOKUP(SummaryTable[[#This Row],[Code]], NameCodingTable[Code], NameCodingTable[Type])</f>
        <v>agency</v>
      </c>
      <c r="F8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4</v>
      </c>
      <c r="G8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82" s="54">
        <f>SummaryTable[[#This Row],['# Over]]/SummaryTable[[#This Row],[Count]]</f>
        <v>0</v>
      </c>
      <c r="I8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4</v>
      </c>
      <c r="J82" s="54">
        <f>SummaryTable[[#This Row],['# Under]]/SummaryTable[[#This Row],[Count]]</f>
        <v>1</v>
      </c>
      <c r="K8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2" s="54">
        <f>SummaryTable[[#This Row],['# Equal]]/SummaryTable[[#This Row],[Count]]</f>
        <v>0</v>
      </c>
      <c r="M82" s="61">
        <f>SUMIFS(allFYsTable[OriginalBudget],allFYsTable[Code],SummaryTable[[#This Row],[Code]])/SummaryTable[[#This Row],[Count]]</f>
        <v>3179.75</v>
      </c>
      <c r="N82" s="61">
        <f>SUMIFS(allFYsTable[Actual],allFYsTable[Code],SummaryTable[[#This Row],[Code]])/SummaryTable[[#This Row],[Count]]</f>
        <v>2455</v>
      </c>
      <c r="O82" s="61">
        <f>SummaryTable[[#This Row],[AvgActAmt]]-SummaryTable[[#This Row],[AvgBudAmt]]</f>
        <v>-724.75</v>
      </c>
      <c r="P82" s="54">
        <f>IF(SummaryTable[[#This Row],[AvgBudAmt]]=0, IF(SummaryTable[[#This Row],[AvgDiff'#]]=0, 0, NamedFields!$C$3), SummaryTable[[#This Row],[AvgDiff'#]]/SummaryTable[[#This Row],[AvgBudAmt]])</f>
        <v>-0.2279267237990408</v>
      </c>
      <c r="Q82" s="61">
        <f>IFERROR(SUMIFS(allFYsTable[OriginalBudget],allFYsTable[Code],SummaryTable[[#This Row],[Code]],allFYsTable[DiffAmount], "&gt;0")/SummaryTable[[#This Row],['# Over]], 0)</f>
        <v>0</v>
      </c>
      <c r="R82" s="61">
        <f>IFERROR(SUMIFS(allFYsTable[Actual],allFYsTable[Code],SummaryTable[[#This Row],[Code]],allFYsTable[DiffAmount], "&gt;0")/SummaryTable[[#This Row],['# Over]], 0)</f>
        <v>0</v>
      </c>
      <c r="S82" s="61">
        <f>SummaryTable[[#This Row],[OverAvgAct]]-SummaryTable[[#This Row],[OverAvgBud]]</f>
        <v>0</v>
      </c>
      <c r="T82" s="54">
        <f>IF(SummaryTable[[#This Row],[OverAvgBud]]=0, IF(SummaryTable[[#This Row],[OverAvgDiff'#]]=0, ZeroBudgetNoSpending, ZeroBudgetWithSpending), SummaryTable[[#This Row],[OverAvgDiff'#]]/SummaryTable[[#This Row],[OverAvgBud]])</f>
        <v>0</v>
      </c>
      <c r="U82" s="61">
        <f>IFERROR(SUMIFS(allFYsTable[OriginalBudget],allFYsTable[Code],SummaryTable[[#This Row],[Code]],allFYsTable[DiffAmount], "&lt;0")/SummaryTable[[#This Row],['# Under]], 0)</f>
        <v>3179.75</v>
      </c>
      <c r="V82" s="61">
        <f>IFERROR( SUMIFS(allFYsTable[Actual],allFYsTable[Code],SummaryTable[[#This Row],[Code]],allFYsTable[DiffAmount], "&lt;0")/SummaryTable[[#This Row],['# Under]], 0)</f>
        <v>2455</v>
      </c>
      <c r="W82" s="61">
        <f>SummaryTable[[#This Row],[UnderAvgAct]]-SummaryTable[[#This Row],[UnderAvgBud]]</f>
        <v>-724.75</v>
      </c>
      <c r="X82" s="54">
        <f>IF(SummaryTable[[#This Row],[UnderAvgBud]]=0, IF(SummaryTable[[#This Row],[UnderAvgDiff'#]]=0, ZeroBudgetNoSpending, NamedFields!$C$3), SummaryTable[[#This Row],[UnderAvgDiff'#]]/SummaryTable[[#This Row],[UnderAvgBud]])</f>
        <v>-0.2279267237990408</v>
      </c>
      <c r="Y8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8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2" s="54">
        <f>IF(SummaryTable[[#This Row],[IncreaseYears]]=0, ZeroBudgetNoSpending, SummaryTable[[#This Row],[OSinIncreaseYear'#]]/SummaryTable[[#This Row],[IncreaseYears]])</f>
        <v>0</v>
      </c>
      <c r="AB82" s="58" t="str">
        <f>SummaryTable[[#This Row],[Code]]</f>
        <v>AK0</v>
      </c>
      <c r="AC82" s="62">
        <f>IF(COUNTIFS(allFYsTable[Code], SummaryTable[[#This Row],[Code]], allFYsTable[year2], AC$3)=0, NotFound, SUMIFS(allFYsTable[OriginalBudget], allFYsTable[Code], SummaryTable[[#This Row],[Code]], allFYsTable[year2], AC$3))</f>
        <v>3657</v>
      </c>
      <c r="AD82" s="61">
        <f>SummaryTable[[#This Row],[OriginalBudget25]]-SummaryTable[[#This Row],[OriginalBudget24]]</f>
        <v>344</v>
      </c>
      <c r="AE82" s="54">
        <f>SummaryTable[[#This Row],[BudgetIncreaseAmount25]]/SummaryTable[[#This Row],[OriginalBudget24]]</f>
        <v>0.10383338364020525</v>
      </c>
      <c r="AF82" s="61">
        <f>IF(COUNTIFS(allFYsTable[Code], SummaryTable[[#This Row],[Code]], allFYsTable[year2], AC$3)=0, NotFound, SUMIFS(allFYsTable[RevisedBudget], allFYsTable[Code], SummaryTable[[#This Row],[Code]], allFYsTable[year2], AC$3))</f>
        <v>3074</v>
      </c>
      <c r="AG82" s="61">
        <f>IF(COUNTIFS(allFYsTable[Code], SummaryTable[[#This Row],[Code]], allFYsTable[year2], AC$3)=0, NotFound, SUMIFS(allFYsTable[Actual], allFYsTable[Code], SummaryTable[[#This Row],[Code]], allFYsTable[year2], AC$3))</f>
        <v>2898</v>
      </c>
      <c r="AH82" s="61">
        <f>IF(COUNTIFS(allFYsTable[Code], SummaryTable[[#This Row],[Code]], allFYsTable[year2], AC$3)=0, NotFound, SUMIFS(allFYsTable[DiffAmount], allFYsTable[Code], SummaryTable[[#This Row],[Code]], allFYsTable[year2], AC$3))</f>
        <v>-759</v>
      </c>
      <c r="AI82" s="63">
        <f>IF(SummaryTable[[#This Row],[OriginalBudget25]]=0, IF(SummaryTable[[#This Row],[DiffAmount25]]=0, ZeroBudgetNoSpending, ZeroBudgetWithSpending), SummaryTable[[#This Row],[DiffAmount25]]/SummaryTable[[#This Row],[OriginalBudget25]])</f>
        <v>-0.20754716981132076</v>
      </c>
      <c r="AJ82" s="62">
        <f>IF(COUNTIFS(allFYsTable[Code], SummaryTable[[#This Row],[Code]], allFYsTable[year2], AJ$3)=0, NotFound, SUMIFS(allFYsTable[OriginalBudget], allFYsTable[Code], SummaryTable[[#This Row],[Code]], allFYsTable[year2], AJ$3))</f>
        <v>3313</v>
      </c>
      <c r="AK82" s="61">
        <f>SummaryTable[[#This Row],[OriginalBudget24]]-SummaryTable[[#This Row],[OriginalBudget23]]</f>
        <v>150</v>
      </c>
      <c r="AL82" s="54">
        <f>SummaryTable[[#This Row],[BudgetIncreaseAmount24]]/SummaryTable[[#This Row],[OriginalBudget23]]</f>
        <v>4.7423332279481506E-2</v>
      </c>
      <c r="AM82" s="61">
        <f>IF(COUNTIFS(allFYsTable[Code], SummaryTable[[#This Row],[Code]], allFYsTable[year2], AK$3)=0, NotFound, SUMIFS(allFYsTable[RevisedBudget], allFYsTable[Code], SummaryTable[[#This Row],[Code]], allFYsTable[year2], AJ$3))</f>
        <v>3052</v>
      </c>
      <c r="AN82" s="61">
        <f>IF(COUNTIFS(allFYsTable[Code], SummaryTable[[#This Row],[Code]], allFYsTable[year2], AJ$3)=0, NotFound, SUMIFS(allFYsTable[Actual], allFYsTable[Code], SummaryTable[[#This Row],[Code]], allFYsTable[year2], AJ$3))</f>
        <v>2545</v>
      </c>
      <c r="AO82" s="61">
        <f>IF(COUNTIFS(allFYsTable[Code], SummaryTable[[#This Row],[Code]], allFYsTable[year2], AJ$3)=0, NotFound, SUMIFS(allFYsTable[DiffAmount], allFYsTable[Code], SummaryTable[[#This Row],[Code]], allFYsTable[year2], AJ$3))</f>
        <v>-768</v>
      </c>
      <c r="AP82" s="63">
        <f>IF(SummaryTable[[#This Row],[OriginalBudget24]]=0, IF(SummaryTable[[#This Row],[DiffAmount24]]=0, ZeroBudgetNoSpending, ZeroBudgetWithSpending), SummaryTable[[#This Row],[DiffAmount24]]/SummaryTable[[#This Row],[OriginalBudget24]])</f>
        <v>-0.23181406580138847</v>
      </c>
      <c r="AQ82" s="62">
        <f>IF(COUNTIFS(allFYsTable[Code], SummaryTable[[#This Row],[Code]], allFYsTable[year2], AQ$3)=0, NotFound, SUMIFS(allFYsTable[OriginalBudget], allFYsTable[Code], SummaryTable[[#This Row],[Code]], allFYsTable[year2], AQ$3))</f>
        <v>3163</v>
      </c>
      <c r="AR82" s="61">
        <f>SummaryTable[[#This Row],[OriginalBudget23]]-SummaryTable[[#This Row],[OriginalBudget22]]</f>
        <v>577</v>
      </c>
      <c r="AS82" s="54">
        <f>SummaryTable[[#This Row],[BudgetIncreaseAmount23]]/SummaryTable[[#This Row],[OriginalBudget22]]</f>
        <v>0.2231245166279969</v>
      </c>
      <c r="AT82" s="61">
        <f>IF(COUNTIFS(allFYsTable[Code], SummaryTable[[#This Row],[Code]], allFYsTable[year2], AQ$3)=0, NotFound, SUMIFS(allFYsTable[RevisedBudget], allFYsTable[Code], SummaryTable[[#This Row],[Code]], allFYsTable[year2], AQ$3))</f>
        <v>2466</v>
      </c>
      <c r="AU82" s="61">
        <f>IF(COUNTIFS(allFYsTable[Code], SummaryTable[[#This Row],[Code]], allFYsTable[year2], AQ$3)=0, NotFound, SUMIFS(allFYsTable[Actual], allFYsTable[Code], SummaryTable[[#This Row],[Code]], allFYsTable[year2], AQ$3))</f>
        <v>2018</v>
      </c>
      <c r="AV82" s="61">
        <f>IF(COUNTIFS(allFYsTable[Code], SummaryTable[[#This Row],[Code]], allFYsTable[year2], AQ$3)=0, NotFound, SUMIFS(allFYsTable[DiffAmount], allFYsTable[Code], SummaryTable[[#This Row],[Code]], allFYsTable[year2], AQ$3))</f>
        <v>-1145</v>
      </c>
      <c r="AW82" s="63">
        <f>IF(SummaryTable[[#This Row],[OriginalBudget23]]=0, IF(SummaryTable[[#This Row],[DiffAmount23]]=0, ZeroBudgetNoSpending, ZeroBudgetWithSpending), SummaryTable[[#This Row],[DiffAmount23]]/SummaryTable[[#This Row],[OriginalBudget23]])</f>
        <v>-0.36199810306670882</v>
      </c>
      <c r="AX82" s="62">
        <f>IF(COUNTIFS(allFYsTable[Code], SummaryTable[[#This Row],[Code]], allFYsTable[year2], AX$3)=0, NotFound, SUMIFS(allFYsTable[OriginalBudget], allFYsTable[Code], SummaryTable[[#This Row],[Code]], allFYsTable[year2], AX$3))</f>
        <v>2586</v>
      </c>
      <c r="AY82" s="61" t="e">
        <f>SummaryTable[[#This Row],[OriginalBudget22]]-SummaryTable[[#This Row],[OriginalBudget21]]</f>
        <v>#N/A</v>
      </c>
      <c r="AZ82" s="54" t="e">
        <f>SummaryTable[[#This Row],[BudgetIncreaseAmount22]]/SummaryTable[[#This Row],[OriginalBudget21]]</f>
        <v>#N/A</v>
      </c>
      <c r="BA82" s="61">
        <f>IF(COUNTIFS(allFYsTable[Code], SummaryTable[[#This Row],[Code]], allFYsTable[year2], AX$3)=0, NotFound, SUMIFS(allFYsTable[RevisedBudget], allFYsTable[Code], SummaryTable[[#This Row],[Code]], allFYsTable[year2], AX$3))</f>
        <v>2586</v>
      </c>
      <c r="BB82" s="61">
        <f>IF(COUNTIFS(allFYsTable[Code], SummaryTable[[#This Row],[Code]], allFYsTable[year2], AX$3)=0, NotFound, SUMIFS(allFYsTable[Actual], allFYsTable[Code], SummaryTable[[#This Row],[Code]], allFYsTable[year2], AX$3))</f>
        <v>2359</v>
      </c>
      <c r="BC82" s="61">
        <f>IF(COUNTIFS(allFYsTable[Code], SummaryTable[[#This Row],[Code]], allFYsTable[year2], AX$3)=0, NotFound, SUMIFS(allFYsTable[DiffAmount], allFYsTable[Code], SummaryTable[[#This Row],[Code]], allFYsTable[year2], AX$3))</f>
        <v>-227</v>
      </c>
      <c r="BD82" s="63">
        <f>IF(SummaryTable[[#This Row],[OriginalBudget22]]=0, IF(SummaryTable[[#This Row],[DiffAmount22]]=0, ZeroBudgetNoSpending, ZeroBudgetWithSpending), SummaryTable[[#This Row],[DiffAmount22]]/SummaryTable[[#This Row],[OriginalBudget22]])</f>
        <v>-8.7780355761794271E-2</v>
      </c>
      <c r="BE82" s="62" t="e">
        <f>IF(COUNTIFS(allFYsTable[Code], SummaryTable[[#This Row],[Code]], allFYsTable[year2], BE$3)=0, NotFound, SUMIFS(allFYsTable[OriginalBudget], allFYsTable[Code], SummaryTable[[#This Row],[Code]], allFYsTable[year2], BE$3))</f>
        <v>#N/A</v>
      </c>
      <c r="BF82" s="61" t="e">
        <f>SummaryTable[[#This Row],[OriginalBudget21]]-SummaryTable[[#This Row],[OriginalBudget20]]</f>
        <v>#N/A</v>
      </c>
      <c r="BG82" s="54" t="e">
        <f>SummaryTable[[#This Row],[BudgetIncreaseAmount21]]/SummaryTable[[#This Row],[OriginalBudget20]]</f>
        <v>#N/A</v>
      </c>
      <c r="BH82" s="61" t="e">
        <f>IF(COUNTIFS(allFYsTable[Code], SummaryTable[[#This Row],[Code]], allFYsTable[year2], BE$3)=0, NotFound, SUMIFS(allFYsTable[RevisedBudget], allFYsTable[Code], SummaryTable[[#This Row],[Code]], allFYsTable[year2], BE$3))</f>
        <v>#N/A</v>
      </c>
      <c r="BI82" s="61" t="e">
        <f>IF(COUNTIFS(allFYsTable[Code], SummaryTable[[#This Row],[Code]], allFYsTable[year2], BE$3)=0, NotFound, SUMIFS(allFYsTable[Actual], allFYsTable[Code], SummaryTable[[#This Row],[Code]], allFYsTable[year2], BE$3))</f>
        <v>#N/A</v>
      </c>
      <c r="BJ82" s="61" t="e">
        <f>IF(COUNTIFS(allFYsTable[Code], SummaryTable[[#This Row],[Code]], allFYsTable[year2], BE$3)=0, NotFound, SUMIFS(allFYsTable[DiffAmount], allFYsTable[Code], SummaryTable[[#This Row],[Code]], allFYsTable[year2], BE$3))</f>
        <v>#N/A</v>
      </c>
      <c r="BK82" s="63" t="e">
        <f>IF(SummaryTable[[#This Row],[OriginalBudget21]]=0, IF(SummaryTable[[#This Row],[DiffAmount21]]=0, ZeroBudgetNoSpending, ZeroBudgetWithSpending), SummaryTable[[#This Row],[DiffAmount21]]/SummaryTable[[#This Row],[OriginalBudget21]])</f>
        <v>#N/A</v>
      </c>
      <c r="BL82" s="62" t="e">
        <f>IF(COUNTIFS(allFYsTable[Code], SummaryTable[[#This Row],[Code]], allFYsTable[year2], BL$3)=0, NotFound, SUMIFS(allFYsTable[OriginalBudget], allFYsTable[Code], SummaryTable[[#This Row],[Code]], allFYsTable[year2], BL$3))</f>
        <v>#N/A</v>
      </c>
      <c r="BM82" s="61" t="e">
        <f>SummaryTable[[#This Row],[OriginalBudget20]]-SummaryTable[[#This Row],[OriginalBudget19]]</f>
        <v>#N/A</v>
      </c>
      <c r="BN82" s="54" t="e">
        <f>SummaryTable[[#This Row],[BudgetIncreaseAmount20]]/SummaryTable[[#This Row],[OriginalBudget19]]</f>
        <v>#N/A</v>
      </c>
      <c r="BO82" s="61" t="e">
        <f>IF(COUNTIFS(allFYsTable[Code], SummaryTable[[#This Row],[Code]], allFYsTable[year2], BL$3)=0, NotFound, SUMIFS(allFYsTable[RevisedBudget], allFYsTable[Code], SummaryTable[[#This Row],[Code]], allFYsTable[year2], BL$3))</f>
        <v>#N/A</v>
      </c>
      <c r="BP82" s="61" t="e">
        <f>IF(COUNTIFS(allFYsTable[Code], SummaryTable[[#This Row],[Code]], allFYsTable[year2], BL$3)=0, NotFound, SUMIFS(allFYsTable[Actual], allFYsTable[Code], SummaryTable[[#This Row],[Code]], allFYsTable[year2], BL$3))</f>
        <v>#N/A</v>
      </c>
      <c r="BQ82" s="61" t="e">
        <f>IF(COUNTIFS(allFYsTable[Code], SummaryTable[[#This Row],[Code]], allFYsTable[year2], BL$3)=0, NotFound, SUMIFS(allFYsTable[DiffAmount], allFYsTable[Code], SummaryTable[[#This Row],[Code]], allFYsTable[year2], BL$3))</f>
        <v>#N/A</v>
      </c>
      <c r="BR82" s="63" t="e">
        <f>IF(SummaryTable[[#This Row],[OriginalBudget20]]=0, IF(SummaryTable[[#This Row],[DiffAmount20]]=0, ZeroBudgetNoSpending, ZeroBudgetWithSpending), SummaryTable[[#This Row],[DiffAmount20]]/SummaryTable[[#This Row],[OriginalBudget20]])</f>
        <v>#N/A</v>
      </c>
      <c r="BS82" s="62" t="e">
        <f>IF(COUNTIFS(allFYsTable[Code], SummaryTable[[#This Row],[Code]], allFYsTable[year2], BS$3)=0, NotFound, SUMIFS(allFYsTable[OriginalBudget], allFYsTable[Code], SummaryTable[[#This Row],[Code]], allFYsTable[year2], BS$3))</f>
        <v>#N/A</v>
      </c>
      <c r="BT82" s="61" t="e">
        <f>SummaryTable[[#This Row],[OriginalBudget19]]-SummaryTable[[#This Row],[OriginalBudget18]]</f>
        <v>#N/A</v>
      </c>
      <c r="BU82" s="54" t="e">
        <f>SummaryTable[[#This Row],[BudgetIncreaseAmount19]]/SummaryTable[[#This Row],[OriginalBudget18]]</f>
        <v>#N/A</v>
      </c>
      <c r="BV82" s="61" t="e">
        <f>IF(COUNTIFS(allFYsTable[Code], SummaryTable[[#This Row],[Code]], allFYsTable[year2], BS$3)=0, NotFound, SUMIFS(allFYsTable[RevisedBudget], allFYsTable[Code], SummaryTable[[#This Row],[Code]], allFYsTable[year2], BS$3))</f>
        <v>#N/A</v>
      </c>
      <c r="BW82" s="61" t="e">
        <f>IF(COUNTIFS(allFYsTable[Code], SummaryTable[[#This Row],[Code]], allFYsTable[year2], BS$3)=0, NotFound, SUMIFS(allFYsTable[Actual], allFYsTable[Code], SummaryTable[[#This Row],[Code]], allFYsTable[year2], BS$3))</f>
        <v>#N/A</v>
      </c>
      <c r="BX82" s="61" t="e">
        <f>IF(COUNTIFS(allFYsTable[Code], SummaryTable[[#This Row],[Code]], allFYsTable[year2], BS$3)=0, NotFound, SUMIFS(allFYsTable[DiffAmount], allFYsTable[Code], SummaryTable[[#This Row],[Code]], allFYsTable[year2], BS$3))</f>
        <v>#N/A</v>
      </c>
      <c r="BY82" s="63" t="e">
        <f>IF(SummaryTable[[#This Row],[OriginalBudget19]]=0, IF(SummaryTable[[#This Row],[DiffAmount19]]=0, ZeroBudgetNoSpending, ZeroBudgetWithSpending), SummaryTable[[#This Row],[DiffAmount19]]/SummaryTable[[#This Row],[OriginalBudget19]])</f>
        <v>#N/A</v>
      </c>
      <c r="BZ82" s="62" t="e">
        <f>IF(COUNTIFS(allFYsTable[Code], SummaryTable[[#This Row],[Code]], allFYsTable[year2], BZ$3)=0, NotFound, SUMIFS(allFYsTable[OriginalBudget], allFYsTable[Code], SummaryTable[[#This Row],[Code]], allFYsTable[year2], BZ$3))</f>
        <v>#N/A</v>
      </c>
      <c r="CA82" s="61" t="e">
        <f>SummaryTable[[#This Row],[OriginalBudget18]]-SummaryTable[[#This Row],[OriginalBudget17]]</f>
        <v>#N/A</v>
      </c>
      <c r="CB82" s="54" t="e">
        <f>SummaryTable[[#This Row],[BudgetIncreaseAmount18]]/SummaryTable[[#This Row],[OriginalBudget17]]</f>
        <v>#N/A</v>
      </c>
      <c r="CC82" s="61" t="e">
        <f>IF(COUNTIFS(allFYsTable[Code], SummaryTable[[#This Row],[Code]], allFYsTable[year2], BZ$3)=0, NotFound, SUMIFS(allFYsTable[RevisedBudget], allFYsTable[Code], SummaryTable[[#This Row],[Code]], allFYsTable[year2], BZ$3))</f>
        <v>#N/A</v>
      </c>
      <c r="CD82" s="61" t="e">
        <f>IF(COUNTIFS(allFYsTable[Code], SummaryTable[[#This Row],[Code]], allFYsTable[year2], BZ$3)=0, NotFound, SUMIFS(allFYsTable[Actual], allFYsTable[Code], SummaryTable[[#This Row],[Code]], allFYsTable[year2], BZ$3))</f>
        <v>#N/A</v>
      </c>
      <c r="CE82" s="61" t="e">
        <f>IF(COUNTIFS(allFYsTable[Code], SummaryTable[[#This Row],[Code]], allFYsTable[year2], BZ$3)=0, NotFound, SUMIFS(allFYsTable[DiffAmount], allFYsTable[Code], SummaryTable[[#This Row],[Code]], allFYsTable[year2], BZ$3))</f>
        <v>#N/A</v>
      </c>
      <c r="CF82" s="63" t="e">
        <f>IF(SummaryTable[[#This Row],[OriginalBudget18]]=0, IF(SummaryTable[[#This Row],[DiffAmount18]]=0, ZeroBudgetNoSpending, ZeroBudgetWithSpending), SummaryTable[[#This Row],[DiffAmount18]]/SummaryTable[[#This Row],[OriginalBudget18]])</f>
        <v>#N/A</v>
      </c>
      <c r="CG82" s="62" t="e">
        <f>IF(COUNTIFS(allFYsTable[Code], SummaryTable[[#This Row],[Code]], allFYsTable[year2], CG$3)=0, NotFound, SUMIFS(allFYsTable[OriginalBudget], allFYsTable[Code], SummaryTable[[#This Row],[Code]], allFYsTable[year2], CG$3))</f>
        <v>#N/A</v>
      </c>
      <c r="CH82" s="61" t="e">
        <f>SummaryTable[[#This Row],[OriginalBudget17]]-SummaryTable[[#This Row],[OriginalBudget16]]</f>
        <v>#N/A</v>
      </c>
      <c r="CI82" s="54" t="e">
        <f>SummaryTable[[#This Row],[BudgetIncreaseAmount17]]/SummaryTable[[#This Row],[OriginalBudget16]]</f>
        <v>#N/A</v>
      </c>
      <c r="CJ82" s="61" t="e">
        <f>IF(COUNTIFS(allFYsTable[Code], SummaryTable[[#This Row],[Code]], allFYsTable[year2], CG$3)=0, NotFound, SUMIFS(allFYsTable[RevisedBudget], allFYsTable[Code], SummaryTable[[#This Row],[Code]], allFYsTable[year2], CG$3))</f>
        <v>#N/A</v>
      </c>
      <c r="CK82" s="61" t="e">
        <f>IF(COUNTIFS(allFYsTable[Code], SummaryTable[[#This Row],[Code]], allFYsTable[year2], CG$3)=0, NotFound, SUMIFS(allFYsTable[Actual], allFYsTable[Code], SummaryTable[[#This Row],[Code]], allFYsTable[year2], CG$3))</f>
        <v>#N/A</v>
      </c>
      <c r="CL82" s="61" t="e">
        <f>IF(COUNTIFS(allFYsTable[Code], SummaryTable[[#This Row],[Code]], allFYsTable[year2], CG$3)=0, NotFound, SUMIFS(allFYsTable[DiffAmount], allFYsTable[Code], SummaryTable[[#This Row],[Code]], allFYsTable[year2], CG$3))</f>
        <v>#N/A</v>
      </c>
      <c r="CM82" s="63" t="e">
        <f>IF(SummaryTable[[#This Row],[OriginalBudget17]]=0, IF(SummaryTable[[#This Row],[DiffAmount17]]=0, ZeroBudgetNoSpending, ZeroBudgetWithSpending), SummaryTable[[#This Row],[DiffAmount17]]/SummaryTable[[#This Row],[OriginalBudget17]])</f>
        <v>#N/A</v>
      </c>
      <c r="CN82" s="62" t="e">
        <f>IF(COUNTIFS(allFYsTable[Code], SummaryTable[[#This Row],[Code]], allFYsTable[year2], CN$3)=0, NotFound, SUMIFS(allFYsTable[OriginalBudget], allFYsTable[Code], SummaryTable[[#This Row],[Code]], allFYsTable[year2], CN$3))</f>
        <v>#N/A</v>
      </c>
      <c r="CO82" s="61" t="e">
        <f>SummaryTable[[#This Row],[OriginalBudget16]]-SummaryTable[[#This Row],[OriginalBudget15]]</f>
        <v>#N/A</v>
      </c>
      <c r="CP82" s="54" t="e">
        <f>SummaryTable[[#This Row],[BudgetIncreaseAmount16]]/SummaryTable[[#This Row],[OriginalBudget15]]</f>
        <v>#N/A</v>
      </c>
      <c r="CQ82" s="61" t="e">
        <f>IF(COUNTIFS(allFYsTable[Code], SummaryTable[[#This Row],[Code]], allFYsTable[year2], CN$3)=0, NotFound, SUMIFS(allFYsTable[RevisedBudget], allFYsTable[Code], SummaryTable[[#This Row],[Code]], allFYsTable[year2], CN$3))</f>
        <v>#N/A</v>
      </c>
      <c r="CR82" s="61" t="e">
        <f>IF(COUNTIFS(allFYsTable[Code], SummaryTable[[#This Row],[Code]], allFYsTable[year2], CN$3)=0, NotFound, SUMIFS(allFYsTable[Actual], allFYsTable[Code], SummaryTable[[#This Row],[Code]], allFYsTable[year2], CN$3))</f>
        <v>#N/A</v>
      </c>
      <c r="CS82" s="61" t="e">
        <f>IF(COUNTIFS(allFYsTable[Code], SummaryTable[[#This Row],[Code]], allFYsTable[year2], CN$3)=0, NotFound, SUMIFS(allFYsTable[DiffAmount], allFYsTable[Code], SummaryTable[[#This Row],[Code]], allFYsTable[year2], CN$3))</f>
        <v>#N/A</v>
      </c>
      <c r="CT82" s="63" t="e">
        <f>IF(SummaryTable[[#This Row],[OriginalBudget16]]=0, IF(SummaryTable[[#This Row],[DiffAmount16]]=0, ZeroBudgetNoSpending, ZeroBudgetWithSpending), SummaryTable[[#This Row],[DiffAmount16]]/SummaryTable[[#This Row],[OriginalBudget16]])</f>
        <v>#N/A</v>
      </c>
      <c r="CU82" s="62" t="e">
        <f>IF(COUNTIFS(allFYsTable[Code], SummaryTable[[#This Row],[Code]], allFYsTable[year2], CU$3)=0, NotFound, SUMIFS(allFYsTable[OriginalBudget], allFYsTable[Code], SummaryTable[[#This Row],[Code]], allFYsTable[year2], CU$3))</f>
        <v>#N/A</v>
      </c>
      <c r="CV82" s="61" t="e">
        <f>SummaryTable[[#This Row],[OriginalBudget15]]-SummaryTable[[#This Row],[OriginalBudget14]]</f>
        <v>#N/A</v>
      </c>
      <c r="CW82" s="54" t="e">
        <f>SummaryTable[[#This Row],[BudgetIncreaseAmount15]]/SummaryTable[[#This Row],[OriginalBudget14]]</f>
        <v>#N/A</v>
      </c>
      <c r="CX82" s="61" t="e">
        <f>IF(COUNTIFS(allFYsTable[Code], SummaryTable[[#This Row],[Code]], allFYsTable[year2], CU$3)=0, NotFound, SUMIFS(allFYsTable[RevisedBudget], allFYsTable[Code], SummaryTable[[#This Row],[Code]], allFYsTable[year2], CU$3))</f>
        <v>#N/A</v>
      </c>
      <c r="CY82" s="61" t="e">
        <f>IF(COUNTIFS(allFYsTable[Code], SummaryTable[[#This Row],[Code]], allFYsTable[year2], CU$3)=0, NotFound, SUMIFS(allFYsTable[Actual], allFYsTable[Code], SummaryTable[[#This Row],[Code]], allFYsTable[year2], CU$3))</f>
        <v>#N/A</v>
      </c>
      <c r="CZ82" s="61" t="e">
        <f>IF(COUNTIFS(allFYsTable[Code], SummaryTable[[#This Row],[Code]], allFYsTable[year2], CU$3)=0, NotFound, SUMIFS(allFYsTable[DiffAmount], allFYsTable[Code], SummaryTable[[#This Row],[Code]], allFYsTable[year2], CU$3))</f>
        <v>#N/A</v>
      </c>
      <c r="DA82" s="63" t="e">
        <f>IF(SummaryTable[[#This Row],[OriginalBudget15]]=0, IF(SummaryTable[[#This Row],[DiffAmount15]]=0, ZeroBudgetNoSpending, ZeroBudgetWithSpending), SummaryTable[[#This Row],[DiffAmount15]]/SummaryTable[[#This Row],[OriginalBudget15]])</f>
        <v>#N/A</v>
      </c>
      <c r="DB82" s="62" t="e">
        <f>IF(COUNTIFS(allFYsTable[Code], SummaryTable[[#This Row],[Code]], allFYsTable[year2], DB$3)=0, NotFound, SUMIFS(allFYsTable[OriginalBudget], allFYsTable[Code], SummaryTable[[#This Row],[Code]], allFYsTable[year2], DB$3))</f>
        <v>#N/A</v>
      </c>
      <c r="DC82" s="61" t="e">
        <f>SummaryTable[[#This Row],[OriginalBudget14]]-SummaryTable[[#This Row],[OriginalBudget13]]</f>
        <v>#N/A</v>
      </c>
      <c r="DD82" s="54" t="e">
        <f>SummaryTable[[#This Row],[BudgetIncreaseAmount14]]/SummaryTable[[#This Row],[OriginalBudget13]]</f>
        <v>#N/A</v>
      </c>
      <c r="DE82" s="61" t="e">
        <f>IF(COUNTIFS(allFYsTable[Code], SummaryTable[[#This Row],[Code]], allFYsTable[year2], DB$3)=0, NotFound, SUMIFS(allFYsTable[RevisedBudget], allFYsTable[Code], SummaryTable[[#This Row],[Code]], allFYsTable[year2], DB$3))</f>
        <v>#N/A</v>
      </c>
      <c r="DF82" s="61" t="e">
        <f>IF(COUNTIFS(allFYsTable[Code], SummaryTable[[#This Row],[Code]], allFYsTable[year2], DB$3)=0, NotFound, SUMIFS(allFYsTable[Actual], allFYsTable[Code], SummaryTable[[#This Row],[Code]], allFYsTable[year2], DB$3))</f>
        <v>#N/A</v>
      </c>
      <c r="DG82" s="61" t="e">
        <f>IF(COUNTIFS(allFYsTable[Code], SummaryTable[[#This Row],[Code]], allFYsTable[year2], DB$3)=0, NotFound, SUMIFS(allFYsTable[DiffAmount], allFYsTable[Code], SummaryTable[[#This Row],[Code]], allFYsTable[year2], DB$3))</f>
        <v>#N/A</v>
      </c>
      <c r="DH82" s="63" t="e">
        <f>IF(SummaryTable[[#This Row],[OriginalBudget14]]=0, IF(SummaryTable[[#This Row],[DiffAmount14]]=0, ZeroBudgetNoSpending, ZeroBudgetWithSpending), SummaryTable[[#This Row],[DiffAmount14]]/SummaryTable[[#This Row],[OriginalBudget14]])</f>
        <v>#N/A</v>
      </c>
      <c r="DI82" s="62" t="e">
        <f>IF(COUNTIFS(allFYsTable[Code], SummaryTable[[#This Row],[Code]], allFYsTable[year2], DI$3)=0, NotFound, SUMIFS(allFYsTable[OriginalBudget], allFYsTable[Code], SummaryTable[[#This Row],[Code]], allFYsTable[year2], DI$3))</f>
        <v>#N/A</v>
      </c>
      <c r="DJ82" s="61" t="e">
        <f>SummaryTable[[#This Row],[OriginalBudget13]]-SummaryTable[[#This Row],[OriginalBudget12]]</f>
        <v>#N/A</v>
      </c>
      <c r="DK82" s="54" t="e">
        <f>SummaryTable[[#This Row],[BudgetIncreaseAmount13]]/SummaryTable[[#This Row],[OriginalBudget12]]</f>
        <v>#N/A</v>
      </c>
      <c r="DL82" s="61" t="e">
        <f>IF(COUNTIFS(allFYsTable[Code], SummaryTable[[#This Row],[Code]], allFYsTable[year2], DI$3)=0, NotFound, SUMIFS(allFYsTable[RevisedBudget], allFYsTable[Code], SummaryTable[[#This Row],[Code]], allFYsTable[year2], DI$3))</f>
        <v>#N/A</v>
      </c>
      <c r="DM82" s="61" t="e">
        <f>IF(COUNTIFS(allFYsTable[Code], SummaryTable[[#This Row],[Code]], allFYsTable[year2], DI$3)=0, NotFound, SUMIFS(allFYsTable[Actual], allFYsTable[Code], SummaryTable[[#This Row],[Code]], allFYsTable[year2], DI$3))</f>
        <v>#N/A</v>
      </c>
      <c r="DN82" s="61" t="e">
        <f>IF(COUNTIFS(allFYsTable[Code], SummaryTable[[#This Row],[Code]], allFYsTable[year2], DI$3)=0, NotFound, SUMIFS(allFYsTable[DiffAmount], allFYsTable[Code], SummaryTable[[#This Row],[Code]], allFYsTable[year2], DI$3))</f>
        <v>#N/A</v>
      </c>
      <c r="DO82" s="63" t="e">
        <f>IF(SummaryTable[[#This Row],[OriginalBudget13]]=0, IF(SummaryTable[[#This Row],[DiffAmount13]]=0, ZeroBudgetNoSpending, ZeroBudgetWithSpending), SummaryTable[[#This Row],[DiffAmount13]]/SummaryTable[[#This Row],[OriginalBudget13]])</f>
        <v>#N/A</v>
      </c>
      <c r="DP82" s="62" t="e">
        <f>IF(COUNTIFS(allFYsTable[Code], SummaryTable[[#This Row],[Code]], allFYsTable[year2], DP$3)=0, NotFound, SUMIFS(allFYsTable[OriginalBudget], allFYsTable[Code], SummaryTable[[#This Row],[Code]], allFYsTable[year2], DP$3))</f>
        <v>#N/A</v>
      </c>
      <c r="DQ82" s="61" t="e">
        <f>SummaryTable[[#This Row],[OriginalBudget12]]-SummaryTable[[#This Row],[OriginalBudget11]]</f>
        <v>#N/A</v>
      </c>
      <c r="DR82" s="54" t="e">
        <f>SummaryTable[[#This Row],[BudgetIncreaseAmount12]]/SummaryTable[[#This Row],[OriginalBudget11]]</f>
        <v>#N/A</v>
      </c>
      <c r="DS82" s="61" t="e">
        <f>IF(COUNTIFS(allFYsTable[Code], SummaryTable[[#This Row],[Code]], allFYsTable[year2], DP$3)=0, NotFound, SUMIFS(allFYsTable[RevisedBudget], allFYsTable[Code], SummaryTable[[#This Row],[Code]], allFYsTable[year2], DP$3))</f>
        <v>#N/A</v>
      </c>
      <c r="DT82" s="61" t="e">
        <f>IF(COUNTIFS(allFYsTable[Code], SummaryTable[[#This Row],[Code]], allFYsTable[year2], DP$3)=0, NotFound, SUMIFS(allFYsTable[Actual], allFYsTable[Code], SummaryTable[[#This Row],[Code]], allFYsTable[year2], DP$3))</f>
        <v>#N/A</v>
      </c>
      <c r="DU82" s="61" t="e">
        <f>IF(COUNTIFS(allFYsTable[Code], SummaryTable[[#This Row],[Code]], allFYsTable[year2], DP$3)=0, NotFound, SUMIFS(allFYsTable[DiffAmount], allFYsTable[Code], SummaryTable[[#This Row],[Code]], allFYsTable[year2], DP$3))</f>
        <v>#N/A</v>
      </c>
      <c r="DV82" s="63" t="e">
        <f>IF(SummaryTable[[#This Row],[OriginalBudget12]]=0, IF(SummaryTable[[#This Row],[DiffAmount12]]=0, ZeroBudgetNoSpending, ZeroBudgetWithSpending), SummaryTable[[#This Row],[DiffAmount12]]/SummaryTable[[#This Row],[OriginalBudget12]])</f>
        <v>#N/A</v>
      </c>
      <c r="DW82" s="62" t="e">
        <f>IF(COUNTIFS(allFYsTable[Code], SummaryTable[[#This Row],[Code]], allFYsTable[year2], DW$3)=0, NotFound, SUMIFS(allFYsTable[OriginalBudget], allFYsTable[Code], SummaryTable[[#This Row],[Code]], allFYsTable[year2], DW$3))</f>
        <v>#N/A</v>
      </c>
      <c r="DX82" s="61" t="e">
        <f>SummaryTable[[#This Row],[OriginalBudget11]]-SummaryTable[[#This Row],[OriginalBudget10]]</f>
        <v>#N/A</v>
      </c>
      <c r="DY82" s="54" t="e">
        <f>SummaryTable[[#This Row],[BudgetIncreaseAmount11]]/SummaryTable[[#This Row],[OriginalBudget10]]</f>
        <v>#N/A</v>
      </c>
      <c r="DZ82" s="61" t="e">
        <f>IF(COUNTIFS(allFYsTable[Code], SummaryTable[[#This Row],[Code]], allFYsTable[year2], DW$3)=0, NotFound, SUMIFS(allFYsTable[RevisedBudget], allFYsTable[Code], SummaryTable[[#This Row],[Code]], allFYsTable[year2], DW$3))</f>
        <v>#N/A</v>
      </c>
      <c r="EA82" s="61" t="e">
        <f>IF(COUNTIFS(allFYsTable[Code], SummaryTable[[#This Row],[Code]], allFYsTable[year2], DW$3)=0, NotFound, SUMIFS(allFYsTable[Actual], allFYsTable[Code], SummaryTable[[#This Row],[Code]], allFYsTable[year2], DW$3))</f>
        <v>#N/A</v>
      </c>
      <c r="EB82" s="61" t="e">
        <f>IF(COUNTIFS(allFYsTable[Code], SummaryTable[[#This Row],[Code]], allFYsTable[year2], DW$3)=0, NotFound, SUMIFS(allFYsTable[DiffAmount], allFYsTable[Code], SummaryTable[[#This Row],[Code]], allFYsTable[year2], DW$3))</f>
        <v>#N/A</v>
      </c>
      <c r="EC82" s="63" t="e">
        <f>IF(SummaryTable[[#This Row],[OriginalBudget11]]=0, IF(SummaryTable[[#This Row],[DiffAmount11]]=0, ZeroBudgetNoSpending, ZeroBudgetWithSpending), SummaryTable[[#This Row],[DiffAmount11]]/SummaryTable[[#This Row],[OriginalBudget11]])</f>
        <v>#N/A</v>
      </c>
      <c r="ED82" s="62" t="e">
        <f>IF(COUNTIFS(allFYsTable[Code], SummaryTable[[#This Row],[Code]], allFYsTable[year2], ED$3)=0, NotFound, SUMIFS(allFYsTable[OriginalBudget], allFYsTable[Code], SummaryTable[[#This Row],[Code]], allFYsTable[year2], ED$3))</f>
        <v>#N/A</v>
      </c>
      <c r="EE82" s="61" t="e">
        <f>SummaryTable[[#This Row],[OriginalBudget10]]-SummaryTable[[#This Row],[OriginalBudget09]]</f>
        <v>#N/A</v>
      </c>
      <c r="EF82" s="54" t="e">
        <f>SummaryTable[[#This Row],[BudgetIncreaseAmount10]]/SummaryTable[[#This Row],[OriginalBudget09]]</f>
        <v>#N/A</v>
      </c>
      <c r="EG82" s="61" t="e">
        <f>IF(COUNTIFS(allFYsTable[Code], SummaryTable[[#This Row],[Code]], allFYsTable[year2], ED$3)=0, NotFound, SUMIFS(allFYsTable[RevisedBudget], allFYsTable[Code], SummaryTable[[#This Row],[Code]], allFYsTable[year2], ED$3))</f>
        <v>#N/A</v>
      </c>
      <c r="EH82" s="61" t="e">
        <f>IF(COUNTIFS(allFYsTable[Code], SummaryTable[[#This Row],[Code]], allFYsTable[year2], ED$3)=0, NotFound, SUMIFS(allFYsTable[Actual], allFYsTable[Code], SummaryTable[[#This Row],[Code]], allFYsTable[year2], ED$3))</f>
        <v>#N/A</v>
      </c>
      <c r="EI82" s="61" t="e">
        <f>IF(COUNTIFS(allFYsTable[Code], SummaryTable[[#This Row],[Code]], allFYsTable[year2], ED$3)=0, NotFound, SUMIFS(allFYsTable[DiffAmount], allFYsTable[Code], SummaryTable[[#This Row],[Code]], allFYsTable[year2], ED$3))</f>
        <v>#N/A</v>
      </c>
      <c r="EJ82" s="63" t="e">
        <f>IF(SummaryTable[[#This Row],[OriginalBudget10]]=0, IF(SummaryTable[[#This Row],[DiffAmount10]]=0, ZeroBudgetNoSpending, ZeroBudgetWithSpending), SummaryTable[[#This Row],[DiffAmount10]]/SummaryTable[[#This Row],[OriginalBudget10]])</f>
        <v>#N/A</v>
      </c>
      <c r="EK82" s="62" t="e">
        <f>IF(COUNTIFS(allFYsTable[Code], SummaryTable[[#This Row],[Code]], allFYsTable[year2], EK$3)=0, NotFound, SUMIFS(allFYsTable[OriginalBudget], allFYsTable[Code], SummaryTable[[#This Row],[Code]], allFYsTable[year2], EK$3))</f>
        <v>#N/A</v>
      </c>
      <c r="EL82" s="61" t="e">
        <f>SummaryTable[[#This Row],[OriginalBudget09]]-SummaryTable[[#This Row],[OriginalBudget08]]</f>
        <v>#N/A</v>
      </c>
      <c r="EM82" s="54" t="e">
        <f>SummaryTable[[#This Row],[BudgetIncreaseAmount09]]/SummaryTable[[#This Row],[OriginalBudget08]]</f>
        <v>#N/A</v>
      </c>
      <c r="EN82" s="61" t="e">
        <f>IF(COUNTIFS(allFYsTable[Code], SummaryTable[[#This Row],[Code]], allFYsTable[year2], EK$3)=0, NotFound, SUMIFS(allFYsTable[RevisedBudget], allFYsTable[Code], SummaryTable[[#This Row],[Code]], allFYsTable[year2], EK$3))</f>
        <v>#N/A</v>
      </c>
      <c r="EO82" s="61" t="e">
        <f>IF(COUNTIFS(allFYsTable[Code], SummaryTable[[#This Row],[Code]], allFYsTable[year2], EK$3)=0, NotFound, SUMIFS(allFYsTable[Actual], allFYsTable[Code], SummaryTable[[#This Row],[Code]], allFYsTable[year2], EK$3))</f>
        <v>#N/A</v>
      </c>
      <c r="EP82" s="61" t="e">
        <f>IF(COUNTIFS(allFYsTable[Code], SummaryTable[[#This Row],[Code]], allFYsTable[year2], EK$3)=0, NotFound, SUMIFS(allFYsTable[DiffAmount], allFYsTable[Code], SummaryTable[[#This Row],[Code]], allFYsTable[year2], EK$3))</f>
        <v>#N/A</v>
      </c>
      <c r="EQ82" s="63" t="e">
        <f>IF(SummaryTable[[#This Row],[OriginalBudget09]]=0, IF(SummaryTable[[#This Row],[DiffAmount09]]=0, ZeroBudgetNoSpending, ZeroBudgetWithSpending), SummaryTable[[#This Row],[DiffAmount09]]/SummaryTable[[#This Row],[OriginalBudget09]])</f>
        <v>#N/A</v>
      </c>
      <c r="ER82" s="62" t="e">
        <f>IF(COUNTIFS(allFYsTable[Code], SummaryTable[[#This Row],[Code]], allFYsTable[year2], ER$3)=0, NotFound, SUMIFS(allFYsTable[OriginalBudget], allFYsTable[Code], SummaryTable[[#This Row],[Code]], allFYsTable[year2], ER$3))</f>
        <v>#N/A</v>
      </c>
      <c r="ES82" s="61" t="e">
        <f>SummaryTable[[#This Row],[OriginalBudget08]]-SummaryTable[[#This Row],[OriginalBudget07]]</f>
        <v>#N/A</v>
      </c>
      <c r="ET82" s="54" t="e">
        <f>SummaryTable[[#This Row],[BudgetIncreaseAmount08]]/SummaryTable[[#This Row],[OriginalBudget07]]</f>
        <v>#N/A</v>
      </c>
      <c r="EU82" s="61" t="e">
        <f>IF(COUNTIFS(allFYsTable[Code], SummaryTable[[#This Row],[Code]], allFYsTable[year2], ER$3)=0, NotFound, SUMIFS(allFYsTable[RevisedBudget], allFYsTable[Code], SummaryTable[[#This Row],[Code]], allFYsTable[year2], ER$3))</f>
        <v>#N/A</v>
      </c>
      <c r="EV82" s="61" t="e">
        <f>IF(COUNTIFS(allFYsTable[Code], SummaryTable[[#This Row],[Code]], allFYsTable[year2], ER$3)=0, NotFound, SUMIFS(allFYsTable[Actual], allFYsTable[Code], SummaryTable[[#This Row],[Code]], allFYsTable[year2], ER$3))</f>
        <v>#N/A</v>
      </c>
      <c r="EW82" s="61" t="e">
        <f>IF(COUNTIFS(allFYsTable[Code], SummaryTable[[#This Row],[Code]], allFYsTable[year2], ER$3)=0, NotFound, SUMIFS(allFYsTable[DiffAmount], allFYsTable[Code], SummaryTable[[#This Row],[Code]], allFYsTable[year2], ER$3))</f>
        <v>#N/A</v>
      </c>
      <c r="EX82" s="63" t="e">
        <f>IF(SummaryTable[[#This Row],[OriginalBudget08]]=0, IF(SummaryTable[[#This Row],[DiffAmount08]]=0, ZeroBudgetNoSpending, ZeroBudgetWithSpending), SummaryTable[[#This Row],[DiffAmount08]]/SummaryTable[[#This Row],[OriginalBudget08]])</f>
        <v>#N/A</v>
      </c>
      <c r="EY82" s="62" t="e">
        <f>IF(COUNTIFS(allFYsTable[Code], SummaryTable[[#This Row],[Code]], allFYsTable[year2], EY$3)=0, NotFound, SUMIFS(allFYsTable[OriginalBudget], allFYsTable[Code], SummaryTable[[#This Row],[Code]], allFYsTable[year2], EY$3))</f>
        <v>#N/A</v>
      </c>
      <c r="EZ82" s="61" t="e">
        <f>SummaryTable[[#This Row],[OriginalBudget07]]-SummaryTable[[#This Row],[OriginalBudget06]]</f>
        <v>#N/A</v>
      </c>
      <c r="FA82" s="54" t="e">
        <f>SummaryTable[[#This Row],[BudgetIncreaseAmount07]]/SummaryTable[[#This Row],[OriginalBudget06]]</f>
        <v>#N/A</v>
      </c>
      <c r="FB82" s="61" t="e">
        <f>IF(COUNTIFS(allFYsTable[Code], SummaryTable[[#This Row],[Code]], allFYsTable[year2], EY$3)=0, NotFound, SUMIFS(allFYsTable[RevisedBudget], allFYsTable[Code], SummaryTable[[#This Row],[Code]], allFYsTable[year2], EY$3))</f>
        <v>#N/A</v>
      </c>
      <c r="FC82" s="61" t="e">
        <f>IF(COUNTIFS(allFYsTable[Code], SummaryTable[[#This Row],[Code]], allFYsTable[year2], EY$3)=0, NotFound, SUMIFS(allFYsTable[Actual], allFYsTable[Code], SummaryTable[[#This Row],[Code]], allFYsTable[year2], EY$3))</f>
        <v>#N/A</v>
      </c>
      <c r="FD82" s="61" t="e">
        <f>IF(COUNTIFS(allFYsTable[Code], SummaryTable[[#This Row],[Code]], allFYsTable[year2], EY$3)=0, NotFound, SUMIFS(allFYsTable[DiffAmount], allFYsTable[Code], SummaryTable[[#This Row],[Code]], allFYsTable[year2], EY$3))</f>
        <v>#N/A</v>
      </c>
      <c r="FE82" s="63" t="e">
        <f>IF(SummaryTable[[#This Row],[OriginalBudget07]]=0, IF(SummaryTable[[#This Row],[DiffAmount07]]=0, ZeroBudgetNoSpending, ZeroBudgetWithSpending), SummaryTable[[#This Row],[DiffAmount07]]/SummaryTable[[#This Row],[OriginalBudget07]])</f>
        <v>#N/A</v>
      </c>
      <c r="FF82" s="62" t="e">
        <f>IF(COUNTIFS(allFYsTable[Code], SummaryTable[[#This Row],[Code]], allFYsTable[year2], FF$3)=0, NotFound, SUMIFS(allFYsTable[OriginalBudget], allFYsTable[Code], SummaryTable[[#This Row],[Code]], allFYsTable[year2], FF$3))</f>
        <v>#N/A</v>
      </c>
      <c r="FI82" s="61" t="e">
        <f>IF(COUNTIFS(allFYsTable[Code], SummaryTable[[#This Row],[Code]], allFYsTable[year2], FF$3)=0, NotFound, SUMIFS(allFYsTable[RevisedBudget], allFYsTable[Code], SummaryTable[[#This Row],[Code]], allFYsTable[year2], FF$3))</f>
        <v>#N/A</v>
      </c>
      <c r="FJ82" s="61" t="e">
        <f>IF(COUNTIFS(allFYsTable[Code], SummaryTable[[#This Row],[Code]], allFYsTable[year2], FF$3)=0, NotFound, SUMIFS(allFYsTable[Actual], allFYsTable[Code], SummaryTable[[#This Row],[Code]], allFYsTable[year2], FF$3))</f>
        <v>#N/A</v>
      </c>
      <c r="FK82" s="61" t="e">
        <f>IF(COUNTIFS(allFYsTable[Code], SummaryTable[[#This Row],[Code]], allFYsTable[year2], FF$3)=0, NotFound, SUMIFS(allFYsTable[DiffAmount], allFYsTable[Code], SummaryTable[[#This Row],[Code]], allFYsTable[year2], FF$3))</f>
        <v>#N/A</v>
      </c>
      <c r="FL82" s="63" t="e">
        <f>IF(SummaryTable[[#This Row],[OriginalBudget06]]=0, IF(SummaryTable[[#This Row],[DiffAmount06]]=0, ZeroBudgetNoSpending, ZeroBudgetWithSpending), SummaryTable[[#This Row],[DiffAmount06]]/SummaryTable[[#This Row],[OriginalBudget06]])</f>
        <v>#N/A</v>
      </c>
    </row>
    <row r="83" spans="1:168" x14ac:dyDescent="0.45">
      <c r="A83" t="s">
        <v>1395</v>
      </c>
      <c r="B83">
        <f>_xlfn.MAXIFS(allFYsTable[year2], allFYsTable[Code], SummaryTable[[#This Row],[Code]])</f>
        <v>2025</v>
      </c>
      <c r="C83" t="str">
        <f>_xlfn.XLOOKUP(SummaryTable[[#This Row],[Code]], NameCodingTable[Code], NameCodingTable[Most Recent Category per allFYs])</f>
        <v>Governmental direction and support</v>
      </c>
      <c r="D83" t="str">
        <f>_xlfn.XLOOKUP(SummaryTable[[#This Row],[Code]], NameCodingTable[Code], NameCodingTable[Unit Display Name])</f>
        <v>Office of LGBTQ Affairs</v>
      </c>
      <c r="E83" t="str">
        <f>_xlfn.XLOOKUP(SummaryTable[[#This Row],[Code]], NameCodingTable[Code], NameCodingTable[Type])</f>
        <v>agency</v>
      </c>
      <c r="F8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8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83" s="54">
        <f>SummaryTable[[#This Row],['# Over]]/SummaryTable[[#This Row],[Count]]</f>
        <v>1</v>
      </c>
      <c r="I8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83" s="54">
        <f>SummaryTable[[#This Row],['# Under]]/SummaryTable[[#This Row],[Count]]</f>
        <v>0</v>
      </c>
      <c r="K8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3" s="54">
        <f>SummaryTable[[#This Row],['# Equal]]/SummaryTable[[#This Row],[Count]]</f>
        <v>0</v>
      </c>
      <c r="M83" s="61">
        <f>SUMIFS(allFYsTable[OriginalBudget],allFYsTable[Code],SummaryTable[[#This Row],[Code]])/SummaryTable[[#This Row],[Count]]</f>
        <v>2294</v>
      </c>
      <c r="N83" s="61">
        <f>SUMIFS(allFYsTable[Actual],allFYsTable[Code],SummaryTable[[#This Row],[Code]])/SummaryTable[[#This Row],[Count]]</f>
        <v>7181</v>
      </c>
      <c r="O83" s="61">
        <f>SummaryTable[[#This Row],[AvgActAmt]]-SummaryTable[[#This Row],[AvgBudAmt]]</f>
        <v>4887</v>
      </c>
      <c r="P83" s="54">
        <f>IF(SummaryTable[[#This Row],[AvgBudAmt]]=0, IF(SummaryTable[[#This Row],[AvgDiff'#]]=0, 0, NamedFields!$C$3), SummaryTable[[#This Row],[AvgDiff'#]]/SummaryTable[[#This Row],[AvgBudAmt]])</f>
        <v>2.1303400174367915</v>
      </c>
      <c r="Q83" s="61">
        <f>IFERROR(SUMIFS(allFYsTable[OriginalBudget],allFYsTable[Code],SummaryTable[[#This Row],[Code]],allFYsTable[DiffAmount], "&gt;0")/SummaryTable[[#This Row],['# Over]], 0)</f>
        <v>2294</v>
      </c>
      <c r="R83" s="61">
        <f>IFERROR(SUMIFS(allFYsTable[Actual],allFYsTable[Code],SummaryTable[[#This Row],[Code]],allFYsTable[DiffAmount], "&gt;0")/SummaryTable[[#This Row],['# Over]], 0)</f>
        <v>7181</v>
      </c>
      <c r="S83" s="61">
        <f>SummaryTable[[#This Row],[OverAvgAct]]-SummaryTable[[#This Row],[OverAvgBud]]</f>
        <v>4887</v>
      </c>
      <c r="T83" s="54">
        <f>IF(SummaryTable[[#This Row],[OverAvgBud]]=0, IF(SummaryTable[[#This Row],[OverAvgDiff'#]]=0, ZeroBudgetNoSpending, ZeroBudgetWithSpending), SummaryTable[[#This Row],[OverAvgDiff'#]]/SummaryTable[[#This Row],[OverAvgBud]])</f>
        <v>2.1303400174367915</v>
      </c>
      <c r="U83" s="61">
        <f>IFERROR(SUMIFS(allFYsTable[OriginalBudget],allFYsTable[Code],SummaryTable[[#This Row],[Code]],allFYsTable[DiffAmount], "&lt;0")/SummaryTable[[#This Row],['# Under]], 0)</f>
        <v>0</v>
      </c>
      <c r="V83" s="61">
        <f>IFERROR( SUMIFS(allFYsTable[Actual],allFYsTable[Code],SummaryTable[[#This Row],[Code]],allFYsTable[DiffAmount], "&lt;0")/SummaryTable[[#This Row],['# Under]], 0)</f>
        <v>0</v>
      </c>
      <c r="W83" s="61">
        <f>SummaryTable[[#This Row],[UnderAvgAct]]-SummaryTable[[#This Row],[UnderAvgBud]]</f>
        <v>0</v>
      </c>
      <c r="X83" s="54">
        <f>IF(SummaryTable[[#This Row],[UnderAvgBud]]=0, IF(SummaryTable[[#This Row],[UnderAvgDiff'#]]=0, ZeroBudgetNoSpending, NamedFields!$C$3), SummaryTable[[#This Row],[UnderAvgDiff'#]]/SummaryTable[[#This Row],[UnderAvgBud]])</f>
        <v>0</v>
      </c>
      <c r="Y8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8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3" s="54">
        <f>IF(SummaryTable[[#This Row],[IncreaseYears]]=0, ZeroBudgetNoSpending, SummaryTable[[#This Row],[OSinIncreaseYear'#]]/SummaryTable[[#This Row],[IncreaseYears]])</f>
        <v>0</v>
      </c>
      <c r="AB83" s="58" t="str">
        <f>SummaryTable[[#This Row],[Code]]</f>
        <v>AQ0</v>
      </c>
      <c r="AC83" s="62">
        <f>IF(COUNTIFS(allFYsTable[Code], SummaryTable[[#This Row],[Code]], allFYsTable[year2], AC$3)=0, NotFound, SUMIFS(allFYsTable[OriginalBudget], allFYsTable[Code], SummaryTable[[#This Row],[Code]], allFYsTable[year2], AC$3))</f>
        <v>2294</v>
      </c>
      <c r="AD83" s="61" t="e">
        <f>SummaryTable[[#This Row],[OriginalBudget25]]-SummaryTable[[#This Row],[OriginalBudget24]]</f>
        <v>#N/A</v>
      </c>
      <c r="AE83" s="54" t="e">
        <f>SummaryTable[[#This Row],[BudgetIncreaseAmount25]]/SummaryTable[[#This Row],[OriginalBudget24]]</f>
        <v>#N/A</v>
      </c>
      <c r="AF83" s="61">
        <f>IF(COUNTIFS(allFYsTable[Code], SummaryTable[[#This Row],[Code]], allFYsTable[year2], AC$3)=0, NotFound, SUMIFS(allFYsTable[RevisedBudget], allFYsTable[Code], SummaryTable[[#This Row],[Code]], allFYsTable[year2], AC$3))</f>
        <v>7294</v>
      </c>
      <c r="AG83" s="61">
        <f>IF(COUNTIFS(allFYsTable[Code], SummaryTable[[#This Row],[Code]], allFYsTable[year2], AC$3)=0, NotFound, SUMIFS(allFYsTable[Actual], allFYsTable[Code], SummaryTable[[#This Row],[Code]], allFYsTable[year2], AC$3))</f>
        <v>7181</v>
      </c>
      <c r="AH83" s="61">
        <f>IF(COUNTIFS(allFYsTable[Code], SummaryTable[[#This Row],[Code]], allFYsTable[year2], AC$3)=0, NotFound, SUMIFS(allFYsTable[DiffAmount], allFYsTable[Code], SummaryTable[[#This Row],[Code]], allFYsTable[year2], AC$3))</f>
        <v>4887</v>
      </c>
      <c r="AI83" s="63">
        <f>IF(SummaryTable[[#This Row],[OriginalBudget25]]=0, IF(SummaryTable[[#This Row],[DiffAmount25]]=0, ZeroBudgetNoSpending, ZeroBudgetWithSpending), SummaryTable[[#This Row],[DiffAmount25]]/SummaryTable[[#This Row],[OriginalBudget25]])</f>
        <v>2.1303400174367915</v>
      </c>
      <c r="AJ83" s="62" t="e">
        <f>IF(COUNTIFS(allFYsTable[Code], SummaryTable[[#This Row],[Code]], allFYsTable[year2], AJ$3)=0, NotFound, SUMIFS(allFYsTable[OriginalBudget], allFYsTable[Code], SummaryTable[[#This Row],[Code]], allFYsTable[year2], AJ$3))</f>
        <v>#N/A</v>
      </c>
      <c r="AK83" s="61" t="e">
        <f>SummaryTable[[#This Row],[OriginalBudget24]]-SummaryTable[[#This Row],[OriginalBudget23]]</f>
        <v>#N/A</v>
      </c>
      <c r="AL83" s="54" t="e">
        <f>SummaryTable[[#This Row],[BudgetIncreaseAmount24]]/SummaryTable[[#This Row],[OriginalBudget23]]</f>
        <v>#N/A</v>
      </c>
      <c r="AM83" s="61" t="e">
        <f>IF(COUNTIFS(allFYsTable[Code], SummaryTable[[#This Row],[Code]], allFYsTable[year2], AK$3)=0, NotFound, SUMIFS(allFYsTable[RevisedBudget], allFYsTable[Code], SummaryTable[[#This Row],[Code]], allFYsTable[year2], AJ$3))</f>
        <v>#N/A</v>
      </c>
      <c r="AN83" s="61" t="e">
        <f>IF(COUNTIFS(allFYsTable[Code], SummaryTable[[#This Row],[Code]], allFYsTable[year2], AJ$3)=0, NotFound, SUMIFS(allFYsTable[Actual], allFYsTable[Code], SummaryTable[[#This Row],[Code]], allFYsTable[year2], AJ$3))</f>
        <v>#N/A</v>
      </c>
      <c r="AO83" s="61" t="e">
        <f>IF(COUNTIFS(allFYsTable[Code], SummaryTable[[#This Row],[Code]], allFYsTable[year2], AJ$3)=0, NotFound, SUMIFS(allFYsTable[DiffAmount], allFYsTable[Code], SummaryTable[[#This Row],[Code]], allFYsTable[year2], AJ$3))</f>
        <v>#N/A</v>
      </c>
      <c r="AP83" s="63" t="e">
        <f>IF(SummaryTable[[#This Row],[OriginalBudget24]]=0, IF(SummaryTable[[#This Row],[DiffAmount24]]=0, ZeroBudgetNoSpending, ZeroBudgetWithSpending), SummaryTable[[#This Row],[DiffAmount24]]/SummaryTable[[#This Row],[OriginalBudget24]])</f>
        <v>#N/A</v>
      </c>
      <c r="AQ83" s="62" t="e">
        <f>IF(COUNTIFS(allFYsTable[Code], SummaryTable[[#This Row],[Code]], allFYsTable[year2], AQ$3)=0, NotFound, SUMIFS(allFYsTable[OriginalBudget], allFYsTable[Code], SummaryTable[[#This Row],[Code]], allFYsTable[year2], AQ$3))</f>
        <v>#N/A</v>
      </c>
      <c r="AR83" s="61" t="e">
        <f>SummaryTable[[#This Row],[OriginalBudget23]]-SummaryTable[[#This Row],[OriginalBudget22]]</f>
        <v>#N/A</v>
      </c>
      <c r="AS83" s="54" t="e">
        <f>SummaryTable[[#This Row],[BudgetIncreaseAmount23]]/SummaryTable[[#This Row],[OriginalBudget22]]</f>
        <v>#N/A</v>
      </c>
      <c r="AT83" s="61" t="e">
        <f>IF(COUNTIFS(allFYsTable[Code], SummaryTable[[#This Row],[Code]], allFYsTable[year2], AQ$3)=0, NotFound, SUMIFS(allFYsTable[RevisedBudget], allFYsTable[Code], SummaryTable[[#This Row],[Code]], allFYsTable[year2], AQ$3))</f>
        <v>#N/A</v>
      </c>
      <c r="AU83" s="61" t="e">
        <f>IF(COUNTIFS(allFYsTable[Code], SummaryTable[[#This Row],[Code]], allFYsTable[year2], AQ$3)=0, NotFound, SUMIFS(allFYsTable[Actual], allFYsTable[Code], SummaryTable[[#This Row],[Code]], allFYsTable[year2], AQ$3))</f>
        <v>#N/A</v>
      </c>
      <c r="AV83" s="61" t="e">
        <f>IF(COUNTIFS(allFYsTable[Code], SummaryTable[[#This Row],[Code]], allFYsTable[year2], AQ$3)=0, NotFound, SUMIFS(allFYsTable[DiffAmount], allFYsTable[Code], SummaryTable[[#This Row],[Code]], allFYsTable[year2], AQ$3))</f>
        <v>#N/A</v>
      </c>
      <c r="AW83" s="63" t="e">
        <f>IF(SummaryTable[[#This Row],[OriginalBudget23]]=0, IF(SummaryTable[[#This Row],[DiffAmount23]]=0, ZeroBudgetNoSpending, ZeroBudgetWithSpending), SummaryTable[[#This Row],[DiffAmount23]]/SummaryTable[[#This Row],[OriginalBudget23]])</f>
        <v>#N/A</v>
      </c>
      <c r="AX83" s="62" t="e">
        <f>IF(COUNTIFS(allFYsTable[Code], SummaryTable[[#This Row],[Code]], allFYsTable[year2], AX$3)=0, NotFound, SUMIFS(allFYsTable[OriginalBudget], allFYsTable[Code], SummaryTable[[#This Row],[Code]], allFYsTable[year2], AX$3))</f>
        <v>#N/A</v>
      </c>
      <c r="AY83" s="61" t="e">
        <f>SummaryTable[[#This Row],[OriginalBudget22]]-SummaryTable[[#This Row],[OriginalBudget21]]</f>
        <v>#N/A</v>
      </c>
      <c r="AZ83" s="54" t="e">
        <f>SummaryTable[[#This Row],[BudgetIncreaseAmount22]]/SummaryTable[[#This Row],[OriginalBudget21]]</f>
        <v>#N/A</v>
      </c>
      <c r="BA83" s="61" t="e">
        <f>IF(COUNTIFS(allFYsTable[Code], SummaryTable[[#This Row],[Code]], allFYsTable[year2], AX$3)=0, NotFound, SUMIFS(allFYsTable[RevisedBudget], allFYsTable[Code], SummaryTable[[#This Row],[Code]], allFYsTable[year2], AX$3))</f>
        <v>#N/A</v>
      </c>
      <c r="BB83" s="61" t="e">
        <f>IF(COUNTIFS(allFYsTable[Code], SummaryTable[[#This Row],[Code]], allFYsTable[year2], AX$3)=0, NotFound, SUMIFS(allFYsTable[Actual], allFYsTable[Code], SummaryTable[[#This Row],[Code]], allFYsTable[year2], AX$3))</f>
        <v>#N/A</v>
      </c>
      <c r="BC83" s="61" t="e">
        <f>IF(COUNTIFS(allFYsTable[Code], SummaryTable[[#This Row],[Code]], allFYsTable[year2], AX$3)=0, NotFound, SUMIFS(allFYsTable[DiffAmount], allFYsTable[Code], SummaryTable[[#This Row],[Code]], allFYsTable[year2], AX$3))</f>
        <v>#N/A</v>
      </c>
      <c r="BD83" s="63" t="e">
        <f>IF(SummaryTable[[#This Row],[OriginalBudget22]]=0, IF(SummaryTable[[#This Row],[DiffAmount22]]=0, ZeroBudgetNoSpending, ZeroBudgetWithSpending), SummaryTable[[#This Row],[DiffAmount22]]/SummaryTable[[#This Row],[OriginalBudget22]])</f>
        <v>#N/A</v>
      </c>
      <c r="BE83" s="62" t="e">
        <f>IF(COUNTIFS(allFYsTable[Code], SummaryTable[[#This Row],[Code]], allFYsTable[year2], BE$3)=0, NotFound, SUMIFS(allFYsTable[OriginalBudget], allFYsTable[Code], SummaryTable[[#This Row],[Code]], allFYsTable[year2], BE$3))</f>
        <v>#N/A</v>
      </c>
      <c r="BF83" s="61" t="e">
        <f>SummaryTable[[#This Row],[OriginalBudget21]]-SummaryTable[[#This Row],[OriginalBudget20]]</f>
        <v>#N/A</v>
      </c>
      <c r="BG83" s="54" t="e">
        <f>SummaryTable[[#This Row],[BudgetIncreaseAmount21]]/SummaryTable[[#This Row],[OriginalBudget20]]</f>
        <v>#N/A</v>
      </c>
      <c r="BH83" s="61" t="e">
        <f>IF(COUNTIFS(allFYsTable[Code], SummaryTable[[#This Row],[Code]], allFYsTable[year2], BE$3)=0, NotFound, SUMIFS(allFYsTable[RevisedBudget], allFYsTable[Code], SummaryTable[[#This Row],[Code]], allFYsTable[year2], BE$3))</f>
        <v>#N/A</v>
      </c>
      <c r="BI83" s="61" t="e">
        <f>IF(COUNTIFS(allFYsTable[Code], SummaryTable[[#This Row],[Code]], allFYsTable[year2], BE$3)=0, NotFound, SUMIFS(allFYsTable[Actual], allFYsTable[Code], SummaryTable[[#This Row],[Code]], allFYsTable[year2], BE$3))</f>
        <v>#N/A</v>
      </c>
      <c r="BJ83" s="61" t="e">
        <f>IF(COUNTIFS(allFYsTable[Code], SummaryTable[[#This Row],[Code]], allFYsTable[year2], BE$3)=0, NotFound, SUMIFS(allFYsTable[DiffAmount], allFYsTable[Code], SummaryTable[[#This Row],[Code]], allFYsTable[year2], BE$3))</f>
        <v>#N/A</v>
      </c>
      <c r="BK83" s="63" t="e">
        <f>IF(SummaryTable[[#This Row],[OriginalBudget21]]=0, IF(SummaryTable[[#This Row],[DiffAmount21]]=0, ZeroBudgetNoSpending, ZeroBudgetWithSpending), SummaryTable[[#This Row],[DiffAmount21]]/SummaryTable[[#This Row],[OriginalBudget21]])</f>
        <v>#N/A</v>
      </c>
      <c r="BL83" s="62" t="e">
        <f>IF(COUNTIFS(allFYsTable[Code], SummaryTable[[#This Row],[Code]], allFYsTable[year2], BL$3)=0, NotFound, SUMIFS(allFYsTable[OriginalBudget], allFYsTable[Code], SummaryTable[[#This Row],[Code]], allFYsTable[year2], BL$3))</f>
        <v>#N/A</v>
      </c>
      <c r="BM83" s="61" t="e">
        <f>SummaryTable[[#This Row],[OriginalBudget20]]-SummaryTable[[#This Row],[OriginalBudget19]]</f>
        <v>#N/A</v>
      </c>
      <c r="BN83" s="54" t="e">
        <f>SummaryTable[[#This Row],[BudgetIncreaseAmount20]]/SummaryTable[[#This Row],[OriginalBudget19]]</f>
        <v>#N/A</v>
      </c>
      <c r="BO83" s="61" t="e">
        <f>IF(COUNTIFS(allFYsTable[Code], SummaryTable[[#This Row],[Code]], allFYsTable[year2], BL$3)=0, NotFound, SUMIFS(allFYsTable[RevisedBudget], allFYsTable[Code], SummaryTable[[#This Row],[Code]], allFYsTable[year2], BL$3))</f>
        <v>#N/A</v>
      </c>
      <c r="BP83" s="61" t="e">
        <f>IF(COUNTIFS(allFYsTable[Code], SummaryTable[[#This Row],[Code]], allFYsTable[year2], BL$3)=0, NotFound, SUMIFS(allFYsTable[Actual], allFYsTable[Code], SummaryTable[[#This Row],[Code]], allFYsTable[year2], BL$3))</f>
        <v>#N/A</v>
      </c>
      <c r="BQ83" s="61" t="e">
        <f>IF(COUNTIFS(allFYsTable[Code], SummaryTable[[#This Row],[Code]], allFYsTable[year2], BL$3)=0, NotFound, SUMIFS(allFYsTable[DiffAmount], allFYsTable[Code], SummaryTable[[#This Row],[Code]], allFYsTable[year2], BL$3))</f>
        <v>#N/A</v>
      </c>
      <c r="BR83" s="63" t="e">
        <f>IF(SummaryTable[[#This Row],[OriginalBudget20]]=0, IF(SummaryTable[[#This Row],[DiffAmount20]]=0, ZeroBudgetNoSpending, ZeroBudgetWithSpending), SummaryTable[[#This Row],[DiffAmount20]]/SummaryTable[[#This Row],[OriginalBudget20]])</f>
        <v>#N/A</v>
      </c>
      <c r="BS83" s="62" t="e">
        <f>IF(COUNTIFS(allFYsTable[Code], SummaryTable[[#This Row],[Code]], allFYsTable[year2], BS$3)=0, NotFound, SUMIFS(allFYsTable[OriginalBudget], allFYsTable[Code], SummaryTable[[#This Row],[Code]], allFYsTable[year2], BS$3))</f>
        <v>#N/A</v>
      </c>
      <c r="BT83" s="61" t="e">
        <f>SummaryTable[[#This Row],[OriginalBudget19]]-SummaryTable[[#This Row],[OriginalBudget18]]</f>
        <v>#N/A</v>
      </c>
      <c r="BU83" s="54" t="e">
        <f>SummaryTable[[#This Row],[BudgetIncreaseAmount19]]/SummaryTable[[#This Row],[OriginalBudget18]]</f>
        <v>#N/A</v>
      </c>
      <c r="BV83" s="61" t="e">
        <f>IF(COUNTIFS(allFYsTable[Code], SummaryTable[[#This Row],[Code]], allFYsTable[year2], BS$3)=0, NotFound, SUMIFS(allFYsTable[RevisedBudget], allFYsTable[Code], SummaryTable[[#This Row],[Code]], allFYsTable[year2], BS$3))</f>
        <v>#N/A</v>
      </c>
      <c r="BW83" s="61" t="e">
        <f>IF(COUNTIFS(allFYsTable[Code], SummaryTable[[#This Row],[Code]], allFYsTable[year2], BS$3)=0, NotFound, SUMIFS(allFYsTable[Actual], allFYsTable[Code], SummaryTable[[#This Row],[Code]], allFYsTable[year2], BS$3))</f>
        <v>#N/A</v>
      </c>
      <c r="BX83" s="61" t="e">
        <f>IF(COUNTIFS(allFYsTable[Code], SummaryTable[[#This Row],[Code]], allFYsTable[year2], BS$3)=0, NotFound, SUMIFS(allFYsTable[DiffAmount], allFYsTable[Code], SummaryTable[[#This Row],[Code]], allFYsTable[year2], BS$3))</f>
        <v>#N/A</v>
      </c>
      <c r="BY83" s="63" t="e">
        <f>IF(SummaryTable[[#This Row],[OriginalBudget19]]=0, IF(SummaryTable[[#This Row],[DiffAmount19]]=0, ZeroBudgetNoSpending, ZeroBudgetWithSpending), SummaryTable[[#This Row],[DiffAmount19]]/SummaryTable[[#This Row],[OriginalBudget19]])</f>
        <v>#N/A</v>
      </c>
      <c r="BZ83" s="62" t="e">
        <f>IF(COUNTIFS(allFYsTable[Code], SummaryTable[[#This Row],[Code]], allFYsTable[year2], BZ$3)=0, NotFound, SUMIFS(allFYsTable[OriginalBudget], allFYsTable[Code], SummaryTable[[#This Row],[Code]], allFYsTable[year2], BZ$3))</f>
        <v>#N/A</v>
      </c>
      <c r="CA83" s="61" t="e">
        <f>SummaryTable[[#This Row],[OriginalBudget18]]-SummaryTable[[#This Row],[OriginalBudget17]]</f>
        <v>#N/A</v>
      </c>
      <c r="CB83" s="54" t="e">
        <f>SummaryTable[[#This Row],[BudgetIncreaseAmount18]]/SummaryTable[[#This Row],[OriginalBudget17]]</f>
        <v>#N/A</v>
      </c>
      <c r="CC83" s="61" t="e">
        <f>IF(COUNTIFS(allFYsTable[Code], SummaryTable[[#This Row],[Code]], allFYsTable[year2], BZ$3)=0, NotFound, SUMIFS(allFYsTable[RevisedBudget], allFYsTable[Code], SummaryTable[[#This Row],[Code]], allFYsTable[year2], BZ$3))</f>
        <v>#N/A</v>
      </c>
      <c r="CD83" s="61" t="e">
        <f>IF(COUNTIFS(allFYsTable[Code], SummaryTable[[#This Row],[Code]], allFYsTable[year2], BZ$3)=0, NotFound, SUMIFS(allFYsTable[Actual], allFYsTable[Code], SummaryTable[[#This Row],[Code]], allFYsTable[year2], BZ$3))</f>
        <v>#N/A</v>
      </c>
      <c r="CE83" s="61" t="e">
        <f>IF(COUNTIFS(allFYsTable[Code], SummaryTable[[#This Row],[Code]], allFYsTable[year2], BZ$3)=0, NotFound, SUMIFS(allFYsTable[DiffAmount], allFYsTable[Code], SummaryTable[[#This Row],[Code]], allFYsTable[year2], BZ$3))</f>
        <v>#N/A</v>
      </c>
      <c r="CF83" s="63" t="e">
        <f>IF(SummaryTable[[#This Row],[OriginalBudget18]]=0, IF(SummaryTable[[#This Row],[DiffAmount18]]=0, ZeroBudgetNoSpending, ZeroBudgetWithSpending), SummaryTable[[#This Row],[DiffAmount18]]/SummaryTable[[#This Row],[OriginalBudget18]])</f>
        <v>#N/A</v>
      </c>
      <c r="CG83" s="62" t="e">
        <f>IF(COUNTIFS(allFYsTable[Code], SummaryTable[[#This Row],[Code]], allFYsTable[year2], CG$3)=0, NotFound, SUMIFS(allFYsTable[OriginalBudget], allFYsTable[Code], SummaryTable[[#This Row],[Code]], allFYsTable[year2], CG$3))</f>
        <v>#N/A</v>
      </c>
      <c r="CH83" s="61" t="e">
        <f>SummaryTable[[#This Row],[OriginalBudget17]]-SummaryTable[[#This Row],[OriginalBudget16]]</f>
        <v>#N/A</v>
      </c>
      <c r="CI83" s="54" t="e">
        <f>SummaryTable[[#This Row],[BudgetIncreaseAmount17]]/SummaryTable[[#This Row],[OriginalBudget16]]</f>
        <v>#N/A</v>
      </c>
      <c r="CJ83" s="61" t="e">
        <f>IF(COUNTIFS(allFYsTable[Code], SummaryTable[[#This Row],[Code]], allFYsTable[year2], CG$3)=0, NotFound, SUMIFS(allFYsTable[RevisedBudget], allFYsTable[Code], SummaryTable[[#This Row],[Code]], allFYsTable[year2], CG$3))</f>
        <v>#N/A</v>
      </c>
      <c r="CK83" s="61" t="e">
        <f>IF(COUNTIFS(allFYsTable[Code], SummaryTable[[#This Row],[Code]], allFYsTable[year2], CG$3)=0, NotFound, SUMIFS(allFYsTable[Actual], allFYsTable[Code], SummaryTable[[#This Row],[Code]], allFYsTable[year2], CG$3))</f>
        <v>#N/A</v>
      </c>
      <c r="CL83" s="61" t="e">
        <f>IF(COUNTIFS(allFYsTable[Code], SummaryTable[[#This Row],[Code]], allFYsTable[year2], CG$3)=0, NotFound, SUMIFS(allFYsTable[DiffAmount], allFYsTable[Code], SummaryTable[[#This Row],[Code]], allFYsTable[year2], CG$3))</f>
        <v>#N/A</v>
      </c>
      <c r="CM83" s="63" t="e">
        <f>IF(SummaryTable[[#This Row],[OriginalBudget17]]=0, IF(SummaryTable[[#This Row],[DiffAmount17]]=0, ZeroBudgetNoSpending, ZeroBudgetWithSpending), SummaryTable[[#This Row],[DiffAmount17]]/SummaryTable[[#This Row],[OriginalBudget17]])</f>
        <v>#N/A</v>
      </c>
      <c r="CN83" s="62" t="e">
        <f>IF(COUNTIFS(allFYsTable[Code], SummaryTable[[#This Row],[Code]], allFYsTable[year2], CN$3)=0, NotFound, SUMIFS(allFYsTable[OriginalBudget], allFYsTable[Code], SummaryTable[[#This Row],[Code]], allFYsTable[year2], CN$3))</f>
        <v>#N/A</v>
      </c>
      <c r="CO83" s="61" t="e">
        <f>SummaryTable[[#This Row],[OriginalBudget16]]-SummaryTable[[#This Row],[OriginalBudget15]]</f>
        <v>#N/A</v>
      </c>
      <c r="CP83" s="54" t="e">
        <f>SummaryTable[[#This Row],[BudgetIncreaseAmount16]]/SummaryTable[[#This Row],[OriginalBudget15]]</f>
        <v>#N/A</v>
      </c>
      <c r="CQ83" s="61" t="e">
        <f>IF(COUNTIFS(allFYsTable[Code], SummaryTable[[#This Row],[Code]], allFYsTable[year2], CN$3)=0, NotFound, SUMIFS(allFYsTable[RevisedBudget], allFYsTable[Code], SummaryTable[[#This Row],[Code]], allFYsTable[year2], CN$3))</f>
        <v>#N/A</v>
      </c>
      <c r="CR83" s="61" t="e">
        <f>IF(COUNTIFS(allFYsTable[Code], SummaryTable[[#This Row],[Code]], allFYsTable[year2], CN$3)=0, NotFound, SUMIFS(allFYsTable[Actual], allFYsTable[Code], SummaryTable[[#This Row],[Code]], allFYsTable[year2], CN$3))</f>
        <v>#N/A</v>
      </c>
      <c r="CS83" s="61" t="e">
        <f>IF(COUNTIFS(allFYsTable[Code], SummaryTable[[#This Row],[Code]], allFYsTable[year2], CN$3)=0, NotFound, SUMIFS(allFYsTable[DiffAmount], allFYsTable[Code], SummaryTable[[#This Row],[Code]], allFYsTable[year2], CN$3))</f>
        <v>#N/A</v>
      </c>
      <c r="CT83" s="63" t="e">
        <f>IF(SummaryTable[[#This Row],[OriginalBudget16]]=0, IF(SummaryTable[[#This Row],[DiffAmount16]]=0, ZeroBudgetNoSpending, ZeroBudgetWithSpending), SummaryTable[[#This Row],[DiffAmount16]]/SummaryTable[[#This Row],[OriginalBudget16]])</f>
        <v>#N/A</v>
      </c>
      <c r="CU83" s="62" t="e">
        <f>IF(COUNTIFS(allFYsTable[Code], SummaryTable[[#This Row],[Code]], allFYsTable[year2], CU$3)=0, NotFound, SUMIFS(allFYsTable[OriginalBudget], allFYsTable[Code], SummaryTable[[#This Row],[Code]], allFYsTable[year2], CU$3))</f>
        <v>#N/A</v>
      </c>
      <c r="CV83" s="61" t="e">
        <f>SummaryTable[[#This Row],[OriginalBudget15]]-SummaryTable[[#This Row],[OriginalBudget14]]</f>
        <v>#N/A</v>
      </c>
      <c r="CW83" s="54" t="e">
        <f>SummaryTable[[#This Row],[BudgetIncreaseAmount15]]/SummaryTable[[#This Row],[OriginalBudget14]]</f>
        <v>#N/A</v>
      </c>
      <c r="CX83" s="61" t="e">
        <f>IF(COUNTIFS(allFYsTable[Code], SummaryTable[[#This Row],[Code]], allFYsTable[year2], CU$3)=0, NotFound, SUMIFS(allFYsTable[RevisedBudget], allFYsTable[Code], SummaryTable[[#This Row],[Code]], allFYsTable[year2], CU$3))</f>
        <v>#N/A</v>
      </c>
      <c r="CY83" s="61" t="e">
        <f>IF(COUNTIFS(allFYsTable[Code], SummaryTable[[#This Row],[Code]], allFYsTable[year2], CU$3)=0, NotFound, SUMIFS(allFYsTable[Actual], allFYsTable[Code], SummaryTable[[#This Row],[Code]], allFYsTable[year2], CU$3))</f>
        <v>#N/A</v>
      </c>
      <c r="CZ83" s="61" t="e">
        <f>IF(COUNTIFS(allFYsTable[Code], SummaryTable[[#This Row],[Code]], allFYsTable[year2], CU$3)=0, NotFound, SUMIFS(allFYsTable[DiffAmount], allFYsTable[Code], SummaryTable[[#This Row],[Code]], allFYsTable[year2], CU$3))</f>
        <v>#N/A</v>
      </c>
      <c r="DA83" s="63" t="e">
        <f>IF(SummaryTable[[#This Row],[OriginalBudget15]]=0, IF(SummaryTable[[#This Row],[DiffAmount15]]=0, ZeroBudgetNoSpending, ZeroBudgetWithSpending), SummaryTable[[#This Row],[DiffAmount15]]/SummaryTable[[#This Row],[OriginalBudget15]])</f>
        <v>#N/A</v>
      </c>
      <c r="DB83" s="62" t="e">
        <f>IF(COUNTIFS(allFYsTable[Code], SummaryTable[[#This Row],[Code]], allFYsTable[year2], DB$3)=0, NotFound, SUMIFS(allFYsTable[OriginalBudget], allFYsTable[Code], SummaryTable[[#This Row],[Code]], allFYsTable[year2], DB$3))</f>
        <v>#N/A</v>
      </c>
      <c r="DC83" s="61" t="e">
        <f>SummaryTable[[#This Row],[OriginalBudget14]]-SummaryTable[[#This Row],[OriginalBudget13]]</f>
        <v>#N/A</v>
      </c>
      <c r="DD83" s="54" t="e">
        <f>SummaryTable[[#This Row],[BudgetIncreaseAmount14]]/SummaryTable[[#This Row],[OriginalBudget13]]</f>
        <v>#N/A</v>
      </c>
      <c r="DE83" s="61" t="e">
        <f>IF(COUNTIFS(allFYsTable[Code], SummaryTable[[#This Row],[Code]], allFYsTable[year2], DB$3)=0, NotFound, SUMIFS(allFYsTable[RevisedBudget], allFYsTable[Code], SummaryTable[[#This Row],[Code]], allFYsTable[year2], DB$3))</f>
        <v>#N/A</v>
      </c>
      <c r="DF83" s="61" t="e">
        <f>IF(COUNTIFS(allFYsTable[Code], SummaryTable[[#This Row],[Code]], allFYsTable[year2], DB$3)=0, NotFound, SUMIFS(allFYsTable[Actual], allFYsTable[Code], SummaryTable[[#This Row],[Code]], allFYsTable[year2], DB$3))</f>
        <v>#N/A</v>
      </c>
      <c r="DG83" s="61" t="e">
        <f>IF(COUNTIFS(allFYsTable[Code], SummaryTable[[#This Row],[Code]], allFYsTable[year2], DB$3)=0, NotFound, SUMIFS(allFYsTable[DiffAmount], allFYsTable[Code], SummaryTable[[#This Row],[Code]], allFYsTable[year2], DB$3))</f>
        <v>#N/A</v>
      </c>
      <c r="DH83" s="63" t="e">
        <f>IF(SummaryTable[[#This Row],[OriginalBudget14]]=0, IF(SummaryTable[[#This Row],[DiffAmount14]]=0, ZeroBudgetNoSpending, ZeroBudgetWithSpending), SummaryTable[[#This Row],[DiffAmount14]]/SummaryTable[[#This Row],[OriginalBudget14]])</f>
        <v>#N/A</v>
      </c>
      <c r="DI83" s="62" t="e">
        <f>IF(COUNTIFS(allFYsTable[Code], SummaryTable[[#This Row],[Code]], allFYsTable[year2], DI$3)=0, NotFound, SUMIFS(allFYsTable[OriginalBudget], allFYsTable[Code], SummaryTable[[#This Row],[Code]], allFYsTable[year2], DI$3))</f>
        <v>#N/A</v>
      </c>
      <c r="DJ83" s="61" t="e">
        <f>SummaryTable[[#This Row],[OriginalBudget13]]-SummaryTable[[#This Row],[OriginalBudget12]]</f>
        <v>#N/A</v>
      </c>
      <c r="DK83" s="54" t="e">
        <f>SummaryTable[[#This Row],[BudgetIncreaseAmount13]]/SummaryTable[[#This Row],[OriginalBudget12]]</f>
        <v>#N/A</v>
      </c>
      <c r="DL83" s="61" t="e">
        <f>IF(COUNTIFS(allFYsTable[Code], SummaryTable[[#This Row],[Code]], allFYsTable[year2], DI$3)=0, NotFound, SUMIFS(allFYsTable[RevisedBudget], allFYsTable[Code], SummaryTable[[#This Row],[Code]], allFYsTable[year2], DI$3))</f>
        <v>#N/A</v>
      </c>
      <c r="DM83" s="61" t="e">
        <f>IF(COUNTIFS(allFYsTable[Code], SummaryTable[[#This Row],[Code]], allFYsTable[year2], DI$3)=0, NotFound, SUMIFS(allFYsTable[Actual], allFYsTable[Code], SummaryTable[[#This Row],[Code]], allFYsTable[year2], DI$3))</f>
        <v>#N/A</v>
      </c>
      <c r="DN83" s="61" t="e">
        <f>IF(COUNTIFS(allFYsTable[Code], SummaryTable[[#This Row],[Code]], allFYsTable[year2], DI$3)=0, NotFound, SUMIFS(allFYsTable[DiffAmount], allFYsTable[Code], SummaryTable[[#This Row],[Code]], allFYsTable[year2], DI$3))</f>
        <v>#N/A</v>
      </c>
      <c r="DO83" s="63" t="e">
        <f>IF(SummaryTable[[#This Row],[OriginalBudget13]]=0, IF(SummaryTable[[#This Row],[DiffAmount13]]=0, ZeroBudgetNoSpending, ZeroBudgetWithSpending), SummaryTable[[#This Row],[DiffAmount13]]/SummaryTable[[#This Row],[OriginalBudget13]])</f>
        <v>#N/A</v>
      </c>
      <c r="DP83" s="62" t="e">
        <f>IF(COUNTIFS(allFYsTable[Code], SummaryTable[[#This Row],[Code]], allFYsTable[year2], DP$3)=0, NotFound, SUMIFS(allFYsTable[OriginalBudget], allFYsTable[Code], SummaryTable[[#This Row],[Code]], allFYsTable[year2], DP$3))</f>
        <v>#N/A</v>
      </c>
      <c r="DQ83" s="61" t="e">
        <f>SummaryTable[[#This Row],[OriginalBudget12]]-SummaryTable[[#This Row],[OriginalBudget11]]</f>
        <v>#N/A</v>
      </c>
      <c r="DR83" s="54" t="e">
        <f>SummaryTable[[#This Row],[BudgetIncreaseAmount12]]/SummaryTable[[#This Row],[OriginalBudget11]]</f>
        <v>#N/A</v>
      </c>
      <c r="DS83" s="61" t="e">
        <f>IF(COUNTIFS(allFYsTable[Code], SummaryTable[[#This Row],[Code]], allFYsTable[year2], DP$3)=0, NotFound, SUMIFS(allFYsTable[RevisedBudget], allFYsTable[Code], SummaryTable[[#This Row],[Code]], allFYsTable[year2], DP$3))</f>
        <v>#N/A</v>
      </c>
      <c r="DT83" s="61" t="e">
        <f>IF(COUNTIFS(allFYsTable[Code], SummaryTable[[#This Row],[Code]], allFYsTable[year2], DP$3)=0, NotFound, SUMIFS(allFYsTable[Actual], allFYsTable[Code], SummaryTable[[#This Row],[Code]], allFYsTable[year2], DP$3))</f>
        <v>#N/A</v>
      </c>
      <c r="DU83" s="61" t="e">
        <f>IF(COUNTIFS(allFYsTable[Code], SummaryTable[[#This Row],[Code]], allFYsTable[year2], DP$3)=0, NotFound, SUMIFS(allFYsTable[DiffAmount], allFYsTable[Code], SummaryTable[[#This Row],[Code]], allFYsTable[year2], DP$3))</f>
        <v>#N/A</v>
      </c>
      <c r="DV83" s="63" t="e">
        <f>IF(SummaryTable[[#This Row],[OriginalBudget12]]=0, IF(SummaryTable[[#This Row],[DiffAmount12]]=0, ZeroBudgetNoSpending, ZeroBudgetWithSpending), SummaryTable[[#This Row],[DiffAmount12]]/SummaryTable[[#This Row],[OriginalBudget12]])</f>
        <v>#N/A</v>
      </c>
      <c r="DW83" s="62" t="e">
        <f>IF(COUNTIFS(allFYsTable[Code], SummaryTable[[#This Row],[Code]], allFYsTable[year2], DW$3)=0, NotFound, SUMIFS(allFYsTable[OriginalBudget], allFYsTable[Code], SummaryTable[[#This Row],[Code]], allFYsTable[year2], DW$3))</f>
        <v>#N/A</v>
      </c>
      <c r="DX83" s="61" t="e">
        <f>SummaryTable[[#This Row],[OriginalBudget11]]-SummaryTable[[#This Row],[OriginalBudget10]]</f>
        <v>#N/A</v>
      </c>
      <c r="DY83" s="54" t="e">
        <f>SummaryTable[[#This Row],[BudgetIncreaseAmount11]]/SummaryTable[[#This Row],[OriginalBudget10]]</f>
        <v>#N/A</v>
      </c>
      <c r="DZ83" s="61" t="e">
        <f>IF(COUNTIFS(allFYsTable[Code], SummaryTable[[#This Row],[Code]], allFYsTable[year2], DW$3)=0, NotFound, SUMIFS(allFYsTable[RevisedBudget], allFYsTable[Code], SummaryTable[[#This Row],[Code]], allFYsTable[year2], DW$3))</f>
        <v>#N/A</v>
      </c>
      <c r="EA83" s="61" t="e">
        <f>IF(COUNTIFS(allFYsTable[Code], SummaryTable[[#This Row],[Code]], allFYsTable[year2], DW$3)=0, NotFound, SUMIFS(allFYsTable[Actual], allFYsTable[Code], SummaryTable[[#This Row],[Code]], allFYsTable[year2], DW$3))</f>
        <v>#N/A</v>
      </c>
      <c r="EB83" s="61" t="e">
        <f>IF(COUNTIFS(allFYsTable[Code], SummaryTable[[#This Row],[Code]], allFYsTable[year2], DW$3)=0, NotFound, SUMIFS(allFYsTable[DiffAmount], allFYsTable[Code], SummaryTable[[#This Row],[Code]], allFYsTable[year2], DW$3))</f>
        <v>#N/A</v>
      </c>
      <c r="EC83" s="63" t="e">
        <f>IF(SummaryTable[[#This Row],[OriginalBudget11]]=0, IF(SummaryTable[[#This Row],[DiffAmount11]]=0, ZeroBudgetNoSpending, ZeroBudgetWithSpending), SummaryTable[[#This Row],[DiffAmount11]]/SummaryTable[[#This Row],[OriginalBudget11]])</f>
        <v>#N/A</v>
      </c>
      <c r="ED83" s="62" t="e">
        <f>IF(COUNTIFS(allFYsTable[Code], SummaryTable[[#This Row],[Code]], allFYsTable[year2], ED$3)=0, NotFound, SUMIFS(allFYsTable[OriginalBudget], allFYsTable[Code], SummaryTable[[#This Row],[Code]], allFYsTable[year2], ED$3))</f>
        <v>#N/A</v>
      </c>
      <c r="EE83" s="61" t="e">
        <f>SummaryTable[[#This Row],[OriginalBudget10]]-SummaryTable[[#This Row],[OriginalBudget09]]</f>
        <v>#N/A</v>
      </c>
      <c r="EF83" s="54" t="e">
        <f>SummaryTable[[#This Row],[BudgetIncreaseAmount10]]/SummaryTable[[#This Row],[OriginalBudget09]]</f>
        <v>#N/A</v>
      </c>
      <c r="EG83" s="61" t="e">
        <f>IF(COUNTIFS(allFYsTable[Code], SummaryTable[[#This Row],[Code]], allFYsTable[year2], ED$3)=0, NotFound, SUMIFS(allFYsTable[RevisedBudget], allFYsTable[Code], SummaryTable[[#This Row],[Code]], allFYsTable[year2], ED$3))</f>
        <v>#N/A</v>
      </c>
      <c r="EH83" s="61" t="e">
        <f>IF(COUNTIFS(allFYsTable[Code], SummaryTable[[#This Row],[Code]], allFYsTable[year2], ED$3)=0, NotFound, SUMIFS(allFYsTable[Actual], allFYsTable[Code], SummaryTable[[#This Row],[Code]], allFYsTable[year2], ED$3))</f>
        <v>#N/A</v>
      </c>
      <c r="EI83" s="61" t="e">
        <f>IF(COUNTIFS(allFYsTable[Code], SummaryTable[[#This Row],[Code]], allFYsTable[year2], ED$3)=0, NotFound, SUMIFS(allFYsTable[DiffAmount], allFYsTable[Code], SummaryTable[[#This Row],[Code]], allFYsTable[year2], ED$3))</f>
        <v>#N/A</v>
      </c>
      <c r="EJ83" s="63" t="e">
        <f>IF(SummaryTable[[#This Row],[OriginalBudget10]]=0, IF(SummaryTable[[#This Row],[DiffAmount10]]=0, ZeroBudgetNoSpending, ZeroBudgetWithSpending), SummaryTable[[#This Row],[DiffAmount10]]/SummaryTable[[#This Row],[OriginalBudget10]])</f>
        <v>#N/A</v>
      </c>
      <c r="EK83" s="62" t="e">
        <f>IF(COUNTIFS(allFYsTable[Code], SummaryTable[[#This Row],[Code]], allFYsTable[year2], EK$3)=0, NotFound, SUMIFS(allFYsTable[OriginalBudget], allFYsTable[Code], SummaryTable[[#This Row],[Code]], allFYsTable[year2], EK$3))</f>
        <v>#N/A</v>
      </c>
      <c r="EL83" s="61" t="e">
        <f>SummaryTable[[#This Row],[OriginalBudget09]]-SummaryTable[[#This Row],[OriginalBudget08]]</f>
        <v>#N/A</v>
      </c>
      <c r="EM83" s="54" t="e">
        <f>SummaryTable[[#This Row],[BudgetIncreaseAmount09]]/SummaryTable[[#This Row],[OriginalBudget08]]</f>
        <v>#N/A</v>
      </c>
      <c r="EN83" s="61" t="e">
        <f>IF(COUNTIFS(allFYsTable[Code], SummaryTable[[#This Row],[Code]], allFYsTable[year2], EK$3)=0, NotFound, SUMIFS(allFYsTable[RevisedBudget], allFYsTable[Code], SummaryTable[[#This Row],[Code]], allFYsTable[year2], EK$3))</f>
        <v>#N/A</v>
      </c>
      <c r="EO83" s="61" t="e">
        <f>IF(COUNTIFS(allFYsTable[Code], SummaryTable[[#This Row],[Code]], allFYsTable[year2], EK$3)=0, NotFound, SUMIFS(allFYsTable[Actual], allFYsTable[Code], SummaryTable[[#This Row],[Code]], allFYsTable[year2], EK$3))</f>
        <v>#N/A</v>
      </c>
      <c r="EP83" s="61" t="e">
        <f>IF(COUNTIFS(allFYsTable[Code], SummaryTable[[#This Row],[Code]], allFYsTable[year2], EK$3)=0, NotFound, SUMIFS(allFYsTable[DiffAmount], allFYsTable[Code], SummaryTable[[#This Row],[Code]], allFYsTable[year2], EK$3))</f>
        <v>#N/A</v>
      </c>
      <c r="EQ83" s="63" t="e">
        <f>IF(SummaryTable[[#This Row],[OriginalBudget09]]=0, IF(SummaryTable[[#This Row],[DiffAmount09]]=0, ZeroBudgetNoSpending, ZeroBudgetWithSpending), SummaryTable[[#This Row],[DiffAmount09]]/SummaryTable[[#This Row],[OriginalBudget09]])</f>
        <v>#N/A</v>
      </c>
      <c r="ER83" s="62" t="e">
        <f>IF(COUNTIFS(allFYsTable[Code], SummaryTable[[#This Row],[Code]], allFYsTable[year2], ER$3)=0, NotFound, SUMIFS(allFYsTable[OriginalBudget], allFYsTable[Code], SummaryTable[[#This Row],[Code]], allFYsTable[year2], ER$3))</f>
        <v>#N/A</v>
      </c>
      <c r="ES83" s="61" t="e">
        <f>SummaryTable[[#This Row],[OriginalBudget08]]-SummaryTable[[#This Row],[OriginalBudget07]]</f>
        <v>#N/A</v>
      </c>
      <c r="ET83" s="54" t="e">
        <f>SummaryTable[[#This Row],[BudgetIncreaseAmount08]]/SummaryTable[[#This Row],[OriginalBudget07]]</f>
        <v>#N/A</v>
      </c>
      <c r="EU83" s="61" t="e">
        <f>IF(COUNTIFS(allFYsTable[Code], SummaryTable[[#This Row],[Code]], allFYsTable[year2], ER$3)=0, NotFound, SUMIFS(allFYsTable[RevisedBudget], allFYsTable[Code], SummaryTable[[#This Row],[Code]], allFYsTable[year2], ER$3))</f>
        <v>#N/A</v>
      </c>
      <c r="EV83" s="61" t="e">
        <f>IF(COUNTIFS(allFYsTable[Code], SummaryTable[[#This Row],[Code]], allFYsTable[year2], ER$3)=0, NotFound, SUMIFS(allFYsTable[Actual], allFYsTable[Code], SummaryTable[[#This Row],[Code]], allFYsTable[year2], ER$3))</f>
        <v>#N/A</v>
      </c>
      <c r="EW83" s="61" t="e">
        <f>IF(COUNTIFS(allFYsTable[Code], SummaryTable[[#This Row],[Code]], allFYsTable[year2], ER$3)=0, NotFound, SUMIFS(allFYsTable[DiffAmount], allFYsTable[Code], SummaryTable[[#This Row],[Code]], allFYsTable[year2], ER$3))</f>
        <v>#N/A</v>
      </c>
      <c r="EX83" s="63" t="e">
        <f>IF(SummaryTable[[#This Row],[OriginalBudget08]]=0, IF(SummaryTable[[#This Row],[DiffAmount08]]=0, ZeroBudgetNoSpending, ZeroBudgetWithSpending), SummaryTable[[#This Row],[DiffAmount08]]/SummaryTable[[#This Row],[OriginalBudget08]])</f>
        <v>#N/A</v>
      </c>
      <c r="EY83" s="62" t="e">
        <f>IF(COUNTIFS(allFYsTable[Code], SummaryTable[[#This Row],[Code]], allFYsTable[year2], EY$3)=0, NotFound, SUMIFS(allFYsTable[OriginalBudget], allFYsTable[Code], SummaryTable[[#This Row],[Code]], allFYsTable[year2], EY$3))</f>
        <v>#N/A</v>
      </c>
      <c r="EZ83" s="61" t="e">
        <f>SummaryTable[[#This Row],[OriginalBudget07]]-SummaryTable[[#This Row],[OriginalBudget06]]</f>
        <v>#N/A</v>
      </c>
      <c r="FA83" s="54" t="e">
        <f>SummaryTable[[#This Row],[BudgetIncreaseAmount07]]/SummaryTable[[#This Row],[OriginalBudget06]]</f>
        <v>#N/A</v>
      </c>
      <c r="FB83" s="61" t="e">
        <f>IF(COUNTIFS(allFYsTable[Code], SummaryTable[[#This Row],[Code]], allFYsTable[year2], EY$3)=0, NotFound, SUMIFS(allFYsTable[RevisedBudget], allFYsTable[Code], SummaryTable[[#This Row],[Code]], allFYsTable[year2], EY$3))</f>
        <v>#N/A</v>
      </c>
      <c r="FC83" s="61" t="e">
        <f>IF(COUNTIFS(allFYsTable[Code], SummaryTable[[#This Row],[Code]], allFYsTable[year2], EY$3)=0, NotFound, SUMIFS(allFYsTable[Actual], allFYsTable[Code], SummaryTable[[#This Row],[Code]], allFYsTable[year2], EY$3))</f>
        <v>#N/A</v>
      </c>
      <c r="FD83" s="61" t="e">
        <f>IF(COUNTIFS(allFYsTable[Code], SummaryTable[[#This Row],[Code]], allFYsTable[year2], EY$3)=0, NotFound, SUMIFS(allFYsTable[DiffAmount], allFYsTable[Code], SummaryTable[[#This Row],[Code]], allFYsTable[year2], EY$3))</f>
        <v>#N/A</v>
      </c>
      <c r="FE83" s="63" t="e">
        <f>IF(SummaryTable[[#This Row],[OriginalBudget07]]=0, IF(SummaryTable[[#This Row],[DiffAmount07]]=0, ZeroBudgetNoSpending, ZeroBudgetWithSpending), SummaryTable[[#This Row],[DiffAmount07]]/SummaryTable[[#This Row],[OriginalBudget07]])</f>
        <v>#N/A</v>
      </c>
      <c r="FF83" s="62" t="e">
        <f>IF(COUNTIFS(allFYsTable[Code], SummaryTable[[#This Row],[Code]], allFYsTable[year2], FF$3)=0, NotFound, SUMIFS(allFYsTable[OriginalBudget], allFYsTable[Code], SummaryTable[[#This Row],[Code]], allFYsTable[year2], FF$3))</f>
        <v>#N/A</v>
      </c>
      <c r="FI83" s="61" t="e">
        <f>IF(COUNTIFS(allFYsTable[Code], SummaryTable[[#This Row],[Code]], allFYsTable[year2], FF$3)=0, NotFound, SUMIFS(allFYsTable[RevisedBudget], allFYsTable[Code], SummaryTable[[#This Row],[Code]], allFYsTable[year2], FF$3))</f>
        <v>#N/A</v>
      </c>
      <c r="FJ83" s="61" t="e">
        <f>IF(COUNTIFS(allFYsTable[Code], SummaryTable[[#This Row],[Code]], allFYsTable[year2], FF$3)=0, NotFound, SUMIFS(allFYsTable[Actual], allFYsTable[Code], SummaryTable[[#This Row],[Code]], allFYsTable[year2], FF$3))</f>
        <v>#N/A</v>
      </c>
      <c r="FK83" s="61" t="e">
        <f>IF(COUNTIFS(allFYsTable[Code], SummaryTable[[#This Row],[Code]], allFYsTable[year2], FF$3)=0, NotFound, SUMIFS(allFYsTable[DiffAmount], allFYsTable[Code], SummaryTable[[#This Row],[Code]], allFYsTable[year2], FF$3))</f>
        <v>#N/A</v>
      </c>
      <c r="FL83" s="63" t="e">
        <f>IF(SummaryTable[[#This Row],[OriginalBudget06]]=0, IF(SummaryTable[[#This Row],[DiffAmount06]]=0, ZeroBudgetNoSpending, ZeroBudgetWithSpending), SummaryTable[[#This Row],[DiffAmount06]]/SummaryTable[[#This Row],[OriginalBudget06]])</f>
        <v>#N/A</v>
      </c>
    </row>
    <row r="84" spans="1:168" x14ac:dyDescent="0.45">
      <c r="A84" t="s">
        <v>761</v>
      </c>
      <c r="B84">
        <f>_xlfn.MAXIFS(allFYsTable[year2], allFYsTable[Code], SummaryTable[[#This Row],[Code]])</f>
        <v>2025</v>
      </c>
      <c r="C84" t="str">
        <f>_xlfn.XLOOKUP(SummaryTable[[#This Row],[Code]], NameCodingTable[Code], NameCodingTable[Most Recent Category per allFYs])</f>
        <v>Public safety and justice</v>
      </c>
      <c r="D84" t="str">
        <f>_xlfn.XLOOKUP(SummaryTable[[#This Row],[Code]], NameCodingTable[Code], NameCodingTable[Unit Display Name])</f>
        <v>Office of Neighborhood Safety and Engagement (ONSE)</v>
      </c>
      <c r="E84" t="str">
        <f>_xlfn.XLOOKUP(SummaryTable[[#This Row],[Code]], NameCodingTable[Code], NameCodingTable[Type])</f>
        <v>agency</v>
      </c>
      <c r="F8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8</v>
      </c>
      <c r="G8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84" s="54">
        <f>SummaryTable[[#This Row],['# Over]]/SummaryTable[[#This Row],[Count]]</f>
        <v>0.25</v>
      </c>
      <c r="I8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6</v>
      </c>
      <c r="J84" s="54">
        <f>SummaryTable[[#This Row],['# Under]]/SummaryTable[[#This Row],[Count]]</f>
        <v>0.75</v>
      </c>
      <c r="K8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4" s="54">
        <f>SummaryTable[[#This Row],['# Equal]]/SummaryTable[[#This Row],[Count]]</f>
        <v>0</v>
      </c>
      <c r="M84" s="61">
        <f>SUMIFS(allFYsTable[OriginalBudget],allFYsTable[Code],SummaryTable[[#This Row],[Code]])/SummaryTable[[#This Row],[Count]]</f>
        <v>13038.125</v>
      </c>
      <c r="N84" s="61">
        <f>SUMIFS(allFYsTable[Actual],allFYsTable[Code],SummaryTable[[#This Row],[Code]])/SummaryTable[[#This Row],[Count]]</f>
        <v>10017.5</v>
      </c>
      <c r="O84" s="61">
        <f>SummaryTable[[#This Row],[AvgActAmt]]-SummaryTable[[#This Row],[AvgBudAmt]]</f>
        <v>-3020.625</v>
      </c>
      <c r="P84" s="54">
        <f>IF(SummaryTable[[#This Row],[AvgBudAmt]]=0, IF(SummaryTable[[#This Row],[AvgDiff'#]]=0, 0, NamedFields!$C$3), SummaryTable[[#This Row],[AvgDiff'#]]/SummaryTable[[#This Row],[AvgBudAmt]])</f>
        <v>-0.23167633382867553</v>
      </c>
      <c r="Q84" s="61">
        <f>IFERROR(SUMIFS(allFYsTable[OriginalBudget],allFYsTable[Code],SummaryTable[[#This Row],[Code]],allFYsTable[DiffAmount], "&gt;0")/SummaryTable[[#This Row],['# Over]], 0)</f>
        <v>3780</v>
      </c>
      <c r="R84" s="61">
        <f>IFERROR(SUMIFS(allFYsTable[Actual],allFYsTable[Code],SummaryTable[[#This Row],[Code]],allFYsTable[DiffAmount], "&gt;0")/SummaryTable[[#This Row],['# Over]], 0)</f>
        <v>4057</v>
      </c>
      <c r="S84" s="61">
        <f>SummaryTable[[#This Row],[OverAvgAct]]-SummaryTable[[#This Row],[OverAvgBud]]</f>
        <v>277</v>
      </c>
      <c r="T84" s="54">
        <f>IF(SummaryTable[[#This Row],[OverAvgBud]]=0, IF(SummaryTable[[#This Row],[OverAvgDiff'#]]=0, ZeroBudgetNoSpending, ZeroBudgetWithSpending), SummaryTable[[#This Row],[OverAvgDiff'#]]/SummaryTable[[#This Row],[OverAvgBud]])</f>
        <v>7.3280423280423279E-2</v>
      </c>
      <c r="U84" s="61">
        <f>IFERROR(SUMIFS(allFYsTable[OriginalBudget],allFYsTable[Code],SummaryTable[[#This Row],[Code]],allFYsTable[DiffAmount], "&lt;0")/SummaryTable[[#This Row],['# Under]], 0)</f>
        <v>16124.166666666666</v>
      </c>
      <c r="V84" s="61">
        <f>IFERROR( SUMIFS(allFYsTable[Actual],allFYsTable[Code],SummaryTable[[#This Row],[Code]],allFYsTable[DiffAmount], "&lt;0")/SummaryTable[[#This Row],['# Under]], 0)</f>
        <v>12004.333333333334</v>
      </c>
      <c r="W84" s="61">
        <f>SummaryTable[[#This Row],[UnderAvgAct]]-SummaryTable[[#This Row],[UnderAvgBud]]</f>
        <v>-4119.8333333333321</v>
      </c>
      <c r="X84" s="54">
        <f>IF(SummaryTable[[#This Row],[UnderAvgBud]]=0, IF(SummaryTable[[#This Row],[UnderAvgDiff'#]]=0, ZeroBudgetNoSpending, NamedFields!$C$3), SummaryTable[[#This Row],[UnderAvgDiff'#]]/SummaryTable[[#This Row],[UnderAvgBud]])</f>
        <v>-0.2555067445346012</v>
      </c>
      <c r="Y8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8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4" s="54">
        <f>IF(SummaryTable[[#This Row],[IncreaseYears]]=0, ZeroBudgetNoSpending, SummaryTable[[#This Row],[OSinIncreaseYear'#]]/SummaryTable[[#This Row],[IncreaseYears]])</f>
        <v>0</v>
      </c>
      <c r="AB84" s="58" t="str">
        <f>SummaryTable[[#This Row],[Code]]</f>
        <v>NS0</v>
      </c>
      <c r="AC84" s="62">
        <f>IF(COUNTIFS(allFYsTable[Code], SummaryTable[[#This Row],[Code]], allFYsTable[year2], AC$3)=0, NotFound, SUMIFS(allFYsTable[OriginalBudget], allFYsTable[Code], SummaryTable[[#This Row],[Code]], allFYsTable[year2], AC$3))</f>
        <v>25714</v>
      </c>
      <c r="AD84" s="61">
        <f>SummaryTable[[#This Row],[OriginalBudget25]]-SummaryTable[[#This Row],[OriginalBudget24]]</f>
        <v>7607</v>
      </c>
      <c r="AE84" s="54">
        <f>SummaryTable[[#This Row],[BudgetIncreaseAmount25]]/SummaryTable[[#This Row],[OriginalBudget24]]</f>
        <v>0.4201137681559618</v>
      </c>
      <c r="AF84" s="61">
        <f>IF(COUNTIFS(allFYsTable[Code], SummaryTable[[#This Row],[Code]], allFYsTable[year2], AC$3)=0, NotFound, SUMIFS(allFYsTable[RevisedBudget], allFYsTable[Code], SummaryTable[[#This Row],[Code]], allFYsTable[year2], AC$3))</f>
        <v>22195</v>
      </c>
      <c r="AG84" s="61">
        <f>IF(COUNTIFS(allFYsTable[Code], SummaryTable[[#This Row],[Code]], allFYsTable[year2], AC$3)=0, NotFound, SUMIFS(allFYsTable[Actual], allFYsTable[Code], SummaryTable[[#This Row],[Code]], allFYsTable[year2], AC$3))</f>
        <v>18295</v>
      </c>
      <c r="AH84" s="61">
        <f>IF(COUNTIFS(allFYsTable[Code], SummaryTable[[#This Row],[Code]], allFYsTable[year2], AC$3)=0, NotFound, SUMIFS(allFYsTable[DiffAmount], allFYsTable[Code], SummaryTable[[#This Row],[Code]], allFYsTable[year2], AC$3))</f>
        <v>-7419</v>
      </c>
      <c r="AI84" s="63">
        <f>IF(SummaryTable[[#This Row],[OriginalBudget25]]=0, IF(SummaryTable[[#This Row],[DiffAmount25]]=0, ZeroBudgetNoSpending, ZeroBudgetWithSpending), SummaryTable[[#This Row],[DiffAmount25]]/SummaryTable[[#This Row],[OriginalBudget25]])</f>
        <v>-0.28851987244302713</v>
      </c>
      <c r="AJ84" s="62">
        <f>IF(COUNTIFS(allFYsTable[Code], SummaryTable[[#This Row],[Code]], allFYsTable[year2], AJ$3)=0, NotFound, SUMIFS(allFYsTable[OriginalBudget], allFYsTable[Code], SummaryTable[[#This Row],[Code]], allFYsTable[year2], AJ$3))</f>
        <v>18107</v>
      </c>
      <c r="AK84" s="61">
        <f>SummaryTable[[#This Row],[OriginalBudget24]]-SummaryTable[[#This Row],[OriginalBudget23]]</f>
        <v>-2103</v>
      </c>
      <c r="AL84" s="54">
        <f>SummaryTable[[#This Row],[BudgetIncreaseAmount24]]/SummaryTable[[#This Row],[OriginalBudget23]]</f>
        <v>-0.10405739732805541</v>
      </c>
      <c r="AM84" s="61">
        <f>IF(COUNTIFS(allFYsTable[Code], SummaryTable[[#This Row],[Code]], allFYsTable[year2], AK$3)=0, NotFound, SUMIFS(allFYsTable[RevisedBudget], allFYsTable[Code], SummaryTable[[#This Row],[Code]], allFYsTable[year2], AJ$3))</f>
        <v>14919</v>
      </c>
      <c r="AN84" s="61">
        <f>IF(COUNTIFS(allFYsTable[Code], SummaryTable[[#This Row],[Code]], allFYsTable[year2], AJ$3)=0, NotFound, SUMIFS(allFYsTable[Actual], allFYsTable[Code], SummaryTable[[#This Row],[Code]], allFYsTable[year2], AJ$3))</f>
        <v>13338</v>
      </c>
      <c r="AO84" s="61">
        <f>IF(COUNTIFS(allFYsTable[Code], SummaryTable[[#This Row],[Code]], allFYsTable[year2], AJ$3)=0, NotFound, SUMIFS(allFYsTable[DiffAmount], allFYsTable[Code], SummaryTable[[#This Row],[Code]], allFYsTable[year2], AJ$3))</f>
        <v>-4769</v>
      </c>
      <c r="AP84" s="63">
        <f>IF(SummaryTable[[#This Row],[OriginalBudget24]]=0, IF(SummaryTable[[#This Row],[DiffAmount24]]=0, ZeroBudgetNoSpending, ZeroBudgetWithSpending), SummaryTable[[#This Row],[DiffAmount24]]/SummaryTable[[#This Row],[OriginalBudget24]])</f>
        <v>-0.26337880377754458</v>
      </c>
      <c r="AQ84" s="62">
        <f>IF(COUNTIFS(allFYsTable[Code], SummaryTable[[#This Row],[Code]], allFYsTable[year2], AQ$3)=0, NotFound, SUMIFS(allFYsTable[OriginalBudget], allFYsTable[Code], SummaryTable[[#This Row],[Code]], allFYsTable[year2], AQ$3))</f>
        <v>20210</v>
      </c>
      <c r="AR84" s="61">
        <f>SummaryTable[[#This Row],[OriginalBudget23]]-SummaryTable[[#This Row],[OriginalBudget22]]</f>
        <v>5430</v>
      </c>
      <c r="AS84" s="54">
        <f>SummaryTable[[#This Row],[BudgetIncreaseAmount23]]/SummaryTable[[#This Row],[OriginalBudget22]]</f>
        <v>0.36738836265223274</v>
      </c>
      <c r="AT84" s="61">
        <f>IF(COUNTIFS(allFYsTable[Code], SummaryTable[[#This Row],[Code]], allFYsTable[year2], AQ$3)=0, NotFound, SUMIFS(allFYsTable[RevisedBudget], allFYsTable[Code], SummaryTable[[#This Row],[Code]], allFYsTable[year2], AQ$3))</f>
        <v>16521</v>
      </c>
      <c r="AU84" s="61">
        <f>IF(COUNTIFS(allFYsTable[Code], SummaryTable[[#This Row],[Code]], allFYsTable[year2], AQ$3)=0, NotFound, SUMIFS(allFYsTable[Actual], allFYsTable[Code], SummaryTable[[#This Row],[Code]], allFYsTable[year2], AQ$3))</f>
        <v>14517</v>
      </c>
      <c r="AV84" s="61">
        <f>IF(COUNTIFS(allFYsTable[Code], SummaryTable[[#This Row],[Code]], allFYsTable[year2], AQ$3)=0, NotFound, SUMIFS(allFYsTable[DiffAmount], allFYsTable[Code], SummaryTable[[#This Row],[Code]], allFYsTable[year2], AQ$3))</f>
        <v>-5693</v>
      </c>
      <c r="AW84" s="63">
        <f>IF(SummaryTable[[#This Row],[OriginalBudget23]]=0, IF(SummaryTable[[#This Row],[DiffAmount23]]=0, ZeroBudgetNoSpending, ZeroBudgetWithSpending), SummaryTable[[#This Row],[DiffAmount23]]/SummaryTable[[#This Row],[OriginalBudget23]])</f>
        <v>-0.2816922315685304</v>
      </c>
      <c r="AX84" s="62">
        <f>IF(COUNTIFS(allFYsTable[Code], SummaryTable[[#This Row],[Code]], allFYsTable[year2], AX$3)=0, NotFound, SUMIFS(allFYsTable[OriginalBudget], allFYsTable[Code], SummaryTable[[#This Row],[Code]], allFYsTable[year2], AX$3))</f>
        <v>14780</v>
      </c>
      <c r="AY84" s="61">
        <f>SummaryTable[[#This Row],[OriginalBudget22]]-SummaryTable[[#This Row],[OriginalBudget21]]</f>
        <v>4425</v>
      </c>
      <c r="AZ84" s="54">
        <f>SummaryTable[[#This Row],[BudgetIncreaseAmount22]]/SummaryTable[[#This Row],[OriginalBudget21]]</f>
        <v>0.42732979237083535</v>
      </c>
      <c r="BA84" s="61">
        <f>IF(COUNTIFS(allFYsTable[Code], SummaryTable[[#This Row],[Code]], allFYsTable[year2], AX$3)=0, NotFound, SUMIFS(allFYsTable[RevisedBudget], allFYsTable[Code], SummaryTable[[#This Row],[Code]], allFYsTable[year2], AX$3))</f>
        <v>10699</v>
      </c>
      <c r="BB84" s="61">
        <f>IF(COUNTIFS(allFYsTable[Code], SummaryTable[[#This Row],[Code]], allFYsTable[year2], AX$3)=0, NotFound, SUMIFS(allFYsTable[Actual], allFYsTable[Code], SummaryTable[[#This Row],[Code]], allFYsTable[year2], AX$3))</f>
        <v>10055</v>
      </c>
      <c r="BC84" s="61">
        <f>IF(COUNTIFS(allFYsTable[Code], SummaryTable[[#This Row],[Code]], allFYsTable[year2], AX$3)=0, NotFound, SUMIFS(allFYsTable[DiffAmount], allFYsTable[Code], SummaryTable[[#This Row],[Code]], allFYsTable[year2], AX$3))</f>
        <v>-4725</v>
      </c>
      <c r="BD84" s="63">
        <f>IF(SummaryTable[[#This Row],[OriginalBudget22]]=0, IF(SummaryTable[[#This Row],[DiffAmount22]]=0, ZeroBudgetNoSpending, ZeroBudgetWithSpending), SummaryTable[[#This Row],[DiffAmount22]]/SummaryTable[[#This Row],[OriginalBudget22]])</f>
        <v>-0.31968876860622464</v>
      </c>
      <c r="BE84" s="62">
        <f>IF(COUNTIFS(allFYsTable[Code], SummaryTable[[#This Row],[Code]], allFYsTable[year2], BE$3)=0, NotFound, SUMIFS(allFYsTable[OriginalBudget], allFYsTable[Code], SummaryTable[[#This Row],[Code]], allFYsTable[year2], BE$3))</f>
        <v>10355</v>
      </c>
      <c r="BF84" s="61">
        <f>SummaryTable[[#This Row],[OriginalBudget21]]-SummaryTable[[#This Row],[OriginalBudget20]]</f>
        <v>2776</v>
      </c>
      <c r="BG84" s="54">
        <f>SummaryTable[[#This Row],[BudgetIncreaseAmount21]]/SummaryTable[[#This Row],[OriginalBudget20]]</f>
        <v>0.36627523419976249</v>
      </c>
      <c r="BH84" s="61">
        <f>IF(COUNTIFS(allFYsTable[Code], SummaryTable[[#This Row],[Code]], allFYsTable[year2], BE$3)=0, NotFound, SUMIFS(allFYsTable[RevisedBudget], allFYsTable[Code], SummaryTable[[#This Row],[Code]], allFYsTable[year2], BE$3))</f>
        <v>9046</v>
      </c>
      <c r="BI84" s="61">
        <f>IF(COUNTIFS(allFYsTable[Code], SummaryTable[[#This Row],[Code]], allFYsTable[year2], BE$3)=0, NotFound, SUMIFS(allFYsTable[Actual], allFYsTable[Code], SummaryTable[[#This Row],[Code]], allFYsTable[year2], BE$3))</f>
        <v>8520</v>
      </c>
      <c r="BJ84" s="61">
        <f>IF(COUNTIFS(allFYsTable[Code], SummaryTable[[#This Row],[Code]], allFYsTable[year2], BE$3)=0, NotFound, SUMIFS(allFYsTable[DiffAmount], allFYsTable[Code], SummaryTable[[#This Row],[Code]], allFYsTable[year2], BE$3))</f>
        <v>-1835</v>
      </c>
      <c r="BK84" s="63">
        <f>IF(SummaryTable[[#This Row],[OriginalBudget21]]=0, IF(SummaryTable[[#This Row],[DiffAmount21]]=0, ZeroBudgetNoSpending, ZeroBudgetWithSpending), SummaryTable[[#This Row],[DiffAmount21]]/SummaryTable[[#This Row],[OriginalBudget21]])</f>
        <v>-0.17720907774022213</v>
      </c>
      <c r="BL84" s="62">
        <f>IF(COUNTIFS(allFYsTable[Code], SummaryTable[[#This Row],[Code]], allFYsTable[year2], BL$3)=0, NotFound, SUMIFS(allFYsTable[OriginalBudget], allFYsTable[Code], SummaryTable[[#This Row],[Code]], allFYsTable[year2], BL$3))</f>
        <v>7579</v>
      </c>
      <c r="BM84" s="61">
        <f>SummaryTable[[#This Row],[OriginalBudget20]]-SummaryTable[[#This Row],[OriginalBudget19]]</f>
        <v>2148</v>
      </c>
      <c r="BN84" s="54">
        <f>SummaryTable[[#This Row],[BudgetIncreaseAmount20]]/SummaryTable[[#This Row],[OriginalBudget19]]</f>
        <v>0.39550727306205119</v>
      </c>
      <c r="BO84" s="61">
        <f>IF(COUNTIFS(allFYsTable[Code], SummaryTable[[#This Row],[Code]], allFYsTable[year2], BL$3)=0, NotFound, SUMIFS(allFYsTable[RevisedBudget], allFYsTable[Code], SummaryTable[[#This Row],[Code]], allFYsTable[year2], BL$3))</f>
        <v>7472</v>
      </c>
      <c r="BP84" s="61">
        <f>IF(COUNTIFS(allFYsTable[Code], SummaryTable[[#This Row],[Code]], allFYsTable[year2], BL$3)=0, NotFound, SUMIFS(allFYsTable[Actual], allFYsTable[Code], SummaryTable[[#This Row],[Code]], allFYsTable[year2], BL$3))</f>
        <v>7301</v>
      </c>
      <c r="BQ84" s="61">
        <f>IF(COUNTIFS(allFYsTable[Code], SummaryTable[[#This Row],[Code]], allFYsTable[year2], BL$3)=0, NotFound, SUMIFS(allFYsTable[DiffAmount], allFYsTable[Code], SummaryTable[[#This Row],[Code]], allFYsTable[year2], BL$3))</f>
        <v>-278</v>
      </c>
      <c r="BR84" s="63">
        <f>IF(SummaryTable[[#This Row],[OriginalBudget20]]=0, IF(SummaryTable[[#This Row],[DiffAmount20]]=0, ZeroBudgetNoSpending, ZeroBudgetWithSpending), SummaryTable[[#This Row],[DiffAmount20]]/SummaryTable[[#This Row],[OriginalBudget20]])</f>
        <v>-3.6680300831244225E-2</v>
      </c>
      <c r="BS84" s="62">
        <f>IF(COUNTIFS(allFYsTable[Code], SummaryTable[[#This Row],[Code]], allFYsTable[year2], BS$3)=0, NotFound, SUMIFS(allFYsTable[OriginalBudget], allFYsTable[Code], SummaryTable[[#This Row],[Code]], allFYsTable[year2], BS$3))</f>
        <v>5431</v>
      </c>
      <c r="BT84" s="61">
        <f>SummaryTable[[#This Row],[OriginalBudget19]]-SummaryTable[[#This Row],[OriginalBudget18]]</f>
        <v>3302</v>
      </c>
      <c r="BU84" s="54">
        <f>SummaryTable[[#This Row],[BudgetIncreaseAmount19]]/SummaryTable[[#This Row],[OriginalBudget18]]</f>
        <v>1.5509628933771724</v>
      </c>
      <c r="BV84" s="61">
        <f>IF(COUNTIFS(allFYsTable[Code], SummaryTable[[#This Row],[Code]], allFYsTable[year2], BS$3)=0, NotFound, SUMIFS(allFYsTable[RevisedBudget], allFYsTable[Code], SummaryTable[[#This Row],[Code]], allFYsTable[year2], BS$3))</f>
        <v>5734</v>
      </c>
      <c r="BW84" s="61">
        <f>IF(COUNTIFS(allFYsTable[Code], SummaryTable[[#This Row],[Code]], allFYsTable[year2], BS$3)=0, NotFound, SUMIFS(allFYsTable[Actual], allFYsTable[Code], SummaryTable[[#This Row],[Code]], allFYsTable[year2], BS$3))</f>
        <v>5719</v>
      </c>
      <c r="BX84" s="61">
        <f>IF(COUNTIFS(allFYsTable[Code], SummaryTable[[#This Row],[Code]], allFYsTable[year2], BS$3)=0, NotFound, SUMIFS(allFYsTable[DiffAmount], allFYsTable[Code], SummaryTable[[#This Row],[Code]], allFYsTable[year2], BS$3))</f>
        <v>288</v>
      </c>
      <c r="BY84" s="63">
        <f>IF(SummaryTable[[#This Row],[OriginalBudget19]]=0, IF(SummaryTable[[#This Row],[DiffAmount19]]=0, ZeroBudgetNoSpending, ZeroBudgetWithSpending), SummaryTable[[#This Row],[DiffAmount19]]/SummaryTable[[#This Row],[OriginalBudget19]])</f>
        <v>5.3028908120051559E-2</v>
      </c>
      <c r="BZ84" s="62">
        <f>IF(COUNTIFS(allFYsTable[Code], SummaryTable[[#This Row],[Code]], allFYsTable[year2], BZ$3)=0, NotFound, SUMIFS(allFYsTable[OriginalBudget], allFYsTable[Code], SummaryTable[[#This Row],[Code]], allFYsTable[year2], BZ$3))</f>
        <v>2129</v>
      </c>
      <c r="CA84" s="61" t="e">
        <f>SummaryTable[[#This Row],[OriginalBudget18]]-SummaryTable[[#This Row],[OriginalBudget17]]</f>
        <v>#N/A</v>
      </c>
      <c r="CB84" s="54" t="e">
        <f>SummaryTable[[#This Row],[BudgetIncreaseAmount18]]/SummaryTable[[#This Row],[OriginalBudget17]]</f>
        <v>#N/A</v>
      </c>
      <c r="CC84" s="61">
        <f>IF(COUNTIFS(allFYsTable[Code], SummaryTable[[#This Row],[Code]], allFYsTable[year2], BZ$3)=0, NotFound, SUMIFS(allFYsTable[RevisedBudget], allFYsTable[Code], SummaryTable[[#This Row],[Code]], allFYsTable[year2], BZ$3))</f>
        <v>2782</v>
      </c>
      <c r="CD84" s="61">
        <f>IF(COUNTIFS(allFYsTable[Code], SummaryTable[[#This Row],[Code]], allFYsTable[year2], BZ$3)=0, NotFound, SUMIFS(allFYsTable[Actual], allFYsTable[Code], SummaryTable[[#This Row],[Code]], allFYsTable[year2], BZ$3))</f>
        <v>2395</v>
      </c>
      <c r="CE84" s="61">
        <f>IF(COUNTIFS(allFYsTable[Code], SummaryTable[[#This Row],[Code]], allFYsTable[year2], BZ$3)=0, NotFound, SUMIFS(allFYsTable[DiffAmount], allFYsTable[Code], SummaryTable[[#This Row],[Code]], allFYsTable[year2], BZ$3))</f>
        <v>266</v>
      </c>
      <c r="CF84" s="63">
        <f>IF(SummaryTable[[#This Row],[OriginalBudget18]]=0, IF(SummaryTable[[#This Row],[DiffAmount18]]=0, ZeroBudgetNoSpending, ZeroBudgetWithSpending), SummaryTable[[#This Row],[DiffAmount18]]/SummaryTable[[#This Row],[OriginalBudget18]])</f>
        <v>0.12494128698919681</v>
      </c>
      <c r="CG84" s="62" t="e">
        <f>IF(COUNTIFS(allFYsTable[Code], SummaryTable[[#This Row],[Code]], allFYsTable[year2], CG$3)=0, NotFound, SUMIFS(allFYsTable[OriginalBudget], allFYsTable[Code], SummaryTable[[#This Row],[Code]], allFYsTable[year2], CG$3))</f>
        <v>#N/A</v>
      </c>
      <c r="CH84" s="61" t="e">
        <f>SummaryTable[[#This Row],[OriginalBudget17]]-SummaryTable[[#This Row],[OriginalBudget16]]</f>
        <v>#N/A</v>
      </c>
      <c r="CI84" s="54" t="e">
        <f>SummaryTable[[#This Row],[BudgetIncreaseAmount17]]/SummaryTable[[#This Row],[OriginalBudget16]]</f>
        <v>#N/A</v>
      </c>
      <c r="CJ84" s="61" t="e">
        <f>IF(COUNTIFS(allFYsTable[Code], SummaryTable[[#This Row],[Code]], allFYsTable[year2], CG$3)=0, NotFound, SUMIFS(allFYsTable[RevisedBudget], allFYsTable[Code], SummaryTable[[#This Row],[Code]], allFYsTable[year2], CG$3))</f>
        <v>#N/A</v>
      </c>
      <c r="CK84" s="61" t="e">
        <f>IF(COUNTIFS(allFYsTable[Code], SummaryTable[[#This Row],[Code]], allFYsTable[year2], CG$3)=0, NotFound, SUMIFS(allFYsTable[Actual], allFYsTable[Code], SummaryTable[[#This Row],[Code]], allFYsTable[year2], CG$3))</f>
        <v>#N/A</v>
      </c>
      <c r="CL84" s="61" t="e">
        <f>IF(COUNTIFS(allFYsTable[Code], SummaryTable[[#This Row],[Code]], allFYsTable[year2], CG$3)=0, NotFound, SUMIFS(allFYsTable[DiffAmount], allFYsTable[Code], SummaryTable[[#This Row],[Code]], allFYsTable[year2], CG$3))</f>
        <v>#N/A</v>
      </c>
      <c r="CM84" s="63" t="e">
        <f>IF(SummaryTable[[#This Row],[OriginalBudget17]]=0, IF(SummaryTable[[#This Row],[DiffAmount17]]=0, ZeroBudgetNoSpending, ZeroBudgetWithSpending), SummaryTable[[#This Row],[DiffAmount17]]/SummaryTable[[#This Row],[OriginalBudget17]])</f>
        <v>#N/A</v>
      </c>
      <c r="CN84" s="62" t="e">
        <f>IF(COUNTIFS(allFYsTable[Code], SummaryTable[[#This Row],[Code]], allFYsTable[year2], CN$3)=0, NotFound, SUMIFS(allFYsTable[OriginalBudget], allFYsTable[Code], SummaryTable[[#This Row],[Code]], allFYsTable[year2], CN$3))</f>
        <v>#N/A</v>
      </c>
      <c r="CO84" s="61" t="e">
        <f>SummaryTable[[#This Row],[OriginalBudget16]]-SummaryTable[[#This Row],[OriginalBudget15]]</f>
        <v>#N/A</v>
      </c>
      <c r="CP84" s="54" t="e">
        <f>SummaryTable[[#This Row],[BudgetIncreaseAmount16]]/SummaryTable[[#This Row],[OriginalBudget15]]</f>
        <v>#N/A</v>
      </c>
      <c r="CQ84" s="61" t="e">
        <f>IF(COUNTIFS(allFYsTable[Code], SummaryTable[[#This Row],[Code]], allFYsTable[year2], CN$3)=0, NotFound, SUMIFS(allFYsTable[RevisedBudget], allFYsTable[Code], SummaryTable[[#This Row],[Code]], allFYsTable[year2], CN$3))</f>
        <v>#N/A</v>
      </c>
      <c r="CR84" s="61" t="e">
        <f>IF(COUNTIFS(allFYsTable[Code], SummaryTable[[#This Row],[Code]], allFYsTable[year2], CN$3)=0, NotFound, SUMIFS(allFYsTable[Actual], allFYsTable[Code], SummaryTable[[#This Row],[Code]], allFYsTable[year2], CN$3))</f>
        <v>#N/A</v>
      </c>
      <c r="CS84" s="61" t="e">
        <f>IF(COUNTIFS(allFYsTable[Code], SummaryTable[[#This Row],[Code]], allFYsTable[year2], CN$3)=0, NotFound, SUMIFS(allFYsTable[DiffAmount], allFYsTable[Code], SummaryTable[[#This Row],[Code]], allFYsTable[year2], CN$3))</f>
        <v>#N/A</v>
      </c>
      <c r="CT84" s="63" t="e">
        <f>IF(SummaryTable[[#This Row],[OriginalBudget16]]=0, IF(SummaryTable[[#This Row],[DiffAmount16]]=0, ZeroBudgetNoSpending, ZeroBudgetWithSpending), SummaryTable[[#This Row],[DiffAmount16]]/SummaryTable[[#This Row],[OriginalBudget16]])</f>
        <v>#N/A</v>
      </c>
      <c r="CU84" s="62" t="e">
        <f>IF(COUNTIFS(allFYsTable[Code], SummaryTable[[#This Row],[Code]], allFYsTable[year2], CU$3)=0, NotFound, SUMIFS(allFYsTable[OriginalBudget], allFYsTable[Code], SummaryTable[[#This Row],[Code]], allFYsTable[year2], CU$3))</f>
        <v>#N/A</v>
      </c>
      <c r="CV84" s="61" t="e">
        <f>SummaryTable[[#This Row],[OriginalBudget15]]-SummaryTable[[#This Row],[OriginalBudget14]]</f>
        <v>#N/A</v>
      </c>
      <c r="CW84" s="54" t="e">
        <f>SummaryTable[[#This Row],[BudgetIncreaseAmount15]]/SummaryTable[[#This Row],[OriginalBudget14]]</f>
        <v>#N/A</v>
      </c>
      <c r="CX84" s="61" t="e">
        <f>IF(COUNTIFS(allFYsTable[Code], SummaryTable[[#This Row],[Code]], allFYsTable[year2], CU$3)=0, NotFound, SUMIFS(allFYsTable[RevisedBudget], allFYsTable[Code], SummaryTable[[#This Row],[Code]], allFYsTable[year2], CU$3))</f>
        <v>#N/A</v>
      </c>
      <c r="CY84" s="61" t="e">
        <f>IF(COUNTIFS(allFYsTable[Code], SummaryTable[[#This Row],[Code]], allFYsTable[year2], CU$3)=0, NotFound, SUMIFS(allFYsTable[Actual], allFYsTable[Code], SummaryTable[[#This Row],[Code]], allFYsTable[year2], CU$3))</f>
        <v>#N/A</v>
      </c>
      <c r="CZ84" s="61" t="e">
        <f>IF(COUNTIFS(allFYsTable[Code], SummaryTable[[#This Row],[Code]], allFYsTable[year2], CU$3)=0, NotFound, SUMIFS(allFYsTable[DiffAmount], allFYsTable[Code], SummaryTable[[#This Row],[Code]], allFYsTable[year2], CU$3))</f>
        <v>#N/A</v>
      </c>
      <c r="DA84" s="63" t="e">
        <f>IF(SummaryTable[[#This Row],[OriginalBudget15]]=0, IF(SummaryTable[[#This Row],[DiffAmount15]]=0, ZeroBudgetNoSpending, ZeroBudgetWithSpending), SummaryTable[[#This Row],[DiffAmount15]]/SummaryTable[[#This Row],[OriginalBudget15]])</f>
        <v>#N/A</v>
      </c>
      <c r="DB84" s="62" t="e">
        <f>IF(COUNTIFS(allFYsTable[Code], SummaryTable[[#This Row],[Code]], allFYsTable[year2], DB$3)=0, NotFound, SUMIFS(allFYsTable[OriginalBudget], allFYsTable[Code], SummaryTable[[#This Row],[Code]], allFYsTable[year2], DB$3))</f>
        <v>#N/A</v>
      </c>
      <c r="DC84" s="61" t="e">
        <f>SummaryTable[[#This Row],[OriginalBudget14]]-SummaryTable[[#This Row],[OriginalBudget13]]</f>
        <v>#N/A</v>
      </c>
      <c r="DD84" s="54" t="e">
        <f>SummaryTable[[#This Row],[BudgetIncreaseAmount14]]/SummaryTable[[#This Row],[OriginalBudget13]]</f>
        <v>#N/A</v>
      </c>
      <c r="DE84" s="61" t="e">
        <f>IF(COUNTIFS(allFYsTable[Code], SummaryTable[[#This Row],[Code]], allFYsTable[year2], DB$3)=0, NotFound, SUMIFS(allFYsTable[RevisedBudget], allFYsTable[Code], SummaryTable[[#This Row],[Code]], allFYsTable[year2], DB$3))</f>
        <v>#N/A</v>
      </c>
      <c r="DF84" s="61" t="e">
        <f>IF(COUNTIFS(allFYsTable[Code], SummaryTable[[#This Row],[Code]], allFYsTable[year2], DB$3)=0, NotFound, SUMIFS(allFYsTable[Actual], allFYsTable[Code], SummaryTable[[#This Row],[Code]], allFYsTable[year2], DB$3))</f>
        <v>#N/A</v>
      </c>
      <c r="DG84" s="61" t="e">
        <f>IF(COUNTIFS(allFYsTable[Code], SummaryTable[[#This Row],[Code]], allFYsTable[year2], DB$3)=0, NotFound, SUMIFS(allFYsTable[DiffAmount], allFYsTable[Code], SummaryTable[[#This Row],[Code]], allFYsTable[year2], DB$3))</f>
        <v>#N/A</v>
      </c>
      <c r="DH84" s="63" t="e">
        <f>IF(SummaryTable[[#This Row],[OriginalBudget14]]=0, IF(SummaryTable[[#This Row],[DiffAmount14]]=0, ZeroBudgetNoSpending, ZeroBudgetWithSpending), SummaryTable[[#This Row],[DiffAmount14]]/SummaryTable[[#This Row],[OriginalBudget14]])</f>
        <v>#N/A</v>
      </c>
      <c r="DI84" s="62" t="e">
        <f>IF(COUNTIFS(allFYsTable[Code], SummaryTable[[#This Row],[Code]], allFYsTable[year2], DI$3)=0, NotFound, SUMIFS(allFYsTable[OriginalBudget], allFYsTable[Code], SummaryTable[[#This Row],[Code]], allFYsTable[year2], DI$3))</f>
        <v>#N/A</v>
      </c>
      <c r="DJ84" s="61" t="e">
        <f>SummaryTable[[#This Row],[OriginalBudget13]]-SummaryTable[[#This Row],[OriginalBudget12]]</f>
        <v>#N/A</v>
      </c>
      <c r="DK84" s="54" t="e">
        <f>SummaryTable[[#This Row],[BudgetIncreaseAmount13]]/SummaryTable[[#This Row],[OriginalBudget12]]</f>
        <v>#N/A</v>
      </c>
      <c r="DL84" s="61" t="e">
        <f>IF(COUNTIFS(allFYsTable[Code], SummaryTable[[#This Row],[Code]], allFYsTable[year2], DI$3)=0, NotFound, SUMIFS(allFYsTable[RevisedBudget], allFYsTable[Code], SummaryTable[[#This Row],[Code]], allFYsTable[year2], DI$3))</f>
        <v>#N/A</v>
      </c>
      <c r="DM84" s="61" t="e">
        <f>IF(COUNTIFS(allFYsTable[Code], SummaryTable[[#This Row],[Code]], allFYsTable[year2], DI$3)=0, NotFound, SUMIFS(allFYsTable[Actual], allFYsTable[Code], SummaryTable[[#This Row],[Code]], allFYsTable[year2], DI$3))</f>
        <v>#N/A</v>
      </c>
      <c r="DN84" s="61" t="e">
        <f>IF(COUNTIFS(allFYsTable[Code], SummaryTable[[#This Row],[Code]], allFYsTable[year2], DI$3)=0, NotFound, SUMIFS(allFYsTable[DiffAmount], allFYsTable[Code], SummaryTable[[#This Row],[Code]], allFYsTable[year2], DI$3))</f>
        <v>#N/A</v>
      </c>
      <c r="DO84" s="63" t="e">
        <f>IF(SummaryTable[[#This Row],[OriginalBudget13]]=0, IF(SummaryTable[[#This Row],[DiffAmount13]]=0, ZeroBudgetNoSpending, ZeroBudgetWithSpending), SummaryTable[[#This Row],[DiffAmount13]]/SummaryTable[[#This Row],[OriginalBudget13]])</f>
        <v>#N/A</v>
      </c>
      <c r="DP84" s="62" t="e">
        <f>IF(COUNTIFS(allFYsTable[Code], SummaryTable[[#This Row],[Code]], allFYsTable[year2], DP$3)=0, NotFound, SUMIFS(allFYsTable[OriginalBudget], allFYsTable[Code], SummaryTable[[#This Row],[Code]], allFYsTable[year2], DP$3))</f>
        <v>#N/A</v>
      </c>
      <c r="DQ84" s="61" t="e">
        <f>SummaryTable[[#This Row],[OriginalBudget12]]-SummaryTable[[#This Row],[OriginalBudget11]]</f>
        <v>#N/A</v>
      </c>
      <c r="DR84" s="54" t="e">
        <f>SummaryTable[[#This Row],[BudgetIncreaseAmount12]]/SummaryTable[[#This Row],[OriginalBudget11]]</f>
        <v>#N/A</v>
      </c>
      <c r="DS84" s="61" t="e">
        <f>IF(COUNTIFS(allFYsTable[Code], SummaryTable[[#This Row],[Code]], allFYsTable[year2], DP$3)=0, NotFound, SUMIFS(allFYsTable[RevisedBudget], allFYsTable[Code], SummaryTable[[#This Row],[Code]], allFYsTable[year2], DP$3))</f>
        <v>#N/A</v>
      </c>
      <c r="DT84" s="61" t="e">
        <f>IF(COUNTIFS(allFYsTable[Code], SummaryTable[[#This Row],[Code]], allFYsTable[year2], DP$3)=0, NotFound, SUMIFS(allFYsTable[Actual], allFYsTable[Code], SummaryTable[[#This Row],[Code]], allFYsTable[year2], DP$3))</f>
        <v>#N/A</v>
      </c>
      <c r="DU84" s="61" t="e">
        <f>IF(COUNTIFS(allFYsTable[Code], SummaryTable[[#This Row],[Code]], allFYsTable[year2], DP$3)=0, NotFound, SUMIFS(allFYsTable[DiffAmount], allFYsTable[Code], SummaryTable[[#This Row],[Code]], allFYsTable[year2], DP$3))</f>
        <v>#N/A</v>
      </c>
      <c r="DV84" s="63" t="e">
        <f>IF(SummaryTable[[#This Row],[OriginalBudget12]]=0, IF(SummaryTable[[#This Row],[DiffAmount12]]=0, ZeroBudgetNoSpending, ZeroBudgetWithSpending), SummaryTable[[#This Row],[DiffAmount12]]/SummaryTable[[#This Row],[OriginalBudget12]])</f>
        <v>#N/A</v>
      </c>
      <c r="DW84" s="62" t="e">
        <f>IF(COUNTIFS(allFYsTable[Code], SummaryTable[[#This Row],[Code]], allFYsTable[year2], DW$3)=0, NotFound, SUMIFS(allFYsTable[OriginalBudget], allFYsTable[Code], SummaryTable[[#This Row],[Code]], allFYsTable[year2], DW$3))</f>
        <v>#N/A</v>
      </c>
      <c r="DX84" s="61" t="e">
        <f>SummaryTable[[#This Row],[OriginalBudget11]]-SummaryTable[[#This Row],[OriginalBudget10]]</f>
        <v>#N/A</v>
      </c>
      <c r="DY84" s="54" t="e">
        <f>SummaryTable[[#This Row],[BudgetIncreaseAmount11]]/SummaryTable[[#This Row],[OriginalBudget10]]</f>
        <v>#N/A</v>
      </c>
      <c r="DZ84" s="61" t="e">
        <f>IF(COUNTIFS(allFYsTable[Code], SummaryTable[[#This Row],[Code]], allFYsTable[year2], DW$3)=0, NotFound, SUMIFS(allFYsTable[RevisedBudget], allFYsTable[Code], SummaryTable[[#This Row],[Code]], allFYsTable[year2], DW$3))</f>
        <v>#N/A</v>
      </c>
      <c r="EA84" s="61" t="e">
        <f>IF(COUNTIFS(allFYsTable[Code], SummaryTable[[#This Row],[Code]], allFYsTable[year2], DW$3)=0, NotFound, SUMIFS(allFYsTable[Actual], allFYsTable[Code], SummaryTable[[#This Row],[Code]], allFYsTable[year2], DW$3))</f>
        <v>#N/A</v>
      </c>
      <c r="EB84" s="61" t="e">
        <f>IF(COUNTIFS(allFYsTable[Code], SummaryTable[[#This Row],[Code]], allFYsTable[year2], DW$3)=0, NotFound, SUMIFS(allFYsTable[DiffAmount], allFYsTable[Code], SummaryTable[[#This Row],[Code]], allFYsTable[year2], DW$3))</f>
        <v>#N/A</v>
      </c>
      <c r="EC84" s="63" t="e">
        <f>IF(SummaryTable[[#This Row],[OriginalBudget11]]=0, IF(SummaryTable[[#This Row],[DiffAmount11]]=0, ZeroBudgetNoSpending, ZeroBudgetWithSpending), SummaryTable[[#This Row],[DiffAmount11]]/SummaryTable[[#This Row],[OriginalBudget11]])</f>
        <v>#N/A</v>
      </c>
      <c r="ED84" s="62" t="e">
        <f>IF(COUNTIFS(allFYsTable[Code], SummaryTable[[#This Row],[Code]], allFYsTable[year2], ED$3)=0, NotFound, SUMIFS(allFYsTable[OriginalBudget], allFYsTable[Code], SummaryTable[[#This Row],[Code]], allFYsTable[year2], ED$3))</f>
        <v>#N/A</v>
      </c>
      <c r="EE84" s="61" t="e">
        <f>SummaryTable[[#This Row],[OriginalBudget10]]-SummaryTable[[#This Row],[OriginalBudget09]]</f>
        <v>#N/A</v>
      </c>
      <c r="EF84" s="54" t="e">
        <f>SummaryTable[[#This Row],[BudgetIncreaseAmount10]]/SummaryTable[[#This Row],[OriginalBudget09]]</f>
        <v>#N/A</v>
      </c>
      <c r="EG84" s="61" t="e">
        <f>IF(COUNTIFS(allFYsTable[Code], SummaryTable[[#This Row],[Code]], allFYsTable[year2], ED$3)=0, NotFound, SUMIFS(allFYsTable[RevisedBudget], allFYsTable[Code], SummaryTable[[#This Row],[Code]], allFYsTable[year2], ED$3))</f>
        <v>#N/A</v>
      </c>
      <c r="EH84" s="61" t="e">
        <f>IF(COUNTIFS(allFYsTable[Code], SummaryTable[[#This Row],[Code]], allFYsTable[year2], ED$3)=0, NotFound, SUMIFS(allFYsTable[Actual], allFYsTable[Code], SummaryTable[[#This Row],[Code]], allFYsTable[year2], ED$3))</f>
        <v>#N/A</v>
      </c>
      <c r="EI84" s="61" t="e">
        <f>IF(COUNTIFS(allFYsTable[Code], SummaryTable[[#This Row],[Code]], allFYsTable[year2], ED$3)=0, NotFound, SUMIFS(allFYsTable[DiffAmount], allFYsTable[Code], SummaryTable[[#This Row],[Code]], allFYsTable[year2], ED$3))</f>
        <v>#N/A</v>
      </c>
      <c r="EJ84" s="63" t="e">
        <f>IF(SummaryTable[[#This Row],[OriginalBudget10]]=0, IF(SummaryTable[[#This Row],[DiffAmount10]]=0, ZeroBudgetNoSpending, ZeroBudgetWithSpending), SummaryTable[[#This Row],[DiffAmount10]]/SummaryTable[[#This Row],[OriginalBudget10]])</f>
        <v>#N/A</v>
      </c>
      <c r="EK84" s="62" t="e">
        <f>IF(COUNTIFS(allFYsTable[Code], SummaryTable[[#This Row],[Code]], allFYsTable[year2], EK$3)=0, NotFound, SUMIFS(allFYsTable[OriginalBudget], allFYsTable[Code], SummaryTable[[#This Row],[Code]], allFYsTable[year2], EK$3))</f>
        <v>#N/A</v>
      </c>
      <c r="EL84" s="61" t="e">
        <f>SummaryTable[[#This Row],[OriginalBudget09]]-SummaryTable[[#This Row],[OriginalBudget08]]</f>
        <v>#N/A</v>
      </c>
      <c r="EM84" s="54" t="e">
        <f>SummaryTable[[#This Row],[BudgetIncreaseAmount09]]/SummaryTable[[#This Row],[OriginalBudget08]]</f>
        <v>#N/A</v>
      </c>
      <c r="EN84" s="61" t="e">
        <f>IF(COUNTIFS(allFYsTable[Code], SummaryTable[[#This Row],[Code]], allFYsTable[year2], EK$3)=0, NotFound, SUMIFS(allFYsTable[RevisedBudget], allFYsTable[Code], SummaryTable[[#This Row],[Code]], allFYsTable[year2], EK$3))</f>
        <v>#N/A</v>
      </c>
      <c r="EO84" s="61" t="e">
        <f>IF(COUNTIFS(allFYsTable[Code], SummaryTable[[#This Row],[Code]], allFYsTable[year2], EK$3)=0, NotFound, SUMIFS(allFYsTable[Actual], allFYsTable[Code], SummaryTable[[#This Row],[Code]], allFYsTable[year2], EK$3))</f>
        <v>#N/A</v>
      </c>
      <c r="EP84" s="61" t="e">
        <f>IF(COUNTIFS(allFYsTable[Code], SummaryTable[[#This Row],[Code]], allFYsTable[year2], EK$3)=0, NotFound, SUMIFS(allFYsTable[DiffAmount], allFYsTable[Code], SummaryTable[[#This Row],[Code]], allFYsTable[year2], EK$3))</f>
        <v>#N/A</v>
      </c>
      <c r="EQ84" s="63" t="e">
        <f>IF(SummaryTable[[#This Row],[OriginalBudget09]]=0, IF(SummaryTable[[#This Row],[DiffAmount09]]=0, ZeroBudgetNoSpending, ZeroBudgetWithSpending), SummaryTable[[#This Row],[DiffAmount09]]/SummaryTable[[#This Row],[OriginalBudget09]])</f>
        <v>#N/A</v>
      </c>
      <c r="ER84" s="62" t="e">
        <f>IF(COUNTIFS(allFYsTable[Code], SummaryTable[[#This Row],[Code]], allFYsTable[year2], ER$3)=0, NotFound, SUMIFS(allFYsTable[OriginalBudget], allFYsTable[Code], SummaryTable[[#This Row],[Code]], allFYsTable[year2], ER$3))</f>
        <v>#N/A</v>
      </c>
      <c r="ES84" s="61" t="e">
        <f>SummaryTable[[#This Row],[OriginalBudget08]]-SummaryTable[[#This Row],[OriginalBudget07]]</f>
        <v>#N/A</v>
      </c>
      <c r="ET84" s="54" t="e">
        <f>SummaryTable[[#This Row],[BudgetIncreaseAmount08]]/SummaryTable[[#This Row],[OriginalBudget07]]</f>
        <v>#N/A</v>
      </c>
      <c r="EU84" s="61" t="e">
        <f>IF(COUNTIFS(allFYsTable[Code], SummaryTable[[#This Row],[Code]], allFYsTable[year2], ER$3)=0, NotFound, SUMIFS(allFYsTable[RevisedBudget], allFYsTable[Code], SummaryTable[[#This Row],[Code]], allFYsTable[year2], ER$3))</f>
        <v>#N/A</v>
      </c>
      <c r="EV84" s="61" t="e">
        <f>IF(COUNTIFS(allFYsTable[Code], SummaryTable[[#This Row],[Code]], allFYsTable[year2], ER$3)=0, NotFound, SUMIFS(allFYsTable[Actual], allFYsTable[Code], SummaryTable[[#This Row],[Code]], allFYsTable[year2], ER$3))</f>
        <v>#N/A</v>
      </c>
      <c r="EW84" s="61" t="e">
        <f>IF(COUNTIFS(allFYsTable[Code], SummaryTable[[#This Row],[Code]], allFYsTable[year2], ER$3)=0, NotFound, SUMIFS(allFYsTable[DiffAmount], allFYsTable[Code], SummaryTable[[#This Row],[Code]], allFYsTable[year2], ER$3))</f>
        <v>#N/A</v>
      </c>
      <c r="EX84" s="63" t="e">
        <f>IF(SummaryTable[[#This Row],[OriginalBudget08]]=0, IF(SummaryTable[[#This Row],[DiffAmount08]]=0, ZeroBudgetNoSpending, ZeroBudgetWithSpending), SummaryTable[[#This Row],[DiffAmount08]]/SummaryTable[[#This Row],[OriginalBudget08]])</f>
        <v>#N/A</v>
      </c>
      <c r="EY84" s="62" t="e">
        <f>IF(COUNTIFS(allFYsTable[Code], SummaryTable[[#This Row],[Code]], allFYsTable[year2], EY$3)=0, NotFound, SUMIFS(allFYsTable[OriginalBudget], allFYsTable[Code], SummaryTable[[#This Row],[Code]], allFYsTable[year2], EY$3))</f>
        <v>#N/A</v>
      </c>
      <c r="EZ84" s="61" t="e">
        <f>SummaryTable[[#This Row],[OriginalBudget07]]-SummaryTable[[#This Row],[OriginalBudget06]]</f>
        <v>#N/A</v>
      </c>
      <c r="FA84" s="54" t="e">
        <f>SummaryTable[[#This Row],[BudgetIncreaseAmount07]]/SummaryTable[[#This Row],[OriginalBudget06]]</f>
        <v>#N/A</v>
      </c>
      <c r="FB84" s="61" t="e">
        <f>IF(COUNTIFS(allFYsTable[Code], SummaryTable[[#This Row],[Code]], allFYsTable[year2], EY$3)=0, NotFound, SUMIFS(allFYsTable[RevisedBudget], allFYsTable[Code], SummaryTable[[#This Row],[Code]], allFYsTable[year2], EY$3))</f>
        <v>#N/A</v>
      </c>
      <c r="FC84" s="61" t="e">
        <f>IF(COUNTIFS(allFYsTable[Code], SummaryTable[[#This Row],[Code]], allFYsTable[year2], EY$3)=0, NotFound, SUMIFS(allFYsTable[Actual], allFYsTable[Code], SummaryTable[[#This Row],[Code]], allFYsTable[year2], EY$3))</f>
        <v>#N/A</v>
      </c>
      <c r="FD84" s="61" t="e">
        <f>IF(COUNTIFS(allFYsTable[Code], SummaryTable[[#This Row],[Code]], allFYsTable[year2], EY$3)=0, NotFound, SUMIFS(allFYsTable[DiffAmount], allFYsTable[Code], SummaryTable[[#This Row],[Code]], allFYsTable[year2], EY$3))</f>
        <v>#N/A</v>
      </c>
      <c r="FE84" s="63" t="e">
        <f>IF(SummaryTable[[#This Row],[OriginalBudget07]]=0, IF(SummaryTable[[#This Row],[DiffAmount07]]=0, ZeroBudgetNoSpending, ZeroBudgetWithSpending), SummaryTable[[#This Row],[DiffAmount07]]/SummaryTable[[#This Row],[OriginalBudget07]])</f>
        <v>#N/A</v>
      </c>
      <c r="FF84" s="62" t="e">
        <f>IF(COUNTIFS(allFYsTable[Code], SummaryTable[[#This Row],[Code]], allFYsTable[year2], FF$3)=0, NotFound, SUMIFS(allFYsTable[OriginalBudget], allFYsTable[Code], SummaryTable[[#This Row],[Code]], allFYsTable[year2], FF$3))</f>
        <v>#N/A</v>
      </c>
      <c r="FI84" s="61" t="e">
        <f>IF(COUNTIFS(allFYsTable[Code], SummaryTable[[#This Row],[Code]], allFYsTable[year2], FF$3)=0, NotFound, SUMIFS(allFYsTable[RevisedBudget], allFYsTable[Code], SummaryTable[[#This Row],[Code]], allFYsTable[year2], FF$3))</f>
        <v>#N/A</v>
      </c>
      <c r="FJ84" s="61" t="e">
        <f>IF(COUNTIFS(allFYsTable[Code], SummaryTable[[#This Row],[Code]], allFYsTable[year2], FF$3)=0, NotFound, SUMIFS(allFYsTable[Actual], allFYsTable[Code], SummaryTable[[#This Row],[Code]], allFYsTable[year2], FF$3))</f>
        <v>#N/A</v>
      </c>
      <c r="FK84" s="61" t="e">
        <f>IF(COUNTIFS(allFYsTable[Code], SummaryTable[[#This Row],[Code]], allFYsTable[year2], FF$3)=0, NotFound, SUMIFS(allFYsTable[DiffAmount], allFYsTable[Code], SummaryTable[[#This Row],[Code]], allFYsTable[year2], FF$3))</f>
        <v>#N/A</v>
      </c>
      <c r="FL84" s="63" t="e">
        <f>IF(SummaryTable[[#This Row],[OriginalBudget06]]=0, IF(SummaryTable[[#This Row],[DiffAmount06]]=0, ZeroBudgetNoSpending, ZeroBudgetWithSpending), SummaryTable[[#This Row],[DiffAmount06]]/SummaryTable[[#This Row],[OriginalBudget06]])</f>
        <v>#N/A</v>
      </c>
    </row>
    <row r="85" spans="1:168" x14ac:dyDescent="0.45">
      <c r="A85" t="s">
        <v>742</v>
      </c>
      <c r="B85">
        <f>_xlfn.MAXIFS(allFYsTable[year2], allFYsTable[Code], SummaryTable[[#This Row],[Code]])</f>
        <v>2025</v>
      </c>
      <c r="C85" t="str">
        <f>_xlfn.XLOOKUP(SummaryTable[[#This Row],[Code]], NameCodingTable[Code], NameCodingTable[Most Recent Category per allFYs])</f>
        <v>Economic development and regulation</v>
      </c>
      <c r="D85" t="str">
        <f>_xlfn.XLOOKUP(SummaryTable[[#This Row],[Code]], NameCodingTable[Code], NameCodingTable[Unit Display Name])</f>
        <v>Office of Planning</v>
      </c>
      <c r="E85" t="str">
        <f>_xlfn.XLOOKUP(SummaryTable[[#This Row],[Code]], NameCodingTable[Code], NameCodingTable[Type])</f>
        <v>agency</v>
      </c>
      <c r="F8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8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85" s="54">
        <f>SummaryTable[[#This Row],['# Over]]/SummaryTable[[#This Row],[Count]]</f>
        <v>0.15</v>
      </c>
      <c r="I8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85" s="54">
        <f>SummaryTable[[#This Row],['# Under]]/SummaryTable[[#This Row],[Count]]</f>
        <v>0.85</v>
      </c>
      <c r="K8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5" s="54">
        <f>SummaryTable[[#This Row],['# Equal]]/SummaryTable[[#This Row],[Count]]</f>
        <v>0</v>
      </c>
      <c r="M85" s="61">
        <f>SUMIFS(allFYsTable[OriginalBudget],allFYsTable[Code],SummaryTable[[#This Row],[Code]])/SummaryTable[[#This Row],[Count]]</f>
        <v>10216.4</v>
      </c>
      <c r="N85" s="61">
        <f>SUMIFS(allFYsTable[Actual],allFYsTable[Code],SummaryTable[[#This Row],[Code]])/SummaryTable[[#This Row],[Count]]</f>
        <v>9996.4500000000007</v>
      </c>
      <c r="O85" s="61">
        <f>SummaryTable[[#This Row],[AvgActAmt]]-SummaryTable[[#This Row],[AvgBudAmt]]</f>
        <v>-219.94999999999891</v>
      </c>
      <c r="P85" s="54">
        <f>IF(SummaryTable[[#This Row],[AvgBudAmt]]=0, IF(SummaryTable[[#This Row],[AvgDiff'#]]=0, 0, NamedFields!$C$3), SummaryTable[[#This Row],[AvgDiff'#]]/SummaryTable[[#This Row],[AvgBudAmt]])</f>
        <v>-2.1529110058337467E-2</v>
      </c>
      <c r="Q85" s="61">
        <f>IFERROR(SUMIFS(allFYsTable[OriginalBudget],allFYsTable[Code],SummaryTable[[#This Row],[Code]],allFYsTable[DiffAmount], "&gt;0")/SummaryTable[[#This Row],['# Over]], 0)</f>
        <v>8789.6666666666661</v>
      </c>
      <c r="R85" s="61">
        <f>IFERROR(SUMIFS(allFYsTable[Actual],allFYsTable[Code],SummaryTable[[#This Row],[Code]],allFYsTable[DiffAmount], "&gt;0")/SummaryTable[[#This Row],['# Over]], 0)</f>
        <v>10061.666666666666</v>
      </c>
      <c r="S85" s="61">
        <f>SummaryTable[[#This Row],[OverAvgAct]]-SummaryTable[[#This Row],[OverAvgBud]]</f>
        <v>1272</v>
      </c>
      <c r="T85" s="54">
        <f>IF(SummaryTable[[#This Row],[OverAvgBud]]=0, IF(SummaryTable[[#This Row],[OverAvgDiff'#]]=0, ZeroBudgetNoSpending, ZeroBudgetWithSpending), SummaryTable[[#This Row],[OverAvgDiff'#]]/SummaryTable[[#This Row],[OverAvgBud]])</f>
        <v>0.14471538549053814</v>
      </c>
      <c r="U85" s="61">
        <f>IFERROR(SUMIFS(allFYsTable[OriginalBudget],allFYsTable[Code],SummaryTable[[#This Row],[Code]],allFYsTable[DiffAmount], "&lt;0")/SummaryTable[[#This Row],['# Under]], 0)</f>
        <v>10468.176470588236</v>
      </c>
      <c r="V85" s="61">
        <f>IFERROR( SUMIFS(allFYsTable[Actual],allFYsTable[Code],SummaryTable[[#This Row],[Code]],allFYsTable[DiffAmount], "&lt;0")/SummaryTable[[#This Row],['# Under]], 0)</f>
        <v>9984.9411764705874</v>
      </c>
      <c r="W85" s="61">
        <f>SummaryTable[[#This Row],[UnderAvgAct]]-SummaryTable[[#This Row],[UnderAvgBud]]</f>
        <v>-483.23529411764866</v>
      </c>
      <c r="X85" s="54">
        <f>IF(SummaryTable[[#This Row],[UnderAvgBud]]=0, IF(SummaryTable[[#This Row],[UnderAvgDiff'#]]=0, ZeroBudgetNoSpending, NamedFields!$C$3), SummaryTable[[#This Row],[UnderAvgDiff'#]]/SummaryTable[[#This Row],[UnderAvgBud]])</f>
        <v>-4.6162318286796546E-2</v>
      </c>
      <c r="Y8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8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5" s="54">
        <f>IF(SummaryTable[[#This Row],[IncreaseYears]]=0, ZeroBudgetNoSpending, SummaryTable[[#This Row],[OSinIncreaseYear'#]]/SummaryTable[[#This Row],[IncreaseYears]])</f>
        <v>0</v>
      </c>
      <c r="AB85" s="58" t="str">
        <f>SummaryTable[[#This Row],[Code]]</f>
        <v>BD0</v>
      </c>
      <c r="AC85" s="62">
        <f>IF(COUNTIFS(allFYsTable[Code], SummaryTable[[#This Row],[Code]], allFYsTable[year2], AC$3)=0, NotFound, SUMIFS(allFYsTable[OriginalBudget], allFYsTable[Code], SummaryTable[[#This Row],[Code]], allFYsTable[year2], AC$3))</f>
        <v>14434</v>
      </c>
      <c r="AD85" s="61">
        <f>SummaryTable[[#This Row],[OriginalBudget25]]-SummaryTable[[#This Row],[OriginalBudget24]]</f>
        <v>1207</v>
      </c>
      <c r="AE85" s="54">
        <f>SummaryTable[[#This Row],[BudgetIncreaseAmount25]]/SummaryTable[[#This Row],[OriginalBudget24]]</f>
        <v>9.1252740606335522E-2</v>
      </c>
      <c r="AF85" s="61">
        <f>IF(COUNTIFS(allFYsTable[Code], SummaryTable[[#This Row],[Code]], allFYsTable[year2], AC$3)=0, NotFound, SUMIFS(allFYsTable[RevisedBudget], allFYsTable[Code], SummaryTable[[#This Row],[Code]], allFYsTable[year2], AC$3))</f>
        <v>14359</v>
      </c>
      <c r="AG85" s="61">
        <f>IF(COUNTIFS(allFYsTable[Code], SummaryTable[[#This Row],[Code]], allFYsTable[year2], AC$3)=0, NotFound, SUMIFS(allFYsTable[Actual], allFYsTable[Code], SummaryTable[[#This Row],[Code]], allFYsTable[year2], AC$3))</f>
        <v>14282</v>
      </c>
      <c r="AH85" s="61">
        <f>IF(COUNTIFS(allFYsTable[Code], SummaryTable[[#This Row],[Code]], allFYsTable[year2], AC$3)=0, NotFound, SUMIFS(allFYsTable[DiffAmount], allFYsTable[Code], SummaryTable[[#This Row],[Code]], allFYsTable[year2], AC$3))</f>
        <v>-152</v>
      </c>
      <c r="AI85" s="63">
        <f>IF(SummaryTable[[#This Row],[OriginalBudget25]]=0, IF(SummaryTable[[#This Row],[DiffAmount25]]=0, ZeroBudgetNoSpending, ZeroBudgetWithSpending), SummaryTable[[#This Row],[DiffAmount25]]/SummaryTable[[#This Row],[OriginalBudget25]])</f>
        <v>-1.0530691423028959E-2</v>
      </c>
      <c r="AJ85" s="62">
        <f>IF(COUNTIFS(allFYsTable[Code], SummaryTable[[#This Row],[Code]], allFYsTable[year2], AJ$3)=0, NotFound, SUMIFS(allFYsTable[OriginalBudget], allFYsTable[Code], SummaryTable[[#This Row],[Code]], allFYsTable[year2], AJ$3))</f>
        <v>13227</v>
      </c>
      <c r="AK85" s="61">
        <f>SummaryTable[[#This Row],[OriginalBudget24]]-SummaryTable[[#This Row],[OriginalBudget23]]</f>
        <v>-3473</v>
      </c>
      <c r="AL85" s="54">
        <f>SummaryTable[[#This Row],[BudgetIncreaseAmount24]]/SummaryTable[[#This Row],[OriginalBudget23]]</f>
        <v>-0.20796407185628743</v>
      </c>
      <c r="AM85" s="61">
        <f>IF(COUNTIFS(allFYsTable[Code], SummaryTable[[#This Row],[Code]], allFYsTable[year2], AK$3)=0, NotFound, SUMIFS(allFYsTable[RevisedBudget], allFYsTable[Code], SummaryTable[[#This Row],[Code]], allFYsTable[year2], AJ$3))</f>
        <v>12620</v>
      </c>
      <c r="AN85" s="61">
        <f>IF(COUNTIFS(allFYsTable[Code], SummaryTable[[#This Row],[Code]], allFYsTable[year2], AJ$3)=0, NotFound, SUMIFS(allFYsTable[Actual], allFYsTable[Code], SummaryTable[[#This Row],[Code]], allFYsTable[year2], AJ$3))</f>
        <v>12548</v>
      </c>
      <c r="AO85" s="61">
        <f>IF(COUNTIFS(allFYsTable[Code], SummaryTable[[#This Row],[Code]], allFYsTable[year2], AJ$3)=0, NotFound, SUMIFS(allFYsTable[DiffAmount], allFYsTable[Code], SummaryTable[[#This Row],[Code]], allFYsTable[year2], AJ$3))</f>
        <v>-679</v>
      </c>
      <c r="AP85" s="63">
        <f>IF(SummaryTable[[#This Row],[OriginalBudget24]]=0, IF(SummaryTable[[#This Row],[DiffAmount24]]=0, ZeroBudgetNoSpending, ZeroBudgetWithSpending), SummaryTable[[#This Row],[DiffAmount24]]/SummaryTable[[#This Row],[OriginalBudget24]])</f>
        <v>-5.1334391774400849E-2</v>
      </c>
      <c r="AQ85" s="62">
        <f>IF(COUNTIFS(allFYsTable[Code], SummaryTable[[#This Row],[Code]], allFYsTable[year2], AQ$3)=0, NotFound, SUMIFS(allFYsTable[OriginalBudget], allFYsTable[Code], SummaryTable[[#This Row],[Code]], allFYsTable[year2], AQ$3))</f>
        <v>16700</v>
      </c>
      <c r="AR85" s="61">
        <f>SummaryTable[[#This Row],[OriginalBudget23]]-SummaryTable[[#This Row],[OriginalBudget22]]</f>
        <v>-264</v>
      </c>
      <c r="AS85" s="54">
        <f>SummaryTable[[#This Row],[BudgetIncreaseAmount23]]/SummaryTable[[#This Row],[OriginalBudget22]]</f>
        <v>-1.556236736618722E-2</v>
      </c>
      <c r="AT85" s="61">
        <f>IF(COUNTIFS(allFYsTable[Code], SummaryTable[[#This Row],[Code]], allFYsTable[year2], AQ$3)=0, NotFound, SUMIFS(allFYsTable[RevisedBudget], allFYsTable[Code], SummaryTable[[#This Row],[Code]], allFYsTable[year2], AQ$3))</f>
        <v>16966</v>
      </c>
      <c r="AU85" s="61">
        <f>IF(COUNTIFS(allFYsTable[Code], SummaryTable[[#This Row],[Code]], allFYsTable[year2], AQ$3)=0, NotFound, SUMIFS(allFYsTable[Actual], allFYsTable[Code], SummaryTable[[#This Row],[Code]], allFYsTable[year2], AQ$3))</f>
        <v>16379</v>
      </c>
      <c r="AV85" s="61">
        <f>IF(COUNTIFS(allFYsTable[Code], SummaryTable[[#This Row],[Code]], allFYsTable[year2], AQ$3)=0, NotFound, SUMIFS(allFYsTable[DiffAmount], allFYsTable[Code], SummaryTable[[#This Row],[Code]], allFYsTable[year2], AQ$3))</f>
        <v>-321</v>
      </c>
      <c r="AW85" s="63">
        <f>IF(SummaryTable[[#This Row],[OriginalBudget23]]=0, IF(SummaryTable[[#This Row],[DiffAmount23]]=0, ZeroBudgetNoSpending, ZeroBudgetWithSpending), SummaryTable[[#This Row],[DiffAmount23]]/SummaryTable[[#This Row],[OriginalBudget23]])</f>
        <v>-1.9221556886227543E-2</v>
      </c>
      <c r="AX85" s="62">
        <f>IF(COUNTIFS(allFYsTable[Code], SummaryTable[[#This Row],[Code]], allFYsTable[year2], AX$3)=0, NotFound, SUMIFS(allFYsTable[OriginalBudget], allFYsTable[Code], SummaryTable[[#This Row],[Code]], allFYsTable[year2], AX$3))</f>
        <v>16964</v>
      </c>
      <c r="AY85" s="61">
        <f>SummaryTable[[#This Row],[OriginalBudget22]]-SummaryTable[[#This Row],[OriginalBudget21]]</f>
        <v>5649</v>
      </c>
      <c r="AZ85" s="54">
        <f>SummaryTable[[#This Row],[BudgetIncreaseAmount22]]/SummaryTable[[#This Row],[OriginalBudget21]]</f>
        <v>0.49924878479893947</v>
      </c>
      <c r="BA85" s="61">
        <f>IF(COUNTIFS(allFYsTable[Code], SummaryTable[[#This Row],[Code]], allFYsTable[year2], AX$3)=0, NotFound, SUMIFS(allFYsTable[RevisedBudget], allFYsTable[Code], SummaryTable[[#This Row],[Code]], allFYsTable[year2], AX$3))</f>
        <v>15134</v>
      </c>
      <c r="BB85" s="61">
        <f>IF(COUNTIFS(allFYsTable[Code], SummaryTable[[#This Row],[Code]], allFYsTable[year2], AX$3)=0, NotFound, SUMIFS(allFYsTable[Actual], allFYsTable[Code], SummaryTable[[#This Row],[Code]], allFYsTable[year2], AX$3))</f>
        <v>14727</v>
      </c>
      <c r="BC85" s="61">
        <f>IF(COUNTIFS(allFYsTable[Code], SummaryTable[[#This Row],[Code]], allFYsTable[year2], AX$3)=0, NotFound, SUMIFS(allFYsTable[DiffAmount], allFYsTable[Code], SummaryTable[[#This Row],[Code]], allFYsTable[year2], AX$3))</f>
        <v>-2237</v>
      </c>
      <c r="BD85" s="63">
        <f>IF(SummaryTable[[#This Row],[OriginalBudget22]]=0, IF(SummaryTable[[#This Row],[DiffAmount22]]=0, ZeroBudgetNoSpending, ZeroBudgetWithSpending), SummaryTable[[#This Row],[DiffAmount22]]/SummaryTable[[#This Row],[OriginalBudget22]])</f>
        <v>-0.13186748408394247</v>
      </c>
      <c r="BE85" s="62">
        <f>IF(COUNTIFS(allFYsTable[Code], SummaryTable[[#This Row],[Code]], allFYsTable[year2], BE$3)=0, NotFound, SUMIFS(allFYsTable[OriginalBudget], allFYsTable[Code], SummaryTable[[#This Row],[Code]], allFYsTable[year2], BE$3))</f>
        <v>11315</v>
      </c>
      <c r="BF85" s="61">
        <f>SummaryTable[[#This Row],[OriginalBudget21]]-SummaryTable[[#This Row],[OriginalBudget20]]</f>
        <v>-2369</v>
      </c>
      <c r="BG85" s="54">
        <f>SummaryTable[[#This Row],[BudgetIncreaseAmount21]]/SummaryTable[[#This Row],[OriginalBudget20]]</f>
        <v>-0.17312189418298743</v>
      </c>
      <c r="BH85" s="61">
        <f>IF(COUNTIFS(allFYsTable[Code], SummaryTable[[#This Row],[Code]], allFYsTable[year2], BE$3)=0, NotFound, SUMIFS(allFYsTable[RevisedBudget], allFYsTable[Code], SummaryTable[[#This Row],[Code]], allFYsTable[year2], BE$3))</f>
        <v>11426</v>
      </c>
      <c r="BI85" s="61">
        <f>IF(COUNTIFS(allFYsTable[Code], SummaryTable[[#This Row],[Code]], allFYsTable[year2], BE$3)=0, NotFound, SUMIFS(allFYsTable[Actual], allFYsTable[Code], SummaryTable[[#This Row],[Code]], allFYsTable[year2], BE$3))</f>
        <v>11192</v>
      </c>
      <c r="BJ85" s="61">
        <f>IF(COUNTIFS(allFYsTable[Code], SummaryTable[[#This Row],[Code]], allFYsTable[year2], BE$3)=0, NotFound, SUMIFS(allFYsTable[DiffAmount], allFYsTable[Code], SummaryTable[[#This Row],[Code]], allFYsTable[year2], BE$3))</f>
        <v>-123</v>
      </c>
      <c r="BK85" s="63">
        <f>IF(SummaryTable[[#This Row],[OriginalBudget21]]=0, IF(SummaryTable[[#This Row],[DiffAmount21]]=0, ZeroBudgetNoSpending, ZeroBudgetWithSpending), SummaryTable[[#This Row],[DiffAmount21]]/SummaryTable[[#This Row],[OriginalBudget21]])</f>
        <v>-1.0870525850640743E-2</v>
      </c>
      <c r="BL85" s="62">
        <f>IF(COUNTIFS(allFYsTable[Code], SummaryTable[[#This Row],[Code]], allFYsTable[year2], BL$3)=0, NotFound, SUMIFS(allFYsTable[OriginalBudget], allFYsTable[Code], SummaryTable[[#This Row],[Code]], allFYsTable[year2], BL$3))</f>
        <v>13684</v>
      </c>
      <c r="BM85" s="61">
        <f>SummaryTable[[#This Row],[OriginalBudget20]]-SummaryTable[[#This Row],[OriginalBudget19]]</f>
        <v>3453</v>
      </c>
      <c r="BN85" s="54">
        <f>SummaryTable[[#This Row],[BudgetIncreaseAmount20]]/SummaryTable[[#This Row],[OriginalBudget19]]</f>
        <v>0.33750366533085718</v>
      </c>
      <c r="BO85" s="61">
        <f>IF(COUNTIFS(allFYsTable[Code], SummaryTable[[#This Row],[Code]], allFYsTable[year2], BL$3)=0, NotFound, SUMIFS(allFYsTable[RevisedBudget], allFYsTable[Code], SummaryTable[[#This Row],[Code]], allFYsTable[year2], BL$3))</f>
        <v>13191</v>
      </c>
      <c r="BP85" s="61">
        <f>IF(COUNTIFS(allFYsTable[Code], SummaryTable[[#This Row],[Code]], allFYsTable[year2], BL$3)=0, NotFound, SUMIFS(allFYsTable[Actual], allFYsTable[Code], SummaryTable[[#This Row],[Code]], allFYsTable[year2], BL$3))</f>
        <v>12834</v>
      </c>
      <c r="BQ85" s="61">
        <f>IF(COUNTIFS(allFYsTable[Code], SummaryTable[[#This Row],[Code]], allFYsTable[year2], BL$3)=0, NotFound, SUMIFS(allFYsTable[DiffAmount], allFYsTable[Code], SummaryTable[[#This Row],[Code]], allFYsTable[year2], BL$3))</f>
        <v>-850</v>
      </c>
      <c r="BR85" s="63">
        <f>IF(SummaryTable[[#This Row],[OriginalBudget20]]=0, IF(SummaryTable[[#This Row],[DiffAmount20]]=0, ZeroBudgetNoSpending, ZeroBudgetWithSpending), SummaryTable[[#This Row],[DiffAmount20]]/SummaryTable[[#This Row],[OriginalBudget20]])</f>
        <v>-6.2116340251388485E-2</v>
      </c>
      <c r="BS85" s="62">
        <f>IF(COUNTIFS(allFYsTable[Code], SummaryTable[[#This Row],[Code]], allFYsTable[year2], BS$3)=0, NotFound, SUMIFS(allFYsTable[OriginalBudget], allFYsTable[Code], SummaryTable[[#This Row],[Code]], allFYsTable[year2], BS$3))</f>
        <v>10231</v>
      </c>
      <c r="BT85" s="61">
        <f>SummaryTable[[#This Row],[OriginalBudget19]]-SummaryTable[[#This Row],[OriginalBudget18]]</f>
        <v>574</v>
      </c>
      <c r="BU85" s="54">
        <f>SummaryTable[[#This Row],[BudgetIncreaseAmount19]]/SummaryTable[[#This Row],[OriginalBudget18]]</f>
        <v>5.9438749093921509E-2</v>
      </c>
      <c r="BV85" s="61">
        <f>IF(COUNTIFS(allFYsTable[Code], SummaryTable[[#This Row],[Code]], allFYsTable[year2], BS$3)=0, NotFound, SUMIFS(allFYsTable[RevisedBudget], allFYsTable[Code], SummaryTable[[#This Row],[Code]], allFYsTable[year2], BS$3))</f>
        <v>10948</v>
      </c>
      <c r="BW85" s="61">
        <f>IF(COUNTIFS(allFYsTable[Code], SummaryTable[[#This Row],[Code]], allFYsTable[year2], BS$3)=0, NotFound, SUMIFS(allFYsTable[Actual], allFYsTable[Code], SummaryTable[[#This Row],[Code]], allFYsTable[year2], BS$3))</f>
        <v>10428</v>
      </c>
      <c r="BX85" s="61">
        <f>IF(COUNTIFS(allFYsTable[Code], SummaryTable[[#This Row],[Code]], allFYsTable[year2], BS$3)=0, NotFound, SUMIFS(allFYsTable[DiffAmount], allFYsTable[Code], SummaryTable[[#This Row],[Code]], allFYsTable[year2], BS$3))</f>
        <v>197</v>
      </c>
      <c r="BY85" s="63">
        <f>IF(SummaryTable[[#This Row],[OriginalBudget19]]=0, IF(SummaryTable[[#This Row],[DiffAmount19]]=0, ZeroBudgetNoSpending, ZeroBudgetWithSpending), SummaryTable[[#This Row],[DiffAmount19]]/SummaryTable[[#This Row],[OriginalBudget19]])</f>
        <v>1.9255204769817222E-2</v>
      </c>
      <c r="BZ85" s="62">
        <f>IF(COUNTIFS(allFYsTable[Code], SummaryTable[[#This Row],[Code]], allFYsTable[year2], BZ$3)=0, NotFound, SUMIFS(allFYsTable[OriginalBudget], allFYsTable[Code], SummaryTable[[#This Row],[Code]], allFYsTable[year2], BZ$3))</f>
        <v>9657</v>
      </c>
      <c r="CA85" s="61">
        <f>SummaryTable[[#This Row],[OriginalBudget18]]-SummaryTable[[#This Row],[OriginalBudget17]]</f>
        <v>198</v>
      </c>
      <c r="CB85" s="54">
        <f>SummaryTable[[#This Row],[BudgetIncreaseAmount18]]/SummaryTable[[#This Row],[OriginalBudget17]]</f>
        <v>2.093244529019981E-2</v>
      </c>
      <c r="CC85" s="61">
        <f>IF(COUNTIFS(allFYsTable[Code], SummaryTable[[#This Row],[Code]], allFYsTable[year2], BZ$3)=0, NotFound, SUMIFS(allFYsTable[RevisedBudget], allFYsTable[Code], SummaryTable[[#This Row],[Code]], allFYsTable[year2], BZ$3))</f>
        <v>9820</v>
      </c>
      <c r="CD85" s="61">
        <f>IF(COUNTIFS(allFYsTable[Code], SummaryTable[[#This Row],[Code]], allFYsTable[year2], BZ$3)=0, NotFound, SUMIFS(allFYsTable[Actual], allFYsTable[Code], SummaryTable[[#This Row],[Code]], allFYsTable[year2], BZ$3))</f>
        <v>9744</v>
      </c>
      <c r="CE85" s="61">
        <f>IF(COUNTIFS(allFYsTable[Code], SummaryTable[[#This Row],[Code]], allFYsTable[year2], BZ$3)=0, NotFound, SUMIFS(allFYsTable[DiffAmount], allFYsTable[Code], SummaryTable[[#This Row],[Code]], allFYsTable[year2], BZ$3))</f>
        <v>87</v>
      </c>
      <c r="CF85" s="63">
        <f>IF(SummaryTable[[#This Row],[OriginalBudget18]]=0, IF(SummaryTable[[#This Row],[DiffAmount18]]=0, ZeroBudgetNoSpending, ZeroBudgetWithSpending), SummaryTable[[#This Row],[DiffAmount18]]/SummaryTable[[#This Row],[OriginalBudget18]])</f>
        <v>9.0090090090090089E-3</v>
      </c>
      <c r="CG85" s="62">
        <f>IF(COUNTIFS(allFYsTable[Code], SummaryTable[[#This Row],[Code]], allFYsTable[year2], CG$3)=0, NotFound, SUMIFS(allFYsTable[OriginalBudget], allFYsTable[Code], SummaryTable[[#This Row],[Code]], allFYsTable[year2], CG$3))</f>
        <v>9459</v>
      </c>
      <c r="CH85" s="61">
        <f>SummaryTable[[#This Row],[OriginalBudget17]]-SummaryTable[[#This Row],[OriginalBudget16]]</f>
        <v>97</v>
      </c>
      <c r="CI85" s="54">
        <f>SummaryTable[[#This Row],[BudgetIncreaseAmount17]]/SummaryTable[[#This Row],[OriginalBudget16]]</f>
        <v>1.0361033967101047E-2</v>
      </c>
      <c r="CJ85" s="61">
        <f>IF(COUNTIFS(allFYsTable[Code], SummaryTable[[#This Row],[Code]], allFYsTable[year2], CG$3)=0, NotFound, SUMIFS(allFYsTable[RevisedBudget], allFYsTable[Code], SummaryTable[[#This Row],[Code]], allFYsTable[year2], CG$3))</f>
        <v>9382</v>
      </c>
      <c r="CK85" s="61">
        <f>IF(COUNTIFS(allFYsTable[Code], SummaryTable[[#This Row],[Code]], allFYsTable[year2], CG$3)=0, NotFound, SUMIFS(allFYsTable[Actual], allFYsTable[Code], SummaryTable[[#This Row],[Code]], allFYsTable[year2], CG$3))</f>
        <v>9106</v>
      </c>
      <c r="CL85" s="61">
        <f>IF(COUNTIFS(allFYsTable[Code], SummaryTable[[#This Row],[Code]], allFYsTable[year2], CG$3)=0, NotFound, SUMIFS(allFYsTable[DiffAmount], allFYsTable[Code], SummaryTable[[#This Row],[Code]], allFYsTable[year2], CG$3))</f>
        <v>-353</v>
      </c>
      <c r="CM85" s="63">
        <f>IF(SummaryTable[[#This Row],[OriginalBudget17]]=0, IF(SummaryTable[[#This Row],[DiffAmount17]]=0, ZeroBudgetNoSpending, ZeroBudgetWithSpending), SummaryTable[[#This Row],[DiffAmount17]]/SummaryTable[[#This Row],[OriginalBudget17]])</f>
        <v>-3.7318955492123905E-2</v>
      </c>
      <c r="CN85" s="62">
        <f>IF(COUNTIFS(allFYsTable[Code], SummaryTable[[#This Row],[Code]], allFYsTable[year2], CN$3)=0, NotFound, SUMIFS(allFYsTable[OriginalBudget], allFYsTable[Code], SummaryTable[[#This Row],[Code]], allFYsTable[year2], CN$3))</f>
        <v>9362</v>
      </c>
      <c r="CO85" s="61">
        <f>SummaryTable[[#This Row],[OriginalBudget16]]-SummaryTable[[#This Row],[OriginalBudget15]]</f>
        <v>3</v>
      </c>
      <c r="CP85" s="54">
        <f>SummaryTable[[#This Row],[BudgetIncreaseAmount16]]/SummaryTable[[#This Row],[OriginalBudget15]]</f>
        <v>3.2054706699433702E-4</v>
      </c>
      <c r="CQ85" s="61">
        <f>IF(COUNTIFS(allFYsTable[Code], SummaryTable[[#This Row],[Code]], allFYsTable[year2], CN$3)=0, NotFound, SUMIFS(allFYsTable[RevisedBudget], allFYsTable[Code], SummaryTable[[#This Row],[Code]], allFYsTable[year2], CN$3))</f>
        <v>9613</v>
      </c>
      <c r="CR85" s="61">
        <f>IF(COUNTIFS(allFYsTable[Code], SummaryTable[[#This Row],[Code]], allFYsTable[year2], CN$3)=0, NotFound, SUMIFS(allFYsTable[Actual], allFYsTable[Code], SummaryTable[[#This Row],[Code]], allFYsTable[year2], CN$3))</f>
        <v>9116</v>
      </c>
      <c r="CS85" s="61">
        <f>IF(COUNTIFS(allFYsTable[Code], SummaryTable[[#This Row],[Code]], allFYsTable[year2], CN$3)=0, NotFound, SUMIFS(allFYsTable[DiffAmount], allFYsTable[Code], SummaryTable[[#This Row],[Code]], allFYsTable[year2], CN$3))</f>
        <v>-246</v>
      </c>
      <c r="CT85" s="63">
        <f>IF(SummaryTable[[#This Row],[OriginalBudget16]]=0, IF(SummaryTable[[#This Row],[DiffAmount16]]=0, ZeroBudgetNoSpending, ZeroBudgetWithSpending), SummaryTable[[#This Row],[DiffAmount16]]/SummaryTable[[#This Row],[OriginalBudget16]])</f>
        <v>-2.6276436658833582E-2</v>
      </c>
      <c r="CU85" s="62">
        <f>IF(COUNTIFS(allFYsTable[Code], SummaryTable[[#This Row],[Code]], allFYsTable[year2], CU$3)=0, NotFound, SUMIFS(allFYsTable[OriginalBudget], allFYsTable[Code], SummaryTable[[#This Row],[Code]], allFYsTable[year2], CU$3))</f>
        <v>9359</v>
      </c>
      <c r="CV85" s="61">
        <f>SummaryTable[[#This Row],[OriginalBudget15]]-SummaryTable[[#This Row],[OriginalBudget14]]</f>
        <v>2878</v>
      </c>
      <c r="CW85" s="54">
        <f>SummaryTable[[#This Row],[BudgetIncreaseAmount15]]/SummaryTable[[#This Row],[OriginalBudget14]]</f>
        <v>0.44406727356889369</v>
      </c>
      <c r="CX85" s="61">
        <f>IF(COUNTIFS(allFYsTable[Code], SummaryTable[[#This Row],[Code]], allFYsTable[year2], CU$3)=0, NotFound, SUMIFS(allFYsTable[RevisedBudget], allFYsTable[Code], SummaryTable[[#This Row],[Code]], allFYsTable[year2], CU$3))</f>
        <v>9450</v>
      </c>
      <c r="CY85" s="61">
        <f>IF(COUNTIFS(allFYsTable[Code], SummaryTable[[#This Row],[Code]], allFYsTable[year2], CU$3)=0, NotFound, SUMIFS(allFYsTable[Actual], allFYsTable[Code], SummaryTable[[#This Row],[Code]], allFYsTable[year2], CU$3))</f>
        <v>9329</v>
      </c>
      <c r="CZ85" s="61">
        <f>IF(COUNTIFS(allFYsTable[Code], SummaryTable[[#This Row],[Code]], allFYsTable[year2], CU$3)=0, NotFound, SUMIFS(allFYsTable[DiffAmount], allFYsTable[Code], SummaryTable[[#This Row],[Code]], allFYsTable[year2], CU$3))</f>
        <v>-30</v>
      </c>
      <c r="DA85" s="63">
        <f>IF(SummaryTable[[#This Row],[OriginalBudget15]]=0, IF(SummaryTable[[#This Row],[DiffAmount15]]=0, ZeroBudgetNoSpending, ZeroBudgetWithSpending), SummaryTable[[#This Row],[DiffAmount15]]/SummaryTable[[#This Row],[OriginalBudget15]])</f>
        <v>-3.2054706699433701E-3</v>
      </c>
      <c r="DB85" s="62">
        <f>IF(COUNTIFS(allFYsTable[Code], SummaryTable[[#This Row],[Code]], allFYsTable[year2], DB$3)=0, NotFound, SUMIFS(allFYsTable[OriginalBudget], allFYsTable[Code], SummaryTable[[#This Row],[Code]], allFYsTable[year2], DB$3))</f>
        <v>6481</v>
      </c>
      <c r="DC85" s="61">
        <f>SummaryTable[[#This Row],[OriginalBudget14]]-SummaryTable[[#This Row],[OriginalBudget13]]</f>
        <v>-78</v>
      </c>
      <c r="DD85" s="54">
        <f>SummaryTable[[#This Row],[BudgetIncreaseAmount14]]/SummaryTable[[#This Row],[OriginalBudget13]]</f>
        <v>-1.1892056715962799E-2</v>
      </c>
      <c r="DE85" s="61">
        <f>IF(COUNTIFS(allFYsTable[Code], SummaryTable[[#This Row],[Code]], allFYsTable[year2], DB$3)=0, NotFound, SUMIFS(allFYsTable[RevisedBudget], allFYsTable[Code], SummaryTable[[#This Row],[Code]], allFYsTable[year2], DB$3))</f>
        <v>10604</v>
      </c>
      <c r="DF85" s="61">
        <f>IF(COUNTIFS(allFYsTable[Code], SummaryTable[[#This Row],[Code]], allFYsTable[year2], DB$3)=0, NotFound, SUMIFS(allFYsTable[Actual], allFYsTable[Code], SummaryTable[[#This Row],[Code]], allFYsTable[year2], DB$3))</f>
        <v>10013</v>
      </c>
      <c r="DG85" s="61">
        <f>IF(COUNTIFS(allFYsTable[Code], SummaryTable[[#This Row],[Code]], allFYsTable[year2], DB$3)=0, NotFound, SUMIFS(allFYsTable[DiffAmount], allFYsTable[Code], SummaryTable[[#This Row],[Code]], allFYsTable[year2], DB$3))</f>
        <v>3532</v>
      </c>
      <c r="DH85" s="63">
        <f>IF(SummaryTable[[#This Row],[OriginalBudget14]]=0, IF(SummaryTable[[#This Row],[DiffAmount14]]=0, ZeroBudgetNoSpending, ZeroBudgetWithSpending), SummaryTable[[#This Row],[DiffAmount14]]/SummaryTable[[#This Row],[OriginalBudget14]])</f>
        <v>0.54497762690942753</v>
      </c>
      <c r="DI85" s="62">
        <f>IF(COUNTIFS(allFYsTable[Code], SummaryTable[[#This Row],[Code]], allFYsTable[year2], DI$3)=0, NotFound, SUMIFS(allFYsTable[OriginalBudget], allFYsTable[Code], SummaryTable[[#This Row],[Code]], allFYsTable[year2], DI$3))</f>
        <v>6559</v>
      </c>
      <c r="DJ85" s="61">
        <f>SummaryTable[[#This Row],[OriginalBudget13]]-SummaryTable[[#This Row],[OriginalBudget12]]</f>
        <v>313</v>
      </c>
      <c r="DK85" s="54">
        <f>SummaryTable[[#This Row],[BudgetIncreaseAmount13]]/SummaryTable[[#This Row],[OriginalBudget12]]</f>
        <v>5.0112071725904581E-2</v>
      </c>
      <c r="DL85" s="61">
        <f>IF(COUNTIFS(allFYsTable[Code], SummaryTable[[#This Row],[Code]], allFYsTable[year2], DI$3)=0, NotFound, SUMIFS(allFYsTable[RevisedBudget], allFYsTable[Code], SummaryTable[[#This Row],[Code]], allFYsTable[year2], DI$3))</f>
        <v>6481</v>
      </c>
      <c r="DM85" s="61">
        <f>IF(COUNTIFS(allFYsTable[Code], SummaryTable[[#This Row],[Code]], allFYsTable[year2], DI$3)=0, NotFound, SUMIFS(allFYsTable[Actual], allFYsTable[Code], SummaryTable[[#This Row],[Code]], allFYsTable[year2], DI$3))</f>
        <v>6345</v>
      </c>
      <c r="DN85" s="61">
        <f>IF(COUNTIFS(allFYsTable[Code], SummaryTable[[#This Row],[Code]], allFYsTable[year2], DI$3)=0, NotFound, SUMIFS(allFYsTable[DiffAmount], allFYsTable[Code], SummaryTable[[#This Row],[Code]], allFYsTable[year2], DI$3))</f>
        <v>-214</v>
      </c>
      <c r="DO85" s="63">
        <f>IF(SummaryTable[[#This Row],[OriginalBudget13]]=0, IF(SummaryTable[[#This Row],[DiffAmount13]]=0, ZeroBudgetNoSpending, ZeroBudgetWithSpending), SummaryTable[[#This Row],[DiffAmount13]]/SummaryTable[[#This Row],[OriginalBudget13]])</f>
        <v>-3.2626924836103063E-2</v>
      </c>
      <c r="DP85" s="62">
        <f>IF(COUNTIFS(allFYsTable[Code], SummaryTable[[#This Row],[Code]], allFYsTable[year2], DP$3)=0, NotFound, SUMIFS(allFYsTable[OriginalBudget], allFYsTable[Code], SummaryTable[[#This Row],[Code]], allFYsTable[year2], DP$3))</f>
        <v>6246</v>
      </c>
      <c r="DQ85" s="61">
        <f>SummaryTable[[#This Row],[OriginalBudget12]]-SummaryTable[[#This Row],[OriginalBudget11]]</f>
        <v>290</v>
      </c>
      <c r="DR85" s="54">
        <f>SummaryTable[[#This Row],[BudgetIncreaseAmount12]]/SummaryTable[[#This Row],[OriginalBudget11]]</f>
        <v>4.8690396239086636E-2</v>
      </c>
      <c r="DS85" s="61">
        <f>IF(COUNTIFS(allFYsTable[Code], SummaryTable[[#This Row],[Code]], allFYsTable[year2], DP$3)=0, NotFound, SUMIFS(allFYsTable[RevisedBudget], allFYsTable[Code], SummaryTable[[#This Row],[Code]], allFYsTable[year2], DP$3))</f>
        <v>6730</v>
      </c>
      <c r="DT85" s="61">
        <f>IF(COUNTIFS(allFYsTable[Code], SummaryTable[[#This Row],[Code]], allFYsTable[year2], DP$3)=0, NotFound, SUMIFS(allFYsTable[Actual], allFYsTable[Code], SummaryTable[[#This Row],[Code]], allFYsTable[year2], DP$3))</f>
        <v>6111</v>
      </c>
      <c r="DU85" s="61">
        <f>IF(COUNTIFS(allFYsTable[Code], SummaryTable[[#This Row],[Code]], allFYsTable[year2], DP$3)=0, NotFound, SUMIFS(allFYsTable[DiffAmount], allFYsTable[Code], SummaryTable[[#This Row],[Code]], allFYsTable[year2], DP$3))</f>
        <v>-135</v>
      </c>
      <c r="DV85" s="63">
        <f>IF(SummaryTable[[#This Row],[OriginalBudget12]]=0, IF(SummaryTable[[#This Row],[DiffAmount12]]=0, ZeroBudgetNoSpending, ZeroBudgetWithSpending), SummaryTable[[#This Row],[DiffAmount12]]/SummaryTable[[#This Row],[OriginalBudget12]])</f>
        <v>-2.1613832853025938E-2</v>
      </c>
      <c r="DW85" s="62">
        <f>IF(COUNTIFS(allFYsTable[Code], SummaryTable[[#This Row],[Code]], allFYsTable[year2], DW$3)=0, NotFound, SUMIFS(allFYsTable[OriginalBudget], allFYsTable[Code], SummaryTable[[#This Row],[Code]], allFYsTable[year2], DW$3))</f>
        <v>5956</v>
      </c>
      <c r="DX85" s="61">
        <f>SummaryTable[[#This Row],[OriginalBudget11]]-SummaryTable[[#This Row],[OriginalBudget10]]</f>
        <v>-1662</v>
      </c>
      <c r="DY85" s="54">
        <f>SummaryTable[[#This Row],[BudgetIncreaseAmount11]]/SummaryTable[[#This Row],[OriginalBudget10]]</f>
        <v>-0.21816749803097926</v>
      </c>
      <c r="DZ85" s="61">
        <f>IF(COUNTIFS(allFYsTable[Code], SummaryTable[[#This Row],[Code]], allFYsTable[year2], DW$3)=0, NotFound, SUMIFS(allFYsTable[RevisedBudget], allFYsTable[Code], SummaryTable[[#This Row],[Code]], allFYsTable[year2], DW$3))</f>
        <v>5831</v>
      </c>
      <c r="EA85" s="61">
        <f>IF(COUNTIFS(allFYsTable[Code], SummaryTable[[#This Row],[Code]], allFYsTable[year2], DW$3)=0, NotFound, SUMIFS(allFYsTable[Actual], allFYsTable[Code], SummaryTable[[#This Row],[Code]], allFYsTable[year2], DW$3))</f>
        <v>5480</v>
      </c>
      <c r="EB85" s="61">
        <f>IF(COUNTIFS(allFYsTable[Code], SummaryTable[[#This Row],[Code]], allFYsTable[year2], DW$3)=0, NotFound, SUMIFS(allFYsTable[DiffAmount], allFYsTable[Code], SummaryTable[[#This Row],[Code]], allFYsTable[year2], DW$3))</f>
        <v>-476</v>
      </c>
      <c r="EC85" s="63">
        <f>IF(SummaryTable[[#This Row],[OriginalBudget11]]=0, IF(SummaryTable[[#This Row],[DiffAmount11]]=0, ZeroBudgetNoSpending, ZeroBudgetWithSpending), SummaryTable[[#This Row],[DiffAmount11]]/SummaryTable[[#This Row],[OriginalBudget11]])</f>
        <v>-7.9919408999328409E-2</v>
      </c>
      <c r="ED85" s="62">
        <f>IF(COUNTIFS(allFYsTable[Code], SummaryTable[[#This Row],[Code]], allFYsTable[year2], ED$3)=0, NotFound, SUMIFS(allFYsTable[OriginalBudget], allFYsTable[Code], SummaryTable[[#This Row],[Code]], allFYsTable[year2], ED$3))</f>
        <v>7618</v>
      </c>
      <c r="EE85" s="61">
        <f>SummaryTable[[#This Row],[OriginalBudget10]]-SummaryTable[[#This Row],[OriginalBudget09]]</f>
        <v>-1790</v>
      </c>
      <c r="EF85" s="54">
        <f>SummaryTable[[#This Row],[BudgetIncreaseAmount10]]/SummaryTable[[#This Row],[OriginalBudget09]]</f>
        <v>-0.19026360544217688</v>
      </c>
      <c r="EG85" s="61">
        <f>IF(COUNTIFS(allFYsTable[Code], SummaryTable[[#This Row],[Code]], allFYsTable[year2], ED$3)=0, NotFound, SUMIFS(allFYsTable[RevisedBudget], allFYsTable[Code], SummaryTable[[#This Row],[Code]], allFYsTable[year2], ED$3))</f>
        <v>7915</v>
      </c>
      <c r="EH85" s="61">
        <f>IF(COUNTIFS(allFYsTable[Code], SummaryTable[[#This Row],[Code]], allFYsTable[year2], ED$3)=0, NotFound, SUMIFS(allFYsTable[Actual], allFYsTable[Code], SummaryTable[[#This Row],[Code]], allFYsTable[year2], ED$3))</f>
        <v>7220</v>
      </c>
      <c r="EI85" s="61">
        <f>IF(COUNTIFS(allFYsTable[Code], SummaryTable[[#This Row],[Code]], allFYsTable[year2], ED$3)=0, NotFound, SUMIFS(allFYsTable[DiffAmount], allFYsTable[Code], SummaryTable[[#This Row],[Code]], allFYsTable[year2], ED$3))</f>
        <v>-398</v>
      </c>
      <c r="EJ85" s="63">
        <f>IF(SummaryTable[[#This Row],[OriginalBudget10]]=0, IF(SummaryTable[[#This Row],[DiffAmount10]]=0, ZeroBudgetNoSpending, ZeroBudgetWithSpending), SummaryTable[[#This Row],[DiffAmount10]]/SummaryTable[[#This Row],[OriginalBudget10]])</f>
        <v>-5.2244683644001047E-2</v>
      </c>
      <c r="EK85" s="62">
        <f>IF(COUNTIFS(allFYsTable[Code], SummaryTable[[#This Row],[Code]], allFYsTable[year2], EK$3)=0, NotFound, SUMIFS(allFYsTable[OriginalBudget], allFYsTable[Code], SummaryTable[[#This Row],[Code]], allFYsTable[year2], EK$3))</f>
        <v>9408</v>
      </c>
      <c r="EL85" s="61">
        <f>SummaryTable[[#This Row],[OriginalBudget09]]-SummaryTable[[#This Row],[OriginalBudget08]]</f>
        <v>648</v>
      </c>
      <c r="EM85" s="54">
        <f>SummaryTable[[#This Row],[BudgetIncreaseAmount09]]/SummaryTable[[#This Row],[OriginalBudget08]]</f>
        <v>7.3972602739726029E-2</v>
      </c>
      <c r="EN85" s="61">
        <f>IF(COUNTIFS(allFYsTable[Code], SummaryTable[[#This Row],[Code]], allFYsTable[year2], EK$3)=0, NotFound, SUMIFS(allFYsTable[RevisedBudget], allFYsTable[Code], SummaryTable[[#This Row],[Code]], allFYsTable[year2], EK$3))</f>
        <v>9455</v>
      </c>
      <c r="EO85" s="61">
        <f>IF(COUNTIFS(allFYsTable[Code], SummaryTable[[#This Row],[Code]], allFYsTable[year2], EK$3)=0, NotFound, SUMIFS(allFYsTable[Actual], allFYsTable[Code], SummaryTable[[#This Row],[Code]], allFYsTable[year2], EK$3))</f>
        <v>8614</v>
      </c>
      <c r="EP85" s="61">
        <f>IF(COUNTIFS(allFYsTable[Code], SummaryTable[[#This Row],[Code]], allFYsTable[year2], EK$3)=0, NotFound, SUMIFS(allFYsTable[DiffAmount], allFYsTable[Code], SummaryTable[[#This Row],[Code]], allFYsTable[year2], EK$3))</f>
        <v>-794</v>
      </c>
      <c r="EQ85" s="63">
        <f>IF(SummaryTable[[#This Row],[OriginalBudget09]]=0, IF(SummaryTable[[#This Row],[DiffAmount09]]=0, ZeroBudgetNoSpending, ZeroBudgetWithSpending), SummaryTable[[#This Row],[DiffAmount09]]/SummaryTable[[#This Row],[OriginalBudget09]])</f>
        <v>-8.4396258503401364E-2</v>
      </c>
      <c r="ER85" s="62">
        <f>IF(COUNTIFS(allFYsTable[Code], SummaryTable[[#This Row],[Code]], allFYsTable[year2], ER$3)=0, NotFound, SUMIFS(allFYsTable[OriginalBudget], allFYsTable[Code], SummaryTable[[#This Row],[Code]], allFYsTable[year2], ER$3))</f>
        <v>8760</v>
      </c>
      <c r="ES85" s="61">
        <f>SummaryTable[[#This Row],[OriginalBudget08]]-SummaryTable[[#This Row],[OriginalBudget07]]</f>
        <v>2137</v>
      </c>
      <c r="ET85" s="54">
        <f>SummaryTable[[#This Row],[BudgetIncreaseAmount08]]/SummaryTable[[#This Row],[OriginalBudget07]]</f>
        <v>0.32266344556847348</v>
      </c>
      <c r="EU85" s="61">
        <f>IF(COUNTIFS(allFYsTable[Code], SummaryTable[[#This Row],[Code]], allFYsTable[year2], ER$3)=0, NotFound, SUMIFS(allFYsTable[RevisedBudget], allFYsTable[Code], SummaryTable[[#This Row],[Code]], allFYsTable[year2], ER$3))</f>
        <v>8750</v>
      </c>
      <c r="EV85" s="61">
        <f>IF(COUNTIFS(allFYsTable[Code], SummaryTable[[#This Row],[Code]], allFYsTable[year2], ER$3)=0, NotFound, SUMIFS(allFYsTable[Actual], allFYsTable[Code], SummaryTable[[#This Row],[Code]], allFYsTable[year2], ER$3))</f>
        <v>8034</v>
      </c>
      <c r="EW85" s="61">
        <f>IF(COUNTIFS(allFYsTable[Code], SummaryTable[[#This Row],[Code]], allFYsTable[year2], ER$3)=0, NotFound, SUMIFS(allFYsTable[DiffAmount], allFYsTable[Code], SummaryTable[[#This Row],[Code]], allFYsTable[year2], ER$3))</f>
        <v>-726</v>
      </c>
      <c r="EX85" s="63">
        <f>IF(SummaryTable[[#This Row],[OriginalBudget08]]=0, IF(SummaryTable[[#This Row],[DiffAmount08]]=0, ZeroBudgetNoSpending, ZeroBudgetWithSpending), SummaryTable[[#This Row],[DiffAmount08]]/SummaryTable[[#This Row],[OriginalBudget08]])</f>
        <v>-8.287671232876713E-2</v>
      </c>
      <c r="EY85" s="62">
        <f>IF(COUNTIFS(allFYsTable[Code], SummaryTable[[#This Row],[Code]], allFYsTable[year2], EY$3)=0, NotFound, SUMIFS(allFYsTable[OriginalBudget], allFYsTable[Code], SummaryTable[[#This Row],[Code]], allFYsTable[year2], EY$3))</f>
        <v>6623</v>
      </c>
      <c r="EZ85" s="61">
        <f>SummaryTable[[#This Row],[OriginalBudget07]]-SummaryTable[[#This Row],[OriginalBudget06]]</f>
        <v>400</v>
      </c>
      <c r="FA85" s="54">
        <f>SummaryTable[[#This Row],[BudgetIncreaseAmount07]]/SummaryTable[[#This Row],[OriginalBudget06]]</f>
        <v>6.4277679575767313E-2</v>
      </c>
      <c r="FB85" s="61">
        <f>IF(COUNTIFS(allFYsTable[Code], SummaryTable[[#This Row],[Code]], allFYsTable[year2], EY$3)=0, NotFound, SUMIFS(allFYsTable[RevisedBudget], allFYsTable[Code], SummaryTable[[#This Row],[Code]], allFYsTable[year2], EY$3))</f>
        <v>6897</v>
      </c>
      <c r="FC85" s="61">
        <f>IF(COUNTIFS(allFYsTable[Code], SummaryTable[[#This Row],[Code]], allFYsTable[year2], EY$3)=0, NotFound, SUMIFS(allFYsTable[Actual], allFYsTable[Code], SummaryTable[[#This Row],[Code]], allFYsTable[year2], EY$3))</f>
        <v>6563</v>
      </c>
      <c r="FD85" s="61">
        <f>IF(COUNTIFS(allFYsTable[Code], SummaryTable[[#This Row],[Code]], allFYsTable[year2], EY$3)=0, NotFound, SUMIFS(allFYsTable[DiffAmount], allFYsTable[Code], SummaryTable[[#This Row],[Code]], allFYsTable[year2], EY$3))</f>
        <v>-60</v>
      </c>
      <c r="FE85" s="63">
        <f>IF(SummaryTable[[#This Row],[OriginalBudget07]]=0, IF(SummaryTable[[#This Row],[DiffAmount07]]=0, ZeroBudgetNoSpending, ZeroBudgetWithSpending), SummaryTable[[#This Row],[DiffAmount07]]/SummaryTable[[#This Row],[OriginalBudget07]])</f>
        <v>-9.0593386682772149E-3</v>
      </c>
      <c r="FF85" s="62">
        <f>IF(COUNTIFS(allFYsTable[Code], SummaryTable[[#This Row],[Code]], allFYsTable[year2], FF$3)=0, NotFound, SUMIFS(allFYsTable[OriginalBudget], allFYsTable[Code], SummaryTable[[#This Row],[Code]], allFYsTable[year2], FF$3))</f>
        <v>6223</v>
      </c>
      <c r="FI85" s="61">
        <f>IF(COUNTIFS(allFYsTable[Code], SummaryTable[[#This Row],[Code]], allFYsTable[year2], FF$3)=0, NotFound, SUMIFS(allFYsTable[RevisedBudget], allFYsTable[Code], SummaryTable[[#This Row],[Code]], allFYsTable[year2], FF$3))</f>
        <v>6223</v>
      </c>
      <c r="FJ85" s="61">
        <f>IF(COUNTIFS(allFYsTable[Code], SummaryTable[[#This Row],[Code]], allFYsTable[year2], FF$3)=0, NotFound, SUMIFS(allFYsTable[Actual], allFYsTable[Code], SummaryTable[[#This Row],[Code]], allFYsTable[year2], FF$3))</f>
        <v>5918</v>
      </c>
      <c r="FK85" s="61">
        <f>IF(COUNTIFS(allFYsTable[Code], SummaryTable[[#This Row],[Code]], allFYsTable[year2], FF$3)=0, NotFound, SUMIFS(allFYsTable[DiffAmount], allFYsTable[Code], SummaryTable[[#This Row],[Code]], allFYsTable[year2], FF$3))</f>
        <v>-305</v>
      </c>
      <c r="FL85" s="63">
        <f>IF(SummaryTable[[#This Row],[OriginalBudget06]]=0, IF(SummaryTable[[#This Row],[DiffAmount06]]=0, ZeroBudgetNoSpending, ZeroBudgetWithSpending), SummaryTable[[#This Row],[DiffAmount06]]/SummaryTable[[#This Row],[OriginalBudget06]])</f>
        <v>-4.9011730676522577E-2</v>
      </c>
    </row>
    <row r="86" spans="1:168" x14ac:dyDescent="0.45">
      <c r="A86" t="s">
        <v>762</v>
      </c>
      <c r="B86">
        <f>_xlfn.MAXIFS(allFYsTable[year2], allFYsTable[Code], SummaryTable[[#This Row],[Code]])</f>
        <v>2025</v>
      </c>
      <c r="C86" t="str">
        <f>_xlfn.XLOOKUP(SummaryTable[[#This Row],[Code]], NameCodingTable[Code], NameCodingTable[Most Recent Category per allFYs])</f>
        <v>Public safety and justice</v>
      </c>
      <c r="D86" t="str">
        <f>_xlfn.XLOOKUP(SummaryTable[[#This Row],[Code]], NameCodingTable[Code], NameCodingTable[Unit Display Name])</f>
        <v>Office of Police Complaints (OPC)</v>
      </c>
      <c r="E86" t="str">
        <f>_xlfn.XLOOKUP(SummaryTable[[#This Row],[Code]], NameCodingTable[Code], NameCodingTable[Type])</f>
        <v>agency</v>
      </c>
      <c r="F8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8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86" s="54">
        <f>SummaryTable[[#This Row],['# Over]]/SummaryTable[[#This Row],[Count]]</f>
        <v>0</v>
      </c>
      <c r="I8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20</v>
      </c>
      <c r="J86" s="54">
        <f>SummaryTable[[#This Row],['# Under]]/SummaryTable[[#This Row],[Count]]</f>
        <v>1</v>
      </c>
      <c r="K8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6" s="54">
        <f>SummaryTable[[#This Row],['# Equal]]/SummaryTable[[#This Row],[Count]]</f>
        <v>0</v>
      </c>
      <c r="M86" s="61">
        <f>SUMIFS(allFYsTable[OriginalBudget],allFYsTable[Code],SummaryTable[[#This Row],[Code]])/SummaryTable[[#This Row],[Count]]</f>
        <v>2609.3000000000002</v>
      </c>
      <c r="N86" s="61">
        <f>SUMIFS(allFYsTable[Actual],allFYsTable[Code],SummaryTable[[#This Row],[Code]])/SummaryTable[[#This Row],[Count]]</f>
        <v>2402.4499999999998</v>
      </c>
      <c r="O86" s="61">
        <f>SummaryTable[[#This Row],[AvgActAmt]]-SummaryTable[[#This Row],[AvgBudAmt]]</f>
        <v>-206.85000000000036</v>
      </c>
      <c r="P86" s="54">
        <f>IF(SummaryTable[[#This Row],[AvgBudAmt]]=0, IF(SummaryTable[[#This Row],[AvgDiff'#]]=0, 0, NamedFields!$C$3), SummaryTable[[#This Row],[AvgDiff'#]]/SummaryTable[[#This Row],[AvgBudAmt]])</f>
        <v>-7.9274134825432246E-2</v>
      </c>
      <c r="Q86" s="61">
        <f>IFERROR(SUMIFS(allFYsTable[OriginalBudget],allFYsTable[Code],SummaryTable[[#This Row],[Code]],allFYsTable[DiffAmount], "&gt;0")/SummaryTable[[#This Row],['# Over]], 0)</f>
        <v>0</v>
      </c>
      <c r="R86" s="61">
        <f>IFERROR(SUMIFS(allFYsTable[Actual],allFYsTable[Code],SummaryTable[[#This Row],[Code]],allFYsTable[DiffAmount], "&gt;0")/SummaryTable[[#This Row],['# Over]], 0)</f>
        <v>0</v>
      </c>
      <c r="S86" s="61">
        <f>SummaryTable[[#This Row],[OverAvgAct]]-SummaryTable[[#This Row],[OverAvgBud]]</f>
        <v>0</v>
      </c>
      <c r="T86" s="54">
        <f>IF(SummaryTable[[#This Row],[OverAvgBud]]=0, IF(SummaryTable[[#This Row],[OverAvgDiff'#]]=0, ZeroBudgetNoSpending, ZeroBudgetWithSpending), SummaryTable[[#This Row],[OverAvgDiff'#]]/SummaryTable[[#This Row],[OverAvgBud]])</f>
        <v>0</v>
      </c>
      <c r="U86" s="61">
        <f>IFERROR(SUMIFS(allFYsTable[OriginalBudget],allFYsTable[Code],SummaryTable[[#This Row],[Code]],allFYsTable[DiffAmount], "&lt;0")/SummaryTable[[#This Row],['# Under]], 0)</f>
        <v>2609.3000000000002</v>
      </c>
      <c r="V86" s="61">
        <f>IFERROR( SUMIFS(allFYsTable[Actual],allFYsTable[Code],SummaryTable[[#This Row],[Code]],allFYsTable[DiffAmount], "&lt;0")/SummaryTable[[#This Row],['# Under]], 0)</f>
        <v>2402.4499999999998</v>
      </c>
      <c r="W86" s="61">
        <f>SummaryTable[[#This Row],[UnderAvgAct]]-SummaryTable[[#This Row],[UnderAvgBud]]</f>
        <v>-206.85000000000036</v>
      </c>
      <c r="X86" s="54">
        <f>IF(SummaryTable[[#This Row],[UnderAvgBud]]=0, IF(SummaryTable[[#This Row],[UnderAvgDiff'#]]=0, ZeroBudgetNoSpending, NamedFields!$C$3), SummaryTable[[#This Row],[UnderAvgDiff'#]]/SummaryTable[[#This Row],[UnderAvgBud]])</f>
        <v>-7.9274134825432246E-2</v>
      </c>
      <c r="Y8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8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6" s="54">
        <f>IF(SummaryTable[[#This Row],[IncreaseYears]]=0, ZeroBudgetNoSpending, SummaryTable[[#This Row],[OSinIncreaseYear'#]]/SummaryTable[[#This Row],[IncreaseYears]])</f>
        <v>0</v>
      </c>
      <c r="AB86" s="58" t="str">
        <f>SummaryTable[[#This Row],[Code]]</f>
        <v>FH0</v>
      </c>
      <c r="AC86" s="62">
        <f>IF(COUNTIFS(allFYsTable[Code], SummaryTable[[#This Row],[Code]], allFYsTable[year2], AC$3)=0, NotFound, SUMIFS(allFYsTable[OriginalBudget], allFYsTable[Code], SummaryTable[[#This Row],[Code]], allFYsTable[year2], AC$3))</f>
        <v>3309</v>
      </c>
      <c r="AD86" s="61">
        <f>SummaryTable[[#This Row],[OriginalBudget25]]-SummaryTable[[#This Row],[OriginalBudget24]]</f>
        <v>-4</v>
      </c>
      <c r="AE86" s="54">
        <f>SummaryTable[[#This Row],[BudgetIncreaseAmount25]]/SummaryTable[[#This Row],[OriginalBudget24]]</f>
        <v>-1.2073649260488982E-3</v>
      </c>
      <c r="AF86" s="61">
        <f>IF(COUNTIFS(allFYsTable[Code], SummaryTable[[#This Row],[Code]], allFYsTable[year2], AC$3)=0, NotFound, SUMIFS(allFYsTable[RevisedBudget], allFYsTable[Code], SummaryTable[[#This Row],[Code]], allFYsTable[year2], AC$3))</f>
        <v>3072</v>
      </c>
      <c r="AG86" s="61">
        <f>IF(COUNTIFS(allFYsTable[Code], SummaryTable[[#This Row],[Code]], allFYsTable[year2], AC$3)=0, NotFound, SUMIFS(allFYsTable[Actual], allFYsTable[Code], SummaryTable[[#This Row],[Code]], allFYsTable[year2], AC$3))</f>
        <v>2677</v>
      </c>
      <c r="AH86" s="61">
        <f>IF(COUNTIFS(allFYsTable[Code], SummaryTable[[#This Row],[Code]], allFYsTable[year2], AC$3)=0, NotFound, SUMIFS(allFYsTable[DiffAmount], allFYsTable[Code], SummaryTable[[#This Row],[Code]], allFYsTable[year2], AC$3))</f>
        <v>-632</v>
      </c>
      <c r="AI86" s="63">
        <f>IF(SummaryTable[[#This Row],[OriginalBudget25]]=0, IF(SummaryTable[[#This Row],[DiffAmount25]]=0, ZeroBudgetNoSpending, ZeroBudgetWithSpending), SummaryTable[[#This Row],[DiffAmount25]]/SummaryTable[[#This Row],[OriginalBudget25]])</f>
        <v>-0.1909942580840133</v>
      </c>
      <c r="AJ86" s="62">
        <f>IF(COUNTIFS(allFYsTable[Code], SummaryTable[[#This Row],[Code]], allFYsTable[year2], AJ$3)=0, NotFound, SUMIFS(allFYsTable[OriginalBudget], allFYsTable[Code], SummaryTable[[#This Row],[Code]], allFYsTable[year2], AJ$3))</f>
        <v>3313</v>
      </c>
      <c r="AK86" s="61">
        <f>SummaryTable[[#This Row],[OriginalBudget24]]-SummaryTable[[#This Row],[OriginalBudget23]]</f>
        <v>348</v>
      </c>
      <c r="AL86" s="54">
        <f>SummaryTable[[#This Row],[BudgetIncreaseAmount24]]/SummaryTable[[#This Row],[OriginalBudget23]]</f>
        <v>0.11736930860033727</v>
      </c>
      <c r="AM86" s="61">
        <f>IF(COUNTIFS(allFYsTable[Code], SummaryTable[[#This Row],[Code]], allFYsTable[year2], AK$3)=0, NotFound, SUMIFS(allFYsTable[RevisedBudget], allFYsTable[Code], SummaryTable[[#This Row],[Code]], allFYsTable[year2], AJ$3))</f>
        <v>2804</v>
      </c>
      <c r="AN86" s="61">
        <f>IF(COUNTIFS(allFYsTable[Code], SummaryTable[[#This Row],[Code]], allFYsTable[year2], AJ$3)=0, NotFound, SUMIFS(allFYsTable[Actual], allFYsTable[Code], SummaryTable[[#This Row],[Code]], allFYsTable[year2], AJ$3))</f>
        <v>2716</v>
      </c>
      <c r="AO86" s="61">
        <f>IF(COUNTIFS(allFYsTable[Code], SummaryTable[[#This Row],[Code]], allFYsTable[year2], AJ$3)=0, NotFound, SUMIFS(allFYsTable[DiffAmount], allFYsTable[Code], SummaryTable[[#This Row],[Code]], allFYsTable[year2], AJ$3))</f>
        <v>-597</v>
      </c>
      <c r="AP86" s="63">
        <f>IF(SummaryTable[[#This Row],[OriginalBudget24]]=0, IF(SummaryTable[[#This Row],[DiffAmount24]]=0, ZeroBudgetNoSpending, ZeroBudgetWithSpending), SummaryTable[[#This Row],[DiffAmount24]]/SummaryTable[[#This Row],[OriginalBudget24]])</f>
        <v>-0.18019921521279808</v>
      </c>
      <c r="AQ86" s="62">
        <f>IF(COUNTIFS(allFYsTable[Code], SummaryTable[[#This Row],[Code]], allFYsTable[year2], AQ$3)=0, NotFound, SUMIFS(allFYsTable[OriginalBudget], allFYsTable[Code], SummaryTable[[#This Row],[Code]], allFYsTable[year2], AQ$3))</f>
        <v>2965</v>
      </c>
      <c r="AR86" s="61">
        <f>SummaryTable[[#This Row],[OriginalBudget23]]-SummaryTable[[#This Row],[OriginalBudget22]]</f>
        <v>73</v>
      </c>
      <c r="AS86" s="54">
        <f>SummaryTable[[#This Row],[BudgetIncreaseAmount23]]/SummaryTable[[#This Row],[OriginalBudget22]]</f>
        <v>2.5242047026279392E-2</v>
      </c>
      <c r="AT86" s="61">
        <f>IF(COUNTIFS(allFYsTable[Code], SummaryTable[[#This Row],[Code]], allFYsTable[year2], AQ$3)=0, NotFound, SUMIFS(allFYsTable[RevisedBudget], allFYsTable[Code], SummaryTable[[#This Row],[Code]], allFYsTable[year2], AQ$3))</f>
        <v>2830</v>
      </c>
      <c r="AU86" s="61">
        <f>IF(COUNTIFS(allFYsTable[Code], SummaryTable[[#This Row],[Code]], allFYsTable[year2], AQ$3)=0, NotFound, SUMIFS(allFYsTable[Actual], allFYsTable[Code], SummaryTable[[#This Row],[Code]], allFYsTable[year2], AQ$3))</f>
        <v>2547</v>
      </c>
      <c r="AV86" s="61">
        <f>IF(COUNTIFS(allFYsTable[Code], SummaryTable[[#This Row],[Code]], allFYsTable[year2], AQ$3)=0, NotFound, SUMIFS(allFYsTable[DiffAmount], allFYsTable[Code], SummaryTable[[#This Row],[Code]], allFYsTable[year2], AQ$3))</f>
        <v>-418</v>
      </c>
      <c r="AW86" s="63">
        <f>IF(SummaryTable[[#This Row],[OriginalBudget23]]=0, IF(SummaryTable[[#This Row],[DiffAmount23]]=0, ZeroBudgetNoSpending, ZeroBudgetWithSpending), SummaryTable[[#This Row],[DiffAmount23]]/SummaryTable[[#This Row],[OriginalBudget23]])</f>
        <v>-0.14097807757166947</v>
      </c>
      <c r="AX86" s="62">
        <f>IF(COUNTIFS(allFYsTable[Code], SummaryTable[[#This Row],[Code]], allFYsTable[year2], AX$3)=0, NotFound, SUMIFS(allFYsTable[OriginalBudget], allFYsTable[Code], SummaryTable[[#This Row],[Code]], allFYsTable[year2], AX$3))</f>
        <v>2892</v>
      </c>
      <c r="AY86" s="61">
        <f>SummaryTable[[#This Row],[OriginalBudget22]]-SummaryTable[[#This Row],[OriginalBudget21]]</f>
        <v>279</v>
      </c>
      <c r="AZ86" s="54">
        <f>SummaryTable[[#This Row],[BudgetIncreaseAmount22]]/SummaryTable[[#This Row],[OriginalBudget21]]</f>
        <v>0.10677382319173363</v>
      </c>
      <c r="BA86" s="61">
        <f>IF(COUNTIFS(allFYsTable[Code], SummaryTable[[#This Row],[Code]], allFYsTable[year2], AX$3)=0, NotFound, SUMIFS(allFYsTable[RevisedBudget], allFYsTable[Code], SummaryTable[[#This Row],[Code]], allFYsTable[year2], AX$3))</f>
        <v>2817</v>
      </c>
      <c r="BB86" s="61">
        <f>IF(COUNTIFS(allFYsTable[Code], SummaryTable[[#This Row],[Code]], allFYsTable[year2], AX$3)=0, NotFound, SUMIFS(allFYsTable[Actual], allFYsTable[Code], SummaryTable[[#This Row],[Code]], allFYsTable[year2], AX$3))</f>
        <v>2660</v>
      </c>
      <c r="BC86" s="61">
        <f>IF(COUNTIFS(allFYsTable[Code], SummaryTable[[#This Row],[Code]], allFYsTable[year2], AX$3)=0, NotFound, SUMIFS(allFYsTable[DiffAmount], allFYsTable[Code], SummaryTable[[#This Row],[Code]], allFYsTable[year2], AX$3))</f>
        <v>-232</v>
      </c>
      <c r="BD86" s="63">
        <f>IF(SummaryTable[[#This Row],[OriginalBudget22]]=0, IF(SummaryTable[[#This Row],[DiffAmount22]]=0, ZeroBudgetNoSpending, ZeroBudgetWithSpending), SummaryTable[[#This Row],[DiffAmount22]]/SummaryTable[[#This Row],[OriginalBudget22]])</f>
        <v>-8.0221300138312593E-2</v>
      </c>
      <c r="BE86" s="62">
        <f>IF(COUNTIFS(allFYsTable[Code], SummaryTable[[#This Row],[Code]], allFYsTable[year2], BE$3)=0, NotFound, SUMIFS(allFYsTable[OriginalBudget], allFYsTable[Code], SummaryTable[[#This Row],[Code]], allFYsTable[year2], BE$3))</f>
        <v>2613</v>
      </c>
      <c r="BF86" s="61">
        <f>SummaryTable[[#This Row],[OriginalBudget21]]-SummaryTable[[#This Row],[OriginalBudget20]]</f>
        <v>-178</v>
      </c>
      <c r="BG86" s="54">
        <f>SummaryTable[[#This Row],[BudgetIncreaseAmount21]]/SummaryTable[[#This Row],[OriginalBudget20]]</f>
        <v>-6.3776424220709421E-2</v>
      </c>
      <c r="BH86" s="61">
        <f>IF(COUNTIFS(allFYsTable[Code], SummaryTable[[#This Row],[Code]], allFYsTable[year2], BE$3)=0, NotFound, SUMIFS(allFYsTable[RevisedBudget], allFYsTable[Code], SummaryTable[[#This Row],[Code]], allFYsTable[year2], BE$3))</f>
        <v>2422</v>
      </c>
      <c r="BI86" s="61">
        <f>IF(COUNTIFS(allFYsTable[Code], SummaryTable[[#This Row],[Code]], allFYsTable[year2], BE$3)=0, NotFound, SUMIFS(allFYsTable[Actual], allFYsTable[Code], SummaryTable[[#This Row],[Code]], allFYsTable[year2], BE$3))</f>
        <v>2328</v>
      </c>
      <c r="BJ86" s="61">
        <f>IF(COUNTIFS(allFYsTable[Code], SummaryTable[[#This Row],[Code]], allFYsTable[year2], BE$3)=0, NotFound, SUMIFS(allFYsTable[DiffAmount], allFYsTable[Code], SummaryTable[[#This Row],[Code]], allFYsTable[year2], BE$3))</f>
        <v>-285</v>
      </c>
      <c r="BK86" s="63">
        <f>IF(SummaryTable[[#This Row],[OriginalBudget21]]=0, IF(SummaryTable[[#This Row],[DiffAmount21]]=0, ZeroBudgetNoSpending, ZeroBudgetWithSpending), SummaryTable[[#This Row],[DiffAmount21]]/SummaryTable[[#This Row],[OriginalBudget21]])</f>
        <v>-0.10907003444316878</v>
      </c>
      <c r="BL86" s="62">
        <f>IF(COUNTIFS(allFYsTable[Code], SummaryTable[[#This Row],[Code]], allFYsTable[year2], BL$3)=0, NotFound, SUMIFS(allFYsTable[OriginalBudget], allFYsTable[Code], SummaryTable[[#This Row],[Code]], allFYsTable[year2], BL$3))</f>
        <v>2791</v>
      </c>
      <c r="BM86" s="61">
        <f>SummaryTable[[#This Row],[OriginalBudget20]]-SummaryTable[[#This Row],[OriginalBudget19]]</f>
        <v>253</v>
      </c>
      <c r="BN86" s="54">
        <f>SummaryTable[[#This Row],[BudgetIncreaseAmount20]]/SummaryTable[[#This Row],[OriginalBudget19]]</f>
        <v>9.9684791174152881E-2</v>
      </c>
      <c r="BO86" s="61">
        <f>IF(COUNTIFS(allFYsTable[Code], SummaryTable[[#This Row],[Code]], allFYsTable[year2], BL$3)=0, NotFound, SUMIFS(allFYsTable[RevisedBudget], allFYsTable[Code], SummaryTable[[#This Row],[Code]], allFYsTable[year2], BL$3))</f>
        <v>2589</v>
      </c>
      <c r="BP86" s="61">
        <f>IF(COUNTIFS(allFYsTable[Code], SummaryTable[[#This Row],[Code]], allFYsTable[year2], BL$3)=0, NotFound, SUMIFS(allFYsTable[Actual], allFYsTable[Code], SummaryTable[[#This Row],[Code]], allFYsTable[year2], BL$3))</f>
        <v>2495</v>
      </c>
      <c r="BQ86" s="61">
        <f>IF(COUNTIFS(allFYsTable[Code], SummaryTable[[#This Row],[Code]], allFYsTable[year2], BL$3)=0, NotFound, SUMIFS(allFYsTable[DiffAmount], allFYsTable[Code], SummaryTable[[#This Row],[Code]], allFYsTable[year2], BL$3))</f>
        <v>-296</v>
      </c>
      <c r="BR86" s="63">
        <f>IF(SummaryTable[[#This Row],[OriginalBudget20]]=0, IF(SummaryTable[[#This Row],[DiffAmount20]]=0, ZeroBudgetNoSpending, ZeroBudgetWithSpending), SummaryTable[[#This Row],[DiffAmount20]]/SummaryTable[[#This Row],[OriginalBudget20]])</f>
        <v>-0.10605517735578646</v>
      </c>
      <c r="BS86" s="62">
        <f>IF(COUNTIFS(allFYsTable[Code], SummaryTable[[#This Row],[Code]], allFYsTable[year2], BS$3)=0, NotFound, SUMIFS(allFYsTable[OriginalBudget], allFYsTable[Code], SummaryTable[[#This Row],[Code]], allFYsTable[year2], BS$3))</f>
        <v>2538</v>
      </c>
      <c r="BT86" s="61">
        <f>SummaryTable[[#This Row],[OriginalBudget19]]-SummaryTable[[#This Row],[OriginalBudget18]]</f>
        <v>-63</v>
      </c>
      <c r="BU86" s="54">
        <f>SummaryTable[[#This Row],[BudgetIncreaseAmount19]]/SummaryTable[[#This Row],[OriginalBudget18]]</f>
        <v>-2.4221453287197232E-2</v>
      </c>
      <c r="BV86" s="61">
        <f>IF(COUNTIFS(allFYsTable[Code], SummaryTable[[#This Row],[Code]], allFYsTable[year2], BS$3)=0, NotFound, SUMIFS(allFYsTable[RevisedBudget], allFYsTable[Code], SummaryTable[[#This Row],[Code]], allFYsTable[year2], BS$3))</f>
        <v>2463</v>
      </c>
      <c r="BW86" s="61">
        <f>IF(COUNTIFS(allFYsTable[Code], SummaryTable[[#This Row],[Code]], allFYsTable[year2], BS$3)=0, NotFound, SUMIFS(allFYsTable[Actual], allFYsTable[Code], SummaryTable[[#This Row],[Code]], allFYsTable[year2], BS$3))</f>
        <v>2461</v>
      </c>
      <c r="BX86" s="61">
        <f>IF(COUNTIFS(allFYsTable[Code], SummaryTable[[#This Row],[Code]], allFYsTable[year2], BS$3)=0, NotFound, SUMIFS(allFYsTable[DiffAmount], allFYsTable[Code], SummaryTable[[#This Row],[Code]], allFYsTable[year2], BS$3))</f>
        <v>-77</v>
      </c>
      <c r="BY86" s="63">
        <f>IF(SummaryTable[[#This Row],[OriginalBudget19]]=0, IF(SummaryTable[[#This Row],[DiffAmount19]]=0, ZeroBudgetNoSpending, ZeroBudgetWithSpending), SummaryTable[[#This Row],[DiffAmount19]]/SummaryTable[[#This Row],[OriginalBudget19]])</f>
        <v>-3.0338849487785657E-2</v>
      </c>
      <c r="BZ86" s="62">
        <f>IF(COUNTIFS(allFYsTable[Code], SummaryTable[[#This Row],[Code]], allFYsTable[year2], BZ$3)=0, NotFound, SUMIFS(allFYsTable[OriginalBudget], allFYsTable[Code], SummaryTable[[#This Row],[Code]], allFYsTable[year2], BZ$3))</f>
        <v>2601</v>
      </c>
      <c r="CA86" s="61">
        <f>SummaryTable[[#This Row],[OriginalBudget18]]-SummaryTable[[#This Row],[OriginalBudget17]]</f>
        <v>152</v>
      </c>
      <c r="CB86" s="54">
        <f>SummaryTable[[#This Row],[BudgetIncreaseAmount18]]/SummaryTable[[#This Row],[OriginalBudget17]]</f>
        <v>6.2066149448754597E-2</v>
      </c>
      <c r="CC86" s="61">
        <f>IF(COUNTIFS(allFYsTable[Code], SummaryTable[[#This Row],[Code]], allFYsTable[year2], BZ$3)=0, NotFound, SUMIFS(allFYsTable[RevisedBudget], allFYsTable[Code], SummaryTable[[#This Row],[Code]], allFYsTable[year2], BZ$3))</f>
        <v>2588</v>
      </c>
      <c r="CD86" s="61">
        <f>IF(COUNTIFS(allFYsTable[Code], SummaryTable[[#This Row],[Code]], allFYsTable[year2], BZ$3)=0, NotFound, SUMIFS(allFYsTable[Actual], allFYsTable[Code], SummaryTable[[#This Row],[Code]], allFYsTable[year2], BZ$3))</f>
        <v>2559</v>
      </c>
      <c r="CE86" s="61">
        <f>IF(COUNTIFS(allFYsTable[Code], SummaryTable[[#This Row],[Code]], allFYsTable[year2], BZ$3)=0, NotFound, SUMIFS(allFYsTable[DiffAmount], allFYsTable[Code], SummaryTable[[#This Row],[Code]], allFYsTable[year2], BZ$3))</f>
        <v>-42</v>
      </c>
      <c r="CF86" s="63">
        <f>IF(SummaryTable[[#This Row],[OriginalBudget18]]=0, IF(SummaryTable[[#This Row],[DiffAmount18]]=0, ZeroBudgetNoSpending, ZeroBudgetWithSpending), SummaryTable[[#This Row],[DiffAmount18]]/SummaryTable[[#This Row],[OriginalBudget18]])</f>
        <v>-1.6147635524798153E-2</v>
      </c>
      <c r="CG86" s="62">
        <f>IF(COUNTIFS(allFYsTable[Code], SummaryTable[[#This Row],[Code]], allFYsTable[year2], CG$3)=0, NotFound, SUMIFS(allFYsTable[OriginalBudget], allFYsTable[Code], SummaryTable[[#This Row],[Code]], allFYsTable[year2], CG$3))</f>
        <v>2449</v>
      </c>
      <c r="CH86" s="61">
        <f>SummaryTable[[#This Row],[OriginalBudget17]]-SummaryTable[[#This Row],[OriginalBudget16]]</f>
        <v>157</v>
      </c>
      <c r="CI86" s="54">
        <f>SummaryTable[[#This Row],[BudgetIncreaseAmount17]]/SummaryTable[[#This Row],[OriginalBudget16]]</f>
        <v>6.8499127399650958E-2</v>
      </c>
      <c r="CJ86" s="61">
        <f>IF(COUNTIFS(allFYsTable[Code], SummaryTable[[#This Row],[Code]], allFYsTable[year2], CG$3)=0, NotFound, SUMIFS(allFYsTable[RevisedBudget], allFYsTable[Code], SummaryTable[[#This Row],[Code]], allFYsTable[year2], CG$3))</f>
        <v>2449</v>
      </c>
      <c r="CK86" s="61">
        <f>IF(COUNTIFS(allFYsTable[Code], SummaryTable[[#This Row],[Code]], allFYsTable[year2], CG$3)=0, NotFound, SUMIFS(allFYsTable[Actual], allFYsTable[Code], SummaryTable[[#This Row],[Code]], allFYsTable[year2], CG$3))</f>
        <v>2276</v>
      </c>
      <c r="CL86" s="61">
        <f>IF(COUNTIFS(allFYsTable[Code], SummaryTable[[#This Row],[Code]], allFYsTable[year2], CG$3)=0, NotFound, SUMIFS(allFYsTable[DiffAmount], allFYsTable[Code], SummaryTable[[#This Row],[Code]], allFYsTable[year2], CG$3))</f>
        <v>-173</v>
      </c>
      <c r="CM86" s="63">
        <f>IF(SummaryTable[[#This Row],[OriginalBudget17]]=0, IF(SummaryTable[[#This Row],[DiffAmount17]]=0, ZeroBudgetNoSpending, ZeroBudgetWithSpending), SummaryTable[[#This Row],[DiffAmount17]]/SummaryTable[[#This Row],[OriginalBudget17]])</f>
        <v>-7.0641077991016737E-2</v>
      </c>
      <c r="CN86" s="62">
        <f>IF(COUNTIFS(allFYsTable[Code], SummaryTable[[#This Row],[Code]], allFYsTable[year2], CN$3)=0, NotFound, SUMIFS(allFYsTable[OriginalBudget], allFYsTable[Code], SummaryTable[[#This Row],[Code]], allFYsTable[year2], CN$3))</f>
        <v>2292</v>
      </c>
      <c r="CO86" s="61">
        <f>SummaryTable[[#This Row],[OriginalBudget16]]-SummaryTable[[#This Row],[OriginalBudget15]]</f>
        <v>51</v>
      </c>
      <c r="CP86" s="54">
        <f>SummaryTable[[#This Row],[BudgetIncreaseAmount16]]/SummaryTable[[#This Row],[OriginalBudget15]]</f>
        <v>2.2757697456492636E-2</v>
      </c>
      <c r="CQ86" s="61">
        <f>IF(COUNTIFS(allFYsTable[Code], SummaryTable[[#This Row],[Code]], allFYsTable[year2], CN$3)=0, NotFound, SUMIFS(allFYsTable[RevisedBudget], allFYsTable[Code], SummaryTable[[#This Row],[Code]], allFYsTable[year2], CN$3))</f>
        <v>2292</v>
      </c>
      <c r="CR86" s="61">
        <f>IF(COUNTIFS(allFYsTable[Code], SummaryTable[[#This Row],[Code]], allFYsTable[year2], CN$3)=0, NotFound, SUMIFS(allFYsTable[Actual], allFYsTable[Code], SummaryTable[[#This Row],[Code]], allFYsTable[year2], CN$3))</f>
        <v>2110</v>
      </c>
      <c r="CS86" s="61">
        <f>IF(COUNTIFS(allFYsTable[Code], SummaryTable[[#This Row],[Code]], allFYsTable[year2], CN$3)=0, NotFound, SUMIFS(allFYsTable[DiffAmount], allFYsTable[Code], SummaryTable[[#This Row],[Code]], allFYsTable[year2], CN$3))</f>
        <v>-182</v>
      </c>
      <c r="CT86" s="63">
        <f>IF(SummaryTable[[#This Row],[OriginalBudget16]]=0, IF(SummaryTable[[#This Row],[DiffAmount16]]=0, ZeroBudgetNoSpending, ZeroBudgetWithSpending), SummaryTable[[#This Row],[DiffAmount16]]/SummaryTable[[#This Row],[OriginalBudget16]])</f>
        <v>-7.940663176265271E-2</v>
      </c>
      <c r="CU86" s="62">
        <f>IF(COUNTIFS(allFYsTable[Code], SummaryTable[[#This Row],[Code]], allFYsTable[year2], CU$3)=0, NotFound, SUMIFS(allFYsTable[OriginalBudget], allFYsTable[Code], SummaryTable[[#This Row],[Code]], allFYsTable[year2], CU$3))</f>
        <v>2241</v>
      </c>
      <c r="CV86" s="61">
        <f>SummaryTable[[#This Row],[OriginalBudget15]]-SummaryTable[[#This Row],[OriginalBudget14]]</f>
        <v>131</v>
      </c>
      <c r="CW86" s="54">
        <f>SummaryTable[[#This Row],[BudgetIncreaseAmount15]]/SummaryTable[[#This Row],[OriginalBudget14]]</f>
        <v>6.2085308056872041E-2</v>
      </c>
      <c r="CX86" s="61">
        <f>IF(COUNTIFS(allFYsTable[Code], SummaryTable[[#This Row],[Code]], allFYsTable[year2], CU$3)=0, NotFound, SUMIFS(allFYsTable[RevisedBudget], allFYsTable[Code], SummaryTable[[#This Row],[Code]], allFYsTable[year2], CU$3))</f>
        <v>2241</v>
      </c>
      <c r="CY86" s="61">
        <f>IF(COUNTIFS(allFYsTable[Code], SummaryTable[[#This Row],[Code]], allFYsTable[year2], CU$3)=0, NotFound, SUMIFS(allFYsTable[Actual], allFYsTable[Code], SummaryTable[[#This Row],[Code]], allFYsTable[year2], CU$3))</f>
        <v>2133</v>
      </c>
      <c r="CZ86" s="61">
        <f>IF(COUNTIFS(allFYsTable[Code], SummaryTable[[#This Row],[Code]], allFYsTable[year2], CU$3)=0, NotFound, SUMIFS(allFYsTable[DiffAmount], allFYsTable[Code], SummaryTable[[#This Row],[Code]], allFYsTable[year2], CU$3))</f>
        <v>-108</v>
      </c>
      <c r="DA86" s="63">
        <f>IF(SummaryTable[[#This Row],[OriginalBudget15]]=0, IF(SummaryTable[[#This Row],[DiffAmount15]]=0, ZeroBudgetNoSpending, ZeroBudgetWithSpending), SummaryTable[[#This Row],[DiffAmount15]]/SummaryTable[[#This Row],[OriginalBudget15]])</f>
        <v>-4.8192771084337352E-2</v>
      </c>
      <c r="DB86" s="62">
        <f>IF(COUNTIFS(allFYsTable[Code], SummaryTable[[#This Row],[Code]], allFYsTable[year2], DB$3)=0, NotFound, SUMIFS(allFYsTable[OriginalBudget], allFYsTable[Code], SummaryTable[[#This Row],[Code]], allFYsTable[year2], DB$3))</f>
        <v>2110</v>
      </c>
      <c r="DC86" s="61">
        <f>SummaryTable[[#This Row],[OriginalBudget14]]-SummaryTable[[#This Row],[OriginalBudget13]]</f>
        <v>19</v>
      </c>
      <c r="DD86" s="54">
        <f>SummaryTable[[#This Row],[BudgetIncreaseAmount14]]/SummaryTable[[#This Row],[OriginalBudget13]]</f>
        <v>9.0865614538498327E-3</v>
      </c>
      <c r="DE86" s="61">
        <f>IF(COUNTIFS(allFYsTable[Code], SummaryTable[[#This Row],[Code]], allFYsTable[year2], DB$3)=0, NotFound, SUMIFS(allFYsTable[RevisedBudget], allFYsTable[Code], SummaryTable[[#This Row],[Code]], allFYsTable[year2], DB$3))</f>
        <v>2169</v>
      </c>
      <c r="DF86" s="61">
        <f>IF(COUNTIFS(allFYsTable[Code], SummaryTable[[#This Row],[Code]], allFYsTable[year2], DB$3)=0, NotFound, SUMIFS(allFYsTable[Actual], allFYsTable[Code], SummaryTable[[#This Row],[Code]], allFYsTable[year2], DB$3))</f>
        <v>2080</v>
      </c>
      <c r="DG86" s="61">
        <f>IF(COUNTIFS(allFYsTable[Code], SummaryTable[[#This Row],[Code]], allFYsTable[year2], DB$3)=0, NotFound, SUMIFS(allFYsTable[DiffAmount], allFYsTable[Code], SummaryTable[[#This Row],[Code]], allFYsTable[year2], DB$3))</f>
        <v>-30</v>
      </c>
      <c r="DH86" s="63">
        <f>IF(SummaryTable[[#This Row],[OriginalBudget14]]=0, IF(SummaryTable[[#This Row],[DiffAmount14]]=0, ZeroBudgetNoSpending, ZeroBudgetWithSpending), SummaryTable[[#This Row],[DiffAmount14]]/SummaryTable[[#This Row],[OriginalBudget14]])</f>
        <v>-1.4218009478672985E-2</v>
      </c>
      <c r="DI86" s="62">
        <f>IF(COUNTIFS(allFYsTable[Code], SummaryTable[[#This Row],[Code]], allFYsTable[year2], DI$3)=0, NotFound, SUMIFS(allFYsTable[OriginalBudget], allFYsTable[Code], SummaryTable[[#This Row],[Code]], allFYsTable[year2], DI$3))</f>
        <v>2091</v>
      </c>
      <c r="DJ86" s="61">
        <f>SummaryTable[[#This Row],[OriginalBudget13]]-SummaryTable[[#This Row],[OriginalBudget12]]</f>
        <v>40</v>
      </c>
      <c r="DK86" s="54">
        <f>SummaryTable[[#This Row],[BudgetIncreaseAmount13]]/SummaryTable[[#This Row],[OriginalBudget12]]</f>
        <v>1.9502681618722574E-2</v>
      </c>
      <c r="DL86" s="61">
        <f>IF(COUNTIFS(allFYsTable[Code], SummaryTable[[#This Row],[Code]], allFYsTable[year2], DI$3)=0, NotFound, SUMIFS(allFYsTable[RevisedBudget], allFYsTable[Code], SummaryTable[[#This Row],[Code]], allFYsTable[year2], DI$3))</f>
        <v>2091</v>
      </c>
      <c r="DM86" s="61">
        <f>IF(COUNTIFS(allFYsTable[Code], SummaryTable[[#This Row],[Code]], allFYsTable[year2], DI$3)=0, NotFound, SUMIFS(allFYsTable[Actual], allFYsTable[Code], SummaryTable[[#This Row],[Code]], allFYsTable[year2], DI$3))</f>
        <v>2037</v>
      </c>
      <c r="DN86" s="61">
        <f>IF(COUNTIFS(allFYsTable[Code], SummaryTable[[#This Row],[Code]], allFYsTable[year2], DI$3)=0, NotFound, SUMIFS(allFYsTable[DiffAmount], allFYsTable[Code], SummaryTable[[#This Row],[Code]], allFYsTable[year2], DI$3))</f>
        <v>-54</v>
      </c>
      <c r="DO86" s="63">
        <f>IF(SummaryTable[[#This Row],[OriginalBudget13]]=0, IF(SummaryTable[[#This Row],[DiffAmount13]]=0, ZeroBudgetNoSpending, ZeroBudgetWithSpending), SummaryTable[[#This Row],[DiffAmount13]]/SummaryTable[[#This Row],[OriginalBudget13]])</f>
        <v>-2.5824964131994262E-2</v>
      </c>
      <c r="DP86" s="62">
        <f>IF(COUNTIFS(allFYsTable[Code], SummaryTable[[#This Row],[Code]], allFYsTable[year2], DP$3)=0, NotFound, SUMIFS(allFYsTable[OriginalBudget], allFYsTable[Code], SummaryTable[[#This Row],[Code]], allFYsTable[year2], DP$3))</f>
        <v>2051</v>
      </c>
      <c r="DQ86" s="61">
        <f>SummaryTable[[#This Row],[OriginalBudget12]]-SummaryTable[[#This Row],[OriginalBudget11]]</f>
        <v>-7</v>
      </c>
      <c r="DR86" s="54">
        <f>SummaryTable[[#This Row],[BudgetIncreaseAmount12]]/SummaryTable[[#This Row],[OriginalBudget11]]</f>
        <v>-3.4013605442176869E-3</v>
      </c>
      <c r="DS86" s="61">
        <f>IF(COUNTIFS(allFYsTable[Code], SummaryTable[[#This Row],[Code]], allFYsTable[year2], DP$3)=0, NotFound, SUMIFS(allFYsTable[RevisedBudget], allFYsTable[Code], SummaryTable[[#This Row],[Code]], allFYsTable[year2], DP$3))</f>
        <v>1926</v>
      </c>
      <c r="DT86" s="61">
        <f>IF(COUNTIFS(allFYsTable[Code], SummaryTable[[#This Row],[Code]], allFYsTable[year2], DP$3)=0, NotFound, SUMIFS(allFYsTable[Actual], allFYsTable[Code], SummaryTable[[#This Row],[Code]], allFYsTable[year2], DP$3))</f>
        <v>1909</v>
      </c>
      <c r="DU86" s="61">
        <f>IF(COUNTIFS(allFYsTable[Code], SummaryTable[[#This Row],[Code]], allFYsTable[year2], DP$3)=0, NotFound, SUMIFS(allFYsTable[DiffAmount], allFYsTable[Code], SummaryTable[[#This Row],[Code]], allFYsTable[year2], DP$3))</f>
        <v>-142</v>
      </c>
      <c r="DV86" s="63">
        <f>IF(SummaryTable[[#This Row],[OriginalBudget12]]=0, IF(SummaryTable[[#This Row],[DiffAmount12]]=0, ZeroBudgetNoSpending, ZeroBudgetWithSpending), SummaryTable[[#This Row],[DiffAmount12]]/SummaryTable[[#This Row],[OriginalBudget12]])</f>
        <v>-6.9234519746465134E-2</v>
      </c>
      <c r="DW86" s="62">
        <f>IF(COUNTIFS(allFYsTable[Code], SummaryTable[[#This Row],[Code]], allFYsTable[year2], DW$3)=0, NotFound, SUMIFS(allFYsTable[OriginalBudget], allFYsTable[Code], SummaryTable[[#This Row],[Code]], allFYsTable[year2], DW$3))</f>
        <v>2058</v>
      </c>
      <c r="DX86" s="61">
        <f>SummaryTable[[#This Row],[OriginalBudget11]]-SummaryTable[[#This Row],[OriginalBudget10]]</f>
        <v>-560</v>
      </c>
      <c r="DY86" s="54">
        <f>SummaryTable[[#This Row],[BudgetIncreaseAmount11]]/SummaryTable[[#This Row],[OriginalBudget10]]</f>
        <v>-0.21390374331550802</v>
      </c>
      <c r="DZ86" s="61">
        <f>IF(COUNTIFS(allFYsTable[Code], SummaryTable[[#This Row],[Code]], allFYsTable[year2], DW$3)=0, NotFound, SUMIFS(allFYsTable[RevisedBudget], allFYsTable[Code], SummaryTable[[#This Row],[Code]], allFYsTable[year2], DW$3))</f>
        <v>2058</v>
      </c>
      <c r="EA86" s="61">
        <f>IF(COUNTIFS(allFYsTable[Code], SummaryTable[[#This Row],[Code]], allFYsTable[year2], DW$3)=0, NotFound, SUMIFS(allFYsTable[Actual], allFYsTable[Code], SummaryTable[[#This Row],[Code]], allFYsTable[year2], DW$3))</f>
        <v>1770</v>
      </c>
      <c r="EB86" s="61">
        <f>IF(COUNTIFS(allFYsTable[Code], SummaryTable[[#This Row],[Code]], allFYsTable[year2], DW$3)=0, NotFound, SUMIFS(allFYsTable[DiffAmount], allFYsTable[Code], SummaryTable[[#This Row],[Code]], allFYsTable[year2], DW$3))</f>
        <v>-288</v>
      </c>
      <c r="EC86" s="63">
        <f>IF(SummaryTable[[#This Row],[OriginalBudget11]]=0, IF(SummaryTable[[#This Row],[DiffAmount11]]=0, ZeroBudgetNoSpending, ZeroBudgetWithSpending), SummaryTable[[#This Row],[DiffAmount11]]/SummaryTable[[#This Row],[OriginalBudget11]])</f>
        <v>-0.13994169096209913</v>
      </c>
      <c r="ED86" s="62">
        <f>IF(COUNTIFS(allFYsTable[Code], SummaryTable[[#This Row],[Code]], allFYsTable[year2], ED$3)=0, NotFound, SUMIFS(allFYsTable[OriginalBudget], allFYsTable[Code], SummaryTable[[#This Row],[Code]], allFYsTable[year2], ED$3))</f>
        <v>2618</v>
      </c>
      <c r="EE86" s="61">
        <f>SummaryTable[[#This Row],[OriginalBudget10]]-SummaryTable[[#This Row],[OriginalBudget09]]</f>
        <v>0</v>
      </c>
      <c r="EF86" s="54">
        <f>SummaryTable[[#This Row],[BudgetIncreaseAmount10]]/SummaryTable[[#This Row],[OriginalBudget09]]</f>
        <v>0</v>
      </c>
      <c r="EG86" s="61">
        <f>IF(COUNTIFS(allFYsTable[Code], SummaryTable[[#This Row],[Code]], allFYsTable[year2], ED$3)=0, NotFound, SUMIFS(allFYsTable[RevisedBudget], allFYsTable[Code], SummaryTable[[#This Row],[Code]], allFYsTable[year2], ED$3))</f>
        <v>2618</v>
      </c>
      <c r="EH86" s="61">
        <f>IF(COUNTIFS(allFYsTable[Code], SummaryTable[[#This Row],[Code]], allFYsTable[year2], ED$3)=0, NotFound, SUMIFS(allFYsTable[Actual], allFYsTable[Code], SummaryTable[[#This Row],[Code]], allFYsTable[year2], ED$3))</f>
        <v>2587</v>
      </c>
      <c r="EI86" s="61">
        <f>IF(COUNTIFS(allFYsTable[Code], SummaryTable[[#This Row],[Code]], allFYsTable[year2], ED$3)=0, NotFound, SUMIFS(allFYsTable[DiffAmount], allFYsTable[Code], SummaryTable[[#This Row],[Code]], allFYsTable[year2], ED$3))</f>
        <v>-31</v>
      </c>
      <c r="EJ86" s="63">
        <f>IF(SummaryTable[[#This Row],[OriginalBudget10]]=0, IF(SummaryTable[[#This Row],[DiffAmount10]]=0, ZeroBudgetNoSpending, ZeroBudgetWithSpending), SummaryTable[[#This Row],[DiffAmount10]]/SummaryTable[[#This Row],[OriginalBudget10]])</f>
        <v>-1.1841100076394193E-2</v>
      </c>
      <c r="EK86" s="62">
        <f>IF(COUNTIFS(allFYsTable[Code], SummaryTable[[#This Row],[Code]], allFYsTable[year2], EK$3)=0, NotFound, SUMIFS(allFYsTable[OriginalBudget], allFYsTable[Code], SummaryTable[[#This Row],[Code]], allFYsTable[year2], EK$3))</f>
        <v>2618</v>
      </c>
      <c r="EL86" s="61">
        <f>SummaryTable[[#This Row],[OriginalBudget09]]-SummaryTable[[#This Row],[OriginalBudget08]]</f>
        <v>145</v>
      </c>
      <c r="EM86" s="54">
        <f>SummaryTable[[#This Row],[BudgetIncreaseAmount09]]/SummaryTable[[#This Row],[OriginalBudget08]]</f>
        <v>5.8633238980994741E-2</v>
      </c>
      <c r="EN86" s="61">
        <f>IF(COUNTIFS(allFYsTable[Code], SummaryTable[[#This Row],[Code]], allFYsTable[year2], EK$3)=0, NotFound, SUMIFS(allFYsTable[RevisedBudget], allFYsTable[Code], SummaryTable[[#This Row],[Code]], allFYsTable[year2], EK$3))</f>
        <v>2618</v>
      </c>
      <c r="EO86" s="61">
        <f>IF(COUNTIFS(allFYsTable[Code], SummaryTable[[#This Row],[Code]], allFYsTable[year2], EK$3)=0, NotFound, SUMIFS(allFYsTable[Actual], allFYsTable[Code], SummaryTable[[#This Row],[Code]], allFYsTable[year2], EK$3))</f>
        <v>2434</v>
      </c>
      <c r="EP86" s="61">
        <f>IF(COUNTIFS(allFYsTable[Code], SummaryTable[[#This Row],[Code]], allFYsTable[year2], EK$3)=0, NotFound, SUMIFS(allFYsTable[DiffAmount], allFYsTable[Code], SummaryTable[[#This Row],[Code]], allFYsTable[year2], EK$3))</f>
        <v>-184</v>
      </c>
      <c r="EQ86" s="63">
        <f>IF(SummaryTable[[#This Row],[OriginalBudget09]]=0, IF(SummaryTable[[#This Row],[DiffAmount09]]=0, ZeroBudgetNoSpending, ZeroBudgetWithSpending), SummaryTable[[#This Row],[DiffAmount09]]/SummaryTable[[#This Row],[OriginalBudget09]])</f>
        <v>-7.0282658517952637E-2</v>
      </c>
      <c r="ER86" s="62">
        <f>IF(COUNTIFS(allFYsTable[Code], SummaryTable[[#This Row],[Code]], allFYsTable[year2], ER$3)=0, NotFound, SUMIFS(allFYsTable[OriginalBudget], allFYsTable[Code], SummaryTable[[#This Row],[Code]], allFYsTable[year2], ER$3))</f>
        <v>2473</v>
      </c>
      <c r="ES86" s="61">
        <f>SummaryTable[[#This Row],[OriginalBudget08]]-SummaryTable[[#This Row],[OriginalBudget07]]</f>
        <v>161</v>
      </c>
      <c r="ET86" s="54">
        <f>SummaryTable[[#This Row],[BudgetIncreaseAmount08]]/SummaryTable[[#This Row],[OriginalBudget07]]</f>
        <v>6.963667820069204E-2</v>
      </c>
      <c r="EU86" s="61">
        <f>IF(COUNTIFS(allFYsTable[Code], SummaryTable[[#This Row],[Code]], allFYsTable[year2], ER$3)=0, NotFound, SUMIFS(allFYsTable[RevisedBudget], allFYsTable[Code], SummaryTable[[#This Row],[Code]], allFYsTable[year2], ER$3))</f>
        <v>2332</v>
      </c>
      <c r="EV86" s="61">
        <f>IF(COUNTIFS(allFYsTable[Code], SummaryTable[[#This Row],[Code]], allFYsTable[year2], ER$3)=0, NotFound, SUMIFS(allFYsTable[Actual], allFYsTable[Code], SummaryTable[[#This Row],[Code]], allFYsTable[year2], ER$3))</f>
        <v>2282</v>
      </c>
      <c r="EW86" s="61">
        <f>IF(COUNTIFS(allFYsTable[Code], SummaryTable[[#This Row],[Code]], allFYsTable[year2], ER$3)=0, NotFound, SUMIFS(allFYsTable[DiffAmount], allFYsTable[Code], SummaryTable[[#This Row],[Code]], allFYsTable[year2], ER$3))</f>
        <v>-191</v>
      </c>
      <c r="EX86" s="63">
        <f>IF(SummaryTable[[#This Row],[OriginalBudget08]]=0, IF(SummaryTable[[#This Row],[DiffAmount08]]=0, ZeroBudgetNoSpending, ZeroBudgetWithSpending), SummaryTable[[#This Row],[DiffAmount08]]/SummaryTable[[#This Row],[OriginalBudget08]])</f>
        <v>-7.7234128588758597E-2</v>
      </c>
      <c r="EY86" s="62">
        <f>IF(COUNTIFS(allFYsTable[Code], SummaryTable[[#This Row],[Code]], allFYsTable[year2], EY$3)=0, NotFound, SUMIFS(allFYsTable[OriginalBudget], allFYsTable[Code], SummaryTable[[#This Row],[Code]], allFYsTable[year2], EY$3))</f>
        <v>2312</v>
      </c>
      <c r="EZ86" s="61">
        <f>SummaryTable[[#This Row],[OriginalBudget07]]-SummaryTable[[#This Row],[OriginalBudget06]]</f>
        <v>217</v>
      </c>
      <c r="FA86" s="54">
        <f>SummaryTable[[#This Row],[BudgetIncreaseAmount07]]/SummaryTable[[#This Row],[OriginalBudget06]]</f>
        <v>0.1035799522673031</v>
      </c>
      <c r="FB86" s="61">
        <f>IF(COUNTIFS(allFYsTable[Code], SummaryTable[[#This Row],[Code]], allFYsTable[year2], EY$3)=0, NotFound, SUMIFS(allFYsTable[RevisedBudget], allFYsTable[Code], SummaryTable[[#This Row],[Code]], allFYsTable[year2], EY$3))</f>
        <v>2384</v>
      </c>
      <c r="FC86" s="61">
        <f>IF(COUNTIFS(allFYsTable[Code], SummaryTable[[#This Row],[Code]], allFYsTable[year2], EY$3)=0, NotFound, SUMIFS(allFYsTable[Actual], allFYsTable[Code], SummaryTable[[#This Row],[Code]], allFYsTable[year2], EY$3))</f>
        <v>2191</v>
      </c>
      <c r="FD86" s="61">
        <f>IF(COUNTIFS(allFYsTable[Code], SummaryTable[[#This Row],[Code]], allFYsTable[year2], EY$3)=0, NotFound, SUMIFS(allFYsTable[DiffAmount], allFYsTable[Code], SummaryTable[[#This Row],[Code]], allFYsTable[year2], EY$3))</f>
        <v>-121</v>
      </c>
      <c r="FE86" s="63">
        <f>IF(SummaryTable[[#This Row],[OriginalBudget07]]=0, IF(SummaryTable[[#This Row],[DiffAmount07]]=0, ZeroBudgetNoSpending, ZeroBudgetWithSpending), SummaryTable[[#This Row],[DiffAmount07]]/SummaryTable[[#This Row],[OriginalBudget07]])</f>
        <v>-5.2335640138408301E-2</v>
      </c>
      <c r="FF86" s="62">
        <f>IF(COUNTIFS(allFYsTable[Code], SummaryTable[[#This Row],[Code]], allFYsTable[year2], FF$3)=0, NotFound, SUMIFS(allFYsTable[OriginalBudget], allFYsTable[Code], SummaryTable[[#This Row],[Code]], allFYsTable[year2], FF$3))</f>
        <v>2095</v>
      </c>
      <c r="FI86" s="61">
        <f>IF(COUNTIFS(allFYsTable[Code], SummaryTable[[#This Row],[Code]], allFYsTable[year2], FF$3)=0, NotFound, SUMIFS(allFYsTable[RevisedBudget], allFYsTable[Code], SummaryTable[[#This Row],[Code]], allFYsTable[year2], FF$3))</f>
        <v>2095</v>
      </c>
      <c r="FJ86" s="61">
        <f>IF(COUNTIFS(allFYsTable[Code], SummaryTable[[#This Row],[Code]], allFYsTable[year2], FF$3)=0, NotFound, SUMIFS(allFYsTable[Actual], allFYsTable[Code], SummaryTable[[#This Row],[Code]], allFYsTable[year2], FF$3))</f>
        <v>2082</v>
      </c>
      <c r="FK86" s="61">
        <f>IF(COUNTIFS(allFYsTable[Code], SummaryTable[[#This Row],[Code]], allFYsTable[year2], FF$3)=0, NotFound, SUMIFS(allFYsTable[DiffAmount], allFYsTable[Code], SummaryTable[[#This Row],[Code]], allFYsTable[year2], FF$3))</f>
        <v>-13</v>
      </c>
      <c r="FL86" s="63">
        <f>IF(SummaryTable[[#This Row],[OriginalBudget06]]=0, IF(SummaryTable[[#This Row],[DiffAmount06]]=0, ZeroBudgetNoSpending, ZeroBudgetWithSpending), SummaryTable[[#This Row],[DiffAmount06]]/SummaryTable[[#This Row],[OriginalBudget06]])</f>
        <v>-6.205250596658711E-3</v>
      </c>
    </row>
    <row r="87" spans="1:168" x14ac:dyDescent="0.45">
      <c r="A87" t="s">
        <v>718</v>
      </c>
      <c r="B87">
        <f>_xlfn.MAXIFS(allFYsTable[year2], allFYsTable[Code], SummaryTable[[#This Row],[Code]])</f>
        <v>2025</v>
      </c>
      <c r="C87" t="str">
        <f>_xlfn.XLOOKUP(SummaryTable[[#This Row],[Code]], NameCodingTable[Code], NameCodingTable[Most Recent Category per allFYs])</f>
        <v>Governmental direction and support</v>
      </c>
      <c r="D87" t="str">
        <f>_xlfn.XLOOKUP(SummaryTable[[#This Row],[Code]], NameCodingTable[Code], NameCodingTable[Unit Display Name])</f>
        <v>Office of Risk Management (ORM)</v>
      </c>
      <c r="E87" t="str">
        <f>_xlfn.XLOOKUP(SummaryTable[[#This Row],[Code]], NameCodingTable[Code], NameCodingTable[Type])</f>
        <v>agency</v>
      </c>
      <c r="F8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8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87" s="54">
        <f>SummaryTable[[#This Row],['# Over]]/SummaryTable[[#This Row],[Count]]</f>
        <v>0.3</v>
      </c>
      <c r="I8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14</v>
      </c>
      <c r="J87" s="54">
        <f>SummaryTable[[#This Row],['# Under]]/SummaryTable[[#This Row],[Count]]</f>
        <v>0.7</v>
      </c>
      <c r="K8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7" s="54">
        <f>SummaryTable[[#This Row],['# Equal]]/SummaryTable[[#This Row],[Count]]</f>
        <v>0</v>
      </c>
      <c r="M87" s="61">
        <f>SUMIFS(allFYsTable[OriginalBudget],allFYsTable[Code],SummaryTable[[#This Row],[Code]])/SummaryTable[[#This Row],[Count]]</f>
        <v>3125.45</v>
      </c>
      <c r="N87" s="61">
        <f>SUMIFS(allFYsTable[Actual],allFYsTable[Code],SummaryTable[[#This Row],[Code]])/SummaryTable[[#This Row],[Count]]</f>
        <v>3040.05</v>
      </c>
      <c r="O87" s="61">
        <f>SummaryTable[[#This Row],[AvgActAmt]]-SummaryTable[[#This Row],[AvgBudAmt]]</f>
        <v>-85.399999999999636</v>
      </c>
      <c r="P87" s="54">
        <f>IF(SummaryTable[[#This Row],[AvgBudAmt]]=0, IF(SummaryTable[[#This Row],[AvgDiff'#]]=0, 0, NamedFields!$C$3), SummaryTable[[#This Row],[AvgDiff'#]]/SummaryTable[[#This Row],[AvgBudAmt]])</f>
        <v>-2.7324065334591703E-2</v>
      </c>
      <c r="Q87" s="61">
        <f>IFERROR(SUMIFS(allFYsTable[OriginalBudget],allFYsTable[Code],SummaryTable[[#This Row],[Code]],allFYsTable[DiffAmount], "&gt;0")/SummaryTable[[#This Row],['# Over]], 0)</f>
        <v>2877.5</v>
      </c>
      <c r="R87" s="61">
        <f>IFERROR(SUMIFS(allFYsTable[Actual],allFYsTable[Code],SummaryTable[[#This Row],[Code]],allFYsTable[DiffAmount], "&gt;0")/SummaryTable[[#This Row],['# Over]], 0)</f>
        <v>3233.3333333333335</v>
      </c>
      <c r="S87" s="61">
        <f>SummaryTable[[#This Row],[OverAvgAct]]-SummaryTable[[#This Row],[OverAvgBud]]</f>
        <v>355.83333333333348</v>
      </c>
      <c r="T87" s="54">
        <f>IF(SummaryTable[[#This Row],[OverAvgBud]]=0, IF(SummaryTable[[#This Row],[OverAvgDiff'#]]=0, ZeroBudgetNoSpending, ZeroBudgetWithSpending), SummaryTable[[#This Row],[OverAvgDiff'#]]/SummaryTable[[#This Row],[OverAvgBud]])</f>
        <v>0.12366058499855204</v>
      </c>
      <c r="U87" s="61">
        <f>IFERROR(SUMIFS(allFYsTable[OriginalBudget],allFYsTable[Code],SummaryTable[[#This Row],[Code]],allFYsTable[DiffAmount], "&lt;0")/SummaryTable[[#This Row],['# Under]], 0)</f>
        <v>3231.7142857142858</v>
      </c>
      <c r="V87" s="61">
        <f>IFERROR( SUMIFS(allFYsTable[Actual],allFYsTable[Code],SummaryTable[[#This Row],[Code]],allFYsTable[DiffAmount], "&lt;0")/SummaryTable[[#This Row],['# Under]], 0)</f>
        <v>2957.2142857142858</v>
      </c>
      <c r="W87" s="61">
        <f>SummaryTable[[#This Row],[UnderAvgAct]]-SummaryTable[[#This Row],[UnderAvgBud]]</f>
        <v>-274.5</v>
      </c>
      <c r="X87" s="54">
        <f>IF(SummaryTable[[#This Row],[UnderAvgBud]]=0, IF(SummaryTable[[#This Row],[UnderAvgDiff'#]]=0, ZeroBudgetNoSpending, NamedFields!$C$3), SummaryTable[[#This Row],[UnderAvgDiff'#]]/SummaryTable[[#This Row],[UnderAvgBud]])</f>
        <v>-8.4939439483688442E-2</v>
      </c>
      <c r="Y8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8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7" s="54">
        <f>IF(SummaryTable[[#This Row],[IncreaseYears]]=0, ZeroBudgetNoSpending, SummaryTable[[#This Row],[OSinIncreaseYear'#]]/SummaryTable[[#This Row],[IncreaseYears]])</f>
        <v>0</v>
      </c>
      <c r="AB87" s="58" t="str">
        <f>SummaryTable[[#This Row],[Code]]</f>
        <v>RK0</v>
      </c>
      <c r="AC87" s="62">
        <f>IF(COUNTIFS(allFYsTable[Code], SummaryTable[[#This Row],[Code]], allFYsTable[year2], AC$3)=0, NotFound, SUMIFS(allFYsTable[OriginalBudget], allFYsTable[Code], SummaryTable[[#This Row],[Code]], allFYsTable[year2], AC$3))</f>
        <v>4677</v>
      </c>
      <c r="AD87" s="61">
        <f>SummaryTable[[#This Row],[OriginalBudget25]]-SummaryTable[[#This Row],[OriginalBudget24]]</f>
        <v>458</v>
      </c>
      <c r="AE87" s="54">
        <f>SummaryTable[[#This Row],[BudgetIncreaseAmount25]]/SummaryTable[[#This Row],[OriginalBudget24]]</f>
        <v>0.1085565299834084</v>
      </c>
      <c r="AF87" s="61">
        <f>IF(COUNTIFS(allFYsTable[Code], SummaryTable[[#This Row],[Code]], allFYsTable[year2], AC$3)=0, NotFound, SUMIFS(allFYsTable[RevisedBudget], allFYsTable[Code], SummaryTable[[#This Row],[Code]], allFYsTable[year2], AC$3))</f>
        <v>4582</v>
      </c>
      <c r="AG87" s="61">
        <f>IF(COUNTIFS(allFYsTable[Code], SummaryTable[[#This Row],[Code]], allFYsTable[year2], AC$3)=0, NotFound, SUMIFS(allFYsTable[Actual], allFYsTable[Code], SummaryTable[[#This Row],[Code]], allFYsTable[year2], AC$3))</f>
        <v>4463</v>
      </c>
      <c r="AH87" s="61">
        <f>IF(COUNTIFS(allFYsTable[Code], SummaryTable[[#This Row],[Code]], allFYsTable[year2], AC$3)=0, NotFound, SUMIFS(allFYsTable[DiffAmount], allFYsTable[Code], SummaryTable[[#This Row],[Code]], allFYsTable[year2], AC$3))</f>
        <v>-214</v>
      </c>
      <c r="AI87" s="63">
        <f>IF(SummaryTable[[#This Row],[OriginalBudget25]]=0, IF(SummaryTable[[#This Row],[DiffAmount25]]=0, ZeroBudgetNoSpending, ZeroBudgetWithSpending), SummaryTable[[#This Row],[DiffAmount25]]/SummaryTable[[#This Row],[OriginalBudget25]])</f>
        <v>-4.575582638443447E-2</v>
      </c>
      <c r="AJ87" s="62">
        <f>IF(COUNTIFS(allFYsTable[Code], SummaryTable[[#This Row],[Code]], allFYsTable[year2], AJ$3)=0, NotFound, SUMIFS(allFYsTable[OriginalBudget], allFYsTable[Code], SummaryTable[[#This Row],[Code]], allFYsTable[year2], AJ$3))</f>
        <v>4219</v>
      </c>
      <c r="AK87" s="61">
        <f>SummaryTable[[#This Row],[OriginalBudget24]]-SummaryTable[[#This Row],[OriginalBudget23]]</f>
        <v>126</v>
      </c>
      <c r="AL87" s="54">
        <f>SummaryTable[[#This Row],[BudgetIncreaseAmount24]]/SummaryTable[[#This Row],[OriginalBudget23]]</f>
        <v>3.0784265819692156E-2</v>
      </c>
      <c r="AM87" s="61">
        <f>IF(COUNTIFS(allFYsTable[Code], SummaryTable[[#This Row],[Code]], allFYsTable[year2], AK$3)=0, NotFound, SUMIFS(allFYsTable[RevisedBudget], allFYsTable[Code], SummaryTable[[#This Row],[Code]], allFYsTable[year2], AJ$3))</f>
        <v>4219</v>
      </c>
      <c r="AN87" s="61">
        <f>IF(COUNTIFS(allFYsTable[Code], SummaryTable[[#This Row],[Code]], allFYsTable[year2], AJ$3)=0, NotFound, SUMIFS(allFYsTable[Actual], allFYsTable[Code], SummaryTable[[#This Row],[Code]], allFYsTable[year2], AJ$3))</f>
        <v>4214</v>
      </c>
      <c r="AO87" s="61">
        <f>IF(COUNTIFS(allFYsTable[Code], SummaryTable[[#This Row],[Code]], allFYsTable[year2], AJ$3)=0, NotFound, SUMIFS(allFYsTable[DiffAmount], allFYsTable[Code], SummaryTable[[#This Row],[Code]], allFYsTable[year2], AJ$3))</f>
        <v>-5</v>
      </c>
      <c r="AP87" s="63">
        <f>IF(SummaryTable[[#This Row],[OriginalBudget24]]=0, IF(SummaryTable[[#This Row],[DiffAmount24]]=0, ZeroBudgetNoSpending, ZeroBudgetWithSpending), SummaryTable[[#This Row],[DiffAmount24]]/SummaryTable[[#This Row],[OriginalBudget24]])</f>
        <v>-1.1851149561507466E-3</v>
      </c>
      <c r="AQ87" s="62">
        <f>IF(COUNTIFS(allFYsTable[Code], SummaryTable[[#This Row],[Code]], allFYsTable[year2], AQ$3)=0, NotFound, SUMIFS(allFYsTable[OriginalBudget], allFYsTable[Code], SummaryTable[[#This Row],[Code]], allFYsTable[year2], AQ$3))</f>
        <v>4093</v>
      </c>
      <c r="AR87" s="61">
        <f>SummaryTable[[#This Row],[OriginalBudget23]]-SummaryTable[[#This Row],[OriginalBudget22]]</f>
        <v>-11</v>
      </c>
      <c r="AS87" s="54">
        <f>SummaryTable[[#This Row],[BudgetIncreaseAmount23]]/SummaryTable[[#This Row],[OriginalBudget22]]</f>
        <v>-2.6803118908382065E-3</v>
      </c>
      <c r="AT87" s="61">
        <f>IF(COUNTIFS(allFYsTable[Code], SummaryTable[[#This Row],[Code]], allFYsTable[year2], AQ$3)=0, NotFound, SUMIFS(allFYsTable[RevisedBudget], allFYsTable[Code], SummaryTable[[#This Row],[Code]], allFYsTable[year2], AQ$3))</f>
        <v>4093</v>
      </c>
      <c r="AU87" s="61">
        <f>IF(COUNTIFS(allFYsTable[Code], SummaryTable[[#This Row],[Code]], allFYsTable[year2], AQ$3)=0, NotFound, SUMIFS(allFYsTable[Actual], allFYsTable[Code], SummaryTable[[#This Row],[Code]], allFYsTable[year2], AQ$3))</f>
        <v>4068</v>
      </c>
      <c r="AV87" s="61">
        <f>IF(COUNTIFS(allFYsTable[Code], SummaryTable[[#This Row],[Code]], allFYsTable[year2], AQ$3)=0, NotFound, SUMIFS(allFYsTable[DiffAmount], allFYsTable[Code], SummaryTable[[#This Row],[Code]], allFYsTable[year2], AQ$3))</f>
        <v>-25</v>
      </c>
      <c r="AW87" s="63">
        <f>IF(SummaryTable[[#This Row],[OriginalBudget23]]=0, IF(SummaryTable[[#This Row],[DiffAmount23]]=0, ZeroBudgetNoSpending, ZeroBudgetWithSpending), SummaryTable[[#This Row],[DiffAmount23]]/SummaryTable[[#This Row],[OriginalBudget23]])</f>
        <v>-6.1079892499389197E-3</v>
      </c>
      <c r="AX87" s="62">
        <f>IF(COUNTIFS(allFYsTable[Code], SummaryTable[[#This Row],[Code]], allFYsTable[year2], AX$3)=0, NotFound, SUMIFS(allFYsTable[OriginalBudget], allFYsTable[Code], SummaryTable[[#This Row],[Code]], allFYsTable[year2], AX$3))</f>
        <v>4104</v>
      </c>
      <c r="AY87" s="61">
        <f>SummaryTable[[#This Row],[OriginalBudget22]]-SummaryTable[[#This Row],[OriginalBudget21]]</f>
        <v>-162</v>
      </c>
      <c r="AZ87" s="54">
        <f>SummaryTable[[#This Row],[BudgetIncreaseAmount22]]/SummaryTable[[#This Row],[OriginalBudget21]]</f>
        <v>-3.7974683544303799E-2</v>
      </c>
      <c r="BA87" s="61">
        <f>IF(COUNTIFS(allFYsTable[Code], SummaryTable[[#This Row],[Code]], allFYsTable[year2], AX$3)=0, NotFound, SUMIFS(allFYsTable[RevisedBudget], allFYsTable[Code], SummaryTable[[#This Row],[Code]], allFYsTable[year2], AX$3))</f>
        <v>4276</v>
      </c>
      <c r="BB87" s="61">
        <f>IF(COUNTIFS(allFYsTable[Code], SummaryTable[[#This Row],[Code]], allFYsTable[year2], AX$3)=0, NotFound, SUMIFS(allFYsTable[Actual], allFYsTable[Code], SummaryTable[[#This Row],[Code]], allFYsTable[year2], AX$3))</f>
        <v>4272</v>
      </c>
      <c r="BC87" s="61">
        <f>IF(COUNTIFS(allFYsTable[Code], SummaryTable[[#This Row],[Code]], allFYsTable[year2], AX$3)=0, NotFound, SUMIFS(allFYsTable[DiffAmount], allFYsTable[Code], SummaryTable[[#This Row],[Code]], allFYsTable[year2], AX$3))</f>
        <v>168</v>
      </c>
      <c r="BD87" s="63">
        <f>IF(SummaryTable[[#This Row],[OriginalBudget22]]=0, IF(SummaryTable[[#This Row],[DiffAmount22]]=0, ZeroBudgetNoSpending, ZeroBudgetWithSpending), SummaryTable[[#This Row],[DiffAmount22]]/SummaryTable[[#This Row],[OriginalBudget22]])</f>
        <v>4.0935672514619881E-2</v>
      </c>
      <c r="BE87" s="62">
        <f>IF(COUNTIFS(allFYsTable[Code], SummaryTable[[#This Row],[Code]], allFYsTable[year2], BE$3)=0, NotFound, SUMIFS(allFYsTable[OriginalBudget], allFYsTable[Code], SummaryTable[[#This Row],[Code]], allFYsTable[year2], BE$3))</f>
        <v>4266</v>
      </c>
      <c r="BF87" s="61">
        <f>SummaryTable[[#This Row],[OriginalBudget21]]-SummaryTable[[#This Row],[OriginalBudget20]]</f>
        <v>-447</v>
      </c>
      <c r="BG87" s="54">
        <f>SummaryTable[[#This Row],[BudgetIncreaseAmount21]]/SummaryTable[[#This Row],[OriginalBudget20]]</f>
        <v>-9.484404837683004E-2</v>
      </c>
      <c r="BH87" s="61">
        <f>IF(COUNTIFS(allFYsTable[Code], SummaryTable[[#This Row],[Code]], allFYsTable[year2], BE$3)=0, NotFound, SUMIFS(allFYsTable[RevisedBudget], allFYsTable[Code], SummaryTable[[#This Row],[Code]], allFYsTable[year2], BE$3))</f>
        <v>4065</v>
      </c>
      <c r="BI87" s="61">
        <f>IF(COUNTIFS(allFYsTable[Code], SummaryTable[[#This Row],[Code]], allFYsTable[year2], BE$3)=0, NotFound, SUMIFS(allFYsTable[Actual], allFYsTable[Code], SummaryTable[[#This Row],[Code]], allFYsTable[year2], BE$3))</f>
        <v>3886</v>
      </c>
      <c r="BJ87" s="61">
        <f>IF(COUNTIFS(allFYsTable[Code], SummaryTable[[#This Row],[Code]], allFYsTable[year2], BE$3)=0, NotFound, SUMIFS(allFYsTable[DiffAmount], allFYsTable[Code], SummaryTable[[#This Row],[Code]], allFYsTable[year2], BE$3))</f>
        <v>-380</v>
      </c>
      <c r="BK87" s="63">
        <f>IF(SummaryTable[[#This Row],[OriginalBudget21]]=0, IF(SummaryTable[[#This Row],[DiffAmount21]]=0, ZeroBudgetNoSpending, ZeroBudgetWithSpending), SummaryTable[[#This Row],[DiffAmount21]]/SummaryTable[[#This Row],[OriginalBudget21]])</f>
        <v>-8.9076418190342246E-2</v>
      </c>
      <c r="BL87" s="62">
        <f>IF(COUNTIFS(allFYsTable[Code], SummaryTable[[#This Row],[Code]], allFYsTable[year2], BL$3)=0, NotFound, SUMIFS(allFYsTable[OriginalBudget], allFYsTable[Code], SummaryTable[[#This Row],[Code]], allFYsTable[year2], BL$3))</f>
        <v>4713</v>
      </c>
      <c r="BM87" s="61">
        <f>SummaryTable[[#This Row],[OriginalBudget20]]-SummaryTable[[#This Row],[OriginalBudget19]]</f>
        <v>611</v>
      </c>
      <c r="BN87" s="54">
        <f>SummaryTable[[#This Row],[BudgetIncreaseAmount20]]/SummaryTable[[#This Row],[OriginalBudget19]]</f>
        <v>0.14895173086299365</v>
      </c>
      <c r="BO87" s="61">
        <f>IF(COUNTIFS(allFYsTable[Code], SummaryTable[[#This Row],[Code]], allFYsTable[year2], BL$3)=0, NotFound, SUMIFS(allFYsTable[RevisedBudget], allFYsTable[Code], SummaryTable[[#This Row],[Code]], allFYsTable[year2], BL$3))</f>
        <v>4344</v>
      </c>
      <c r="BP87" s="61">
        <f>IF(COUNTIFS(allFYsTable[Code], SummaryTable[[#This Row],[Code]], allFYsTable[year2], BL$3)=0, NotFound, SUMIFS(allFYsTable[Actual], allFYsTable[Code], SummaryTable[[#This Row],[Code]], allFYsTable[year2], BL$3))</f>
        <v>4083</v>
      </c>
      <c r="BQ87" s="61">
        <f>IF(COUNTIFS(allFYsTable[Code], SummaryTable[[#This Row],[Code]], allFYsTable[year2], BL$3)=0, NotFound, SUMIFS(allFYsTable[DiffAmount], allFYsTable[Code], SummaryTable[[#This Row],[Code]], allFYsTable[year2], BL$3))</f>
        <v>-630</v>
      </c>
      <c r="BR87" s="63">
        <f>IF(SummaryTable[[#This Row],[OriginalBudget20]]=0, IF(SummaryTable[[#This Row],[DiffAmount20]]=0, ZeroBudgetNoSpending, ZeroBudgetWithSpending), SummaryTable[[#This Row],[DiffAmount20]]/SummaryTable[[#This Row],[OriginalBudget20]])</f>
        <v>-0.13367281985996179</v>
      </c>
      <c r="BS87" s="62">
        <f>IF(COUNTIFS(allFYsTable[Code], SummaryTable[[#This Row],[Code]], allFYsTable[year2], BS$3)=0, NotFound, SUMIFS(allFYsTable[OriginalBudget], allFYsTable[Code], SummaryTable[[#This Row],[Code]], allFYsTable[year2], BS$3))</f>
        <v>4102</v>
      </c>
      <c r="BT87" s="61">
        <f>SummaryTable[[#This Row],[OriginalBudget19]]-SummaryTable[[#This Row],[OriginalBudget18]]</f>
        <v>137</v>
      </c>
      <c r="BU87" s="54">
        <f>SummaryTable[[#This Row],[BudgetIncreaseAmount19]]/SummaryTable[[#This Row],[OriginalBudget18]]</f>
        <v>3.4552332912988648E-2</v>
      </c>
      <c r="BV87" s="61">
        <f>IF(COUNTIFS(allFYsTable[Code], SummaryTable[[#This Row],[Code]], allFYsTable[year2], BS$3)=0, NotFound, SUMIFS(allFYsTable[RevisedBudget], allFYsTable[Code], SummaryTable[[#This Row],[Code]], allFYsTable[year2], BS$3))</f>
        <v>4042</v>
      </c>
      <c r="BW87" s="61">
        <f>IF(COUNTIFS(allFYsTable[Code], SummaryTable[[#This Row],[Code]], allFYsTable[year2], BS$3)=0, NotFound, SUMIFS(allFYsTable[Actual], allFYsTable[Code], SummaryTable[[#This Row],[Code]], allFYsTable[year2], BS$3))</f>
        <v>3971</v>
      </c>
      <c r="BX87" s="61">
        <f>IF(COUNTIFS(allFYsTable[Code], SummaryTable[[#This Row],[Code]], allFYsTable[year2], BS$3)=0, NotFound, SUMIFS(allFYsTable[DiffAmount], allFYsTable[Code], SummaryTable[[#This Row],[Code]], allFYsTable[year2], BS$3))</f>
        <v>-131</v>
      </c>
      <c r="BY87" s="63">
        <f>IF(SummaryTable[[#This Row],[OriginalBudget19]]=0, IF(SummaryTable[[#This Row],[DiffAmount19]]=0, ZeroBudgetNoSpending, ZeroBudgetWithSpending), SummaryTable[[#This Row],[DiffAmount19]]/SummaryTable[[#This Row],[OriginalBudget19]])</f>
        <v>-3.1935641150658216E-2</v>
      </c>
      <c r="BZ87" s="62">
        <f>IF(COUNTIFS(allFYsTable[Code], SummaryTable[[#This Row],[Code]], allFYsTable[year2], BZ$3)=0, NotFound, SUMIFS(allFYsTable[OriginalBudget], allFYsTable[Code], SummaryTable[[#This Row],[Code]], allFYsTable[year2], BZ$3))</f>
        <v>3965</v>
      </c>
      <c r="CA87" s="61">
        <f>SummaryTable[[#This Row],[OriginalBudget18]]-SummaryTable[[#This Row],[OriginalBudget17]]</f>
        <v>-8</v>
      </c>
      <c r="CB87" s="54">
        <f>SummaryTable[[#This Row],[BudgetIncreaseAmount18]]/SummaryTable[[#This Row],[OriginalBudget17]]</f>
        <v>-2.0135917442738486E-3</v>
      </c>
      <c r="CC87" s="61">
        <f>IF(COUNTIFS(allFYsTable[Code], SummaryTable[[#This Row],[Code]], allFYsTable[year2], BZ$3)=0, NotFound, SUMIFS(allFYsTable[RevisedBudget], allFYsTable[Code], SummaryTable[[#This Row],[Code]], allFYsTable[year2], BZ$3))</f>
        <v>5171</v>
      </c>
      <c r="CD87" s="61">
        <f>IF(COUNTIFS(allFYsTable[Code], SummaryTable[[#This Row],[Code]], allFYsTable[year2], BZ$3)=0, NotFound, SUMIFS(allFYsTable[Actual], allFYsTable[Code], SummaryTable[[#This Row],[Code]], allFYsTable[year2], BZ$3))</f>
        <v>5065</v>
      </c>
      <c r="CE87" s="61">
        <f>IF(COUNTIFS(allFYsTable[Code], SummaryTable[[#This Row],[Code]], allFYsTable[year2], BZ$3)=0, NotFound, SUMIFS(allFYsTable[DiffAmount], allFYsTable[Code], SummaryTable[[#This Row],[Code]], allFYsTable[year2], BZ$3))</f>
        <v>1100</v>
      </c>
      <c r="CF87" s="63">
        <f>IF(SummaryTable[[#This Row],[OriginalBudget18]]=0, IF(SummaryTable[[#This Row],[DiffAmount18]]=0, ZeroBudgetNoSpending, ZeroBudgetWithSpending), SummaryTable[[#This Row],[DiffAmount18]]/SummaryTable[[#This Row],[OriginalBudget18]])</f>
        <v>0.27742749054224464</v>
      </c>
      <c r="CG87" s="62">
        <f>IF(COUNTIFS(allFYsTable[Code], SummaryTable[[#This Row],[Code]], allFYsTable[year2], CG$3)=0, NotFound, SUMIFS(allFYsTable[OriginalBudget], allFYsTable[Code], SummaryTable[[#This Row],[Code]], allFYsTable[year2], CG$3))</f>
        <v>3973</v>
      </c>
      <c r="CH87" s="61">
        <f>SummaryTable[[#This Row],[OriginalBudget17]]-SummaryTable[[#This Row],[OriginalBudget16]]</f>
        <v>1050</v>
      </c>
      <c r="CI87" s="54">
        <f>SummaryTable[[#This Row],[BudgetIncreaseAmount17]]/SummaryTable[[#This Row],[OriginalBudget16]]</f>
        <v>0.35921997947314405</v>
      </c>
      <c r="CJ87" s="61">
        <f>IF(COUNTIFS(allFYsTable[Code], SummaryTable[[#This Row],[Code]], allFYsTable[year2], CG$3)=0, NotFound, SUMIFS(allFYsTable[RevisedBudget], allFYsTable[Code], SummaryTable[[#This Row],[Code]], allFYsTable[year2], CG$3))</f>
        <v>3973</v>
      </c>
      <c r="CK87" s="61">
        <f>IF(COUNTIFS(allFYsTable[Code], SummaryTable[[#This Row],[Code]], allFYsTable[year2], CG$3)=0, NotFound, SUMIFS(allFYsTable[Actual], allFYsTable[Code], SummaryTable[[#This Row],[Code]], allFYsTable[year2], CG$3))</f>
        <v>3893</v>
      </c>
      <c r="CL87" s="61">
        <f>IF(COUNTIFS(allFYsTable[Code], SummaryTable[[#This Row],[Code]], allFYsTable[year2], CG$3)=0, NotFound, SUMIFS(allFYsTable[DiffAmount], allFYsTable[Code], SummaryTable[[#This Row],[Code]], allFYsTable[year2], CG$3))</f>
        <v>-80</v>
      </c>
      <c r="CM87" s="63">
        <f>IF(SummaryTable[[#This Row],[OriginalBudget17]]=0, IF(SummaryTable[[#This Row],[DiffAmount17]]=0, ZeroBudgetNoSpending, ZeroBudgetWithSpending), SummaryTable[[#This Row],[DiffAmount17]]/SummaryTable[[#This Row],[OriginalBudget17]])</f>
        <v>-2.0135917442738484E-2</v>
      </c>
      <c r="CN87" s="62">
        <f>IF(COUNTIFS(allFYsTable[Code], SummaryTable[[#This Row],[Code]], allFYsTable[year2], CN$3)=0, NotFound, SUMIFS(allFYsTable[OriginalBudget], allFYsTable[Code], SummaryTable[[#This Row],[Code]], allFYsTable[year2], CN$3))</f>
        <v>2923</v>
      </c>
      <c r="CO87" s="61">
        <f>SummaryTable[[#This Row],[OriginalBudget16]]-SummaryTable[[#This Row],[OriginalBudget15]]</f>
        <v>-201</v>
      </c>
      <c r="CP87" s="54">
        <f>SummaryTable[[#This Row],[BudgetIncreaseAmount16]]/SummaryTable[[#This Row],[OriginalBudget15]]</f>
        <v>-6.4340588988476319E-2</v>
      </c>
      <c r="CQ87" s="61">
        <f>IF(COUNTIFS(allFYsTable[Code], SummaryTable[[#This Row],[Code]], allFYsTable[year2], CN$3)=0, NotFound, SUMIFS(allFYsTable[RevisedBudget], allFYsTable[Code], SummaryTable[[#This Row],[Code]], allFYsTable[year2], CN$3))</f>
        <v>3299</v>
      </c>
      <c r="CR87" s="61">
        <f>IF(COUNTIFS(allFYsTable[Code], SummaryTable[[#This Row],[Code]], allFYsTable[year2], CN$3)=0, NotFound, SUMIFS(allFYsTable[Actual], allFYsTable[Code], SummaryTable[[#This Row],[Code]], allFYsTable[year2], CN$3))</f>
        <v>3221</v>
      </c>
      <c r="CS87" s="61">
        <f>IF(COUNTIFS(allFYsTable[Code], SummaryTable[[#This Row],[Code]], allFYsTable[year2], CN$3)=0, NotFound, SUMIFS(allFYsTable[DiffAmount], allFYsTable[Code], SummaryTable[[#This Row],[Code]], allFYsTable[year2], CN$3))</f>
        <v>298</v>
      </c>
      <c r="CT87" s="63">
        <f>IF(SummaryTable[[#This Row],[OriginalBudget16]]=0, IF(SummaryTable[[#This Row],[DiffAmount16]]=0, ZeroBudgetNoSpending, ZeroBudgetWithSpending), SummaryTable[[#This Row],[DiffAmount16]]/SummaryTable[[#This Row],[OriginalBudget16]])</f>
        <v>0.10195005131713993</v>
      </c>
      <c r="CU87" s="62">
        <f>IF(COUNTIFS(allFYsTable[Code], SummaryTable[[#This Row],[Code]], allFYsTable[year2], CU$3)=0, NotFound, SUMIFS(allFYsTable[OriginalBudget], allFYsTable[Code], SummaryTable[[#This Row],[Code]], allFYsTable[year2], CU$3))</f>
        <v>3124</v>
      </c>
      <c r="CV87" s="61">
        <f>SummaryTable[[#This Row],[OriginalBudget15]]-SummaryTable[[#This Row],[OriginalBudget14]]</f>
        <v>178</v>
      </c>
      <c r="CW87" s="54">
        <f>SummaryTable[[#This Row],[BudgetIncreaseAmount15]]/SummaryTable[[#This Row],[OriginalBudget14]]</f>
        <v>6.042090970807875E-2</v>
      </c>
      <c r="CX87" s="61">
        <f>IF(COUNTIFS(allFYsTable[Code], SummaryTable[[#This Row],[Code]], allFYsTable[year2], CU$3)=0, NotFound, SUMIFS(allFYsTable[RevisedBudget], allFYsTable[Code], SummaryTable[[#This Row],[Code]], allFYsTable[year2], CU$3))</f>
        <v>3578</v>
      </c>
      <c r="CY87" s="61">
        <f>IF(COUNTIFS(allFYsTable[Code], SummaryTable[[#This Row],[Code]], allFYsTable[year2], CU$3)=0, NotFound, SUMIFS(allFYsTable[Actual], allFYsTable[Code], SummaryTable[[#This Row],[Code]], allFYsTable[year2], CU$3))</f>
        <v>3380</v>
      </c>
      <c r="CZ87" s="61">
        <f>IF(COUNTIFS(allFYsTable[Code], SummaryTable[[#This Row],[Code]], allFYsTable[year2], CU$3)=0, NotFound, SUMIFS(allFYsTable[DiffAmount], allFYsTable[Code], SummaryTable[[#This Row],[Code]], allFYsTable[year2], CU$3))</f>
        <v>256</v>
      </c>
      <c r="DA87" s="63">
        <f>IF(SummaryTable[[#This Row],[OriginalBudget15]]=0, IF(SummaryTable[[#This Row],[DiffAmount15]]=0, ZeroBudgetNoSpending, ZeroBudgetWithSpending), SummaryTable[[#This Row],[DiffAmount15]]/SummaryTable[[#This Row],[OriginalBudget15]])</f>
        <v>8.1946222791293211E-2</v>
      </c>
      <c r="DB87" s="62">
        <f>IF(COUNTIFS(allFYsTable[Code], SummaryTable[[#This Row],[Code]], allFYsTable[year2], DB$3)=0, NotFound, SUMIFS(allFYsTable[OriginalBudget], allFYsTable[Code], SummaryTable[[#This Row],[Code]], allFYsTable[year2], DB$3))</f>
        <v>2946</v>
      </c>
      <c r="DC87" s="61">
        <f>SummaryTable[[#This Row],[OriginalBudget14]]-SummaryTable[[#This Row],[OriginalBudget13]]</f>
        <v>-16</v>
      </c>
      <c r="DD87" s="54">
        <f>SummaryTable[[#This Row],[BudgetIncreaseAmount14]]/SummaryTable[[#This Row],[OriginalBudget13]]</f>
        <v>-5.4017555705604325E-3</v>
      </c>
      <c r="DE87" s="61">
        <f>IF(COUNTIFS(allFYsTable[Code], SummaryTable[[#This Row],[Code]], allFYsTable[year2], DB$3)=0, NotFound, SUMIFS(allFYsTable[RevisedBudget], allFYsTable[Code], SummaryTable[[#This Row],[Code]], allFYsTable[year2], DB$3))</f>
        <v>3015</v>
      </c>
      <c r="DF87" s="61">
        <f>IF(COUNTIFS(allFYsTable[Code], SummaryTable[[#This Row],[Code]], allFYsTable[year2], DB$3)=0, NotFound, SUMIFS(allFYsTable[Actual], allFYsTable[Code], SummaryTable[[#This Row],[Code]], allFYsTable[year2], DB$3))</f>
        <v>2314</v>
      </c>
      <c r="DG87" s="61">
        <f>IF(COUNTIFS(allFYsTable[Code], SummaryTable[[#This Row],[Code]], allFYsTable[year2], DB$3)=0, NotFound, SUMIFS(allFYsTable[DiffAmount], allFYsTable[Code], SummaryTable[[#This Row],[Code]], allFYsTable[year2], DB$3))</f>
        <v>-632</v>
      </c>
      <c r="DH87" s="63">
        <f>IF(SummaryTable[[#This Row],[OriginalBudget14]]=0, IF(SummaryTable[[#This Row],[DiffAmount14]]=0, ZeroBudgetNoSpending, ZeroBudgetWithSpending), SummaryTable[[#This Row],[DiffAmount14]]/SummaryTable[[#This Row],[OriginalBudget14]])</f>
        <v>-0.21452817379497624</v>
      </c>
      <c r="DI87" s="62">
        <f>IF(COUNTIFS(allFYsTable[Code], SummaryTable[[#This Row],[Code]], allFYsTable[year2], DI$3)=0, NotFound, SUMIFS(allFYsTable[OriginalBudget], allFYsTable[Code], SummaryTable[[#This Row],[Code]], allFYsTable[year2], DI$3))</f>
        <v>2962</v>
      </c>
      <c r="DJ87" s="61">
        <f>SummaryTable[[#This Row],[OriginalBudget13]]-SummaryTable[[#This Row],[OriginalBudget12]]</f>
        <v>234</v>
      </c>
      <c r="DK87" s="54">
        <f>SummaryTable[[#This Row],[BudgetIncreaseAmount13]]/SummaryTable[[#This Row],[OriginalBudget12]]</f>
        <v>8.5777126099706738E-2</v>
      </c>
      <c r="DL87" s="61">
        <f>IF(COUNTIFS(allFYsTable[Code], SummaryTable[[#This Row],[Code]], allFYsTable[year2], DI$3)=0, NotFound, SUMIFS(allFYsTable[RevisedBudget], allFYsTable[Code], SummaryTable[[#This Row],[Code]], allFYsTable[year2], DI$3))</f>
        <v>2962</v>
      </c>
      <c r="DM87" s="61">
        <f>IF(COUNTIFS(allFYsTable[Code], SummaryTable[[#This Row],[Code]], allFYsTable[year2], DI$3)=0, NotFound, SUMIFS(allFYsTable[Actual], allFYsTable[Code], SummaryTable[[#This Row],[Code]], allFYsTable[year2], DI$3))</f>
        <v>2133</v>
      </c>
      <c r="DN87" s="61">
        <f>IF(COUNTIFS(allFYsTable[Code], SummaryTable[[#This Row],[Code]], allFYsTable[year2], DI$3)=0, NotFound, SUMIFS(allFYsTable[DiffAmount], allFYsTable[Code], SummaryTable[[#This Row],[Code]], allFYsTable[year2], DI$3))</f>
        <v>-829</v>
      </c>
      <c r="DO87" s="63">
        <f>IF(SummaryTable[[#This Row],[OriginalBudget13]]=0, IF(SummaryTable[[#This Row],[DiffAmount13]]=0, ZeroBudgetNoSpending, ZeroBudgetWithSpending), SummaryTable[[#This Row],[DiffAmount13]]/SummaryTable[[#This Row],[OriginalBudget13]])</f>
        <v>-0.27987846049966236</v>
      </c>
      <c r="DP87" s="62">
        <f>IF(COUNTIFS(allFYsTable[Code], SummaryTable[[#This Row],[Code]], allFYsTable[year2], DP$3)=0, NotFound, SUMIFS(allFYsTable[OriginalBudget], allFYsTable[Code], SummaryTable[[#This Row],[Code]], allFYsTable[year2], DP$3))</f>
        <v>2728</v>
      </c>
      <c r="DQ87" s="61">
        <f>SummaryTable[[#This Row],[OriginalBudget12]]-SummaryTable[[#This Row],[OriginalBudget11]]</f>
        <v>1957</v>
      </c>
      <c r="DR87" s="54">
        <f>SummaryTable[[#This Row],[BudgetIncreaseAmount12]]/SummaryTable[[#This Row],[OriginalBudget11]]</f>
        <v>2.5382619974059661</v>
      </c>
      <c r="DS87" s="61">
        <f>IF(COUNTIFS(allFYsTable[Code], SummaryTable[[#This Row],[Code]], allFYsTable[year2], DP$3)=0, NotFound, SUMIFS(allFYsTable[RevisedBudget], allFYsTable[Code], SummaryTable[[#This Row],[Code]], allFYsTable[year2], DP$3))</f>
        <v>2378</v>
      </c>
      <c r="DT87" s="61">
        <f>IF(COUNTIFS(allFYsTable[Code], SummaryTable[[#This Row],[Code]], allFYsTable[year2], DP$3)=0, NotFound, SUMIFS(allFYsTable[Actual], allFYsTable[Code], SummaryTable[[#This Row],[Code]], allFYsTable[year2], DP$3))</f>
        <v>2196</v>
      </c>
      <c r="DU87" s="61">
        <f>IF(COUNTIFS(allFYsTable[Code], SummaryTable[[#This Row],[Code]], allFYsTable[year2], DP$3)=0, NotFound, SUMIFS(allFYsTable[DiffAmount], allFYsTable[Code], SummaryTable[[#This Row],[Code]], allFYsTable[year2], DP$3))</f>
        <v>-532</v>
      </c>
      <c r="DV87" s="63">
        <f>IF(SummaryTable[[#This Row],[OriginalBudget12]]=0, IF(SummaryTable[[#This Row],[DiffAmount12]]=0, ZeroBudgetNoSpending, ZeroBudgetWithSpending), SummaryTable[[#This Row],[DiffAmount12]]/SummaryTable[[#This Row],[OriginalBudget12]])</f>
        <v>-0.19501466275659823</v>
      </c>
      <c r="DW87" s="62">
        <f>IF(COUNTIFS(allFYsTable[Code], SummaryTable[[#This Row],[Code]], allFYsTable[year2], DW$3)=0, NotFound, SUMIFS(allFYsTable[OriginalBudget], allFYsTable[Code], SummaryTable[[#This Row],[Code]], allFYsTable[year2], DW$3))</f>
        <v>771</v>
      </c>
      <c r="DX87" s="61">
        <f>SummaryTable[[#This Row],[OriginalBudget11]]-SummaryTable[[#This Row],[OriginalBudget10]]</f>
        <v>-268</v>
      </c>
      <c r="DY87" s="54">
        <f>SummaryTable[[#This Row],[BudgetIncreaseAmount11]]/SummaryTable[[#This Row],[OriginalBudget10]]</f>
        <v>-0.25794032723772858</v>
      </c>
      <c r="DZ87" s="61">
        <f>IF(COUNTIFS(allFYsTable[Code], SummaryTable[[#This Row],[Code]], allFYsTable[year2], DW$3)=0, NotFound, SUMIFS(allFYsTable[RevisedBudget], allFYsTable[Code], SummaryTable[[#This Row],[Code]], allFYsTable[year2], DW$3))</f>
        <v>807</v>
      </c>
      <c r="EA87" s="61">
        <f>IF(COUNTIFS(allFYsTable[Code], SummaryTable[[#This Row],[Code]], allFYsTable[year2], DW$3)=0, NotFound, SUMIFS(allFYsTable[Actual], allFYsTable[Code], SummaryTable[[#This Row],[Code]], allFYsTable[year2], DW$3))</f>
        <v>722</v>
      </c>
      <c r="EB87" s="61">
        <f>IF(COUNTIFS(allFYsTable[Code], SummaryTable[[#This Row],[Code]], allFYsTable[year2], DW$3)=0, NotFound, SUMIFS(allFYsTable[DiffAmount], allFYsTable[Code], SummaryTable[[#This Row],[Code]], allFYsTable[year2], DW$3))</f>
        <v>-49</v>
      </c>
      <c r="EC87" s="63">
        <f>IF(SummaryTable[[#This Row],[OriginalBudget11]]=0, IF(SummaryTable[[#This Row],[DiffAmount11]]=0, ZeroBudgetNoSpending, ZeroBudgetWithSpending), SummaryTable[[#This Row],[DiffAmount11]]/SummaryTable[[#This Row],[OriginalBudget11]])</f>
        <v>-6.3553826199740593E-2</v>
      </c>
      <c r="ED87" s="62">
        <f>IF(COUNTIFS(allFYsTable[Code], SummaryTable[[#This Row],[Code]], allFYsTable[year2], ED$3)=0, NotFound, SUMIFS(allFYsTable[OriginalBudget], allFYsTable[Code], SummaryTable[[#This Row],[Code]], allFYsTable[year2], ED$3))</f>
        <v>1039</v>
      </c>
      <c r="EE87" s="61">
        <f>SummaryTable[[#This Row],[OriginalBudget10]]-SummaryTable[[#This Row],[OriginalBudget09]]</f>
        <v>-441</v>
      </c>
      <c r="EF87" s="54">
        <f>SummaryTable[[#This Row],[BudgetIncreaseAmount10]]/SummaryTable[[#This Row],[OriginalBudget09]]</f>
        <v>-0.29797297297297298</v>
      </c>
      <c r="EG87" s="61">
        <f>IF(COUNTIFS(allFYsTable[Code], SummaryTable[[#This Row],[Code]], allFYsTable[year2], ED$3)=0, NotFound, SUMIFS(allFYsTable[RevisedBudget], allFYsTable[Code], SummaryTable[[#This Row],[Code]], allFYsTable[year2], ED$3))</f>
        <v>1039</v>
      </c>
      <c r="EH87" s="61">
        <f>IF(COUNTIFS(allFYsTable[Code], SummaryTable[[#This Row],[Code]], allFYsTable[year2], ED$3)=0, NotFound, SUMIFS(allFYsTable[Actual], allFYsTable[Code], SummaryTable[[#This Row],[Code]], allFYsTable[year2], ED$3))</f>
        <v>1016</v>
      </c>
      <c r="EI87" s="61">
        <f>IF(COUNTIFS(allFYsTable[Code], SummaryTable[[#This Row],[Code]], allFYsTable[year2], ED$3)=0, NotFound, SUMIFS(allFYsTable[DiffAmount], allFYsTable[Code], SummaryTable[[#This Row],[Code]], allFYsTable[year2], ED$3))</f>
        <v>-23</v>
      </c>
      <c r="EJ87" s="63">
        <f>IF(SummaryTable[[#This Row],[OriginalBudget10]]=0, IF(SummaryTable[[#This Row],[DiffAmount10]]=0, ZeroBudgetNoSpending, ZeroBudgetWithSpending), SummaryTable[[#This Row],[DiffAmount10]]/SummaryTable[[#This Row],[OriginalBudget10]])</f>
        <v>-2.2136669874879691E-2</v>
      </c>
      <c r="EK87" s="62">
        <f>IF(COUNTIFS(allFYsTable[Code], SummaryTable[[#This Row],[Code]], allFYsTable[year2], EK$3)=0, NotFound, SUMIFS(allFYsTable[OriginalBudget], allFYsTable[Code], SummaryTable[[#This Row],[Code]], allFYsTable[year2], EK$3))</f>
        <v>1480</v>
      </c>
      <c r="EL87" s="61">
        <f>SummaryTable[[#This Row],[OriginalBudget09]]-SummaryTable[[#This Row],[OriginalBudget08]]</f>
        <v>-189</v>
      </c>
      <c r="EM87" s="54">
        <f>SummaryTable[[#This Row],[BudgetIncreaseAmount09]]/SummaryTable[[#This Row],[OriginalBudget08]]</f>
        <v>-0.11324146195326543</v>
      </c>
      <c r="EN87" s="61">
        <f>IF(COUNTIFS(allFYsTable[Code], SummaryTable[[#This Row],[Code]], allFYsTable[year2], EK$3)=0, NotFound, SUMIFS(allFYsTable[RevisedBudget], allFYsTable[Code], SummaryTable[[#This Row],[Code]], allFYsTable[year2], EK$3))</f>
        <v>1680</v>
      </c>
      <c r="EO87" s="61">
        <f>IF(COUNTIFS(allFYsTable[Code], SummaryTable[[#This Row],[Code]], allFYsTable[year2], EK$3)=0, NotFound, SUMIFS(allFYsTable[Actual], allFYsTable[Code], SummaryTable[[#This Row],[Code]], allFYsTable[year2], EK$3))</f>
        <v>1662</v>
      </c>
      <c r="EP87" s="61">
        <f>IF(COUNTIFS(allFYsTable[Code], SummaryTable[[#This Row],[Code]], allFYsTable[year2], EK$3)=0, NotFound, SUMIFS(allFYsTable[DiffAmount], allFYsTable[Code], SummaryTable[[#This Row],[Code]], allFYsTable[year2], EK$3))</f>
        <v>182</v>
      </c>
      <c r="EQ87" s="63">
        <f>IF(SummaryTable[[#This Row],[OriginalBudget09]]=0, IF(SummaryTable[[#This Row],[DiffAmount09]]=0, ZeroBudgetNoSpending, ZeroBudgetWithSpending), SummaryTable[[#This Row],[DiffAmount09]]/SummaryTable[[#This Row],[OriginalBudget09]])</f>
        <v>0.12297297297297298</v>
      </c>
      <c r="ER87" s="62">
        <f>IF(COUNTIFS(allFYsTable[Code], SummaryTable[[#This Row],[Code]], allFYsTable[year2], ER$3)=0, NotFound, SUMIFS(allFYsTable[OriginalBudget], allFYsTable[Code], SummaryTable[[#This Row],[Code]], allFYsTable[year2], ER$3))</f>
        <v>1669</v>
      </c>
      <c r="ES87" s="61">
        <f>SummaryTable[[#This Row],[OriginalBudget08]]-SummaryTable[[#This Row],[OriginalBudget07]]</f>
        <v>102</v>
      </c>
      <c r="ET87" s="54">
        <f>SummaryTable[[#This Row],[BudgetIncreaseAmount08]]/SummaryTable[[#This Row],[OriginalBudget07]]</f>
        <v>6.5092533503509895E-2</v>
      </c>
      <c r="EU87" s="61">
        <f>IF(COUNTIFS(allFYsTable[Code], SummaryTable[[#This Row],[Code]], allFYsTable[year2], ER$3)=0, NotFound, SUMIFS(allFYsTable[RevisedBudget], allFYsTable[Code], SummaryTable[[#This Row],[Code]], allFYsTable[year2], ER$3))</f>
        <v>1851</v>
      </c>
      <c r="EV87" s="61">
        <f>IF(COUNTIFS(allFYsTable[Code], SummaryTable[[#This Row],[Code]], allFYsTable[year2], ER$3)=0, NotFound, SUMIFS(allFYsTable[Actual], allFYsTable[Code], SummaryTable[[#This Row],[Code]], allFYsTable[year2], ER$3))</f>
        <v>1800</v>
      </c>
      <c r="EW87" s="61">
        <f>IF(COUNTIFS(allFYsTable[Code], SummaryTable[[#This Row],[Code]], allFYsTable[year2], ER$3)=0, NotFound, SUMIFS(allFYsTable[DiffAmount], allFYsTable[Code], SummaryTable[[#This Row],[Code]], allFYsTable[year2], ER$3))</f>
        <v>131</v>
      </c>
      <c r="EX87" s="63">
        <f>IF(SummaryTable[[#This Row],[OriginalBudget08]]=0, IF(SummaryTable[[#This Row],[DiffAmount08]]=0, ZeroBudgetNoSpending, ZeroBudgetWithSpending), SummaryTable[[#This Row],[DiffAmount08]]/SummaryTable[[#This Row],[OriginalBudget08]])</f>
        <v>7.8490113840623127E-2</v>
      </c>
      <c r="EY87" s="62">
        <f>IF(COUNTIFS(allFYsTable[Code], SummaryTable[[#This Row],[Code]], allFYsTable[year2], EY$3)=0, NotFound, SUMIFS(allFYsTable[OriginalBudget], allFYsTable[Code], SummaryTable[[#This Row],[Code]], allFYsTable[year2], EY$3))</f>
        <v>1567</v>
      </c>
      <c r="EZ87" s="61">
        <f>SummaryTable[[#This Row],[OriginalBudget07]]-SummaryTable[[#This Row],[OriginalBudget06]]</f>
        <v>-298</v>
      </c>
      <c r="FA87" s="54">
        <f>SummaryTable[[#This Row],[BudgetIncreaseAmount07]]/SummaryTable[[#This Row],[OriginalBudget06]]</f>
        <v>-0.15978552278820377</v>
      </c>
      <c r="FB87" s="61">
        <f>IF(COUNTIFS(allFYsTable[Code], SummaryTable[[#This Row],[Code]], allFYsTable[year2], EY$3)=0, NotFound, SUMIFS(allFYsTable[RevisedBudget], allFYsTable[Code], SummaryTable[[#This Row],[Code]], allFYsTable[year2], EY$3))</f>
        <v>1650</v>
      </c>
      <c r="FC87" s="61">
        <f>IF(COUNTIFS(allFYsTable[Code], SummaryTable[[#This Row],[Code]], allFYsTable[year2], EY$3)=0, NotFound, SUMIFS(allFYsTable[Actual], allFYsTable[Code], SummaryTable[[#This Row],[Code]], allFYsTable[year2], EY$3))</f>
        <v>1550</v>
      </c>
      <c r="FD87" s="61">
        <f>IF(COUNTIFS(allFYsTable[Code], SummaryTable[[#This Row],[Code]], allFYsTable[year2], EY$3)=0, NotFound, SUMIFS(allFYsTable[DiffAmount], allFYsTable[Code], SummaryTable[[#This Row],[Code]], allFYsTable[year2], EY$3))</f>
        <v>-17</v>
      </c>
      <c r="FE87" s="63">
        <f>IF(SummaryTable[[#This Row],[OriginalBudget07]]=0, IF(SummaryTable[[#This Row],[DiffAmount07]]=0, ZeroBudgetNoSpending, ZeroBudgetWithSpending), SummaryTable[[#This Row],[DiffAmount07]]/SummaryTable[[#This Row],[OriginalBudget07]])</f>
        <v>-1.0848755583918315E-2</v>
      </c>
      <c r="FF87" s="62">
        <f>IF(COUNTIFS(allFYsTable[Code], SummaryTable[[#This Row],[Code]], allFYsTable[year2], FF$3)=0, NotFound, SUMIFS(allFYsTable[OriginalBudget], allFYsTable[Code], SummaryTable[[#This Row],[Code]], allFYsTable[year2], FF$3))</f>
        <v>1865</v>
      </c>
      <c r="FI87" s="61">
        <f>IF(COUNTIFS(allFYsTable[Code], SummaryTable[[#This Row],[Code]], allFYsTable[year2], FF$3)=0, NotFound, SUMIFS(allFYsTable[RevisedBudget], allFYsTable[Code], SummaryTable[[#This Row],[Code]], allFYsTable[year2], FF$3))</f>
        <v>1946</v>
      </c>
      <c r="FJ87" s="61">
        <f>IF(COUNTIFS(allFYsTable[Code], SummaryTable[[#This Row],[Code]], allFYsTable[year2], FF$3)=0, NotFound, SUMIFS(allFYsTable[Actual], allFYsTable[Code], SummaryTable[[#This Row],[Code]], allFYsTable[year2], FF$3))</f>
        <v>1634</v>
      </c>
      <c r="FK87" s="61">
        <f>IF(COUNTIFS(allFYsTable[Code], SummaryTable[[#This Row],[Code]], allFYsTable[year2], FF$3)=0, NotFound, SUMIFS(allFYsTable[DiffAmount], allFYsTable[Code], SummaryTable[[#This Row],[Code]], allFYsTable[year2], FF$3))</f>
        <v>-231</v>
      </c>
      <c r="FL87" s="63">
        <f>IF(SummaryTable[[#This Row],[OriginalBudget06]]=0, IF(SummaryTable[[#This Row],[DiffAmount06]]=0, ZeroBudgetNoSpending, ZeroBudgetWithSpending), SummaryTable[[#This Row],[DiffAmount06]]/SummaryTable[[#This Row],[OriginalBudget06]])</f>
        <v>-0.12386058981233244</v>
      </c>
    </row>
    <row r="88" spans="1:168" x14ac:dyDescent="0.45">
      <c r="A88" t="s">
        <v>719</v>
      </c>
      <c r="B88">
        <f>_xlfn.MAXIFS(allFYsTable[year2], allFYsTable[Code], SummaryTable[[#This Row],[Code]])</f>
        <v>2025</v>
      </c>
      <c r="C88" t="str">
        <f>_xlfn.XLOOKUP(SummaryTable[[#This Row],[Code]], NameCodingTable[Code], NameCodingTable[Most Recent Category per allFYs])</f>
        <v>Governmental direction and support</v>
      </c>
      <c r="D88" t="str">
        <f>_xlfn.XLOOKUP(SummaryTable[[#This Row],[Code]], NameCodingTable[Code], NameCodingTable[Unit Display Name])</f>
        <v>Office of the Attorney General for the District of Columbia (OAG)</v>
      </c>
      <c r="E88" t="str">
        <f>_xlfn.XLOOKUP(SummaryTable[[#This Row],[Code]], NameCodingTable[Code], NameCodingTable[Type])</f>
        <v>agency</v>
      </c>
      <c r="F8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8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4</v>
      </c>
      <c r="H88" s="54">
        <f>SummaryTable[[#This Row],['# Over]]/SummaryTable[[#This Row],[Count]]</f>
        <v>0.2</v>
      </c>
      <c r="I8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16</v>
      </c>
      <c r="J88" s="54">
        <f>SummaryTable[[#This Row],['# Under]]/SummaryTable[[#This Row],[Count]]</f>
        <v>0.8</v>
      </c>
      <c r="K8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8" s="54">
        <f>SummaryTable[[#This Row],['# Equal]]/SummaryTable[[#This Row],[Count]]</f>
        <v>0</v>
      </c>
      <c r="M88" s="61">
        <f>SUMIFS(allFYsTable[OriginalBudget],allFYsTable[Code],SummaryTable[[#This Row],[Code]])/SummaryTable[[#This Row],[Count]]</f>
        <v>69608.899999999994</v>
      </c>
      <c r="N88" s="61">
        <f>SUMIFS(allFYsTable[Actual],allFYsTable[Code],SummaryTable[[#This Row],[Code]])/SummaryTable[[#This Row],[Count]]</f>
        <v>68117.350000000006</v>
      </c>
      <c r="O88" s="61">
        <f>SummaryTable[[#This Row],[AvgActAmt]]-SummaryTable[[#This Row],[AvgBudAmt]]</f>
        <v>-1491.5499999999884</v>
      </c>
      <c r="P88" s="54">
        <f>IF(SummaryTable[[#This Row],[AvgBudAmt]]=0, IF(SummaryTable[[#This Row],[AvgDiff'#]]=0, 0, NamedFields!$C$3), SummaryTable[[#This Row],[AvgDiff'#]]/SummaryTable[[#This Row],[AvgBudAmt]])</f>
        <v>-2.1427576071450467E-2</v>
      </c>
      <c r="Q88" s="61">
        <f>IFERROR(SUMIFS(allFYsTable[OriginalBudget],allFYsTable[Code],SummaryTable[[#This Row],[Code]],allFYsTable[DiffAmount], "&gt;0")/SummaryTable[[#This Row],['# Over]], 0)</f>
        <v>75451</v>
      </c>
      <c r="R88" s="61">
        <f>IFERROR(SUMIFS(allFYsTable[Actual],allFYsTable[Code],SummaryTable[[#This Row],[Code]],allFYsTable[DiffAmount], "&gt;0")/SummaryTable[[#This Row],['# Over]], 0)</f>
        <v>78225.25</v>
      </c>
      <c r="S88" s="61">
        <f>SummaryTable[[#This Row],[OverAvgAct]]-SummaryTable[[#This Row],[OverAvgBud]]</f>
        <v>2774.25</v>
      </c>
      <c r="T88" s="54">
        <f>IF(SummaryTable[[#This Row],[OverAvgBud]]=0, IF(SummaryTable[[#This Row],[OverAvgDiff'#]]=0, ZeroBudgetNoSpending, ZeroBudgetWithSpending), SummaryTable[[#This Row],[OverAvgDiff'#]]/SummaryTable[[#This Row],[OverAvgBud]])</f>
        <v>3.6768896369829426E-2</v>
      </c>
      <c r="U88" s="61">
        <f>IFERROR(SUMIFS(allFYsTable[OriginalBudget],allFYsTable[Code],SummaryTable[[#This Row],[Code]],allFYsTable[DiffAmount], "&lt;0")/SummaryTable[[#This Row],['# Under]], 0)</f>
        <v>68148.375</v>
      </c>
      <c r="V88" s="61">
        <f>IFERROR( SUMIFS(allFYsTable[Actual],allFYsTable[Code],SummaryTable[[#This Row],[Code]],allFYsTable[DiffAmount], "&lt;0")/SummaryTable[[#This Row],['# Under]], 0)</f>
        <v>65590.375</v>
      </c>
      <c r="W88" s="61">
        <f>SummaryTable[[#This Row],[UnderAvgAct]]-SummaryTable[[#This Row],[UnderAvgBud]]</f>
        <v>-2558</v>
      </c>
      <c r="X88" s="54">
        <f>IF(SummaryTable[[#This Row],[UnderAvgBud]]=0, IF(SummaryTable[[#This Row],[UnderAvgDiff'#]]=0, ZeroBudgetNoSpending, NamedFields!$C$3), SummaryTable[[#This Row],[UnderAvgDiff'#]]/SummaryTable[[#This Row],[UnderAvgBud]])</f>
        <v>-3.7535744616067512E-2</v>
      </c>
      <c r="Y8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8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8" s="54">
        <f>IF(SummaryTable[[#This Row],[IncreaseYears]]=0, ZeroBudgetNoSpending, SummaryTable[[#This Row],[OSinIncreaseYear'#]]/SummaryTable[[#This Row],[IncreaseYears]])</f>
        <v>0</v>
      </c>
      <c r="AB88" s="58" t="str">
        <f>SummaryTable[[#This Row],[Code]]</f>
        <v>CB0</v>
      </c>
      <c r="AC88" s="62">
        <f>IF(COUNTIFS(allFYsTable[Code], SummaryTable[[#This Row],[Code]], allFYsTable[year2], AC$3)=0, NotFound, SUMIFS(allFYsTable[OriginalBudget], allFYsTable[Code], SummaryTable[[#This Row],[Code]], allFYsTable[year2], AC$3))</f>
        <v>99416</v>
      </c>
      <c r="AD88" s="61">
        <f>SummaryTable[[#This Row],[OriginalBudget25]]-SummaryTable[[#This Row],[OriginalBudget24]]</f>
        <v>2649</v>
      </c>
      <c r="AE88" s="54">
        <f>SummaryTable[[#This Row],[BudgetIncreaseAmount25]]/SummaryTable[[#This Row],[OriginalBudget24]]</f>
        <v>2.7375034877592568E-2</v>
      </c>
      <c r="AF88" s="61">
        <f>IF(COUNTIFS(allFYsTable[Code], SummaryTable[[#This Row],[Code]], allFYsTable[year2], AC$3)=0, NotFound, SUMIFS(allFYsTable[RevisedBudget], allFYsTable[Code], SummaryTable[[#This Row],[Code]], allFYsTable[year2], AC$3))</f>
        <v>97428</v>
      </c>
      <c r="AG88" s="61">
        <f>IF(COUNTIFS(allFYsTable[Code], SummaryTable[[#This Row],[Code]], allFYsTable[year2], AC$3)=0, NotFound, SUMIFS(allFYsTable[Actual], allFYsTable[Code], SummaryTable[[#This Row],[Code]], allFYsTable[year2], AC$3))</f>
        <v>93321</v>
      </c>
      <c r="AH88" s="61">
        <f>IF(COUNTIFS(allFYsTable[Code], SummaryTable[[#This Row],[Code]], allFYsTable[year2], AC$3)=0, NotFound, SUMIFS(allFYsTable[DiffAmount], allFYsTable[Code], SummaryTable[[#This Row],[Code]], allFYsTable[year2], AC$3))</f>
        <v>-6095</v>
      </c>
      <c r="AI88" s="63">
        <f>IF(SummaryTable[[#This Row],[OriginalBudget25]]=0, IF(SummaryTable[[#This Row],[DiffAmount25]]=0, ZeroBudgetNoSpending, ZeroBudgetWithSpending), SummaryTable[[#This Row],[DiffAmount25]]/SummaryTable[[#This Row],[OriginalBudget25]])</f>
        <v>-6.1308038947453125E-2</v>
      </c>
      <c r="AJ88" s="62">
        <f>IF(COUNTIFS(allFYsTable[Code], SummaryTable[[#This Row],[Code]], allFYsTable[year2], AJ$3)=0, NotFound, SUMIFS(allFYsTable[OriginalBudget], allFYsTable[Code], SummaryTable[[#This Row],[Code]], allFYsTable[year2], AJ$3))</f>
        <v>96767</v>
      </c>
      <c r="AK88" s="61">
        <f>SummaryTable[[#This Row],[OriginalBudget24]]-SummaryTable[[#This Row],[OriginalBudget23]]</f>
        <v>1417</v>
      </c>
      <c r="AL88" s="54">
        <f>SummaryTable[[#This Row],[BudgetIncreaseAmount24]]/SummaryTable[[#This Row],[OriginalBudget23]]</f>
        <v>1.4861038280020975E-2</v>
      </c>
      <c r="AM88" s="61">
        <f>IF(COUNTIFS(allFYsTable[Code], SummaryTable[[#This Row],[Code]], allFYsTable[year2], AK$3)=0, NotFound, SUMIFS(allFYsTable[RevisedBudget], allFYsTable[Code], SummaryTable[[#This Row],[Code]], allFYsTable[year2], AJ$3))</f>
        <v>93397</v>
      </c>
      <c r="AN88" s="61">
        <f>IF(COUNTIFS(allFYsTable[Code], SummaryTable[[#This Row],[Code]], allFYsTable[year2], AJ$3)=0, NotFound, SUMIFS(allFYsTable[Actual], allFYsTable[Code], SummaryTable[[#This Row],[Code]], allFYsTable[year2], AJ$3))</f>
        <v>92253</v>
      </c>
      <c r="AO88" s="61">
        <f>IF(COUNTIFS(allFYsTable[Code], SummaryTable[[#This Row],[Code]], allFYsTable[year2], AJ$3)=0, NotFound, SUMIFS(allFYsTable[DiffAmount], allFYsTable[Code], SummaryTable[[#This Row],[Code]], allFYsTable[year2], AJ$3))</f>
        <v>-4514</v>
      </c>
      <c r="AP88" s="63">
        <f>IF(SummaryTable[[#This Row],[OriginalBudget24]]=0, IF(SummaryTable[[#This Row],[DiffAmount24]]=0, ZeroBudgetNoSpending, ZeroBudgetWithSpending), SummaryTable[[#This Row],[DiffAmount24]]/SummaryTable[[#This Row],[OriginalBudget24]])</f>
        <v>-4.6648134177973893E-2</v>
      </c>
      <c r="AQ88" s="62">
        <f>IF(COUNTIFS(allFYsTable[Code], SummaryTable[[#This Row],[Code]], allFYsTable[year2], AQ$3)=0, NotFound, SUMIFS(allFYsTable[OriginalBudget], allFYsTable[Code], SummaryTable[[#This Row],[Code]], allFYsTable[year2], AQ$3))</f>
        <v>95350</v>
      </c>
      <c r="AR88" s="61">
        <f>SummaryTable[[#This Row],[OriginalBudget23]]-SummaryTable[[#This Row],[OriginalBudget22]]</f>
        <v>2534</v>
      </c>
      <c r="AS88" s="54">
        <f>SummaryTable[[#This Row],[BudgetIncreaseAmount23]]/SummaryTable[[#This Row],[OriginalBudget22]]</f>
        <v>2.7301327357352179E-2</v>
      </c>
      <c r="AT88" s="61">
        <f>IF(COUNTIFS(allFYsTable[Code], SummaryTable[[#This Row],[Code]], allFYsTable[year2], AQ$3)=0, NotFound, SUMIFS(allFYsTable[RevisedBudget], allFYsTable[Code], SummaryTable[[#This Row],[Code]], allFYsTable[year2], AQ$3))</f>
        <v>97903</v>
      </c>
      <c r="AU88" s="61">
        <f>IF(COUNTIFS(allFYsTable[Code], SummaryTable[[#This Row],[Code]], allFYsTable[year2], AQ$3)=0, NotFound, SUMIFS(allFYsTable[Actual], allFYsTable[Code], SummaryTable[[#This Row],[Code]], allFYsTable[year2], AQ$3))</f>
        <v>96810</v>
      </c>
      <c r="AV88" s="61">
        <f>IF(COUNTIFS(allFYsTable[Code], SummaryTable[[#This Row],[Code]], allFYsTable[year2], AQ$3)=0, NotFound, SUMIFS(allFYsTable[DiffAmount], allFYsTable[Code], SummaryTable[[#This Row],[Code]], allFYsTable[year2], AQ$3))</f>
        <v>1460</v>
      </c>
      <c r="AW88" s="63">
        <f>IF(SummaryTable[[#This Row],[OriginalBudget23]]=0, IF(SummaryTable[[#This Row],[DiffAmount23]]=0, ZeroBudgetNoSpending, ZeroBudgetWithSpending), SummaryTable[[#This Row],[DiffAmount23]]/SummaryTable[[#This Row],[OriginalBudget23]])</f>
        <v>1.5312008390141584E-2</v>
      </c>
      <c r="AX88" s="62">
        <f>IF(COUNTIFS(allFYsTable[Code], SummaryTable[[#This Row],[Code]], allFYsTable[year2], AX$3)=0, NotFound, SUMIFS(allFYsTable[OriginalBudget], allFYsTable[Code], SummaryTable[[#This Row],[Code]], allFYsTable[year2], AX$3))</f>
        <v>92816</v>
      </c>
      <c r="AY88" s="61">
        <f>SummaryTable[[#This Row],[OriginalBudget22]]-SummaryTable[[#This Row],[OriginalBudget21]]</f>
        <v>6439</v>
      </c>
      <c r="AZ88" s="54">
        <f>SummaryTable[[#This Row],[BudgetIncreaseAmount22]]/SummaryTable[[#This Row],[OriginalBudget21]]</f>
        <v>7.4545307199833294E-2</v>
      </c>
      <c r="BA88" s="61">
        <f>IF(COUNTIFS(allFYsTable[Code], SummaryTable[[#This Row],[Code]], allFYsTable[year2], AX$3)=0, NotFound, SUMIFS(allFYsTable[RevisedBudget], allFYsTable[Code], SummaryTable[[#This Row],[Code]], allFYsTable[year2], AX$3))</f>
        <v>91770</v>
      </c>
      <c r="BB88" s="61">
        <f>IF(COUNTIFS(allFYsTable[Code], SummaryTable[[#This Row],[Code]], allFYsTable[year2], AX$3)=0, NotFound, SUMIFS(allFYsTable[Actual], allFYsTable[Code], SummaryTable[[#This Row],[Code]], allFYsTable[year2], AX$3))</f>
        <v>90265</v>
      </c>
      <c r="BC88" s="61">
        <f>IF(COUNTIFS(allFYsTable[Code], SummaryTable[[#This Row],[Code]], allFYsTable[year2], AX$3)=0, NotFound, SUMIFS(allFYsTable[DiffAmount], allFYsTable[Code], SummaryTable[[#This Row],[Code]], allFYsTable[year2], AX$3))</f>
        <v>-2551</v>
      </c>
      <c r="BD88" s="63">
        <f>IF(SummaryTable[[#This Row],[OriginalBudget22]]=0, IF(SummaryTable[[#This Row],[DiffAmount22]]=0, ZeroBudgetNoSpending, ZeroBudgetWithSpending), SummaryTable[[#This Row],[DiffAmount22]]/SummaryTable[[#This Row],[OriginalBudget22]])</f>
        <v>-2.7484485433545942E-2</v>
      </c>
      <c r="BE88" s="62">
        <f>IF(COUNTIFS(allFYsTable[Code], SummaryTable[[#This Row],[Code]], allFYsTable[year2], BE$3)=0, NotFound, SUMIFS(allFYsTable[OriginalBudget], allFYsTable[Code], SummaryTable[[#This Row],[Code]], allFYsTable[year2], BE$3))</f>
        <v>86377</v>
      </c>
      <c r="BF88" s="61">
        <f>SummaryTable[[#This Row],[OriginalBudget21]]-SummaryTable[[#This Row],[OriginalBudget20]]</f>
        <v>11801</v>
      </c>
      <c r="BG88" s="54">
        <f>SummaryTable[[#This Row],[BudgetIncreaseAmount21]]/SummaryTable[[#This Row],[OriginalBudget20]]</f>
        <v>0.15824125724093543</v>
      </c>
      <c r="BH88" s="61">
        <f>IF(COUNTIFS(allFYsTable[Code], SummaryTable[[#This Row],[Code]], allFYsTable[year2], BE$3)=0, NotFound, SUMIFS(allFYsTable[RevisedBudget], allFYsTable[Code], SummaryTable[[#This Row],[Code]], allFYsTable[year2], BE$3))</f>
        <v>81122</v>
      </c>
      <c r="BI88" s="61">
        <f>IF(COUNTIFS(allFYsTable[Code], SummaryTable[[#This Row],[Code]], allFYsTable[year2], BE$3)=0, NotFound, SUMIFS(allFYsTable[Actual], allFYsTable[Code], SummaryTable[[#This Row],[Code]], allFYsTable[year2], BE$3))</f>
        <v>79148</v>
      </c>
      <c r="BJ88" s="61">
        <f>IF(COUNTIFS(allFYsTable[Code], SummaryTable[[#This Row],[Code]], allFYsTable[year2], BE$3)=0, NotFound, SUMIFS(allFYsTable[DiffAmount], allFYsTable[Code], SummaryTable[[#This Row],[Code]], allFYsTable[year2], BE$3))</f>
        <v>-7229</v>
      </c>
      <c r="BK88" s="63">
        <f>IF(SummaryTable[[#This Row],[OriginalBudget21]]=0, IF(SummaryTable[[#This Row],[DiffAmount21]]=0, ZeroBudgetNoSpending, ZeroBudgetWithSpending), SummaryTable[[#This Row],[DiffAmount21]]/SummaryTable[[#This Row],[OriginalBudget21]])</f>
        <v>-8.3691260404968909E-2</v>
      </c>
      <c r="BL88" s="62">
        <f>IF(COUNTIFS(allFYsTable[Code], SummaryTable[[#This Row],[Code]], allFYsTable[year2], BL$3)=0, NotFound, SUMIFS(allFYsTable[OriginalBudget], allFYsTable[Code], SummaryTable[[#This Row],[Code]], allFYsTable[year2], BL$3))</f>
        <v>74576</v>
      </c>
      <c r="BM88" s="61">
        <f>SummaryTable[[#This Row],[OriginalBudget20]]-SummaryTable[[#This Row],[OriginalBudget19]]</f>
        <v>7413</v>
      </c>
      <c r="BN88" s="54">
        <f>SummaryTable[[#This Row],[BudgetIncreaseAmount20]]/SummaryTable[[#This Row],[OriginalBudget19]]</f>
        <v>0.11037327099742418</v>
      </c>
      <c r="BO88" s="61">
        <f>IF(COUNTIFS(allFYsTable[Code], SummaryTable[[#This Row],[Code]], allFYsTable[year2], BL$3)=0, NotFound, SUMIFS(allFYsTable[RevisedBudget], allFYsTable[Code], SummaryTable[[#This Row],[Code]], allFYsTable[year2], BL$3))</f>
        <v>73057</v>
      </c>
      <c r="BP88" s="61">
        <f>IF(COUNTIFS(allFYsTable[Code], SummaryTable[[#This Row],[Code]], allFYsTable[year2], BL$3)=0, NotFound, SUMIFS(allFYsTable[Actual], allFYsTable[Code], SummaryTable[[#This Row],[Code]], allFYsTable[year2], BL$3))</f>
        <v>72742</v>
      </c>
      <c r="BQ88" s="61">
        <f>IF(COUNTIFS(allFYsTable[Code], SummaryTable[[#This Row],[Code]], allFYsTable[year2], BL$3)=0, NotFound, SUMIFS(allFYsTable[DiffAmount], allFYsTable[Code], SummaryTable[[#This Row],[Code]], allFYsTable[year2], BL$3))</f>
        <v>-1834</v>
      </c>
      <c r="BR88" s="63">
        <f>IF(SummaryTable[[#This Row],[OriginalBudget20]]=0, IF(SummaryTable[[#This Row],[DiffAmount20]]=0, ZeroBudgetNoSpending, ZeroBudgetWithSpending), SummaryTable[[#This Row],[DiffAmount20]]/SummaryTable[[#This Row],[OriginalBudget20]])</f>
        <v>-2.4592362154044197E-2</v>
      </c>
      <c r="BS88" s="62">
        <f>IF(COUNTIFS(allFYsTable[Code], SummaryTable[[#This Row],[Code]], allFYsTable[year2], BS$3)=0, NotFound, SUMIFS(allFYsTable[OriginalBudget], allFYsTable[Code], SummaryTable[[#This Row],[Code]], allFYsTable[year2], BS$3))</f>
        <v>67163</v>
      </c>
      <c r="BT88" s="61">
        <f>SummaryTable[[#This Row],[OriginalBudget19]]-SummaryTable[[#This Row],[OriginalBudget18]]</f>
        <v>3547</v>
      </c>
      <c r="BU88" s="54">
        <f>SummaryTable[[#This Row],[BudgetIncreaseAmount19]]/SummaryTable[[#This Row],[OriginalBudget18]]</f>
        <v>5.5756413480885308E-2</v>
      </c>
      <c r="BV88" s="61">
        <f>IF(COUNTIFS(allFYsTable[Code], SummaryTable[[#This Row],[Code]], allFYsTable[year2], BS$3)=0, NotFound, SUMIFS(allFYsTable[RevisedBudget], allFYsTable[Code], SummaryTable[[#This Row],[Code]], allFYsTable[year2], BS$3))</f>
        <v>67163</v>
      </c>
      <c r="BW88" s="61">
        <f>IF(COUNTIFS(allFYsTable[Code], SummaryTable[[#This Row],[Code]], allFYsTable[year2], BS$3)=0, NotFound, SUMIFS(allFYsTable[Actual], allFYsTable[Code], SummaryTable[[#This Row],[Code]], allFYsTable[year2], BS$3))</f>
        <v>66740</v>
      </c>
      <c r="BX88" s="61">
        <f>IF(COUNTIFS(allFYsTable[Code], SummaryTable[[#This Row],[Code]], allFYsTable[year2], BS$3)=0, NotFound, SUMIFS(allFYsTable[DiffAmount], allFYsTable[Code], SummaryTable[[#This Row],[Code]], allFYsTable[year2], BS$3))</f>
        <v>-423</v>
      </c>
      <c r="BY88" s="63">
        <f>IF(SummaryTable[[#This Row],[OriginalBudget19]]=0, IF(SummaryTable[[#This Row],[DiffAmount19]]=0, ZeroBudgetNoSpending, ZeroBudgetWithSpending), SummaryTable[[#This Row],[DiffAmount19]]/SummaryTable[[#This Row],[OriginalBudget19]])</f>
        <v>-6.298110566829951E-3</v>
      </c>
      <c r="BZ88" s="62">
        <f>IF(COUNTIFS(allFYsTable[Code], SummaryTable[[#This Row],[Code]], allFYsTable[year2], BZ$3)=0, NotFound, SUMIFS(allFYsTable[OriginalBudget], allFYsTable[Code], SummaryTable[[#This Row],[Code]], allFYsTable[year2], BZ$3))</f>
        <v>63616</v>
      </c>
      <c r="CA88" s="61">
        <f>SummaryTable[[#This Row],[OriginalBudget18]]-SummaryTable[[#This Row],[OriginalBudget17]]</f>
        <v>2157</v>
      </c>
      <c r="CB88" s="54">
        <f>SummaryTable[[#This Row],[BudgetIncreaseAmount18]]/SummaryTable[[#This Row],[OriginalBudget17]]</f>
        <v>3.5096568444003322E-2</v>
      </c>
      <c r="CC88" s="61">
        <f>IF(COUNTIFS(allFYsTable[Code], SummaryTable[[#This Row],[Code]], allFYsTable[year2], BZ$3)=0, NotFound, SUMIFS(allFYsTable[RevisedBudget], allFYsTable[Code], SummaryTable[[#This Row],[Code]], allFYsTable[year2], BZ$3))</f>
        <v>64939</v>
      </c>
      <c r="CD88" s="61">
        <f>IF(COUNTIFS(allFYsTable[Code], SummaryTable[[#This Row],[Code]], allFYsTable[year2], BZ$3)=0, NotFound, SUMIFS(allFYsTable[Actual], allFYsTable[Code], SummaryTable[[#This Row],[Code]], allFYsTable[year2], BZ$3))</f>
        <v>64926</v>
      </c>
      <c r="CE88" s="61">
        <f>IF(COUNTIFS(allFYsTable[Code], SummaryTable[[#This Row],[Code]], allFYsTable[year2], BZ$3)=0, NotFound, SUMIFS(allFYsTable[DiffAmount], allFYsTable[Code], SummaryTable[[#This Row],[Code]], allFYsTable[year2], BZ$3))</f>
        <v>1310</v>
      </c>
      <c r="CF88" s="63">
        <f>IF(SummaryTable[[#This Row],[OriginalBudget18]]=0, IF(SummaryTable[[#This Row],[DiffAmount18]]=0, ZeroBudgetNoSpending, ZeroBudgetWithSpending), SummaryTable[[#This Row],[DiffAmount18]]/SummaryTable[[#This Row],[OriginalBudget18]])</f>
        <v>2.0592303822937627E-2</v>
      </c>
      <c r="CG88" s="62">
        <f>IF(COUNTIFS(allFYsTable[Code], SummaryTable[[#This Row],[Code]], allFYsTable[year2], CG$3)=0, NotFound, SUMIFS(allFYsTable[OriginalBudget], allFYsTable[Code], SummaryTable[[#This Row],[Code]], allFYsTable[year2], CG$3))</f>
        <v>61459</v>
      </c>
      <c r="CH88" s="61">
        <f>SummaryTable[[#This Row],[OriginalBudget17]]-SummaryTable[[#This Row],[OriginalBudget16]]</f>
        <v>4335</v>
      </c>
      <c r="CI88" s="54">
        <f>SummaryTable[[#This Row],[BudgetIncreaseAmount17]]/SummaryTable[[#This Row],[OriginalBudget16]]</f>
        <v>7.588754288915342E-2</v>
      </c>
      <c r="CJ88" s="61">
        <f>IF(COUNTIFS(allFYsTable[Code], SummaryTable[[#This Row],[Code]], allFYsTable[year2], CG$3)=0, NotFound, SUMIFS(allFYsTable[RevisedBudget], allFYsTable[Code], SummaryTable[[#This Row],[Code]], allFYsTable[year2], CG$3))</f>
        <v>60459</v>
      </c>
      <c r="CK88" s="61">
        <f>IF(COUNTIFS(allFYsTable[Code], SummaryTable[[#This Row],[Code]], allFYsTable[year2], CG$3)=0, NotFound, SUMIFS(allFYsTable[Actual], allFYsTable[Code], SummaryTable[[#This Row],[Code]], allFYsTable[year2], CG$3))</f>
        <v>56616</v>
      </c>
      <c r="CL88" s="61">
        <f>IF(COUNTIFS(allFYsTable[Code], SummaryTable[[#This Row],[Code]], allFYsTable[year2], CG$3)=0, NotFound, SUMIFS(allFYsTable[DiffAmount], allFYsTable[Code], SummaryTable[[#This Row],[Code]], allFYsTable[year2], CG$3))</f>
        <v>-4843</v>
      </c>
      <c r="CM88" s="63">
        <f>IF(SummaryTable[[#This Row],[OriginalBudget17]]=0, IF(SummaryTable[[#This Row],[DiffAmount17]]=0, ZeroBudgetNoSpending, ZeroBudgetWithSpending), SummaryTable[[#This Row],[DiffAmount17]]/SummaryTable[[#This Row],[OriginalBudget17]])</f>
        <v>-7.8800501147106197E-2</v>
      </c>
      <c r="CN88" s="62">
        <f>IF(COUNTIFS(allFYsTable[Code], SummaryTable[[#This Row],[Code]], allFYsTable[year2], CN$3)=0, NotFound, SUMIFS(allFYsTable[OriginalBudget], allFYsTable[Code], SummaryTable[[#This Row],[Code]], allFYsTable[year2], CN$3))</f>
        <v>57124</v>
      </c>
      <c r="CO88" s="61">
        <f>SummaryTable[[#This Row],[OriginalBudget16]]-SummaryTable[[#This Row],[OriginalBudget15]]</f>
        <v>-8863</v>
      </c>
      <c r="CP88" s="54">
        <f>SummaryTable[[#This Row],[BudgetIncreaseAmount16]]/SummaryTable[[#This Row],[OriginalBudget15]]</f>
        <v>-0.13431433464167183</v>
      </c>
      <c r="CQ88" s="61">
        <f>IF(COUNTIFS(allFYsTable[Code], SummaryTable[[#This Row],[Code]], allFYsTable[year2], CN$3)=0, NotFound, SUMIFS(allFYsTable[RevisedBudget], allFYsTable[Code], SummaryTable[[#This Row],[Code]], allFYsTable[year2], CN$3))</f>
        <v>56473</v>
      </c>
      <c r="CR88" s="61">
        <f>IF(COUNTIFS(allFYsTable[Code], SummaryTable[[#This Row],[Code]], allFYsTable[year2], CN$3)=0, NotFound, SUMIFS(allFYsTable[Actual], allFYsTable[Code], SummaryTable[[#This Row],[Code]], allFYsTable[year2], CN$3))</f>
        <v>53937</v>
      </c>
      <c r="CS88" s="61">
        <f>IF(COUNTIFS(allFYsTable[Code], SummaryTable[[#This Row],[Code]], allFYsTable[year2], CN$3)=0, NotFound, SUMIFS(allFYsTable[DiffAmount], allFYsTable[Code], SummaryTable[[#This Row],[Code]], allFYsTable[year2], CN$3))</f>
        <v>-3187</v>
      </c>
      <c r="CT88" s="63">
        <f>IF(SummaryTable[[#This Row],[OriginalBudget16]]=0, IF(SummaryTable[[#This Row],[DiffAmount16]]=0, ZeroBudgetNoSpending, ZeroBudgetWithSpending), SummaryTable[[#This Row],[DiffAmount16]]/SummaryTable[[#This Row],[OriginalBudget16]])</f>
        <v>-5.579091100063021E-2</v>
      </c>
      <c r="CU88" s="62">
        <f>IF(COUNTIFS(allFYsTable[Code], SummaryTable[[#This Row],[Code]], allFYsTable[year2], CU$3)=0, NotFound, SUMIFS(allFYsTable[OriginalBudget], allFYsTable[Code], SummaryTable[[#This Row],[Code]], allFYsTable[year2], CU$3))</f>
        <v>65987</v>
      </c>
      <c r="CV88" s="61">
        <f>SummaryTable[[#This Row],[OriginalBudget15]]-SummaryTable[[#This Row],[OriginalBudget14]]</f>
        <v>6015</v>
      </c>
      <c r="CW88" s="54">
        <f>SummaryTable[[#This Row],[BudgetIncreaseAmount15]]/SummaryTable[[#This Row],[OriginalBudget14]]</f>
        <v>0.10029680517574868</v>
      </c>
      <c r="CX88" s="61">
        <f>IF(COUNTIFS(allFYsTable[Code], SummaryTable[[#This Row],[Code]], allFYsTable[year2], CU$3)=0, NotFound, SUMIFS(allFYsTable[RevisedBudget], allFYsTable[Code], SummaryTable[[#This Row],[Code]], allFYsTable[year2], CU$3))</f>
        <v>66754</v>
      </c>
      <c r="CY88" s="61">
        <f>IF(COUNTIFS(allFYsTable[Code], SummaryTable[[#This Row],[Code]], allFYsTable[year2], CU$3)=0, NotFound, SUMIFS(allFYsTable[Actual], allFYsTable[Code], SummaryTable[[#This Row],[Code]], allFYsTable[year2], CU$3))</f>
        <v>64039</v>
      </c>
      <c r="CZ88" s="61">
        <f>IF(COUNTIFS(allFYsTable[Code], SummaryTable[[#This Row],[Code]], allFYsTable[year2], CU$3)=0, NotFound, SUMIFS(allFYsTable[DiffAmount], allFYsTable[Code], SummaryTable[[#This Row],[Code]], allFYsTable[year2], CU$3))</f>
        <v>-1948</v>
      </c>
      <c r="DA88" s="63">
        <f>IF(SummaryTable[[#This Row],[OriginalBudget15]]=0, IF(SummaryTable[[#This Row],[DiffAmount15]]=0, ZeroBudgetNoSpending, ZeroBudgetWithSpending), SummaryTable[[#This Row],[DiffAmount15]]/SummaryTable[[#This Row],[OriginalBudget15]])</f>
        <v>-2.9520966250928211E-2</v>
      </c>
      <c r="DB88" s="62">
        <f>IF(COUNTIFS(allFYsTable[Code], SummaryTable[[#This Row],[Code]], allFYsTable[year2], DB$3)=0, NotFound, SUMIFS(allFYsTable[OriginalBudget], allFYsTable[Code], SummaryTable[[#This Row],[Code]], allFYsTable[year2], DB$3))</f>
        <v>59972</v>
      </c>
      <c r="DC88" s="61">
        <f>SummaryTable[[#This Row],[OriginalBudget14]]-SummaryTable[[#This Row],[OriginalBudget13]]</f>
        <v>1284</v>
      </c>
      <c r="DD88" s="54">
        <f>SummaryTable[[#This Row],[BudgetIncreaseAmount14]]/SummaryTable[[#This Row],[OriginalBudget13]]</f>
        <v>2.1878407851690294E-2</v>
      </c>
      <c r="DE88" s="61">
        <f>IF(COUNTIFS(allFYsTable[Code], SummaryTable[[#This Row],[Code]], allFYsTable[year2], DB$3)=0, NotFound, SUMIFS(allFYsTable[RevisedBudget], allFYsTable[Code], SummaryTable[[#This Row],[Code]], allFYsTable[year2], DB$3))</f>
        <v>61535</v>
      </c>
      <c r="DF88" s="61">
        <f>IF(COUNTIFS(allFYsTable[Code], SummaryTable[[#This Row],[Code]], allFYsTable[year2], DB$3)=0, NotFound, SUMIFS(allFYsTable[Actual], allFYsTable[Code], SummaryTable[[#This Row],[Code]], allFYsTable[year2], DB$3))</f>
        <v>59813</v>
      </c>
      <c r="DG88" s="61">
        <f>IF(COUNTIFS(allFYsTable[Code], SummaryTable[[#This Row],[Code]], allFYsTable[year2], DB$3)=0, NotFound, SUMIFS(allFYsTable[DiffAmount], allFYsTable[Code], SummaryTable[[#This Row],[Code]], allFYsTable[year2], DB$3))</f>
        <v>-159</v>
      </c>
      <c r="DH88" s="63">
        <f>IF(SummaryTable[[#This Row],[OriginalBudget14]]=0, IF(SummaryTable[[#This Row],[DiffAmount14]]=0, ZeroBudgetNoSpending, ZeroBudgetWithSpending), SummaryTable[[#This Row],[DiffAmount14]]/SummaryTable[[#This Row],[OriginalBudget14]])</f>
        <v>-2.651237244047222E-3</v>
      </c>
      <c r="DI88" s="62">
        <f>IF(COUNTIFS(allFYsTable[Code], SummaryTable[[#This Row],[Code]], allFYsTable[year2], DI$3)=0, NotFound, SUMIFS(allFYsTable[OriginalBudget], allFYsTable[Code], SummaryTable[[#This Row],[Code]], allFYsTable[year2], DI$3))</f>
        <v>58688</v>
      </c>
      <c r="DJ88" s="61">
        <f>SummaryTable[[#This Row],[OriginalBudget13]]-SummaryTable[[#This Row],[OriginalBudget12]]</f>
        <v>2027</v>
      </c>
      <c r="DK88" s="54">
        <f>SummaryTable[[#This Row],[BudgetIncreaseAmount13]]/SummaryTable[[#This Row],[OriginalBudget12]]</f>
        <v>3.5774165651859306E-2</v>
      </c>
      <c r="DL88" s="61">
        <f>IF(COUNTIFS(allFYsTable[Code], SummaryTable[[#This Row],[Code]], allFYsTable[year2], DI$3)=0, NotFound, SUMIFS(allFYsTable[RevisedBudget], allFYsTable[Code], SummaryTable[[#This Row],[Code]], allFYsTable[year2], DI$3))</f>
        <v>59068</v>
      </c>
      <c r="DM88" s="61">
        <f>IF(COUNTIFS(allFYsTable[Code], SummaryTable[[#This Row],[Code]], allFYsTable[year2], DI$3)=0, NotFound, SUMIFS(allFYsTable[Actual], allFYsTable[Code], SummaryTable[[#This Row],[Code]], allFYsTable[year2], DI$3))</f>
        <v>57336</v>
      </c>
      <c r="DN88" s="61">
        <f>IF(COUNTIFS(allFYsTable[Code], SummaryTable[[#This Row],[Code]], allFYsTable[year2], DI$3)=0, NotFound, SUMIFS(allFYsTable[DiffAmount], allFYsTable[Code], SummaryTable[[#This Row],[Code]], allFYsTable[year2], DI$3))</f>
        <v>-1352</v>
      </c>
      <c r="DO88" s="63">
        <f>IF(SummaryTable[[#This Row],[OriginalBudget13]]=0, IF(SummaryTable[[#This Row],[DiffAmount13]]=0, ZeroBudgetNoSpending, ZeroBudgetWithSpending), SummaryTable[[#This Row],[DiffAmount13]]/SummaryTable[[#This Row],[OriginalBudget13]])</f>
        <v>-2.3037077426390405E-2</v>
      </c>
      <c r="DP88" s="62">
        <f>IF(COUNTIFS(allFYsTable[Code], SummaryTable[[#This Row],[Code]], allFYsTable[year2], DP$3)=0, NotFound, SUMIFS(allFYsTable[OriginalBudget], allFYsTable[Code], SummaryTable[[#This Row],[Code]], allFYsTable[year2], DP$3))</f>
        <v>56661</v>
      </c>
      <c r="DQ88" s="61">
        <f>SummaryTable[[#This Row],[OriginalBudget12]]-SummaryTable[[#This Row],[OriginalBudget11]]</f>
        <v>6441</v>
      </c>
      <c r="DR88" s="54">
        <f>SummaryTable[[#This Row],[BudgetIncreaseAmount12]]/SummaryTable[[#This Row],[OriginalBudget11]]</f>
        <v>0.12825567502986857</v>
      </c>
      <c r="DS88" s="61">
        <f>IF(COUNTIFS(allFYsTable[Code], SummaryTable[[#This Row],[Code]], allFYsTable[year2], DP$3)=0, NotFound, SUMIFS(allFYsTable[RevisedBudget], allFYsTable[Code], SummaryTable[[#This Row],[Code]], allFYsTable[year2], DP$3))</f>
        <v>56531</v>
      </c>
      <c r="DT88" s="61">
        <f>IF(COUNTIFS(allFYsTable[Code], SummaryTable[[#This Row],[Code]], allFYsTable[year2], DP$3)=0, NotFound, SUMIFS(allFYsTable[Actual], allFYsTable[Code], SummaryTable[[#This Row],[Code]], allFYsTable[year2], DP$3))</f>
        <v>54970</v>
      </c>
      <c r="DU88" s="61">
        <f>IF(COUNTIFS(allFYsTable[Code], SummaryTable[[#This Row],[Code]], allFYsTable[year2], DP$3)=0, NotFound, SUMIFS(allFYsTable[DiffAmount], allFYsTable[Code], SummaryTable[[#This Row],[Code]], allFYsTable[year2], DP$3))</f>
        <v>-1691</v>
      </c>
      <c r="DV88" s="63">
        <f>IF(SummaryTable[[#This Row],[OriginalBudget12]]=0, IF(SummaryTable[[#This Row],[DiffAmount12]]=0, ZeroBudgetNoSpending, ZeroBudgetWithSpending), SummaryTable[[#This Row],[DiffAmount12]]/SummaryTable[[#This Row],[OriginalBudget12]])</f>
        <v>-2.9844160886676904E-2</v>
      </c>
      <c r="DW88" s="62">
        <f>IF(COUNTIFS(allFYsTable[Code], SummaryTable[[#This Row],[Code]], allFYsTable[year2], DW$3)=0, NotFound, SUMIFS(allFYsTable[OriginalBudget], allFYsTable[Code], SummaryTable[[#This Row],[Code]], allFYsTable[year2], DW$3))</f>
        <v>50220</v>
      </c>
      <c r="DX88" s="61">
        <f>SummaryTable[[#This Row],[OriginalBudget11]]-SummaryTable[[#This Row],[OriginalBudget10]]</f>
        <v>-8083</v>
      </c>
      <c r="DY88" s="54">
        <f>SummaryTable[[#This Row],[BudgetIncreaseAmount11]]/SummaryTable[[#This Row],[OriginalBudget10]]</f>
        <v>-0.1386378059448056</v>
      </c>
      <c r="DZ88" s="61">
        <f>IF(COUNTIFS(allFYsTable[Code], SummaryTable[[#This Row],[Code]], allFYsTable[year2], DW$3)=0, NotFound, SUMIFS(allFYsTable[RevisedBudget], allFYsTable[Code], SummaryTable[[#This Row],[Code]], allFYsTable[year2], DW$3))</f>
        <v>50220</v>
      </c>
      <c r="EA88" s="61">
        <f>IF(COUNTIFS(allFYsTable[Code], SummaryTable[[#This Row],[Code]], allFYsTable[year2], DW$3)=0, NotFound, SUMIFS(allFYsTable[Actual], allFYsTable[Code], SummaryTable[[#This Row],[Code]], allFYsTable[year2], DW$3))</f>
        <v>48936</v>
      </c>
      <c r="EB88" s="61">
        <f>IF(COUNTIFS(allFYsTable[Code], SummaryTable[[#This Row],[Code]], allFYsTable[year2], DW$3)=0, NotFound, SUMIFS(allFYsTable[DiffAmount], allFYsTable[Code], SummaryTable[[#This Row],[Code]], allFYsTable[year2], DW$3))</f>
        <v>-1284</v>
      </c>
      <c r="EC88" s="63">
        <f>IF(SummaryTable[[#This Row],[OriginalBudget11]]=0, IF(SummaryTable[[#This Row],[DiffAmount11]]=0, ZeroBudgetNoSpending, ZeroBudgetWithSpending), SummaryTable[[#This Row],[DiffAmount11]]/SummaryTable[[#This Row],[OriginalBudget11]])</f>
        <v>-2.5567502986857827E-2</v>
      </c>
      <c r="ED88" s="62">
        <f>IF(COUNTIFS(allFYsTable[Code], SummaryTable[[#This Row],[Code]], allFYsTable[year2], ED$3)=0, NotFound, SUMIFS(allFYsTable[OriginalBudget], allFYsTable[Code], SummaryTable[[#This Row],[Code]], allFYsTable[year2], ED$3))</f>
        <v>58303</v>
      </c>
      <c r="EE88" s="61">
        <f>SummaryTable[[#This Row],[OriginalBudget10]]-SummaryTable[[#This Row],[OriginalBudget09]]</f>
        <v>-5737</v>
      </c>
      <c r="EF88" s="54">
        <f>SummaryTable[[#This Row],[BudgetIncreaseAmount10]]/SummaryTable[[#This Row],[OriginalBudget09]]</f>
        <v>-8.958463460337289E-2</v>
      </c>
      <c r="EG88" s="61">
        <f>IF(COUNTIFS(allFYsTable[Code], SummaryTable[[#This Row],[Code]], allFYsTable[year2], ED$3)=0, NotFound, SUMIFS(allFYsTable[RevisedBudget], allFYsTable[Code], SummaryTable[[#This Row],[Code]], allFYsTable[year2], ED$3))</f>
        <v>56748</v>
      </c>
      <c r="EH88" s="61">
        <f>IF(COUNTIFS(allFYsTable[Code], SummaryTable[[#This Row],[Code]], allFYsTable[year2], ED$3)=0, NotFound, SUMIFS(allFYsTable[Actual], allFYsTable[Code], SummaryTable[[#This Row],[Code]], allFYsTable[year2], ED$3))</f>
        <v>56039</v>
      </c>
      <c r="EI88" s="61">
        <f>IF(COUNTIFS(allFYsTable[Code], SummaryTable[[#This Row],[Code]], allFYsTable[year2], ED$3)=0, NotFound, SUMIFS(allFYsTable[DiffAmount], allFYsTable[Code], SummaryTable[[#This Row],[Code]], allFYsTable[year2], ED$3))</f>
        <v>-2264</v>
      </c>
      <c r="EJ88" s="63">
        <f>IF(SummaryTable[[#This Row],[OriginalBudget10]]=0, IF(SummaryTable[[#This Row],[DiffAmount10]]=0, ZeroBudgetNoSpending, ZeroBudgetWithSpending), SummaryTable[[#This Row],[DiffAmount10]]/SummaryTable[[#This Row],[OriginalBudget10]])</f>
        <v>-3.8831621014356034E-2</v>
      </c>
      <c r="EK88" s="62">
        <f>IF(COUNTIFS(allFYsTable[Code], SummaryTable[[#This Row],[Code]], allFYsTable[year2], EK$3)=0, NotFound, SUMIFS(allFYsTable[OriginalBudget], allFYsTable[Code], SummaryTable[[#This Row],[Code]], allFYsTable[year2], EK$3))</f>
        <v>64040</v>
      </c>
      <c r="EL88" s="61">
        <f>SummaryTable[[#This Row],[OriginalBudget09]]-SummaryTable[[#This Row],[OriginalBudget08]]</f>
        <v>5370</v>
      </c>
      <c r="EM88" s="54">
        <f>SummaryTable[[#This Row],[BudgetIncreaseAmount09]]/SummaryTable[[#This Row],[OriginalBudget08]]</f>
        <v>9.1528890403954316E-2</v>
      </c>
      <c r="EN88" s="61">
        <f>IF(COUNTIFS(allFYsTable[Code], SummaryTable[[#This Row],[Code]], allFYsTable[year2], EK$3)=0, NotFound, SUMIFS(allFYsTable[RevisedBudget], allFYsTable[Code], SummaryTable[[#This Row],[Code]], allFYsTable[year2], EK$3))</f>
        <v>62876</v>
      </c>
      <c r="EO88" s="61">
        <f>IF(COUNTIFS(allFYsTable[Code], SummaryTable[[#This Row],[Code]], allFYsTable[year2], EK$3)=0, NotFound, SUMIFS(allFYsTable[Actual], allFYsTable[Code], SummaryTable[[#This Row],[Code]], allFYsTable[year2], EK$3))</f>
        <v>62564</v>
      </c>
      <c r="EP88" s="61">
        <f>IF(COUNTIFS(allFYsTable[Code], SummaryTable[[#This Row],[Code]], allFYsTable[year2], EK$3)=0, NotFound, SUMIFS(allFYsTable[DiffAmount], allFYsTable[Code], SummaryTable[[#This Row],[Code]], allFYsTable[year2], EK$3))</f>
        <v>-1476</v>
      </c>
      <c r="EQ88" s="63">
        <f>IF(SummaryTable[[#This Row],[OriginalBudget09]]=0, IF(SummaryTable[[#This Row],[DiffAmount09]]=0, ZeroBudgetNoSpending, ZeroBudgetWithSpending), SummaryTable[[#This Row],[DiffAmount09]]/SummaryTable[[#This Row],[OriginalBudget09]])</f>
        <v>-2.3048094940662085E-2</v>
      </c>
      <c r="ER88" s="62">
        <f>IF(COUNTIFS(allFYsTable[Code], SummaryTable[[#This Row],[Code]], allFYsTable[year2], ER$3)=0, NotFound, SUMIFS(allFYsTable[OriginalBudget], allFYsTable[Code], SummaryTable[[#This Row],[Code]], allFYsTable[year2], ER$3))</f>
        <v>58670</v>
      </c>
      <c r="ES88" s="61">
        <f>SummaryTable[[#This Row],[OriginalBudget08]]-SummaryTable[[#This Row],[OriginalBudget07]]</f>
        <v>3481</v>
      </c>
      <c r="ET88" s="54">
        <f>SummaryTable[[#This Row],[BudgetIncreaseAmount08]]/SummaryTable[[#This Row],[OriginalBudget07]]</f>
        <v>6.3074163329649019E-2</v>
      </c>
      <c r="EU88" s="61">
        <f>IF(COUNTIFS(allFYsTable[Code], SummaryTable[[#This Row],[Code]], allFYsTable[year2], ER$3)=0, NotFound, SUMIFS(allFYsTable[RevisedBudget], allFYsTable[Code], SummaryTable[[#This Row],[Code]], allFYsTable[year2], ER$3))</f>
        <v>62759</v>
      </c>
      <c r="EV88" s="61">
        <f>IF(COUNTIFS(allFYsTable[Code], SummaryTable[[#This Row],[Code]], allFYsTable[year2], ER$3)=0, NotFound, SUMIFS(allFYsTable[Actual], allFYsTable[Code], SummaryTable[[#This Row],[Code]], allFYsTable[year2], ER$3))</f>
        <v>61899</v>
      </c>
      <c r="EW88" s="61">
        <f>IF(COUNTIFS(allFYsTable[Code], SummaryTable[[#This Row],[Code]], allFYsTable[year2], ER$3)=0, NotFound, SUMIFS(allFYsTable[DiffAmount], allFYsTable[Code], SummaryTable[[#This Row],[Code]], allFYsTable[year2], ER$3))</f>
        <v>3229</v>
      </c>
      <c r="EX88" s="63">
        <f>IF(SummaryTable[[#This Row],[OriginalBudget08]]=0, IF(SummaryTable[[#This Row],[DiffAmount08]]=0, ZeroBudgetNoSpending, ZeroBudgetWithSpending), SummaryTable[[#This Row],[DiffAmount08]]/SummaryTable[[#This Row],[OriginalBudget08]])</f>
        <v>5.5036645645133803E-2</v>
      </c>
      <c r="EY88" s="62">
        <f>IF(COUNTIFS(allFYsTable[Code], SummaryTable[[#This Row],[Code]], allFYsTable[year2], EY$3)=0, NotFound, SUMIFS(allFYsTable[OriginalBudget], allFYsTable[Code], SummaryTable[[#This Row],[Code]], allFYsTable[year2], EY$3))</f>
        <v>55189</v>
      </c>
      <c r="EZ88" s="61">
        <f>SummaryTable[[#This Row],[OriginalBudget07]]-SummaryTable[[#This Row],[OriginalBudget06]]</f>
        <v>14384</v>
      </c>
      <c r="FA88" s="54">
        <f>SummaryTable[[#This Row],[BudgetIncreaseAmount07]]/SummaryTable[[#This Row],[OriginalBudget06]]</f>
        <v>0.35250582036515132</v>
      </c>
      <c r="FB88" s="61">
        <f>IF(COUNTIFS(allFYsTable[Code], SummaryTable[[#This Row],[Code]], allFYsTable[year2], EY$3)=0, NotFound, SUMIFS(allFYsTable[RevisedBudget], allFYsTable[Code], SummaryTable[[#This Row],[Code]], allFYsTable[year2], EY$3))</f>
        <v>57292</v>
      </c>
      <c r="FC88" s="61">
        <f>IF(COUNTIFS(allFYsTable[Code], SummaryTable[[#This Row],[Code]], allFYsTable[year2], EY$3)=0, NotFound, SUMIFS(allFYsTable[Actual], allFYsTable[Code], SummaryTable[[#This Row],[Code]], allFYsTable[year2], EY$3))</f>
        <v>55291</v>
      </c>
      <c r="FD88" s="61">
        <f>IF(COUNTIFS(allFYsTable[Code], SummaryTable[[#This Row],[Code]], allFYsTable[year2], EY$3)=0, NotFound, SUMIFS(allFYsTable[DiffAmount], allFYsTable[Code], SummaryTable[[#This Row],[Code]], allFYsTable[year2], EY$3))</f>
        <v>102</v>
      </c>
      <c r="FE88" s="63">
        <f>IF(SummaryTable[[#This Row],[OriginalBudget07]]=0, IF(SummaryTable[[#This Row],[DiffAmount07]]=0, ZeroBudgetNoSpending, ZeroBudgetWithSpending), SummaryTable[[#This Row],[DiffAmount07]]/SummaryTable[[#This Row],[OriginalBudget07]])</f>
        <v>1.8481943865625396E-3</v>
      </c>
      <c r="FF88" s="62">
        <f>IF(COUNTIFS(allFYsTable[Code], SummaryTable[[#This Row],[Code]], allFYsTable[year2], FF$3)=0, NotFound, SUMIFS(allFYsTable[OriginalBudget], allFYsTable[Code], SummaryTable[[#This Row],[Code]], allFYsTable[year2], FF$3))</f>
        <v>40805</v>
      </c>
      <c r="FI88" s="61">
        <f>IF(COUNTIFS(allFYsTable[Code], SummaryTable[[#This Row],[Code]], allFYsTable[year2], FF$3)=0, NotFound, SUMIFS(allFYsTable[RevisedBudget], allFYsTable[Code], SummaryTable[[#This Row],[Code]], allFYsTable[year2], FF$3))</f>
        <v>41452</v>
      </c>
      <c r="FJ88" s="61">
        <f>IF(COUNTIFS(allFYsTable[Code], SummaryTable[[#This Row],[Code]], allFYsTable[year2], FF$3)=0, NotFound, SUMIFS(allFYsTable[Actual], allFYsTable[Code], SummaryTable[[#This Row],[Code]], allFYsTable[year2], FF$3))</f>
        <v>40727</v>
      </c>
      <c r="FK88" s="61">
        <f>IF(COUNTIFS(allFYsTable[Code], SummaryTable[[#This Row],[Code]], allFYsTable[year2], FF$3)=0, NotFound, SUMIFS(allFYsTable[DiffAmount], allFYsTable[Code], SummaryTable[[#This Row],[Code]], allFYsTable[year2], FF$3))</f>
        <v>-78</v>
      </c>
      <c r="FL88" s="63">
        <f>IF(SummaryTable[[#This Row],[OriginalBudget06]]=0, IF(SummaryTable[[#This Row],[DiffAmount06]]=0, ZeroBudgetNoSpending, ZeroBudgetWithSpending), SummaryTable[[#This Row],[DiffAmount06]]/SummaryTable[[#This Row],[OriginalBudget06]])</f>
        <v>-1.9115304496997918E-3</v>
      </c>
    </row>
    <row r="89" spans="1:168" x14ac:dyDescent="0.45">
      <c r="A89" t="s">
        <v>720</v>
      </c>
      <c r="B89">
        <f>_xlfn.MAXIFS(allFYsTable[year2], allFYsTable[Code], SummaryTable[[#This Row],[Code]])</f>
        <v>2025</v>
      </c>
      <c r="C89" t="str">
        <f>_xlfn.XLOOKUP(SummaryTable[[#This Row],[Code]], NameCodingTable[Code], NameCodingTable[Most Recent Category per allFYs])</f>
        <v>Governmental direction and support</v>
      </c>
      <c r="D89" t="str">
        <f>_xlfn.XLOOKUP(SummaryTable[[#This Row],[Code]], NameCodingTable[Code], NameCodingTable[Unit Display Name])</f>
        <v>Office of the Chief Financial Officer (OCFO)</v>
      </c>
      <c r="E89" t="str">
        <f>_xlfn.XLOOKUP(SummaryTable[[#This Row],[Code]], NameCodingTable[Code], NameCodingTable[Type])</f>
        <v>agency</v>
      </c>
      <c r="F8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8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12</v>
      </c>
      <c r="H89" s="54">
        <f>SummaryTable[[#This Row],['# Over]]/SummaryTable[[#This Row],[Count]]</f>
        <v>0.6</v>
      </c>
      <c r="I8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8</v>
      </c>
      <c r="J89" s="54">
        <f>SummaryTable[[#This Row],['# Under]]/SummaryTable[[#This Row],[Count]]</f>
        <v>0.4</v>
      </c>
      <c r="K8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89" s="54">
        <f>SummaryTable[[#This Row],['# Equal]]/SummaryTable[[#This Row],[Count]]</f>
        <v>0</v>
      </c>
      <c r="M89" s="61">
        <f>SUMIFS(allFYsTable[OriginalBudget],allFYsTable[Code],SummaryTable[[#This Row],[Code]])/SummaryTable[[#This Row],[Count]]</f>
        <v>131170.65</v>
      </c>
      <c r="N89" s="61">
        <f>SUMIFS(allFYsTable[Actual],allFYsTable[Code],SummaryTable[[#This Row],[Code]])/SummaryTable[[#This Row],[Count]]</f>
        <v>133039</v>
      </c>
      <c r="O89" s="61">
        <f>SummaryTable[[#This Row],[AvgActAmt]]-SummaryTable[[#This Row],[AvgBudAmt]]</f>
        <v>1868.3500000000058</v>
      </c>
      <c r="P89" s="54">
        <f>IF(SummaryTable[[#This Row],[AvgBudAmt]]=0, IF(SummaryTable[[#This Row],[AvgDiff'#]]=0, 0, NamedFields!$C$3), SummaryTable[[#This Row],[AvgDiff'#]]/SummaryTable[[#This Row],[AvgBudAmt]])</f>
        <v>1.4243658928274014E-2</v>
      </c>
      <c r="Q89" s="61">
        <f>IFERROR(SUMIFS(allFYsTable[OriginalBudget],allFYsTable[Code],SummaryTable[[#This Row],[Code]],allFYsTable[DiffAmount], "&gt;0")/SummaryTable[[#This Row],['# Over]], 0)</f>
        <v>131496.41666666666</v>
      </c>
      <c r="R89" s="61">
        <f>IFERROR(SUMIFS(allFYsTable[Actual],allFYsTable[Code],SummaryTable[[#This Row],[Code]],allFYsTable[DiffAmount], "&gt;0")/SummaryTable[[#This Row],['# Over]], 0)</f>
        <v>134971.16666666666</v>
      </c>
      <c r="S89" s="61">
        <f>SummaryTable[[#This Row],[OverAvgAct]]-SummaryTable[[#This Row],[OverAvgBud]]</f>
        <v>3474.75</v>
      </c>
      <c r="T89" s="54">
        <f>IF(SummaryTable[[#This Row],[OverAvgBud]]=0, IF(SummaryTable[[#This Row],[OverAvgDiff'#]]=0, ZeroBudgetNoSpending, ZeroBudgetWithSpending), SummaryTable[[#This Row],[OverAvgDiff'#]]/SummaryTable[[#This Row],[OverAvgBud]])</f>
        <v>2.6424674436629138E-2</v>
      </c>
      <c r="U89" s="61">
        <f>IFERROR(SUMIFS(allFYsTable[OriginalBudget],allFYsTable[Code],SummaryTable[[#This Row],[Code]],allFYsTable[DiffAmount], "&lt;0")/SummaryTable[[#This Row],['# Under]], 0)</f>
        <v>130682</v>
      </c>
      <c r="V89" s="61">
        <f>IFERROR( SUMIFS(allFYsTable[Actual],allFYsTable[Code],SummaryTable[[#This Row],[Code]],allFYsTable[DiffAmount], "&lt;0")/SummaryTable[[#This Row],['# Under]], 0)</f>
        <v>130140.75</v>
      </c>
      <c r="W89" s="61">
        <f>SummaryTable[[#This Row],[UnderAvgAct]]-SummaryTable[[#This Row],[UnderAvgBud]]</f>
        <v>-541.25</v>
      </c>
      <c r="X89" s="54">
        <f>IF(SummaryTable[[#This Row],[UnderAvgBud]]=0, IF(SummaryTable[[#This Row],[UnderAvgDiff'#]]=0, ZeroBudgetNoSpending, NamedFields!$C$3), SummaryTable[[#This Row],[UnderAvgDiff'#]]/SummaryTable[[#This Row],[UnderAvgBud]])</f>
        <v>-4.1417333680231405E-3</v>
      </c>
      <c r="Y8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8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89" s="54">
        <f>IF(SummaryTable[[#This Row],[IncreaseYears]]=0, ZeroBudgetNoSpending, SummaryTable[[#This Row],[OSinIncreaseYear'#]]/SummaryTable[[#This Row],[IncreaseYears]])</f>
        <v>0</v>
      </c>
      <c r="AB89" s="58" t="str">
        <f>SummaryTable[[#This Row],[Code]]</f>
        <v>AT0</v>
      </c>
      <c r="AC89" s="62">
        <f>IF(COUNTIFS(allFYsTable[Code], SummaryTable[[#This Row],[Code]], allFYsTable[year2], AC$3)=0, NotFound, SUMIFS(allFYsTable[OriginalBudget], allFYsTable[Code], SummaryTable[[#This Row],[Code]], allFYsTable[year2], AC$3))</f>
        <v>175987</v>
      </c>
      <c r="AD89" s="61">
        <f>SummaryTable[[#This Row],[OriginalBudget25]]-SummaryTable[[#This Row],[OriginalBudget24]]</f>
        <v>3001</v>
      </c>
      <c r="AE89" s="54">
        <f>SummaryTable[[#This Row],[BudgetIncreaseAmount25]]/SummaryTable[[#This Row],[OriginalBudget24]]</f>
        <v>1.7348224711826392E-2</v>
      </c>
      <c r="AF89" s="61">
        <f>IF(COUNTIFS(allFYsTable[Code], SummaryTable[[#This Row],[Code]], allFYsTable[year2], AC$3)=0, NotFound, SUMIFS(allFYsTable[RevisedBudget], allFYsTable[Code], SummaryTable[[#This Row],[Code]], allFYsTable[year2], AC$3))</f>
        <v>175387</v>
      </c>
      <c r="AG89" s="61">
        <f>IF(COUNTIFS(allFYsTable[Code], SummaryTable[[#This Row],[Code]], allFYsTable[year2], AC$3)=0, NotFound, SUMIFS(allFYsTable[Actual], allFYsTable[Code], SummaryTable[[#This Row],[Code]], allFYsTable[year2], AC$3))</f>
        <v>175306</v>
      </c>
      <c r="AH89" s="61">
        <f>IF(COUNTIFS(allFYsTable[Code], SummaryTable[[#This Row],[Code]], allFYsTable[year2], AC$3)=0, NotFound, SUMIFS(allFYsTable[DiffAmount], allFYsTable[Code], SummaryTable[[#This Row],[Code]], allFYsTable[year2], AC$3))</f>
        <v>-681</v>
      </c>
      <c r="AI89" s="63">
        <f>IF(SummaryTable[[#This Row],[OriginalBudget25]]=0, IF(SummaryTable[[#This Row],[DiffAmount25]]=0, ZeroBudgetNoSpending, ZeroBudgetWithSpending), SummaryTable[[#This Row],[DiffAmount25]]/SummaryTable[[#This Row],[OriginalBudget25]])</f>
        <v>-3.8696040048412667E-3</v>
      </c>
      <c r="AJ89" s="62">
        <f>IF(COUNTIFS(allFYsTable[Code], SummaryTable[[#This Row],[Code]], allFYsTable[year2], AJ$3)=0, NotFound, SUMIFS(allFYsTable[OriginalBudget], allFYsTable[Code], SummaryTable[[#This Row],[Code]], allFYsTable[year2], AJ$3))</f>
        <v>172986</v>
      </c>
      <c r="AK89" s="61">
        <f>SummaryTable[[#This Row],[OriginalBudget24]]-SummaryTable[[#This Row],[OriginalBudget23]]</f>
        <v>-5936</v>
      </c>
      <c r="AL89" s="54">
        <f>SummaryTable[[#This Row],[BudgetIncreaseAmount24]]/SummaryTable[[#This Row],[OriginalBudget23]]</f>
        <v>-3.3176467958104652E-2</v>
      </c>
      <c r="AM89" s="61">
        <f>IF(COUNTIFS(allFYsTable[Code], SummaryTable[[#This Row],[Code]], allFYsTable[year2], AK$3)=0, NotFound, SUMIFS(allFYsTable[RevisedBudget], allFYsTable[Code], SummaryTable[[#This Row],[Code]], allFYsTable[year2], AJ$3))</f>
        <v>176180</v>
      </c>
      <c r="AN89" s="61">
        <f>IF(COUNTIFS(allFYsTable[Code], SummaryTable[[#This Row],[Code]], allFYsTable[year2], AJ$3)=0, NotFound, SUMIFS(allFYsTable[Actual], allFYsTable[Code], SummaryTable[[#This Row],[Code]], allFYsTable[year2], AJ$3))</f>
        <v>176144</v>
      </c>
      <c r="AO89" s="61">
        <f>IF(COUNTIFS(allFYsTable[Code], SummaryTable[[#This Row],[Code]], allFYsTable[year2], AJ$3)=0, NotFound, SUMIFS(allFYsTable[DiffAmount], allFYsTable[Code], SummaryTable[[#This Row],[Code]], allFYsTable[year2], AJ$3))</f>
        <v>3158</v>
      </c>
      <c r="AP89" s="63">
        <f>IF(SummaryTable[[#This Row],[OriginalBudget24]]=0, IF(SummaryTable[[#This Row],[DiffAmount24]]=0, ZeroBudgetNoSpending, ZeroBudgetWithSpending), SummaryTable[[#This Row],[DiffAmount24]]/SummaryTable[[#This Row],[OriginalBudget24]])</f>
        <v>1.8255812609112874E-2</v>
      </c>
      <c r="AQ89" s="62">
        <f>IF(COUNTIFS(allFYsTable[Code], SummaryTable[[#This Row],[Code]], allFYsTable[year2], AQ$3)=0, NotFound, SUMIFS(allFYsTable[OriginalBudget], allFYsTable[Code], SummaryTable[[#This Row],[Code]], allFYsTable[year2], AQ$3))</f>
        <v>178922</v>
      </c>
      <c r="AR89" s="61">
        <f>SummaryTable[[#This Row],[OriginalBudget23]]-SummaryTable[[#This Row],[OriginalBudget22]]</f>
        <v>31034</v>
      </c>
      <c r="AS89" s="54">
        <f>SummaryTable[[#This Row],[BudgetIncreaseAmount23]]/SummaryTable[[#This Row],[OriginalBudget22]]</f>
        <v>0.20984799307584118</v>
      </c>
      <c r="AT89" s="61">
        <f>IF(COUNTIFS(allFYsTable[Code], SummaryTable[[#This Row],[Code]], allFYsTable[year2], AQ$3)=0, NotFound, SUMIFS(allFYsTable[RevisedBudget], allFYsTable[Code], SummaryTable[[#This Row],[Code]], allFYsTable[year2], AQ$3))</f>
        <v>179029</v>
      </c>
      <c r="AU89" s="61">
        <f>IF(COUNTIFS(allFYsTable[Code], SummaryTable[[#This Row],[Code]], allFYsTable[year2], AQ$3)=0, NotFound, SUMIFS(allFYsTable[Actual], allFYsTable[Code], SummaryTable[[#This Row],[Code]], allFYsTable[year2], AQ$3))</f>
        <v>178852</v>
      </c>
      <c r="AV89" s="61">
        <f>IF(COUNTIFS(allFYsTable[Code], SummaryTable[[#This Row],[Code]], allFYsTable[year2], AQ$3)=0, NotFound, SUMIFS(allFYsTable[DiffAmount], allFYsTable[Code], SummaryTable[[#This Row],[Code]], allFYsTable[year2], AQ$3))</f>
        <v>-70</v>
      </c>
      <c r="AW89" s="63">
        <f>IF(SummaryTable[[#This Row],[OriginalBudget23]]=0, IF(SummaryTable[[#This Row],[DiffAmount23]]=0, ZeroBudgetNoSpending, ZeroBudgetWithSpending), SummaryTable[[#This Row],[DiffAmount23]]/SummaryTable[[#This Row],[OriginalBudget23]])</f>
        <v>-3.9123193346821518E-4</v>
      </c>
      <c r="AX89" s="62">
        <f>IF(COUNTIFS(allFYsTable[Code], SummaryTable[[#This Row],[Code]], allFYsTable[year2], AX$3)=0, NotFound, SUMIFS(allFYsTable[OriginalBudget], allFYsTable[Code], SummaryTable[[#This Row],[Code]], allFYsTable[year2], AX$3))</f>
        <v>147888</v>
      </c>
      <c r="AY89" s="61">
        <f>SummaryTable[[#This Row],[OriginalBudget22]]-SummaryTable[[#This Row],[OriginalBudget21]]</f>
        <v>3979</v>
      </c>
      <c r="AZ89" s="54">
        <f>SummaryTable[[#This Row],[BudgetIncreaseAmount22]]/SummaryTable[[#This Row],[OriginalBudget21]]</f>
        <v>2.7649417340124664E-2</v>
      </c>
      <c r="BA89" s="61">
        <f>IF(COUNTIFS(allFYsTable[Code], SummaryTable[[#This Row],[Code]], allFYsTable[year2], AX$3)=0, NotFound, SUMIFS(allFYsTable[RevisedBudget], allFYsTable[Code], SummaryTable[[#This Row],[Code]], allFYsTable[year2], AX$3))</f>
        <v>158856</v>
      </c>
      <c r="BB89" s="61">
        <f>IF(COUNTIFS(allFYsTable[Code], SummaryTable[[#This Row],[Code]], allFYsTable[year2], AX$3)=0, NotFound, SUMIFS(allFYsTable[Actual], allFYsTable[Code], SummaryTable[[#This Row],[Code]], allFYsTable[year2], AX$3))</f>
        <v>158747</v>
      </c>
      <c r="BC89" s="61">
        <f>IF(COUNTIFS(allFYsTable[Code], SummaryTable[[#This Row],[Code]], allFYsTable[year2], AX$3)=0, NotFound, SUMIFS(allFYsTable[DiffAmount], allFYsTable[Code], SummaryTable[[#This Row],[Code]], allFYsTable[year2], AX$3))</f>
        <v>10859</v>
      </c>
      <c r="BD89" s="63">
        <f>IF(SummaryTable[[#This Row],[OriginalBudget22]]=0, IF(SummaryTable[[#This Row],[DiffAmount22]]=0, ZeroBudgetNoSpending, ZeroBudgetWithSpending), SummaryTable[[#This Row],[DiffAmount22]]/SummaryTable[[#This Row],[OriginalBudget22]])</f>
        <v>7.3427188142378016E-2</v>
      </c>
      <c r="BE89" s="62">
        <f>IF(COUNTIFS(allFYsTable[Code], SummaryTable[[#This Row],[Code]], allFYsTable[year2], BE$3)=0, NotFound, SUMIFS(allFYsTable[OriginalBudget], allFYsTable[Code], SummaryTable[[#This Row],[Code]], allFYsTable[year2], BE$3))</f>
        <v>143909</v>
      </c>
      <c r="BF89" s="61">
        <f>SummaryTable[[#This Row],[OriginalBudget21]]-SummaryTable[[#This Row],[OriginalBudget20]]</f>
        <v>-999</v>
      </c>
      <c r="BG89" s="54">
        <f>SummaryTable[[#This Row],[BudgetIncreaseAmount21]]/SummaryTable[[#This Row],[OriginalBudget20]]</f>
        <v>-6.8940293151516828E-3</v>
      </c>
      <c r="BH89" s="61">
        <f>IF(COUNTIFS(allFYsTable[Code], SummaryTable[[#This Row],[Code]], allFYsTable[year2], BE$3)=0, NotFound, SUMIFS(allFYsTable[RevisedBudget], allFYsTable[Code], SummaryTable[[#This Row],[Code]], allFYsTable[year2], BE$3))</f>
        <v>145660</v>
      </c>
      <c r="BI89" s="61">
        <f>IF(COUNTIFS(allFYsTable[Code], SummaryTable[[#This Row],[Code]], allFYsTable[year2], BE$3)=0, NotFound, SUMIFS(allFYsTable[Actual], allFYsTable[Code], SummaryTable[[#This Row],[Code]], allFYsTable[year2], BE$3))</f>
        <v>145463</v>
      </c>
      <c r="BJ89" s="61">
        <f>IF(COUNTIFS(allFYsTable[Code], SummaryTable[[#This Row],[Code]], allFYsTable[year2], BE$3)=0, NotFound, SUMIFS(allFYsTable[DiffAmount], allFYsTable[Code], SummaryTable[[#This Row],[Code]], allFYsTable[year2], BE$3))</f>
        <v>1554</v>
      </c>
      <c r="BK89" s="63">
        <f>IF(SummaryTable[[#This Row],[OriginalBudget21]]=0, IF(SummaryTable[[#This Row],[DiffAmount21]]=0, ZeroBudgetNoSpending, ZeroBudgetWithSpending), SummaryTable[[#This Row],[DiffAmount21]]/SummaryTable[[#This Row],[OriginalBudget21]])</f>
        <v>1.0798490712881057E-2</v>
      </c>
      <c r="BL89" s="62">
        <f>IF(COUNTIFS(allFYsTable[Code], SummaryTable[[#This Row],[Code]], allFYsTable[year2], BL$3)=0, NotFound, SUMIFS(allFYsTable[OriginalBudget], allFYsTable[Code], SummaryTable[[#This Row],[Code]], allFYsTable[year2], BL$3))</f>
        <v>144908</v>
      </c>
      <c r="BM89" s="61">
        <f>SummaryTable[[#This Row],[OriginalBudget20]]-SummaryTable[[#This Row],[OriginalBudget19]]</f>
        <v>11031</v>
      </c>
      <c r="BN89" s="54">
        <f>SummaryTable[[#This Row],[BudgetIncreaseAmount20]]/SummaryTable[[#This Row],[OriginalBudget19]]</f>
        <v>8.2396528156442106E-2</v>
      </c>
      <c r="BO89" s="61">
        <f>IF(COUNTIFS(allFYsTable[Code], SummaryTable[[#This Row],[Code]], allFYsTable[year2], BL$3)=0, NotFound, SUMIFS(allFYsTable[RevisedBudget], allFYsTable[Code], SummaryTable[[#This Row],[Code]], allFYsTable[year2], BL$3))</f>
        <v>142908</v>
      </c>
      <c r="BP89" s="61">
        <f>IF(COUNTIFS(allFYsTable[Code], SummaryTable[[#This Row],[Code]], allFYsTable[year2], BL$3)=0, NotFound, SUMIFS(allFYsTable[Actual], allFYsTable[Code], SummaryTable[[#This Row],[Code]], allFYsTable[year2], BL$3))</f>
        <v>142714</v>
      </c>
      <c r="BQ89" s="61">
        <f>IF(COUNTIFS(allFYsTable[Code], SummaryTable[[#This Row],[Code]], allFYsTable[year2], BL$3)=0, NotFound, SUMIFS(allFYsTable[DiffAmount], allFYsTable[Code], SummaryTable[[#This Row],[Code]], allFYsTable[year2], BL$3))</f>
        <v>-2194</v>
      </c>
      <c r="BR89" s="63">
        <f>IF(SummaryTable[[#This Row],[OriginalBudget20]]=0, IF(SummaryTable[[#This Row],[DiffAmount20]]=0, ZeroBudgetNoSpending, ZeroBudgetWithSpending), SummaryTable[[#This Row],[DiffAmount20]]/SummaryTable[[#This Row],[OriginalBudget20]])</f>
        <v>-1.5140640958401192E-2</v>
      </c>
      <c r="BS89" s="62">
        <f>IF(COUNTIFS(allFYsTable[Code], SummaryTable[[#This Row],[Code]], allFYsTable[year2], BS$3)=0, NotFound, SUMIFS(allFYsTable[OriginalBudget], allFYsTable[Code], SummaryTable[[#This Row],[Code]], allFYsTable[year2], BS$3))</f>
        <v>133877</v>
      </c>
      <c r="BT89" s="61">
        <f>SummaryTable[[#This Row],[OriginalBudget19]]-SummaryTable[[#This Row],[OriginalBudget18]]</f>
        <v>7250</v>
      </c>
      <c r="BU89" s="54">
        <f>SummaryTable[[#This Row],[BudgetIncreaseAmount19]]/SummaryTable[[#This Row],[OriginalBudget18]]</f>
        <v>5.7254771889091581E-2</v>
      </c>
      <c r="BV89" s="61">
        <f>IF(COUNTIFS(allFYsTable[Code], SummaryTable[[#This Row],[Code]], allFYsTable[year2], BS$3)=0, NotFound, SUMIFS(allFYsTable[RevisedBudget], allFYsTable[Code], SummaryTable[[#This Row],[Code]], allFYsTable[year2], BS$3))</f>
        <v>135393</v>
      </c>
      <c r="BW89" s="61">
        <f>IF(COUNTIFS(allFYsTable[Code], SummaryTable[[#This Row],[Code]], allFYsTable[year2], BS$3)=0, NotFound, SUMIFS(allFYsTable[Actual], allFYsTable[Code], SummaryTable[[#This Row],[Code]], allFYsTable[year2], BS$3))</f>
        <v>135246</v>
      </c>
      <c r="BX89" s="61">
        <f>IF(COUNTIFS(allFYsTable[Code], SummaryTable[[#This Row],[Code]], allFYsTable[year2], BS$3)=0, NotFound, SUMIFS(allFYsTable[DiffAmount], allFYsTable[Code], SummaryTable[[#This Row],[Code]], allFYsTable[year2], BS$3))</f>
        <v>1369</v>
      </c>
      <c r="BY89" s="63">
        <f>IF(SummaryTable[[#This Row],[OriginalBudget19]]=0, IF(SummaryTable[[#This Row],[DiffAmount19]]=0, ZeroBudgetNoSpending, ZeroBudgetWithSpending), SummaryTable[[#This Row],[DiffAmount19]]/SummaryTable[[#This Row],[OriginalBudget19]])</f>
        <v>1.0225804283035921E-2</v>
      </c>
      <c r="BZ89" s="62">
        <f>IF(COUNTIFS(allFYsTable[Code], SummaryTable[[#This Row],[Code]], allFYsTable[year2], BZ$3)=0, NotFound, SUMIFS(allFYsTable[OriginalBudget], allFYsTable[Code], SummaryTable[[#This Row],[Code]], allFYsTable[year2], BZ$3))</f>
        <v>126627</v>
      </c>
      <c r="CA89" s="61">
        <f>SummaryTable[[#This Row],[OriginalBudget18]]-SummaryTable[[#This Row],[OriginalBudget17]]</f>
        <v>1641</v>
      </c>
      <c r="CB89" s="54">
        <f>SummaryTable[[#This Row],[BudgetIncreaseAmount18]]/SummaryTable[[#This Row],[OriginalBudget17]]</f>
        <v>1.3129470500696077E-2</v>
      </c>
      <c r="CC89" s="61">
        <f>IF(COUNTIFS(allFYsTable[Code], SummaryTable[[#This Row],[Code]], allFYsTable[year2], BZ$3)=0, NotFound, SUMIFS(allFYsTable[RevisedBudget], allFYsTable[Code], SummaryTable[[#This Row],[Code]], allFYsTable[year2], BZ$3))</f>
        <v>130172</v>
      </c>
      <c r="CD89" s="61">
        <f>IF(COUNTIFS(allFYsTable[Code], SummaryTable[[#This Row],[Code]], allFYsTable[year2], BZ$3)=0, NotFound, SUMIFS(allFYsTable[Actual], allFYsTable[Code], SummaryTable[[#This Row],[Code]], allFYsTable[year2], BZ$3))</f>
        <v>130130</v>
      </c>
      <c r="CE89" s="61">
        <f>IF(COUNTIFS(allFYsTable[Code], SummaryTable[[#This Row],[Code]], allFYsTable[year2], BZ$3)=0, NotFound, SUMIFS(allFYsTable[DiffAmount], allFYsTable[Code], SummaryTable[[#This Row],[Code]], allFYsTable[year2], BZ$3))</f>
        <v>3503</v>
      </c>
      <c r="CF89" s="63">
        <f>IF(SummaryTable[[#This Row],[OriginalBudget18]]=0, IF(SummaryTable[[#This Row],[DiffAmount18]]=0, ZeroBudgetNoSpending, ZeroBudgetWithSpending), SummaryTable[[#This Row],[DiffAmount18]]/SummaryTable[[#This Row],[OriginalBudget18]])</f>
        <v>2.7663926334825905E-2</v>
      </c>
      <c r="CG89" s="62">
        <f>IF(COUNTIFS(allFYsTable[Code], SummaryTable[[#This Row],[Code]], allFYsTable[year2], CG$3)=0, NotFound, SUMIFS(allFYsTable[OriginalBudget], allFYsTable[Code], SummaryTable[[#This Row],[Code]], allFYsTable[year2], CG$3))</f>
        <v>124986</v>
      </c>
      <c r="CH89" s="61">
        <f>SummaryTable[[#This Row],[OriginalBudget17]]-SummaryTable[[#This Row],[OriginalBudget16]]</f>
        <v>6842</v>
      </c>
      <c r="CI89" s="54">
        <f>SummaryTable[[#This Row],[BudgetIncreaseAmount17]]/SummaryTable[[#This Row],[OriginalBudget16]]</f>
        <v>5.7912378114842906E-2</v>
      </c>
      <c r="CJ89" s="61">
        <f>IF(COUNTIFS(allFYsTable[Code], SummaryTable[[#This Row],[Code]], allFYsTable[year2], CG$3)=0, NotFound, SUMIFS(allFYsTable[RevisedBudget], allFYsTable[Code], SummaryTable[[#This Row],[Code]], allFYsTable[year2], CG$3))</f>
        <v>124933</v>
      </c>
      <c r="CK89" s="61">
        <f>IF(COUNTIFS(allFYsTable[Code], SummaryTable[[#This Row],[Code]], allFYsTable[year2], CG$3)=0, NotFound, SUMIFS(allFYsTable[Actual], allFYsTable[Code], SummaryTable[[#This Row],[Code]], allFYsTable[year2], CG$3))</f>
        <v>124908</v>
      </c>
      <c r="CL89" s="61">
        <f>IF(COUNTIFS(allFYsTable[Code], SummaryTable[[#This Row],[Code]], allFYsTable[year2], CG$3)=0, NotFound, SUMIFS(allFYsTable[DiffAmount], allFYsTable[Code], SummaryTable[[#This Row],[Code]], allFYsTable[year2], CG$3))</f>
        <v>-78</v>
      </c>
      <c r="CM89" s="63">
        <f>IF(SummaryTable[[#This Row],[OriginalBudget17]]=0, IF(SummaryTable[[#This Row],[DiffAmount17]]=0, ZeroBudgetNoSpending, ZeroBudgetWithSpending), SummaryTable[[#This Row],[DiffAmount17]]/SummaryTable[[#This Row],[OriginalBudget17]])</f>
        <v>-6.2406989582833273E-4</v>
      </c>
      <c r="CN89" s="62">
        <f>IF(COUNTIFS(allFYsTable[Code], SummaryTable[[#This Row],[Code]], allFYsTable[year2], CN$3)=0, NotFound, SUMIFS(allFYsTable[OriginalBudget], allFYsTable[Code], SummaryTable[[#This Row],[Code]], allFYsTable[year2], CN$3))</f>
        <v>118144</v>
      </c>
      <c r="CO89" s="61">
        <f>SummaryTable[[#This Row],[OriginalBudget16]]-SummaryTable[[#This Row],[OriginalBudget15]]</f>
        <v>3766</v>
      </c>
      <c r="CP89" s="54">
        <f>SummaryTable[[#This Row],[BudgetIncreaseAmount16]]/SummaryTable[[#This Row],[OriginalBudget15]]</f>
        <v>3.2925912325796919E-2</v>
      </c>
      <c r="CQ89" s="61">
        <f>IF(COUNTIFS(allFYsTable[Code], SummaryTable[[#This Row],[Code]], allFYsTable[year2], CN$3)=0, NotFound, SUMIFS(allFYsTable[RevisedBudget], allFYsTable[Code], SummaryTable[[#This Row],[Code]], allFYsTable[year2], CN$3))</f>
        <v>118144</v>
      </c>
      <c r="CR89" s="61">
        <f>IF(COUNTIFS(allFYsTable[Code], SummaryTable[[#This Row],[Code]], allFYsTable[year2], CN$3)=0, NotFound, SUMIFS(allFYsTable[Actual], allFYsTable[Code], SummaryTable[[#This Row],[Code]], allFYsTable[year2], CN$3))</f>
        <v>118045</v>
      </c>
      <c r="CS89" s="61">
        <f>IF(COUNTIFS(allFYsTable[Code], SummaryTable[[#This Row],[Code]], allFYsTable[year2], CN$3)=0, NotFound, SUMIFS(allFYsTable[DiffAmount], allFYsTable[Code], SummaryTable[[#This Row],[Code]], allFYsTable[year2], CN$3))</f>
        <v>-99</v>
      </c>
      <c r="CT89" s="63">
        <f>IF(SummaryTable[[#This Row],[OriginalBudget16]]=0, IF(SummaryTable[[#This Row],[DiffAmount16]]=0, ZeroBudgetNoSpending, ZeroBudgetWithSpending), SummaryTable[[#This Row],[DiffAmount16]]/SummaryTable[[#This Row],[OriginalBudget16]])</f>
        <v>-8.3796045503791979E-4</v>
      </c>
      <c r="CU89" s="62">
        <f>IF(COUNTIFS(allFYsTable[Code], SummaryTable[[#This Row],[Code]], allFYsTable[year2], CU$3)=0, NotFound, SUMIFS(allFYsTable[OriginalBudget], allFYsTable[Code], SummaryTable[[#This Row],[Code]], allFYsTable[year2], CU$3))</f>
        <v>114378</v>
      </c>
      <c r="CV89" s="61">
        <f>SummaryTable[[#This Row],[OriginalBudget15]]-SummaryTable[[#This Row],[OriginalBudget14]]</f>
        <v>7635</v>
      </c>
      <c r="CW89" s="54">
        <f>SummaryTable[[#This Row],[BudgetIncreaseAmount15]]/SummaryTable[[#This Row],[OriginalBudget14]]</f>
        <v>7.1526938534611173E-2</v>
      </c>
      <c r="CX89" s="61">
        <f>IF(COUNTIFS(allFYsTable[Code], SummaryTable[[#This Row],[Code]], allFYsTable[year2], CU$3)=0, NotFound, SUMIFS(allFYsTable[RevisedBudget], allFYsTable[Code], SummaryTable[[#This Row],[Code]], allFYsTable[year2], CU$3))</f>
        <v>113856</v>
      </c>
      <c r="CY89" s="61">
        <f>IF(COUNTIFS(allFYsTable[Code], SummaryTable[[#This Row],[Code]], allFYsTable[year2], CU$3)=0, NotFound, SUMIFS(allFYsTable[Actual], allFYsTable[Code], SummaryTable[[#This Row],[Code]], allFYsTable[year2], CU$3))</f>
        <v>113840</v>
      </c>
      <c r="CZ89" s="61">
        <f>IF(COUNTIFS(allFYsTable[Code], SummaryTable[[#This Row],[Code]], allFYsTable[year2], CU$3)=0, NotFound, SUMIFS(allFYsTable[DiffAmount], allFYsTable[Code], SummaryTable[[#This Row],[Code]], allFYsTable[year2], CU$3))</f>
        <v>-538</v>
      </c>
      <c r="DA89" s="63">
        <f>IF(SummaryTable[[#This Row],[OriginalBudget15]]=0, IF(SummaryTable[[#This Row],[DiffAmount15]]=0, ZeroBudgetNoSpending, ZeroBudgetWithSpending), SummaryTable[[#This Row],[DiffAmount15]]/SummaryTable[[#This Row],[OriginalBudget15]])</f>
        <v>-4.7037017608281316E-3</v>
      </c>
      <c r="DB89" s="62">
        <f>IF(COUNTIFS(allFYsTable[Code], SummaryTable[[#This Row],[Code]], allFYsTable[year2], DB$3)=0, NotFound, SUMIFS(allFYsTable[OriginalBudget], allFYsTable[Code], SummaryTable[[#This Row],[Code]], allFYsTable[year2], DB$3))</f>
        <v>106743</v>
      </c>
      <c r="DC89" s="61">
        <f>SummaryTable[[#This Row],[OriginalBudget14]]-SummaryTable[[#This Row],[OriginalBudget13]]</f>
        <v>6437</v>
      </c>
      <c r="DD89" s="54">
        <f>SummaryTable[[#This Row],[BudgetIncreaseAmount14]]/SummaryTable[[#This Row],[OriginalBudget13]]</f>
        <v>6.4173628696189658E-2</v>
      </c>
      <c r="DE89" s="61">
        <f>IF(COUNTIFS(allFYsTable[Code], SummaryTable[[#This Row],[Code]], allFYsTable[year2], DB$3)=0, NotFound, SUMIFS(allFYsTable[RevisedBudget], allFYsTable[Code], SummaryTable[[#This Row],[Code]], allFYsTable[year2], DB$3))</f>
        <v>109099</v>
      </c>
      <c r="DF89" s="61">
        <f>IF(COUNTIFS(allFYsTable[Code], SummaryTable[[#This Row],[Code]], allFYsTable[year2], DB$3)=0, NotFound, SUMIFS(allFYsTable[Actual], allFYsTable[Code], SummaryTable[[#This Row],[Code]], allFYsTable[year2], DB$3))</f>
        <v>108865</v>
      </c>
      <c r="DG89" s="61">
        <f>IF(COUNTIFS(allFYsTable[Code], SummaryTable[[#This Row],[Code]], allFYsTable[year2], DB$3)=0, NotFound, SUMIFS(allFYsTable[DiffAmount], allFYsTable[Code], SummaryTable[[#This Row],[Code]], allFYsTable[year2], DB$3))</f>
        <v>2122</v>
      </c>
      <c r="DH89" s="63">
        <f>IF(SummaryTable[[#This Row],[OriginalBudget14]]=0, IF(SummaryTable[[#This Row],[DiffAmount14]]=0, ZeroBudgetNoSpending, ZeroBudgetWithSpending), SummaryTable[[#This Row],[DiffAmount14]]/SummaryTable[[#This Row],[OriginalBudget14]])</f>
        <v>1.9879523715840852E-2</v>
      </c>
      <c r="DI89" s="62">
        <f>IF(COUNTIFS(allFYsTable[Code], SummaryTable[[#This Row],[Code]], allFYsTable[year2], DI$3)=0, NotFound, SUMIFS(allFYsTable[OriginalBudget], allFYsTable[Code], SummaryTable[[#This Row],[Code]], allFYsTable[year2], DI$3))</f>
        <v>100306</v>
      </c>
      <c r="DJ89" s="61">
        <f>SummaryTable[[#This Row],[OriginalBudget13]]-SummaryTable[[#This Row],[OriginalBudget12]]</f>
        <v>5664</v>
      </c>
      <c r="DK89" s="54">
        <f>SummaryTable[[#This Row],[BudgetIncreaseAmount13]]/SummaryTable[[#This Row],[OriginalBudget12]]</f>
        <v>5.9846579742608992E-2</v>
      </c>
      <c r="DL89" s="61">
        <f>IF(COUNTIFS(allFYsTable[Code], SummaryTable[[#This Row],[Code]], allFYsTable[year2], DI$3)=0, NotFound, SUMIFS(allFYsTable[RevisedBudget], allFYsTable[Code], SummaryTable[[#This Row],[Code]], allFYsTable[year2], DI$3))</f>
        <v>99720</v>
      </c>
      <c r="DM89" s="61">
        <f>IF(COUNTIFS(allFYsTable[Code], SummaryTable[[#This Row],[Code]], allFYsTable[year2], DI$3)=0, NotFound, SUMIFS(allFYsTable[Actual], allFYsTable[Code], SummaryTable[[#This Row],[Code]], allFYsTable[year2], DI$3))</f>
        <v>99682</v>
      </c>
      <c r="DN89" s="61">
        <f>IF(COUNTIFS(allFYsTable[Code], SummaryTable[[#This Row],[Code]], allFYsTable[year2], DI$3)=0, NotFound, SUMIFS(allFYsTable[DiffAmount], allFYsTable[Code], SummaryTable[[#This Row],[Code]], allFYsTable[year2], DI$3))</f>
        <v>-624</v>
      </c>
      <c r="DO89" s="63">
        <f>IF(SummaryTable[[#This Row],[OriginalBudget13]]=0, IF(SummaryTable[[#This Row],[DiffAmount13]]=0, ZeroBudgetNoSpending, ZeroBudgetWithSpending), SummaryTable[[#This Row],[DiffAmount13]]/SummaryTable[[#This Row],[OriginalBudget13]])</f>
        <v>-6.2209638506171118E-3</v>
      </c>
      <c r="DP89" s="62">
        <f>IF(COUNTIFS(allFYsTable[Code], SummaryTable[[#This Row],[Code]], allFYsTable[year2], DP$3)=0, NotFound, SUMIFS(allFYsTable[OriginalBudget], allFYsTable[Code], SummaryTable[[#This Row],[Code]], allFYsTable[year2], DP$3))</f>
        <v>94642</v>
      </c>
      <c r="DQ89" s="61">
        <f>SummaryTable[[#This Row],[OriginalBudget12]]-SummaryTable[[#This Row],[OriginalBudget11]]</f>
        <v>6817</v>
      </c>
      <c r="DR89" s="54">
        <f>SummaryTable[[#This Row],[BudgetIncreaseAmount12]]/SummaryTable[[#This Row],[OriginalBudget11]]</f>
        <v>7.7620267577569027E-2</v>
      </c>
      <c r="DS89" s="61">
        <f>IF(COUNTIFS(allFYsTable[Code], SummaryTable[[#This Row],[Code]], allFYsTable[year2], DP$3)=0, NotFound, SUMIFS(allFYsTable[RevisedBudget], allFYsTable[Code], SummaryTable[[#This Row],[Code]], allFYsTable[year2], DP$3))</f>
        <v>95053</v>
      </c>
      <c r="DT89" s="61">
        <f>IF(COUNTIFS(allFYsTable[Code], SummaryTable[[#This Row],[Code]], allFYsTable[year2], DP$3)=0, NotFound, SUMIFS(allFYsTable[Actual], allFYsTable[Code], SummaryTable[[#This Row],[Code]], allFYsTable[year2], DP$3))</f>
        <v>95011</v>
      </c>
      <c r="DU89" s="61">
        <f>IF(COUNTIFS(allFYsTable[Code], SummaryTable[[#This Row],[Code]], allFYsTable[year2], DP$3)=0, NotFound, SUMIFS(allFYsTable[DiffAmount], allFYsTable[Code], SummaryTable[[#This Row],[Code]], allFYsTable[year2], DP$3))</f>
        <v>369</v>
      </c>
      <c r="DV89" s="63">
        <f>IF(SummaryTable[[#This Row],[OriginalBudget12]]=0, IF(SummaryTable[[#This Row],[DiffAmount12]]=0, ZeroBudgetNoSpending, ZeroBudgetWithSpending), SummaryTable[[#This Row],[DiffAmount12]]/SummaryTable[[#This Row],[OriginalBudget12]])</f>
        <v>3.8989032353500559E-3</v>
      </c>
      <c r="DW89" s="62">
        <f>IF(COUNTIFS(allFYsTable[Code], SummaryTable[[#This Row],[Code]], allFYsTable[year2], DW$3)=0, NotFound, SUMIFS(allFYsTable[OriginalBudget], allFYsTable[Code], SummaryTable[[#This Row],[Code]], allFYsTable[year2], DW$3))</f>
        <v>87825</v>
      </c>
      <c r="DX89" s="61">
        <f>SummaryTable[[#This Row],[OriginalBudget11]]-SummaryTable[[#This Row],[OriginalBudget10]]</f>
        <v>-18041</v>
      </c>
      <c r="DY89" s="54">
        <f>SummaryTable[[#This Row],[BudgetIncreaseAmount11]]/SummaryTable[[#This Row],[OriginalBudget10]]</f>
        <v>-0.17041354164698772</v>
      </c>
      <c r="DZ89" s="61">
        <f>IF(COUNTIFS(allFYsTable[Code], SummaryTable[[#This Row],[Code]], allFYsTable[year2], DW$3)=0, NotFound, SUMIFS(allFYsTable[RevisedBudget], allFYsTable[Code], SummaryTable[[#This Row],[Code]], allFYsTable[year2], DW$3))</f>
        <v>87825</v>
      </c>
      <c r="EA89" s="61">
        <f>IF(COUNTIFS(allFYsTable[Code], SummaryTable[[#This Row],[Code]], allFYsTable[year2], DW$3)=0, NotFound, SUMIFS(allFYsTable[Actual], allFYsTable[Code], SummaryTable[[#This Row],[Code]], allFYsTable[year2], DW$3))</f>
        <v>87779</v>
      </c>
      <c r="EB89" s="61">
        <f>IF(COUNTIFS(allFYsTable[Code], SummaryTable[[#This Row],[Code]], allFYsTable[year2], DW$3)=0, NotFound, SUMIFS(allFYsTable[DiffAmount], allFYsTable[Code], SummaryTable[[#This Row],[Code]], allFYsTable[year2], DW$3))</f>
        <v>-46</v>
      </c>
      <c r="EC89" s="63">
        <f>IF(SummaryTable[[#This Row],[OriginalBudget11]]=0, IF(SummaryTable[[#This Row],[DiffAmount11]]=0, ZeroBudgetNoSpending, ZeroBudgetWithSpending), SummaryTable[[#This Row],[DiffAmount11]]/SummaryTable[[#This Row],[OriginalBudget11]])</f>
        <v>-5.2376885852547682E-4</v>
      </c>
      <c r="ED89" s="62">
        <f>IF(COUNTIFS(allFYsTable[Code], SummaryTable[[#This Row],[Code]], allFYsTable[year2], ED$3)=0, NotFound, SUMIFS(allFYsTable[OriginalBudget], allFYsTable[Code], SummaryTable[[#This Row],[Code]], allFYsTable[year2], ED$3))</f>
        <v>105866</v>
      </c>
      <c r="EE89" s="61">
        <f>SummaryTable[[#This Row],[OriginalBudget10]]-SummaryTable[[#This Row],[OriginalBudget09]]</f>
        <v>-10437</v>
      </c>
      <c r="EF89" s="54">
        <f>SummaryTable[[#This Row],[BudgetIncreaseAmount10]]/SummaryTable[[#This Row],[OriginalBudget09]]</f>
        <v>-8.9739731563244288E-2</v>
      </c>
      <c r="EG89" s="61">
        <f>IF(COUNTIFS(allFYsTable[Code], SummaryTable[[#This Row],[Code]], allFYsTable[year2], ED$3)=0, NotFound, SUMIFS(allFYsTable[RevisedBudget], allFYsTable[Code], SummaryTable[[#This Row],[Code]], allFYsTable[year2], ED$3))</f>
        <v>115268</v>
      </c>
      <c r="EH89" s="61">
        <f>IF(COUNTIFS(allFYsTable[Code], SummaryTable[[#This Row],[Code]], allFYsTable[year2], ED$3)=0, NotFound, SUMIFS(allFYsTable[Actual], allFYsTable[Code], SummaryTable[[#This Row],[Code]], allFYsTable[year2], ED$3))</f>
        <v>115213</v>
      </c>
      <c r="EI89" s="61">
        <f>IF(COUNTIFS(allFYsTable[Code], SummaryTable[[#This Row],[Code]], allFYsTable[year2], ED$3)=0, NotFound, SUMIFS(allFYsTable[DiffAmount], allFYsTable[Code], SummaryTable[[#This Row],[Code]], allFYsTable[year2], ED$3))</f>
        <v>9347</v>
      </c>
      <c r="EJ89" s="63">
        <f>IF(SummaryTable[[#This Row],[OriginalBudget10]]=0, IF(SummaryTable[[#This Row],[DiffAmount10]]=0, ZeroBudgetNoSpending, ZeroBudgetWithSpending), SummaryTable[[#This Row],[DiffAmount10]]/SummaryTable[[#This Row],[OriginalBudget10]])</f>
        <v>8.8290858254774909E-2</v>
      </c>
      <c r="EK89" s="62">
        <f>IF(COUNTIFS(allFYsTable[Code], SummaryTable[[#This Row],[Code]], allFYsTable[year2], EK$3)=0, NotFound, SUMIFS(allFYsTable[OriginalBudget], allFYsTable[Code], SummaryTable[[#This Row],[Code]], allFYsTable[year2], EK$3))</f>
        <v>116303</v>
      </c>
      <c r="EL89" s="61">
        <f>SummaryTable[[#This Row],[OriginalBudget09]]-SummaryTable[[#This Row],[OriginalBudget08]]</f>
        <v>4347</v>
      </c>
      <c r="EM89" s="54">
        <f>SummaryTable[[#This Row],[BudgetIncreaseAmount09]]/SummaryTable[[#This Row],[OriginalBudget08]]</f>
        <v>3.8827753760405877E-2</v>
      </c>
      <c r="EN89" s="61">
        <f>IF(COUNTIFS(allFYsTable[Code], SummaryTable[[#This Row],[Code]], allFYsTable[year2], EK$3)=0, NotFound, SUMIFS(allFYsTable[RevisedBudget], allFYsTable[Code], SummaryTable[[#This Row],[Code]], allFYsTable[year2], EK$3))</f>
        <v>119603</v>
      </c>
      <c r="EO89" s="61">
        <f>IF(COUNTIFS(allFYsTable[Code], SummaryTable[[#This Row],[Code]], allFYsTable[year2], EK$3)=0, NotFound, SUMIFS(allFYsTable[Actual], allFYsTable[Code], SummaryTable[[#This Row],[Code]], allFYsTable[year2], EK$3))</f>
        <v>119559</v>
      </c>
      <c r="EP89" s="61">
        <f>IF(COUNTIFS(allFYsTable[Code], SummaryTable[[#This Row],[Code]], allFYsTable[year2], EK$3)=0, NotFound, SUMIFS(allFYsTable[DiffAmount], allFYsTable[Code], SummaryTable[[#This Row],[Code]], allFYsTable[year2], EK$3))</f>
        <v>3256</v>
      </c>
      <c r="EQ89" s="63">
        <f>IF(SummaryTable[[#This Row],[OriginalBudget09]]=0, IF(SummaryTable[[#This Row],[DiffAmount09]]=0, ZeroBudgetNoSpending, ZeroBudgetWithSpending), SummaryTable[[#This Row],[DiffAmount09]]/SummaryTable[[#This Row],[OriginalBudget09]])</f>
        <v>2.7995838456445665E-2</v>
      </c>
      <c r="ER89" s="62">
        <f>IF(COUNTIFS(allFYsTable[Code], SummaryTable[[#This Row],[Code]], allFYsTable[year2], ER$3)=0, NotFound, SUMIFS(allFYsTable[OriginalBudget], allFYsTable[Code], SummaryTable[[#This Row],[Code]], allFYsTable[year2], ER$3))</f>
        <v>111956</v>
      </c>
      <c r="ES89" s="61">
        <f>SummaryTable[[#This Row],[OriginalBudget08]]-SummaryTable[[#This Row],[OriginalBudget07]]</f>
        <v>-6924</v>
      </c>
      <c r="ET89" s="54">
        <f>SummaryTable[[#This Row],[BudgetIncreaseAmount08]]/SummaryTable[[#This Row],[OriginalBudget07]]</f>
        <v>-5.8243606998654107E-2</v>
      </c>
      <c r="EU89" s="61">
        <f>IF(COUNTIFS(allFYsTable[Code], SummaryTable[[#This Row],[Code]], allFYsTable[year2], ER$3)=0, NotFound, SUMIFS(allFYsTable[RevisedBudget], allFYsTable[Code], SummaryTable[[#This Row],[Code]], allFYsTable[year2], ER$3))</f>
        <v>113476</v>
      </c>
      <c r="EV89" s="61">
        <f>IF(COUNTIFS(allFYsTable[Code], SummaryTable[[#This Row],[Code]], allFYsTable[year2], ER$3)=0, NotFound, SUMIFS(allFYsTable[Actual], allFYsTable[Code], SummaryTable[[#This Row],[Code]], allFYsTable[year2], ER$3))</f>
        <v>113406</v>
      </c>
      <c r="EW89" s="61">
        <f>IF(COUNTIFS(allFYsTable[Code], SummaryTable[[#This Row],[Code]], allFYsTable[year2], ER$3)=0, NotFound, SUMIFS(allFYsTable[DiffAmount], allFYsTable[Code], SummaryTable[[#This Row],[Code]], allFYsTable[year2], ER$3))</f>
        <v>1450</v>
      </c>
      <c r="EX89" s="63">
        <f>IF(SummaryTable[[#This Row],[OriginalBudget08]]=0, IF(SummaryTable[[#This Row],[DiffAmount08]]=0, ZeroBudgetNoSpending, ZeroBudgetWithSpending), SummaryTable[[#This Row],[DiffAmount08]]/SummaryTable[[#This Row],[OriginalBudget08]])</f>
        <v>1.2951516667262139E-2</v>
      </c>
      <c r="EY89" s="62">
        <f>IF(COUNTIFS(allFYsTable[Code], SummaryTable[[#This Row],[Code]], allFYsTable[year2], EY$3)=0, NotFound, SUMIFS(allFYsTable[OriginalBudget], allFYsTable[Code], SummaryTable[[#This Row],[Code]], allFYsTable[year2], EY$3))</f>
        <v>118880</v>
      </c>
      <c r="EZ89" s="61">
        <f>SummaryTable[[#This Row],[OriginalBudget07]]-SummaryTable[[#This Row],[OriginalBudget06]]</f>
        <v>13811</v>
      </c>
      <c r="FA89" s="54">
        <f>SummaryTable[[#This Row],[BudgetIncreaseAmount07]]/SummaryTable[[#This Row],[OriginalBudget06]]</f>
        <v>0.13144695390648051</v>
      </c>
      <c r="FB89" s="61">
        <f>IF(COUNTIFS(allFYsTable[Code], SummaryTable[[#This Row],[Code]], allFYsTable[year2], EY$3)=0, NotFound, SUMIFS(allFYsTable[RevisedBudget], allFYsTable[Code], SummaryTable[[#This Row],[Code]], allFYsTable[year2], EY$3))</f>
        <v>120953</v>
      </c>
      <c r="FC89" s="61">
        <f>IF(COUNTIFS(allFYsTable[Code], SummaryTable[[#This Row],[Code]], allFYsTable[year2], EY$3)=0, NotFound, SUMIFS(allFYsTable[Actual], allFYsTable[Code], SummaryTable[[#This Row],[Code]], allFYsTable[year2], EY$3))</f>
        <v>120841</v>
      </c>
      <c r="FD89" s="61">
        <f>IF(COUNTIFS(allFYsTable[Code], SummaryTable[[#This Row],[Code]], allFYsTable[year2], EY$3)=0, NotFound, SUMIFS(allFYsTable[DiffAmount], allFYsTable[Code], SummaryTable[[#This Row],[Code]], allFYsTable[year2], EY$3))</f>
        <v>1961</v>
      </c>
      <c r="FE89" s="63">
        <f>IF(SummaryTable[[#This Row],[OriginalBudget07]]=0, IF(SummaryTable[[#This Row],[DiffAmount07]]=0, ZeroBudgetNoSpending, ZeroBudgetWithSpending), SummaryTable[[#This Row],[DiffAmount07]]/SummaryTable[[#This Row],[OriginalBudget07]])</f>
        <v>1.6495625841184386E-2</v>
      </c>
      <c r="FF89" s="62">
        <f>IF(COUNTIFS(allFYsTable[Code], SummaryTable[[#This Row],[Code]], allFYsTable[year2], FF$3)=0, NotFound, SUMIFS(allFYsTable[OriginalBudget], allFYsTable[Code], SummaryTable[[#This Row],[Code]], allFYsTable[year2], FF$3))</f>
        <v>105069</v>
      </c>
      <c r="FI89" s="61">
        <f>IF(COUNTIFS(allFYsTable[Code], SummaryTable[[#This Row],[Code]], allFYsTable[year2], FF$3)=0, NotFound, SUMIFS(allFYsTable[RevisedBudget], allFYsTable[Code], SummaryTable[[#This Row],[Code]], allFYsTable[year2], FF$3))</f>
        <v>105598</v>
      </c>
      <c r="FJ89" s="61">
        <f>IF(COUNTIFS(allFYsTable[Code], SummaryTable[[#This Row],[Code]], allFYsTable[year2], FF$3)=0, NotFound, SUMIFS(allFYsTable[Actual], allFYsTable[Code], SummaryTable[[#This Row],[Code]], allFYsTable[year2], FF$3))</f>
        <v>105555</v>
      </c>
      <c r="FK89" s="61">
        <f>IF(COUNTIFS(allFYsTable[Code], SummaryTable[[#This Row],[Code]], allFYsTable[year2], FF$3)=0, NotFound, SUMIFS(allFYsTable[DiffAmount], allFYsTable[Code], SummaryTable[[#This Row],[Code]], allFYsTable[year2], FF$3))</f>
        <v>486</v>
      </c>
      <c r="FL89" s="63">
        <f>IF(SummaryTable[[#This Row],[OriginalBudget06]]=0, IF(SummaryTable[[#This Row],[DiffAmount06]]=0, ZeroBudgetNoSpending, ZeroBudgetWithSpending), SummaryTable[[#This Row],[DiffAmount06]]/SummaryTable[[#This Row],[OriginalBudget06]])</f>
        <v>4.6255317933929134E-3</v>
      </c>
    </row>
    <row r="90" spans="1:168" x14ac:dyDescent="0.45">
      <c r="A90" t="s">
        <v>764</v>
      </c>
      <c r="B90">
        <f>_xlfn.MAXIFS(allFYsTable[year2], allFYsTable[Code], SummaryTable[[#This Row],[Code]])</f>
        <v>2025</v>
      </c>
      <c r="C90" t="str">
        <f>_xlfn.XLOOKUP(SummaryTable[[#This Row],[Code]], NameCodingTable[Code], NameCodingTable[Most Recent Category per allFYs])</f>
        <v>Public safety and justice</v>
      </c>
      <c r="D90" t="str">
        <f>_xlfn.XLOOKUP(SummaryTable[[#This Row],[Code]], NameCodingTable[Code], NameCodingTable[Unit Display Name])</f>
        <v>Office of the Chief Medical Examiner (OCME)</v>
      </c>
      <c r="E90" t="str">
        <f>_xlfn.XLOOKUP(SummaryTable[[#This Row],[Code]], NameCodingTable[Code], NameCodingTable[Type])</f>
        <v>agency</v>
      </c>
      <c r="F9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9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4</v>
      </c>
      <c r="H90" s="54">
        <f>SummaryTable[[#This Row],['# Over]]/SummaryTable[[#This Row],[Count]]</f>
        <v>0.2</v>
      </c>
      <c r="I9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16</v>
      </c>
      <c r="J90" s="54">
        <f>SummaryTable[[#This Row],['# Under]]/SummaryTable[[#This Row],[Count]]</f>
        <v>0.8</v>
      </c>
      <c r="K9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0" s="54">
        <f>SummaryTable[[#This Row],['# Equal]]/SummaryTable[[#This Row],[Count]]</f>
        <v>0</v>
      </c>
      <c r="M90" s="61">
        <f>SUMIFS(allFYsTable[OriginalBudget],allFYsTable[Code],SummaryTable[[#This Row],[Code]])/SummaryTable[[#This Row],[Count]]</f>
        <v>11174.1</v>
      </c>
      <c r="N90" s="61">
        <f>SUMIFS(allFYsTable[Actual],allFYsTable[Code],SummaryTable[[#This Row],[Code]])/SummaryTable[[#This Row],[Count]]</f>
        <v>10751.6</v>
      </c>
      <c r="O90" s="61">
        <f>SummaryTable[[#This Row],[AvgActAmt]]-SummaryTable[[#This Row],[AvgBudAmt]]</f>
        <v>-422.5</v>
      </c>
      <c r="P90" s="54">
        <f>IF(SummaryTable[[#This Row],[AvgBudAmt]]=0, IF(SummaryTable[[#This Row],[AvgDiff'#]]=0, 0, NamedFields!$C$3), SummaryTable[[#This Row],[AvgDiff'#]]/SummaryTable[[#This Row],[AvgBudAmt]])</f>
        <v>-3.7810651417116363E-2</v>
      </c>
      <c r="Q90" s="61">
        <f>IFERROR(SUMIFS(allFYsTable[OriginalBudget],allFYsTable[Code],SummaryTable[[#This Row],[Code]],allFYsTable[DiffAmount], "&gt;0")/SummaryTable[[#This Row],['# Over]], 0)</f>
        <v>12276.25</v>
      </c>
      <c r="R90" s="61">
        <f>IFERROR(SUMIFS(allFYsTable[Actual],allFYsTable[Code],SummaryTable[[#This Row],[Code]],allFYsTable[DiffAmount], "&gt;0")/SummaryTable[[#This Row],['# Over]], 0)</f>
        <v>12646.5</v>
      </c>
      <c r="S90" s="61">
        <f>SummaryTable[[#This Row],[OverAvgAct]]-SummaryTable[[#This Row],[OverAvgBud]]</f>
        <v>370.25</v>
      </c>
      <c r="T90" s="54">
        <f>IF(SummaryTable[[#This Row],[OverAvgBud]]=0, IF(SummaryTable[[#This Row],[OverAvgDiff'#]]=0, ZeroBudgetNoSpending, ZeroBudgetWithSpending), SummaryTable[[#This Row],[OverAvgDiff'#]]/SummaryTable[[#This Row],[OverAvgBud]])</f>
        <v>3.0159861521230017E-2</v>
      </c>
      <c r="U90" s="61">
        <f>IFERROR(SUMIFS(allFYsTable[OriginalBudget],allFYsTable[Code],SummaryTable[[#This Row],[Code]],allFYsTable[DiffAmount], "&lt;0")/SummaryTable[[#This Row],['# Under]], 0)</f>
        <v>10898.5625</v>
      </c>
      <c r="V90" s="61">
        <f>IFERROR( SUMIFS(allFYsTable[Actual],allFYsTable[Code],SummaryTable[[#This Row],[Code]],allFYsTable[DiffAmount], "&lt;0")/SummaryTable[[#This Row],['# Under]], 0)</f>
        <v>10277.875</v>
      </c>
      <c r="W90" s="61">
        <f>SummaryTable[[#This Row],[UnderAvgAct]]-SummaryTable[[#This Row],[UnderAvgBud]]</f>
        <v>-620.6875</v>
      </c>
      <c r="X90" s="54">
        <f>IF(SummaryTable[[#This Row],[UnderAvgBud]]=0, IF(SummaryTable[[#This Row],[UnderAvgDiff'#]]=0, ZeroBudgetNoSpending, NamedFields!$C$3), SummaryTable[[#This Row],[UnderAvgDiff'#]]/SummaryTable[[#This Row],[UnderAvgBud]])</f>
        <v>-5.6951318121082485E-2</v>
      </c>
      <c r="Y9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9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90" s="54">
        <f>IF(SummaryTable[[#This Row],[IncreaseYears]]=0, ZeroBudgetNoSpending, SummaryTable[[#This Row],[OSinIncreaseYear'#]]/SummaryTable[[#This Row],[IncreaseYears]])</f>
        <v>0</v>
      </c>
      <c r="AB90" s="58" t="str">
        <f>SummaryTable[[#This Row],[Code]]</f>
        <v>FX0</v>
      </c>
      <c r="AC90" s="62">
        <f>IF(COUNTIFS(allFYsTable[Code], SummaryTable[[#This Row],[Code]], allFYsTable[year2], AC$3)=0, NotFound, SUMIFS(allFYsTable[OriginalBudget], allFYsTable[Code], SummaryTable[[#This Row],[Code]], allFYsTable[year2], AC$3))</f>
        <v>15383</v>
      </c>
      <c r="AD90" s="61">
        <f>SummaryTable[[#This Row],[OriginalBudget25]]-SummaryTable[[#This Row],[OriginalBudget24]]</f>
        <v>746</v>
      </c>
      <c r="AE90" s="54">
        <f>SummaryTable[[#This Row],[BudgetIncreaseAmount25]]/SummaryTable[[#This Row],[OriginalBudget24]]</f>
        <v>5.0966728154676504E-2</v>
      </c>
      <c r="AF90" s="61">
        <f>IF(COUNTIFS(allFYsTable[Code], SummaryTable[[#This Row],[Code]], allFYsTable[year2], AC$3)=0, NotFound, SUMIFS(allFYsTable[RevisedBudget], allFYsTable[Code], SummaryTable[[#This Row],[Code]], allFYsTable[year2], AC$3))</f>
        <v>15329</v>
      </c>
      <c r="AG90" s="61">
        <f>IF(COUNTIFS(allFYsTable[Code], SummaryTable[[#This Row],[Code]], allFYsTable[year2], AC$3)=0, NotFound, SUMIFS(allFYsTable[Actual], allFYsTable[Code], SummaryTable[[#This Row],[Code]], allFYsTable[year2], AC$3))</f>
        <v>14926</v>
      </c>
      <c r="AH90" s="61">
        <f>IF(COUNTIFS(allFYsTable[Code], SummaryTable[[#This Row],[Code]], allFYsTable[year2], AC$3)=0, NotFound, SUMIFS(allFYsTable[DiffAmount], allFYsTable[Code], SummaryTable[[#This Row],[Code]], allFYsTable[year2], AC$3))</f>
        <v>-457</v>
      </c>
      <c r="AI90" s="63">
        <f>IF(SummaryTable[[#This Row],[OriginalBudget25]]=0, IF(SummaryTable[[#This Row],[DiffAmount25]]=0, ZeroBudgetNoSpending, ZeroBudgetWithSpending), SummaryTable[[#This Row],[DiffAmount25]]/SummaryTable[[#This Row],[OriginalBudget25]])</f>
        <v>-2.9708119352532016E-2</v>
      </c>
      <c r="AJ90" s="62">
        <f>IF(COUNTIFS(allFYsTable[Code], SummaryTable[[#This Row],[Code]], allFYsTable[year2], AJ$3)=0, NotFound, SUMIFS(allFYsTable[OriginalBudget], allFYsTable[Code], SummaryTable[[#This Row],[Code]], allFYsTable[year2], AJ$3))</f>
        <v>14637</v>
      </c>
      <c r="AK90" s="61">
        <f>SummaryTable[[#This Row],[OriginalBudget24]]-SummaryTable[[#This Row],[OriginalBudget23]]</f>
        <v>-156</v>
      </c>
      <c r="AL90" s="54">
        <f>SummaryTable[[#This Row],[BudgetIncreaseAmount24]]/SummaryTable[[#This Row],[OriginalBudget23]]</f>
        <v>-1.0545528290407625E-2</v>
      </c>
      <c r="AM90" s="61">
        <f>IF(COUNTIFS(allFYsTable[Code], SummaryTable[[#This Row],[Code]], allFYsTable[year2], AK$3)=0, NotFound, SUMIFS(allFYsTable[RevisedBudget], allFYsTable[Code], SummaryTable[[#This Row],[Code]], allFYsTable[year2], AJ$3))</f>
        <v>16008</v>
      </c>
      <c r="AN90" s="61">
        <f>IF(COUNTIFS(allFYsTable[Code], SummaryTable[[#This Row],[Code]], allFYsTable[year2], AJ$3)=0, NotFound, SUMIFS(allFYsTable[Actual], allFYsTable[Code], SummaryTable[[#This Row],[Code]], allFYsTable[year2], AJ$3))</f>
        <v>15895</v>
      </c>
      <c r="AO90" s="61">
        <f>IF(COUNTIFS(allFYsTable[Code], SummaryTable[[#This Row],[Code]], allFYsTable[year2], AJ$3)=0, NotFound, SUMIFS(allFYsTable[DiffAmount], allFYsTable[Code], SummaryTable[[#This Row],[Code]], allFYsTable[year2], AJ$3))</f>
        <v>1258</v>
      </c>
      <c r="AP90" s="63">
        <f>IF(SummaryTable[[#This Row],[OriginalBudget24]]=0, IF(SummaryTable[[#This Row],[DiffAmount24]]=0, ZeroBudgetNoSpending, ZeroBudgetWithSpending), SummaryTable[[#This Row],[DiffAmount24]]/SummaryTable[[#This Row],[OriginalBudget24]])</f>
        <v>8.5946573751451802E-2</v>
      </c>
      <c r="AQ90" s="62">
        <f>IF(COUNTIFS(allFYsTable[Code], SummaryTable[[#This Row],[Code]], allFYsTable[year2], AQ$3)=0, NotFound, SUMIFS(allFYsTable[OriginalBudget], allFYsTable[Code], SummaryTable[[#This Row],[Code]], allFYsTable[year2], AQ$3))</f>
        <v>14793</v>
      </c>
      <c r="AR90" s="61">
        <f>SummaryTable[[#This Row],[OriginalBudget23]]-SummaryTable[[#This Row],[OriginalBudget22]]</f>
        <v>1348</v>
      </c>
      <c r="AS90" s="54">
        <f>SummaryTable[[#This Row],[BudgetIncreaseAmount23]]/SummaryTable[[#This Row],[OriginalBudget22]]</f>
        <v>0.10026031982149498</v>
      </c>
      <c r="AT90" s="61">
        <f>IF(COUNTIFS(allFYsTable[Code], SummaryTable[[#This Row],[Code]], allFYsTable[year2], AQ$3)=0, NotFound, SUMIFS(allFYsTable[RevisedBudget], allFYsTable[Code], SummaryTable[[#This Row],[Code]], allFYsTable[year2], AQ$3))</f>
        <v>14573</v>
      </c>
      <c r="AU90" s="61">
        <f>IF(COUNTIFS(allFYsTable[Code], SummaryTable[[#This Row],[Code]], allFYsTable[year2], AQ$3)=0, NotFound, SUMIFS(allFYsTable[Actual], allFYsTable[Code], SummaryTable[[#This Row],[Code]], allFYsTable[year2], AQ$3))</f>
        <v>14322</v>
      </c>
      <c r="AV90" s="61">
        <f>IF(COUNTIFS(allFYsTable[Code], SummaryTable[[#This Row],[Code]], allFYsTable[year2], AQ$3)=0, NotFound, SUMIFS(allFYsTable[DiffAmount], allFYsTable[Code], SummaryTable[[#This Row],[Code]], allFYsTable[year2], AQ$3))</f>
        <v>-471</v>
      </c>
      <c r="AW90" s="63">
        <f>IF(SummaryTable[[#This Row],[OriginalBudget23]]=0, IF(SummaryTable[[#This Row],[DiffAmount23]]=0, ZeroBudgetNoSpending, ZeroBudgetWithSpending), SummaryTable[[#This Row],[DiffAmount23]]/SummaryTable[[#This Row],[OriginalBudget23]])</f>
        <v>-3.1839383492192251E-2</v>
      </c>
      <c r="AX90" s="62">
        <f>IF(COUNTIFS(allFYsTable[Code], SummaryTable[[#This Row],[Code]], allFYsTable[year2], AX$3)=0, NotFound, SUMIFS(allFYsTable[OriginalBudget], allFYsTable[Code], SummaryTable[[#This Row],[Code]], allFYsTable[year2], AX$3))</f>
        <v>13445</v>
      </c>
      <c r="AY90" s="61">
        <f>SummaryTable[[#This Row],[OriginalBudget22]]-SummaryTable[[#This Row],[OriginalBudget21]]</f>
        <v>1250</v>
      </c>
      <c r="AZ90" s="54">
        <f>SummaryTable[[#This Row],[BudgetIncreaseAmount22]]/SummaryTable[[#This Row],[OriginalBudget21]]</f>
        <v>0.1025010250102501</v>
      </c>
      <c r="BA90" s="61">
        <f>IF(COUNTIFS(allFYsTable[Code], SummaryTable[[#This Row],[Code]], allFYsTable[year2], AX$3)=0, NotFound, SUMIFS(allFYsTable[RevisedBudget], allFYsTable[Code], SummaryTable[[#This Row],[Code]], allFYsTable[year2], AX$3))</f>
        <v>13232</v>
      </c>
      <c r="BB90" s="61">
        <f>IF(COUNTIFS(allFYsTable[Code], SummaryTable[[#This Row],[Code]], allFYsTable[year2], AX$3)=0, NotFound, SUMIFS(allFYsTable[Actual], allFYsTable[Code], SummaryTable[[#This Row],[Code]], allFYsTable[year2], AX$3))</f>
        <v>12944</v>
      </c>
      <c r="BC90" s="61">
        <f>IF(COUNTIFS(allFYsTable[Code], SummaryTable[[#This Row],[Code]], allFYsTable[year2], AX$3)=0, NotFound, SUMIFS(allFYsTable[DiffAmount], allFYsTable[Code], SummaryTable[[#This Row],[Code]], allFYsTable[year2], AX$3))</f>
        <v>-501</v>
      </c>
      <c r="BD90" s="63">
        <f>IF(SummaryTable[[#This Row],[OriginalBudget22]]=0, IF(SummaryTable[[#This Row],[DiffAmount22]]=0, ZeroBudgetNoSpending, ZeroBudgetWithSpending), SummaryTable[[#This Row],[DiffAmount22]]/SummaryTable[[#This Row],[OriginalBudget22]])</f>
        <v>-3.7262923019709931E-2</v>
      </c>
      <c r="BE90" s="62">
        <f>IF(COUNTIFS(allFYsTable[Code], SummaryTable[[#This Row],[Code]], allFYsTable[year2], BE$3)=0, NotFound, SUMIFS(allFYsTable[OriginalBudget], allFYsTable[Code], SummaryTable[[#This Row],[Code]], allFYsTable[year2], BE$3))</f>
        <v>12195</v>
      </c>
      <c r="BF90" s="61">
        <f>SummaryTable[[#This Row],[OriginalBudget21]]-SummaryTable[[#This Row],[OriginalBudget20]]</f>
        <v>-750</v>
      </c>
      <c r="BG90" s="54">
        <f>SummaryTable[[#This Row],[BudgetIncreaseAmount21]]/SummaryTable[[#This Row],[OriginalBudget20]]</f>
        <v>-5.7937427578215531E-2</v>
      </c>
      <c r="BH90" s="61">
        <f>IF(COUNTIFS(allFYsTable[Code], SummaryTable[[#This Row],[Code]], allFYsTable[year2], BE$3)=0, NotFound, SUMIFS(allFYsTable[RevisedBudget], allFYsTable[Code], SummaryTable[[#This Row],[Code]], allFYsTable[year2], BE$3))</f>
        <v>12385</v>
      </c>
      <c r="BI90" s="61">
        <f>IF(COUNTIFS(allFYsTable[Code], SummaryTable[[#This Row],[Code]], allFYsTable[year2], BE$3)=0, NotFound, SUMIFS(allFYsTable[Actual], allFYsTable[Code], SummaryTable[[#This Row],[Code]], allFYsTable[year2], BE$3))</f>
        <v>12196</v>
      </c>
      <c r="BJ90" s="61">
        <f>IF(COUNTIFS(allFYsTable[Code], SummaryTable[[#This Row],[Code]], allFYsTable[year2], BE$3)=0, NotFound, SUMIFS(allFYsTable[DiffAmount], allFYsTable[Code], SummaryTable[[#This Row],[Code]], allFYsTable[year2], BE$3))</f>
        <v>1</v>
      </c>
      <c r="BK90" s="63">
        <f>IF(SummaryTable[[#This Row],[OriginalBudget21]]=0, IF(SummaryTable[[#This Row],[DiffAmount21]]=0, ZeroBudgetNoSpending, ZeroBudgetWithSpending), SummaryTable[[#This Row],[DiffAmount21]]/SummaryTable[[#This Row],[OriginalBudget21]])</f>
        <v>8.2000820008200083E-5</v>
      </c>
      <c r="BL90" s="62">
        <f>IF(COUNTIFS(allFYsTable[Code], SummaryTable[[#This Row],[Code]], allFYsTable[year2], BL$3)=0, NotFound, SUMIFS(allFYsTable[OriginalBudget], allFYsTable[Code], SummaryTable[[#This Row],[Code]], allFYsTable[year2], BL$3))</f>
        <v>12945</v>
      </c>
      <c r="BM90" s="61">
        <f>SummaryTable[[#This Row],[OriginalBudget20]]-SummaryTable[[#This Row],[OriginalBudget19]]</f>
        <v>593</v>
      </c>
      <c r="BN90" s="54">
        <f>SummaryTable[[#This Row],[BudgetIncreaseAmount20]]/SummaryTable[[#This Row],[OriginalBudget19]]</f>
        <v>4.8008419689119168E-2</v>
      </c>
      <c r="BO90" s="61">
        <f>IF(COUNTIFS(allFYsTable[Code], SummaryTable[[#This Row],[Code]], allFYsTable[year2], BL$3)=0, NotFound, SUMIFS(allFYsTable[RevisedBudget], allFYsTable[Code], SummaryTable[[#This Row],[Code]], allFYsTable[year2], BL$3))</f>
        <v>10384</v>
      </c>
      <c r="BP90" s="61">
        <f>IF(COUNTIFS(allFYsTable[Code], SummaryTable[[#This Row],[Code]], allFYsTable[year2], BL$3)=0, NotFound, SUMIFS(allFYsTable[Actual], allFYsTable[Code], SummaryTable[[#This Row],[Code]], allFYsTable[year2], BL$3))</f>
        <v>10283</v>
      </c>
      <c r="BQ90" s="61">
        <f>IF(COUNTIFS(allFYsTable[Code], SummaryTable[[#This Row],[Code]], allFYsTable[year2], BL$3)=0, NotFound, SUMIFS(allFYsTable[DiffAmount], allFYsTable[Code], SummaryTable[[#This Row],[Code]], allFYsTable[year2], BL$3))</f>
        <v>-2662</v>
      </c>
      <c r="BR90" s="63">
        <f>IF(SummaryTable[[#This Row],[OriginalBudget20]]=0, IF(SummaryTable[[#This Row],[DiffAmount20]]=0, ZeroBudgetNoSpending, ZeroBudgetWithSpending), SummaryTable[[#This Row],[DiffAmount20]]/SummaryTable[[#This Row],[OriginalBudget20]])</f>
        <v>-0.20563924295094632</v>
      </c>
      <c r="BS90" s="62">
        <f>IF(COUNTIFS(allFYsTable[Code], SummaryTable[[#This Row],[Code]], allFYsTable[year2], BS$3)=0, NotFound, SUMIFS(allFYsTable[OriginalBudget], allFYsTable[Code], SummaryTable[[#This Row],[Code]], allFYsTable[year2], BS$3))</f>
        <v>12352</v>
      </c>
      <c r="BT90" s="61">
        <f>SummaryTable[[#This Row],[OriginalBudget19]]-SummaryTable[[#This Row],[OriginalBudget18]]</f>
        <v>907</v>
      </c>
      <c r="BU90" s="54">
        <f>SummaryTable[[#This Row],[BudgetIncreaseAmount19]]/SummaryTable[[#This Row],[OriginalBudget18]]</f>
        <v>7.9248580166011356E-2</v>
      </c>
      <c r="BV90" s="61">
        <f>IF(COUNTIFS(allFYsTable[Code], SummaryTable[[#This Row],[Code]], allFYsTable[year2], BS$3)=0, NotFound, SUMIFS(allFYsTable[RevisedBudget], allFYsTable[Code], SummaryTable[[#This Row],[Code]], allFYsTable[year2], BS$3))</f>
        <v>12171</v>
      </c>
      <c r="BW90" s="61">
        <f>IF(COUNTIFS(allFYsTable[Code], SummaryTable[[#This Row],[Code]], allFYsTable[year2], BS$3)=0, NotFound, SUMIFS(allFYsTable[Actual], allFYsTable[Code], SummaryTable[[#This Row],[Code]], allFYsTable[year2], BS$3))</f>
        <v>12016</v>
      </c>
      <c r="BX90" s="61">
        <f>IF(COUNTIFS(allFYsTable[Code], SummaryTable[[#This Row],[Code]], allFYsTable[year2], BS$3)=0, NotFound, SUMIFS(allFYsTable[DiffAmount], allFYsTable[Code], SummaryTable[[#This Row],[Code]], allFYsTable[year2], BS$3))</f>
        <v>-336</v>
      </c>
      <c r="BY90" s="63">
        <f>IF(SummaryTable[[#This Row],[OriginalBudget19]]=0, IF(SummaryTable[[#This Row],[DiffAmount19]]=0, ZeroBudgetNoSpending, ZeroBudgetWithSpending), SummaryTable[[#This Row],[DiffAmount19]]/SummaryTable[[#This Row],[OriginalBudget19]])</f>
        <v>-2.7202072538860103E-2</v>
      </c>
      <c r="BZ90" s="62">
        <f>IF(COUNTIFS(allFYsTable[Code], SummaryTable[[#This Row],[Code]], allFYsTable[year2], BZ$3)=0, NotFound, SUMIFS(allFYsTable[OriginalBudget], allFYsTable[Code], SummaryTable[[#This Row],[Code]], allFYsTable[year2], BZ$3))</f>
        <v>11445</v>
      </c>
      <c r="CA90" s="61">
        <f>SummaryTable[[#This Row],[OriginalBudget18]]-SummaryTable[[#This Row],[OriginalBudget17]]</f>
        <v>22</v>
      </c>
      <c r="CB90" s="54">
        <f>SummaryTable[[#This Row],[BudgetIncreaseAmount18]]/SummaryTable[[#This Row],[OriginalBudget17]]</f>
        <v>1.9259388952114155E-3</v>
      </c>
      <c r="CC90" s="61">
        <f>IF(COUNTIFS(allFYsTable[Code], SummaryTable[[#This Row],[Code]], allFYsTable[year2], BZ$3)=0, NotFound, SUMIFS(allFYsTable[RevisedBudget], allFYsTable[Code], SummaryTable[[#This Row],[Code]], allFYsTable[year2], BZ$3))</f>
        <v>11743</v>
      </c>
      <c r="CD90" s="61">
        <f>IF(COUNTIFS(allFYsTable[Code], SummaryTable[[#This Row],[Code]], allFYsTable[year2], BZ$3)=0, NotFound, SUMIFS(allFYsTable[Actual], allFYsTable[Code], SummaryTable[[#This Row],[Code]], allFYsTable[year2], BZ$3))</f>
        <v>11646</v>
      </c>
      <c r="CE90" s="61">
        <f>IF(COUNTIFS(allFYsTable[Code], SummaryTable[[#This Row],[Code]], allFYsTable[year2], BZ$3)=0, NotFound, SUMIFS(allFYsTable[DiffAmount], allFYsTable[Code], SummaryTable[[#This Row],[Code]], allFYsTable[year2], BZ$3))</f>
        <v>201</v>
      </c>
      <c r="CF90" s="63">
        <f>IF(SummaryTable[[#This Row],[OriginalBudget18]]=0, IF(SummaryTable[[#This Row],[DiffAmount18]]=0, ZeroBudgetNoSpending, ZeroBudgetWithSpending), SummaryTable[[#This Row],[DiffAmount18]]/SummaryTable[[#This Row],[OriginalBudget18]])</f>
        <v>1.7562254259501964E-2</v>
      </c>
      <c r="CG90" s="62">
        <f>IF(COUNTIFS(allFYsTable[Code], SummaryTable[[#This Row],[Code]], allFYsTable[year2], CG$3)=0, NotFound, SUMIFS(allFYsTable[OriginalBudget], allFYsTable[Code], SummaryTable[[#This Row],[Code]], allFYsTable[year2], CG$3))</f>
        <v>11423</v>
      </c>
      <c r="CH90" s="61">
        <f>SummaryTable[[#This Row],[OriginalBudget17]]-SummaryTable[[#This Row],[OriginalBudget16]]</f>
        <v>595</v>
      </c>
      <c r="CI90" s="54">
        <f>SummaryTable[[#This Row],[BudgetIncreaseAmount17]]/SummaryTable[[#This Row],[OriginalBudget16]]</f>
        <v>5.4950129294421869E-2</v>
      </c>
      <c r="CJ90" s="61">
        <f>IF(COUNTIFS(allFYsTable[Code], SummaryTable[[#This Row],[Code]], allFYsTable[year2], CG$3)=0, NotFound, SUMIFS(allFYsTable[RevisedBudget], allFYsTable[Code], SummaryTable[[#This Row],[Code]], allFYsTable[year2], CG$3))</f>
        <v>11534</v>
      </c>
      <c r="CK90" s="61">
        <f>IF(COUNTIFS(allFYsTable[Code], SummaryTable[[#This Row],[Code]], allFYsTable[year2], CG$3)=0, NotFound, SUMIFS(allFYsTable[Actual], allFYsTable[Code], SummaryTable[[#This Row],[Code]], allFYsTable[year2], CG$3))</f>
        <v>11316</v>
      </c>
      <c r="CL90" s="61">
        <f>IF(COUNTIFS(allFYsTable[Code], SummaryTable[[#This Row],[Code]], allFYsTable[year2], CG$3)=0, NotFound, SUMIFS(allFYsTable[DiffAmount], allFYsTable[Code], SummaryTable[[#This Row],[Code]], allFYsTable[year2], CG$3))</f>
        <v>-107</v>
      </c>
      <c r="CM90" s="63">
        <f>IF(SummaryTable[[#This Row],[OriginalBudget17]]=0, IF(SummaryTable[[#This Row],[DiffAmount17]]=0, ZeroBudgetNoSpending, ZeroBudgetWithSpending), SummaryTable[[#This Row],[DiffAmount17]]/SummaryTable[[#This Row],[OriginalBudget17]])</f>
        <v>-9.367066444891884E-3</v>
      </c>
      <c r="CN90" s="62">
        <f>IF(COUNTIFS(allFYsTable[Code], SummaryTable[[#This Row],[Code]], allFYsTable[year2], CN$3)=0, NotFound, SUMIFS(allFYsTable[OriginalBudget], allFYsTable[Code], SummaryTable[[#This Row],[Code]], allFYsTable[year2], CN$3))</f>
        <v>10828</v>
      </c>
      <c r="CO90" s="61">
        <f>SummaryTable[[#This Row],[OriginalBudget16]]-SummaryTable[[#This Row],[OriginalBudget15]]</f>
        <v>1309</v>
      </c>
      <c r="CP90" s="54">
        <f>SummaryTable[[#This Row],[BudgetIncreaseAmount16]]/SummaryTable[[#This Row],[OriginalBudget15]]</f>
        <v>0.13751444479462127</v>
      </c>
      <c r="CQ90" s="61">
        <f>IF(COUNTIFS(allFYsTable[Code], SummaryTable[[#This Row],[Code]], allFYsTable[year2], CN$3)=0, NotFound, SUMIFS(allFYsTable[RevisedBudget], allFYsTable[Code], SummaryTable[[#This Row],[Code]], allFYsTable[year2], CN$3))</f>
        <v>10900</v>
      </c>
      <c r="CR90" s="61">
        <f>IF(COUNTIFS(allFYsTable[Code], SummaryTable[[#This Row],[Code]], allFYsTable[year2], CN$3)=0, NotFound, SUMIFS(allFYsTable[Actual], allFYsTable[Code], SummaryTable[[#This Row],[Code]], allFYsTable[year2], CN$3))</f>
        <v>10849</v>
      </c>
      <c r="CS90" s="61">
        <f>IF(COUNTIFS(allFYsTable[Code], SummaryTable[[#This Row],[Code]], allFYsTable[year2], CN$3)=0, NotFound, SUMIFS(allFYsTable[DiffAmount], allFYsTable[Code], SummaryTable[[#This Row],[Code]], allFYsTable[year2], CN$3))</f>
        <v>21</v>
      </c>
      <c r="CT90" s="63">
        <f>IF(SummaryTable[[#This Row],[OriginalBudget16]]=0, IF(SummaryTable[[#This Row],[DiffAmount16]]=0, ZeroBudgetNoSpending, ZeroBudgetWithSpending), SummaryTable[[#This Row],[DiffAmount16]]/SummaryTable[[#This Row],[OriginalBudget16]])</f>
        <v>1.9394163280384189E-3</v>
      </c>
      <c r="CU90" s="62">
        <f>IF(COUNTIFS(allFYsTable[Code], SummaryTable[[#This Row],[Code]], allFYsTable[year2], CU$3)=0, NotFound, SUMIFS(allFYsTable[OriginalBudget], allFYsTable[Code], SummaryTable[[#This Row],[Code]], allFYsTable[year2], CU$3))</f>
        <v>9519</v>
      </c>
      <c r="CV90" s="61">
        <f>SummaryTable[[#This Row],[OriginalBudget15]]-SummaryTable[[#This Row],[OriginalBudget14]]</f>
        <v>729</v>
      </c>
      <c r="CW90" s="54">
        <f>SummaryTable[[#This Row],[BudgetIncreaseAmount15]]/SummaryTable[[#This Row],[OriginalBudget14]]</f>
        <v>8.2935153583617749E-2</v>
      </c>
      <c r="CX90" s="61">
        <f>IF(COUNTIFS(allFYsTable[Code], SummaryTable[[#This Row],[Code]], allFYsTable[year2], CU$3)=0, NotFound, SUMIFS(allFYsTable[RevisedBudget], allFYsTable[Code], SummaryTable[[#This Row],[Code]], allFYsTable[year2], CU$3))</f>
        <v>9458</v>
      </c>
      <c r="CY90" s="61">
        <f>IF(COUNTIFS(allFYsTable[Code], SummaryTable[[#This Row],[Code]], allFYsTable[year2], CU$3)=0, NotFound, SUMIFS(allFYsTable[Actual], allFYsTable[Code], SummaryTable[[#This Row],[Code]], allFYsTable[year2], CU$3))</f>
        <v>9245</v>
      </c>
      <c r="CZ90" s="61">
        <f>IF(COUNTIFS(allFYsTable[Code], SummaryTable[[#This Row],[Code]], allFYsTable[year2], CU$3)=0, NotFound, SUMIFS(allFYsTable[DiffAmount], allFYsTable[Code], SummaryTable[[#This Row],[Code]], allFYsTable[year2], CU$3))</f>
        <v>-274</v>
      </c>
      <c r="DA90" s="63">
        <f>IF(SummaryTable[[#This Row],[OriginalBudget15]]=0, IF(SummaryTable[[#This Row],[DiffAmount15]]=0, ZeroBudgetNoSpending, ZeroBudgetWithSpending), SummaryTable[[#This Row],[DiffAmount15]]/SummaryTable[[#This Row],[OriginalBudget15]])</f>
        <v>-2.8784536190776342E-2</v>
      </c>
      <c r="DB90" s="62">
        <f>IF(COUNTIFS(allFYsTable[Code], SummaryTable[[#This Row],[Code]], allFYsTable[year2], DB$3)=0, NotFound, SUMIFS(allFYsTable[OriginalBudget], allFYsTable[Code], SummaryTable[[#This Row],[Code]], allFYsTable[year2], DB$3))</f>
        <v>8790</v>
      </c>
      <c r="DC90" s="61">
        <f>SummaryTable[[#This Row],[OriginalBudget14]]-SummaryTable[[#This Row],[OriginalBudget13]]</f>
        <v>956</v>
      </c>
      <c r="DD90" s="54">
        <f>SummaryTable[[#This Row],[BudgetIncreaseAmount14]]/SummaryTable[[#This Row],[OriginalBudget13]]</f>
        <v>0.12203216747510851</v>
      </c>
      <c r="DE90" s="61">
        <f>IF(COUNTIFS(allFYsTable[Code], SummaryTable[[#This Row],[Code]], allFYsTable[year2], DB$3)=0, NotFound, SUMIFS(allFYsTable[RevisedBudget], allFYsTable[Code], SummaryTable[[#This Row],[Code]], allFYsTable[year2], DB$3))</f>
        <v>9003</v>
      </c>
      <c r="DF90" s="61">
        <f>IF(COUNTIFS(allFYsTable[Code], SummaryTable[[#This Row],[Code]], allFYsTable[year2], DB$3)=0, NotFound, SUMIFS(allFYsTable[Actual], allFYsTable[Code], SummaryTable[[#This Row],[Code]], allFYsTable[year2], DB$3))</f>
        <v>8392</v>
      </c>
      <c r="DG90" s="61">
        <f>IF(COUNTIFS(allFYsTable[Code], SummaryTable[[#This Row],[Code]], allFYsTable[year2], DB$3)=0, NotFound, SUMIFS(allFYsTable[DiffAmount], allFYsTable[Code], SummaryTable[[#This Row],[Code]], allFYsTable[year2], DB$3))</f>
        <v>-398</v>
      </c>
      <c r="DH90" s="63">
        <f>IF(SummaryTable[[#This Row],[OriginalBudget14]]=0, IF(SummaryTable[[#This Row],[DiffAmount14]]=0, ZeroBudgetNoSpending, ZeroBudgetWithSpending), SummaryTable[[#This Row],[DiffAmount14]]/SummaryTable[[#This Row],[OriginalBudget14]])</f>
        <v>-4.5278725824800907E-2</v>
      </c>
      <c r="DI90" s="62">
        <f>IF(COUNTIFS(allFYsTable[Code], SummaryTable[[#This Row],[Code]], allFYsTable[year2], DI$3)=0, NotFound, SUMIFS(allFYsTable[OriginalBudget], allFYsTable[Code], SummaryTable[[#This Row],[Code]], allFYsTable[year2], DI$3))</f>
        <v>7834</v>
      </c>
      <c r="DJ90" s="61">
        <f>SummaryTable[[#This Row],[OriginalBudget13]]-SummaryTable[[#This Row],[OriginalBudget12]]</f>
        <v>265</v>
      </c>
      <c r="DK90" s="54">
        <f>SummaryTable[[#This Row],[BudgetIncreaseAmount13]]/SummaryTable[[#This Row],[OriginalBudget12]]</f>
        <v>3.5011230017175321E-2</v>
      </c>
      <c r="DL90" s="61">
        <f>IF(COUNTIFS(allFYsTable[Code], SummaryTable[[#This Row],[Code]], allFYsTable[year2], DI$3)=0, NotFound, SUMIFS(allFYsTable[RevisedBudget], allFYsTable[Code], SummaryTable[[#This Row],[Code]], allFYsTable[year2], DI$3))</f>
        <v>7834</v>
      </c>
      <c r="DM90" s="61">
        <f>IF(COUNTIFS(allFYsTable[Code], SummaryTable[[#This Row],[Code]], allFYsTable[year2], DI$3)=0, NotFound, SUMIFS(allFYsTable[Actual], allFYsTable[Code], SummaryTable[[#This Row],[Code]], allFYsTable[year2], DI$3))</f>
        <v>7543</v>
      </c>
      <c r="DN90" s="61">
        <f>IF(COUNTIFS(allFYsTable[Code], SummaryTable[[#This Row],[Code]], allFYsTable[year2], DI$3)=0, NotFound, SUMIFS(allFYsTable[DiffAmount], allFYsTable[Code], SummaryTable[[#This Row],[Code]], allFYsTable[year2], DI$3))</f>
        <v>-291</v>
      </c>
      <c r="DO90" s="63">
        <f>IF(SummaryTable[[#This Row],[OriginalBudget13]]=0, IF(SummaryTable[[#This Row],[DiffAmount13]]=0, ZeroBudgetNoSpending, ZeroBudgetWithSpending), SummaryTable[[#This Row],[DiffAmount13]]/SummaryTable[[#This Row],[OriginalBudget13]])</f>
        <v>-3.7145774827674241E-2</v>
      </c>
      <c r="DP90" s="62">
        <f>IF(COUNTIFS(allFYsTable[Code], SummaryTable[[#This Row],[Code]], allFYsTable[year2], DP$3)=0, NotFound, SUMIFS(allFYsTable[OriginalBudget], allFYsTable[Code], SummaryTable[[#This Row],[Code]], allFYsTable[year2], DP$3))</f>
        <v>7569</v>
      </c>
      <c r="DQ90" s="61">
        <f>SummaryTable[[#This Row],[OriginalBudget12]]-SummaryTable[[#This Row],[OriginalBudget11]]</f>
        <v>456</v>
      </c>
      <c r="DR90" s="54">
        <f>SummaryTable[[#This Row],[BudgetIncreaseAmount12]]/SummaryTable[[#This Row],[OriginalBudget11]]</f>
        <v>6.4107971320118098E-2</v>
      </c>
      <c r="DS90" s="61">
        <f>IF(COUNTIFS(allFYsTable[Code], SummaryTable[[#This Row],[Code]], allFYsTable[year2], DP$3)=0, NotFound, SUMIFS(allFYsTable[RevisedBudget], allFYsTable[Code], SummaryTable[[#This Row],[Code]], allFYsTable[year2], DP$3))</f>
        <v>7419</v>
      </c>
      <c r="DT90" s="61">
        <f>IF(COUNTIFS(allFYsTable[Code], SummaryTable[[#This Row],[Code]], allFYsTable[year2], DP$3)=0, NotFound, SUMIFS(allFYsTable[Actual], allFYsTable[Code], SummaryTable[[#This Row],[Code]], allFYsTable[year2], DP$3))</f>
        <v>7348</v>
      </c>
      <c r="DU90" s="61">
        <f>IF(COUNTIFS(allFYsTable[Code], SummaryTable[[#This Row],[Code]], allFYsTable[year2], DP$3)=0, NotFound, SUMIFS(allFYsTable[DiffAmount], allFYsTable[Code], SummaryTable[[#This Row],[Code]], allFYsTable[year2], DP$3))</f>
        <v>-221</v>
      </c>
      <c r="DV90" s="63">
        <f>IF(SummaryTable[[#This Row],[OriginalBudget12]]=0, IF(SummaryTable[[#This Row],[DiffAmount12]]=0, ZeroBudgetNoSpending, ZeroBudgetWithSpending), SummaryTable[[#This Row],[DiffAmount12]]/SummaryTable[[#This Row],[OriginalBudget12]])</f>
        <v>-2.9198044655833002E-2</v>
      </c>
      <c r="DW90" s="62">
        <f>IF(COUNTIFS(allFYsTable[Code], SummaryTable[[#This Row],[Code]], allFYsTable[year2], DW$3)=0, NotFound, SUMIFS(allFYsTable[OriginalBudget], allFYsTable[Code], SummaryTable[[#This Row],[Code]], allFYsTable[year2], DW$3))</f>
        <v>7113</v>
      </c>
      <c r="DX90" s="61">
        <f>SummaryTable[[#This Row],[OriginalBudget11]]-SummaryTable[[#This Row],[OriginalBudget10]]</f>
        <v>-1251</v>
      </c>
      <c r="DY90" s="54">
        <f>SummaryTable[[#This Row],[BudgetIncreaseAmount11]]/SummaryTable[[#This Row],[OriginalBudget10]]</f>
        <v>-0.14956958393113343</v>
      </c>
      <c r="DZ90" s="61">
        <f>IF(COUNTIFS(allFYsTable[Code], SummaryTable[[#This Row],[Code]], allFYsTable[year2], DW$3)=0, NotFound, SUMIFS(allFYsTable[RevisedBudget], allFYsTable[Code], SummaryTable[[#This Row],[Code]], allFYsTable[year2], DW$3))</f>
        <v>7113</v>
      </c>
      <c r="EA90" s="61">
        <f>IF(COUNTIFS(allFYsTable[Code], SummaryTable[[#This Row],[Code]], allFYsTable[year2], DW$3)=0, NotFound, SUMIFS(allFYsTable[Actual], allFYsTable[Code], SummaryTable[[#This Row],[Code]], allFYsTable[year2], DW$3))</f>
        <v>6923</v>
      </c>
      <c r="EB90" s="61">
        <f>IF(COUNTIFS(allFYsTable[Code], SummaryTable[[#This Row],[Code]], allFYsTable[year2], DW$3)=0, NotFound, SUMIFS(allFYsTable[DiffAmount], allFYsTable[Code], SummaryTable[[#This Row],[Code]], allFYsTable[year2], DW$3))</f>
        <v>-190</v>
      </c>
      <c r="EC90" s="63">
        <f>IF(SummaryTable[[#This Row],[OriginalBudget11]]=0, IF(SummaryTable[[#This Row],[DiffAmount11]]=0, ZeroBudgetNoSpending, ZeroBudgetWithSpending), SummaryTable[[#This Row],[DiffAmount11]]/SummaryTable[[#This Row],[OriginalBudget11]])</f>
        <v>-2.6711654716715872E-2</v>
      </c>
      <c r="ED90" s="62">
        <f>IF(COUNTIFS(allFYsTable[Code], SummaryTable[[#This Row],[Code]], allFYsTable[year2], ED$3)=0, NotFound, SUMIFS(allFYsTable[OriginalBudget], allFYsTable[Code], SummaryTable[[#This Row],[Code]], allFYsTable[year2], ED$3))</f>
        <v>8364</v>
      </c>
      <c r="EE90" s="61">
        <f>SummaryTable[[#This Row],[OriginalBudget10]]-SummaryTable[[#This Row],[OriginalBudget09]]</f>
        <v>-1382</v>
      </c>
      <c r="EF90" s="54">
        <f>SummaryTable[[#This Row],[BudgetIncreaseAmount10]]/SummaryTable[[#This Row],[OriginalBudget09]]</f>
        <v>-0.14180176482659554</v>
      </c>
      <c r="EG90" s="61">
        <f>IF(COUNTIFS(allFYsTable[Code], SummaryTable[[#This Row],[Code]], allFYsTable[year2], ED$3)=0, NotFound, SUMIFS(allFYsTable[RevisedBudget], allFYsTable[Code], SummaryTable[[#This Row],[Code]], allFYsTable[year2], ED$3))</f>
        <v>8213</v>
      </c>
      <c r="EH90" s="61">
        <f>IF(COUNTIFS(allFYsTable[Code], SummaryTable[[#This Row],[Code]], allFYsTable[year2], ED$3)=0, NotFound, SUMIFS(allFYsTable[Actual], allFYsTable[Code], SummaryTable[[#This Row],[Code]], allFYsTable[year2], ED$3))</f>
        <v>8074</v>
      </c>
      <c r="EI90" s="61">
        <f>IF(COUNTIFS(allFYsTable[Code], SummaryTable[[#This Row],[Code]], allFYsTable[year2], ED$3)=0, NotFound, SUMIFS(allFYsTable[DiffAmount], allFYsTable[Code], SummaryTable[[#This Row],[Code]], allFYsTable[year2], ED$3))</f>
        <v>-290</v>
      </c>
      <c r="EJ90" s="63">
        <f>IF(SummaryTable[[#This Row],[OriginalBudget10]]=0, IF(SummaryTable[[#This Row],[DiffAmount10]]=0, ZeroBudgetNoSpending, ZeroBudgetWithSpending), SummaryTable[[#This Row],[DiffAmount10]]/SummaryTable[[#This Row],[OriginalBudget10]])</f>
        <v>-3.4672405547584891E-2</v>
      </c>
      <c r="EK90" s="62">
        <f>IF(COUNTIFS(allFYsTable[Code], SummaryTable[[#This Row],[Code]], allFYsTable[year2], EK$3)=0, NotFound, SUMIFS(allFYsTable[OriginalBudget], allFYsTable[Code], SummaryTable[[#This Row],[Code]], allFYsTable[year2], EK$3))</f>
        <v>9746</v>
      </c>
      <c r="EL90" s="61">
        <f>SummaryTable[[#This Row],[OriginalBudget09]]-SummaryTable[[#This Row],[OriginalBudget08]]</f>
        <v>-722</v>
      </c>
      <c r="EM90" s="54">
        <f>SummaryTable[[#This Row],[BudgetIncreaseAmount09]]/SummaryTable[[#This Row],[OriginalBudget08]]</f>
        <v>-6.8972105464272071E-2</v>
      </c>
      <c r="EN90" s="61">
        <f>IF(COUNTIFS(allFYsTable[Code], SummaryTable[[#This Row],[Code]], allFYsTable[year2], EK$3)=0, NotFound, SUMIFS(allFYsTable[RevisedBudget], allFYsTable[Code], SummaryTable[[#This Row],[Code]], allFYsTable[year2], EK$3))</f>
        <v>9550</v>
      </c>
      <c r="EO90" s="61">
        <f>IF(COUNTIFS(allFYsTable[Code], SummaryTable[[#This Row],[Code]], allFYsTable[year2], EK$3)=0, NotFound, SUMIFS(allFYsTable[Actual], allFYsTable[Code], SummaryTable[[#This Row],[Code]], allFYsTable[year2], EK$3))</f>
        <v>9170</v>
      </c>
      <c r="EP90" s="61">
        <f>IF(COUNTIFS(allFYsTable[Code], SummaryTable[[#This Row],[Code]], allFYsTable[year2], EK$3)=0, NotFound, SUMIFS(allFYsTable[DiffAmount], allFYsTable[Code], SummaryTable[[#This Row],[Code]], allFYsTable[year2], EK$3))</f>
        <v>-576</v>
      </c>
      <c r="EQ90" s="63">
        <f>IF(SummaryTable[[#This Row],[OriginalBudget09]]=0, IF(SummaryTable[[#This Row],[DiffAmount09]]=0, ZeroBudgetNoSpending, ZeroBudgetWithSpending), SummaryTable[[#This Row],[DiffAmount09]]/SummaryTable[[#This Row],[OriginalBudget09]])</f>
        <v>-5.9101169710650527E-2</v>
      </c>
      <c r="ER90" s="62">
        <f>IF(COUNTIFS(allFYsTable[Code], SummaryTable[[#This Row],[Code]], allFYsTable[year2], ER$3)=0, NotFound, SUMIFS(allFYsTable[OriginalBudget], allFYsTable[Code], SummaryTable[[#This Row],[Code]], allFYsTable[year2], ER$3))</f>
        <v>10468</v>
      </c>
      <c r="ES90" s="61">
        <f>SummaryTable[[#This Row],[OriginalBudget08]]-SummaryTable[[#This Row],[OriginalBudget07]]</f>
        <v>1614</v>
      </c>
      <c r="ET90" s="54">
        <f>SummaryTable[[#This Row],[BudgetIncreaseAmount08]]/SummaryTable[[#This Row],[OriginalBudget07]]</f>
        <v>0.18229049017393267</v>
      </c>
      <c r="EU90" s="61">
        <f>IF(COUNTIFS(allFYsTable[Code], SummaryTable[[#This Row],[Code]], allFYsTable[year2], ER$3)=0, NotFound, SUMIFS(allFYsTable[RevisedBudget], allFYsTable[Code], SummaryTable[[#This Row],[Code]], allFYsTable[year2], ER$3))</f>
        <v>9058</v>
      </c>
      <c r="EV90" s="61">
        <f>IF(COUNTIFS(allFYsTable[Code], SummaryTable[[#This Row],[Code]], allFYsTable[year2], ER$3)=0, NotFound, SUMIFS(allFYsTable[Actual], allFYsTable[Code], SummaryTable[[#This Row],[Code]], allFYsTable[year2], ER$3))</f>
        <v>9005</v>
      </c>
      <c r="EW90" s="61">
        <f>IF(COUNTIFS(allFYsTable[Code], SummaryTable[[#This Row],[Code]], allFYsTable[year2], ER$3)=0, NotFound, SUMIFS(allFYsTable[DiffAmount], allFYsTable[Code], SummaryTable[[#This Row],[Code]], allFYsTable[year2], ER$3))</f>
        <v>-1463</v>
      </c>
      <c r="EX90" s="63">
        <f>IF(SummaryTable[[#This Row],[OriginalBudget08]]=0, IF(SummaryTable[[#This Row],[DiffAmount08]]=0, ZeroBudgetNoSpending, ZeroBudgetWithSpending), SummaryTable[[#This Row],[DiffAmount08]]/SummaryTable[[#This Row],[OriginalBudget08]])</f>
        <v>-0.13975926633549865</v>
      </c>
      <c r="EY90" s="62">
        <f>IF(COUNTIFS(allFYsTable[Code], SummaryTable[[#This Row],[Code]], allFYsTable[year2], EY$3)=0, NotFound, SUMIFS(allFYsTable[OriginalBudget], allFYsTable[Code], SummaryTable[[#This Row],[Code]], allFYsTable[year2], EY$3))</f>
        <v>8854</v>
      </c>
      <c r="EZ90" s="61">
        <f>SummaryTable[[#This Row],[OriginalBudget07]]-SummaryTable[[#This Row],[OriginalBudget06]]</f>
        <v>-275</v>
      </c>
      <c r="FA90" s="54">
        <f>SummaryTable[[#This Row],[BudgetIncreaseAmount07]]/SummaryTable[[#This Row],[OriginalBudget06]]</f>
        <v>-3.0123781356117867E-2</v>
      </c>
      <c r="FB90" s="61">
        <f>IF(COUNTIFS(allFYsTable[Code], SummaryTable[[#This Row],[Code]], allFYsTable[year2], EY$3)=0, NotFound, SUMIFS(allFYsTable[RevisedBudget], allFYsTable[Code], SummaryTable[[#This Row],[Code]], allFYsTable[year2], EY$3))</f>
        <v>8854</v>
      </c>
      <c r="FC90" s="61">
        <f>IF(COUNTIFS(allFYsTable[Code], SummaryTable[[#This Row],[Code]], allFYsTable[year2], EY$3)=0, NotFound, SUMIFS(allFYsTable[Actual], allFYsTable[Code], SummaryTable[[#This Row],[Code]], allFYsTable[year2], EY$3))</f>
        <v>8219</v>
      </c>
      <c r="FD90" s="61">
        <f>IF(COUNTIFS(allFYsTable[Code], SummaryTable[[#This Row],[Code]], allFYsTable[year2], EY$3)=0, NotFound, SUMIFS(allFYsTable[DiffAmount], allFYsTable[Code], SummaryTable[[#This Row],[Code]], allFYsTable[year2], EY$3))</f>
        <v>-635</v>
      </c>
      <c r="FE90" s="63">
        <f>IF(SummaryTable[[#This Row],[OriginalBudget07]]=0, IF(SummaryTable[[#This Row],[DiffAmount07]]=0, ZeroBudgetNoSpending, ZeroBudgetWithSpending), SummaryTable[[#This Row],[DiffAmount07]]/SummaryTable[[#This Row],[OriginalBudget07]])</f>
        <v>-7.1718997063474135E-2</v>
      </c>
      <c r="FF90" s="62">
        <f>IF(COUNTIFS(allFYsTable[Code], SummaryTable[[#This Row],[Code]], allFYsTable[year2], FF$3)=0, NotFound, SUMIFS(allFYsTable[OriginalBudget], allFYsTable[Code], SummaryTable[[#This Row],[Code]], allFYsTable[year2], FF$3))</f>
        <v>9129</v>
      </c>
      <c r="FI90" s="61">
        <f>IF(COUNTIFS(allFYsTable[Code], SummaryTable[[#This Row],[Code]], allFYsTable[year2], FF$3)=0, NotFound, SUMIFS(allFYsTable[RevisedBudget], allFYsTable[Code], SummaryTable[[#This Row],[Code]], allFYsTable[year2], FF$3))</f>
        <v>9105</v>
      </c>
      <c r="FJ90" s="61">
        <f>IF(COUNTIFS(allFYsTable[Code], SummaryTable[[#This Row],[Code]], allFYsTable[year2], FF$3)=0, NotFound, SUMIFS(allFYsTable[Actual], allFYsTable[Code], SummaryTable[[#This Row],[Code]], allFYsTable[year2], FF$3))</f>
        <v>8468</v>
      </c>
      <c r="FK90" s="61">
        <f>IF(COUNTIFS(allFYsTable[Code], SummaryTable[[#This Row],[Code]], allFYsTable[year2], FF$3)=0, NotFound, SUMIFS(allFYsTable[DiffAmount], allFYsTable[Code], SummaryTable[[#This Row],[Code]], allFYsTable[year2], FF$3))</f>
        <v>-661</v>
      </c>
      <c r="FL90" s="63">
        <f>IF(SummaryTable[[#This Row],[OriginalBudget06]]=0, IF(SummaryTable[[#This Row],[DiffAmount06]]=0, ZeroBudgetNoSpending, ZeroBudgetWithSpending), SummaryTable[[#This Row],[DiffAmount06]]/SummaryTable[[#This Row],[OriginalBudget06]])</f>
        <v>-7.2406616277796029E-2</v>
      </c>
    </row>
    <row r="91" spans="1:168" x14ac:dyDescent="0.45">
      <c r="A91" t="s">
        <v>721</v>
      </c>
      <c r="B91">
        <f>_xlfn.MAXIFS(allFYsTable[year2], allFYsTable[Code], SummaryTable[[#This Row],[Code]])</f>
        <v>2025</v>
      </c>
      <c r="C91" t="str">
        <f>_xlfn.XLOOKUP(SummaryTable[[#This Row],[Code]], NameCodingTable[Code], NameCodingTable[Most Recent Category per allFYs])</f>
        <v>Governmental direction and support</v>
      </c>
      <c r="D91" t="str">
        <f>_xlfn.XLOOKUP(SummaryTable[[#This Row],[Code]], NameCodingTable[Code], NameCodingTable[Unit Display Name])</f>
        <v>Office of the Chief Technology Officer (OCTO)</v>
      </c>
      <c r="E91" t="str">
        <f>_xlfn.XLOOKUP(SummaryTable[[#This Row],[Code]], NameCodingTable[Code], NameCodingTable[Type])</f>
        <v>agency</v>
      </c>
      <c r="F9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9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11</v>
      </c>
      <c r="H91" s="54">
        <f>SummaryTable[[#This Row],['# Over]]/SummaryTable[[#This Row],[Count]]</f>
        <v>0.55000000000000004</v>
      </c>
      <c r="I9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9</v>
      </c>
      <c r="J91" s="54">
        <f>SummaryTable[[#This Row],['# Under]]/SummaryTable[[#This Row],[Count]]</f>
        <v>0.45</v>
      </c>
      <c r="K9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1" s="54">
        <f>SummaryTable[[#This Row],['# Equal]]/SummaryTable[[#This Row],[Count]]</f>
        <v>0</v>
      </c>
      <c r="M91" s="61">
        <f>SUMIFS(allFYsTable[OriginalBudget],allFYsTable[Code],SummaryTable[[#This Row],[Code]])/SummaryTable[[#This Row],[Count]]</f>
        <v>60805.7</v>
      </c>
      <c r="N91" s="61">
        <f>SUMIFS(allFYsTable[Actual],allFYsTable[Code],SummaryTable[[#This Row],[Code]])/SummaryTable[[#This Row],[Count]]</f>
        <v>61318.3</v>
      </c>
      <c r="O91" s="61">
        <f>SummaryTable[[#This Row],[AvgActAmt]]-SummaryTable[[#This Row],[AvgBudAmt]]</f>
        <v>512.60000000000582</v>
      </c>
      <c r="P91" s="54">
        <f>IF(SummaryTable[[#This Row],[AvgBudAmt]]=0, IF(SummaryTable[[#This Row],[AvgDiff'#]]=0, 0, NamedFields!$C$3), SummaryTable[[#This Row],[AvgDiff'#]]/SummaryTable[[#This Row],[AvgBudAmt]])</f>
        <v>8.4301307278759376E-3</v>
      </c>
      <c r="Q91" s="61">
        <f>IFERROR(SUMIFS(allFYsTable[OriginalBudget],allFYsTable[Code],SummaryTable[[#This Row],[Code]],allFYsTable[DiffAmount], "&gt;0")/SummaryTable[[#This Row],['# Over]], 0)</f>
        <v>57371.272727272728</v>
      </c>
      <c r="R91" s="61">
        <f>IFERROR(SUMIFS(allFYsTable[Actual],allFYsTable[Code],SummaryTable[[#This Row],[Code]],allFYsTable[DiffAmount], "&gt;0")/SummaryTable[[#This Row],['# Over]], 0)</f>
        <v>60467.272727272728</v>
      </c>
      <c r="S91" s="61">
        <f>SummaryTable[[#This Row],[OverAvgAct]]-SummaryTable[[#This Row],[OverAvgBud]]</f>
        <v>3096</v>
      </c>
      <c r="T91" s="54">
        <f>IF(SummaryTable[[#This Row],[OverAvgBud]]=0, IF(SummaryTable[[#This Row],[OverAvgDiff'#]]=0, ZeroBudgetNoSpending, ZeroBudgetWithSpending), SummaryTable[[#This Row],[OverAvgDiff'#]]/SummaryTable[[#This Row],[OverAvgBud]])</f>
        <v>5.3964290015275307E-2</v>
      </c>
      <c r="U91" s="61">
        <f>IFERROR(SUMIFS(allFYsTable[OriginalBudget],allFYsTable[Code],SummaryTable[[#This Row],[Code]],allFYsTable[DiffAmount], "&lt;0")/SummaryTable[[#This Row],['# Under]], 0)</f>
        <v>65003.333333333336</v>
      </c>
      <c r="V91" s="61">
        <f>IFERROR( SUMIFS(allFYsTable[Actual],allFYsTable[Code],SummaryTable[[#This Row],[Code]],allFYsTable[DiffAmount], "&lt;0")/SummaryTable[[#This Row],['# Under]], 0)</f>
        <v>62358.444444444445</v>
      </c>
      <c r="W91" s="61">
        <f>SummaryTable[[#This Row],[UnderAvgAct]]-SummaryTable[[#This Row],[UnderAvgBud]]</f>
        <v>-2644.8888888888905</v>
      </c>
      <c r="X91" s="54">
        <f>IF(SummaryTable[[#This Row],[UnderAvgBud]]=0, IF(SummaryTable[[#This Row],[UnderAvgDiff'#]]=0, ZeroBudgetNoSpending, NamedFields!$C$3), SummaryTable[[#This Row],[UnderAvgDiff'#]]/SummaryTable[[#This Row],[UnderAvgBud]])</f>
        <v>-4.0688511700254712E-2</v>
      </c>
      <c r="Y9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8</v>
      </c>
      <c r="Z9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91" s="54">
        <f>IF(SummaryTable[[#This Row],[IncreaseYears]]=0, ZeroBudgetNoSpending, SummaryTable[[#This Row],[OSinIncreaseYear'#]]/SummaryTable[[#This Row],[IncreaseYears]])</f>
        <v>0.125</v>
      </c>
      <c r="AB91" s="58" t="str">
        <f>SummaryTable[[#This Row],[Code]]</f>
        <v>TO0</v>
      </c>
      <c r="AC91" s="62">
        <f>IF(COUNTIFS(allFYsTable[Code], SummaryTable[[#This Row],[Code]], allFYsTable[year2], AC$3)=0, NotFound, SUMIFS(allFYsTable[OriginalBudget], allFYsTable[Code], SummaryTable[[#This Row],[Code]], allFYsTable[year2], AC$3))</f>
        <v>91106</v>
      </c>
      <c r="AD91" s="61">
        <f>SummaryTable[[#This Row],[OriginalBudget25]]-SummaryTable[[#This Row],[OriginalBudget24]]</f>
        <v>13286</v>
      </c>
      <c r="AE91" s="54">
        <f>SummaryTable[[#This Row],[BudgetIncreaseAmount25]]/SummaryTable[[#This Row],[OriginalBudget24]]</f>
        <v>0.1707273194551529</v>
      </c>
      <c r="AF91" s="61">
        <f>IF(COUNTIFS(allFYsTable[Code], SummaryTable[[#This Row],[Code]], allFYsTable[year2], AC$3)=0, NotFound, SUMIFS(allFYsTable[RevisedBudget], allFYsTable[Code], SummaryTable[[#This Row],[Code]], allFYsTable[year2], AC$3))</f>
        <v>88544</v>
      </c>
      <c r="AG91" s="61">
        <f>IF(COUNTIFS(allFYsTable[Code], SummaryTable[[#This Row],[Code]], allFYsTable[year2], AC$3)=0, NotFound, SUMIFS(allFYsTable[Actual], allFYsTable[Code], SummaryTable[[#This Row],[Code]], allFYsTable[year2], AC$3))</f>
        <v>87515</v>
      </c>
      <c r="AH91" s="61">
        <f>IF(COUNTIFS(allFYsTable[Code], SummaryTable[[#This Row],[Code]], allFYsTable[year2], AC$3)=0, NotFound, SUMIFS(allFYsTable[DiffAmount], allFYsTable[Code], SummaryTable[[#This Row],[Code]], allFYsTable[year2], AC$3))</f>
        <v>-3591</v>
      </c>
      <c r="AI91" s="63">
        <f>IF(SummaryTable[[#This Row],[OriginalBudget25]]=0, IF(SummaryTable[[#This Row],[DiffAmount25]]=0, ZeroBudgetNoSpending, ZeroBudgetWithSpending), SummaryTable[[#This Row],[DiffAmount25]]/SummaryTable[[#This Row],[OriginalBudget25]])</f>
        <v>-3.9415625754615505E-2</v>
      </c>
      <c r="AJ91" s="62">
        <f>IF(COUNTIFS(allFYsTable[Code], SummaryTable[[#This Row],[Code]], allFYsTable[year2], AJ$3)=0, NotFound, SUMIFS(allFYsTable[OriginalBudget], allFYsTable[Code], SummaryTable[[#This Row],[Code]], allFYsTable[year2], AJ$3))</f>
        <v>77820</v>
      </c>
      <c r="AK91" s="61">
        <f>SummaryTable[[#This Row],[OriginalBudget24]]-SummaryTable[[#This Row],[OriginalBudget23]]</f>
        <v>-3242</v>
      </c>
      <c r="AL91" s="54">
        <f>SummaryTable[[#This Row],[BudgetIncreaseAmount24]]/SummaryTable[[#This Row],[OriginalBudget23]]</f>
        <v>-3.9994078606498729E-2</v>
      </c>
      <c r="AM91" s="61">
        <f>IF(COUNTIFS(allFYsTable[Code], SummaryTable[[#This Row],[Code]], allFYsTable[year2], AK$3)=0, NotFound, SUMIFS(allFYsTable[RevisedBudget], allFYsTable[Code], SummaryTable[[#This Row],[Code]], allFYsTable[year2], AJ$3))</f>
        <v>76011</v>
      </c>
      <c r="AN91" s="61">
        <f>IF(COUNTIFS(allFYsTable[Code], SummaryTable[[#This Row],[Code]], allFYsTable[year2], AJ$3)=0, NotFound, SUMIFS(allFYsTable[Actual], allFYsTable[Code], SummaryTable[[#This Row],[Code]], allFYsTable[year2], AJ$3))</f>
        <v>75597</v>
      </c>
      <c r="AO91" s="61">
        <f>IF(COUNTIFS(allFYsTable[Code], SummaryTable[[#This Row],[Code]], allFYsTable[year2], AJ$3)=0, NotFound, SUMIFS(allFYsTable[DiffAmount], allFYsTable[Code], SummaryTable[[#This Row],[Code]], allFYsTable[year2], AJ$3))</f>
        <v>-2223</v>
      </c>
      <c r="AP91" s="63">
        <f>IF(SummaryTable[[#This Row],[OriginalBudget24]]=0, IF(SummaryTable[[#This Row],[DiffAmount24]]=0, ZeroBudgetNoSpending, ZeroBudgetWithSpending), SummaryTable[[#This Row],[DiffAmount24]]/SummaryTable[[#This Row],[OriginalBudget24]])</f>
        <v>-2.8565921356977639E-2</v>
      </c>
      <c r="AQ91" s="62">
        <f>IF(COUNTIFS(allFYsTable[Code], SummaryTable[[#This Row],[Code]], allFYsTable[year2], AQ$3)=0, NotFound, SUMIFS(allFYsTable[OriginalBudget], allFYsTable[Code], SummaryTable[[#This Row],[Code]], allFYsTable[year2], AQ$3))</f>
        <v>81062</v>
      </c>
      <c r="AR91" s="61">
        <f>SummaryTable[[#This Row],[OriginalBudget23]]-SummaryTable[[#This Row],[OriginalBudget22]]</f>
        <v>8134</v>
      </c>
      <c r="AS91" s="54">
        <f>SummaryTable[[#This Row],[BudgetIncreaseAmount23]]/SummaryTable[[#This Row],[OriginalBudget22]]</f>
        <v>0.11153466432645898</v>
      </c>
      <c r="AT91" s="61">
        <f>IF(COUNTIFS(allFYsTable[Code], SummaryTable[[#This Row],[Code]], allFYsTable[year2], AQ$3)=0, NotFound, SUMIFS(allFYsTable[RevisedBudget], allFYsTable[Code], SummaryTable[[#This Row],[Code]], allFYsTable[year2], AQ$3))</f>
        <v>83735</v>
      </c>
      <c r="AU91" s="61">
        <f>IF(COUNTIFS(allFYsTable[Code], SummaryTable[[#This Row],[Code]], allFYsTable[year2], AQ$3)=0, NotFound, SUMIFS(allFYsTable[Actual], allFYsTable[Code], SummaryTable[[#This Row],[Code]], allFYsTable[year2], AQ$3))</f>
        <v>83626</v>
      </c>
      <c r="AV91" s="61">
        <f>IF(COUNTIFS(allFYsTable[Code], SummaryTable[[#This Row],[Code]], allFYsTable[year2], AQ$3)=0, NotFound, SUMIFS(allFYsTable[DiffAmount], allFYsTable[Code], SummaryTable[[#This Row],[Code]], allFYsTable[year2], AQ$3))</f>
        <v>2564</v>
      </c>
      <c r="AW91" s="63">
        <f>IF(SummaryTable[[#This Row],[OriginalBudget23]]=0, IF(SummaryTable[[#This Row],[DiffAmount23]]=0, ZeroBudgetNoSpending, ZeroBudgetWithSpending), SummaryTable[[#This Row],[DiffAmount23]]/SummaryTable[[#This Row],[OriginalBudget23]])</f>
        <v>3.1630110285953958E-2</v>
      </c>
      <c r="AX91" s="62">
        <f>IF(COUNTIFS(allFYsTable[Code], SummaryTable[[#This Row],[Code]], allFYsTable[year2], AX$3)=0, NotFound, SUMIFS(allFYsTable[OriginalBudget], allFYsTable[Code], SummaryTable[[#This Row],[Code]], allFYsTable[year2], AX$3))</f>
        <v>72928</v>
      </c>
      <c r="AY91" s="61">
        <f>SummaryTable[[#This Row],[OriginalBudget22]]-SummaryTable[[#This Row],[OriginalBudget21]]</f>
        <v>3126</v>
      </c>
      <c r="AZ91" s="54">
        <f>SummaryTable[[#This Row],[BudgetIncreaseAmount22]]/SummaryTable[[#This Row],[OriginalBudget21]]</f>
        <v>4.4783817082605086E-2</v>
      </c>
      <c r="BA91" s="61">
        <f>IF(COUNTIFS(allFYsTable[Code], SummaryTable[[#This Row],[Code]], allFYsTable[year2], AX$3)=0, NotFound, SUMIFS(allFYsTable[RevisedBudget], allFYsTable[Code], SummaryTable[[#This Row],[Code]], allFYsTable[year2], AX$3))</f>
        <v>73138</v>
      </c>
      <c r="BB91" s="61">
        <f>IF(COUNTIFS(allFYsTable[Code], SummaryTable[[#This Row],[Code]], allFYsTable[year2], AX$3)=0, NotFound, SUMIFS(allFYsTable[Actual], allFYsTable[Code], SummaryTable[[#This Row],[Code]], allFYsTable[year2], AX$3))</f>
        <v>73070</v>
      </c>
      <c r="BC91" s="61">
        <f>IF(COUNTIFS(allFYsTable[Code], SummaryTable[[#This Row],[Code]], allFYsTable[year2], AX$3)=0, NotFound, SUMIFS(allFYsTable[DiffAmount], allFYsTable[Code], SummaryTable[[#This Row],[Code]], allFYsTable[year2], AX$3))</f>
        <v>142</v>
      </c>
      <c r="BD91" s="63">
        <f>IF(SummaryTable[[#This Row],[OriginalBudget22]]=0, IF(SummaryTable[[#This Row],[DiffAmount22]]=0, ZeroBudgetNoSpending, ZeroBudgetWithSpending), SummaryTable[[#This Row],[DiffAmount22]]/SummaryTable[[#This Row],[OriginalBudget22]])</f>
        <v>1.9471259324265028E-3</v>
      </c>
      <c r="BE91" s="62">
        <f>IF(COUNTIFS(allFYsTable[Code], SummaryTable[[#This Row],[Code]], allFYsTable[year2], BE$3)=0, NotFound, SUMIFS(allFYsTable[OriginalBudget], allFYsTable[Code], SummaryTable[[#This Row],[Code]], allFYsTable[year2], BE$3))</f>
        <v>69802</v>
      </c>
      <c r="BF91" s="61">
        <f>SummaryTable[[#This Row],[OriginalBudget21]]-SummaryTable[[#This Row],[OriginalBudget20]]</f>
        <v>-5453</v>
      </c>
      <c r="BG91" s="54">
        <f>SummaryTable[[#This Row],[BudgetIncreaseAmount21]]/SummaryTable[[#This Row],[OriginalBudget20]]</f>
        <v>-7.2460301641086966E-2</v>
      </c>
      <c r="BH91" s="61">
        <f>IF(COUNTIFS(allFYsTable[Code], SummaryTable[[#This Row],[Code]], allFYsTable[year2], BE$3)=0, NotFound, SUMIFS(allFYsTable[RevisedBudget], allFYsTable[Code], SummaryTable[[#This Row],[Code]], allFYsTable[year2], BE$3))</f>
        <v>67619</v>
      </c>
      <c r="BI91" s="61">
        <f>IF(COUNTIFS(allFYsTable[Code], SummaryTable[[#This Row],[Code]], allFYsTable[year2], BE$3)=0, NotFound, SUMIFS(allFYsTable[Actual], allFYsTable[Code], SummaryTable[[#This Row],[Code]], allFYsTable[year2], BE$3))</f>
        <v>66198</v>
      </c>
      <c r="BJ91" s="61">
        <f>IF(COUNTIFS(allFYsTable[Code], SummaryTable[[#This Row],[Code]], allFYsTable[year2], BE$3)=0, NotFound, SUMIFS(allFYsTable[DiffAmount], allFYsTable[Code], SummaryTable[[#This Row],[Code]], allFYsTable[year2], BE$3))</f>
        <v>-3604</v>
      </c>
      <c r="BK91" s="63">
        <f>IF(SummaryTable[[#This Row],[OriginalBudget21]]=0, IF(SummaryTable[[#This Row],[DiffAmount21]]=0, ZeroBudgetNoSpending, ZeroBudgetWithSpending), SummaryTable[[#This Row],[DiffAmount21]]/SummaryTable[[#This Row],[OriginalBudget21]])</f>
        <v>-5.1631758402338045E-2</v>
      </c>
      <c r="BL91" s="62">
        <f>IF(COUNTIFS(allFYsTable[Code], SummaryTable[[#This Row],[Code]], allFYsTable[year2], BL$3)=0, NotFound, SUMIFS(allFYsTable[OriginalBudget], allFYsTable[Code], SummaryTable[[#This Row],[Code]], allFYsTable[year2], BL$3))</f>
        <v>75255</v>
      </c>
      <c r="BM91" s="61">
        <f>SummaryTable[[#This Row],[OriginalBudget20]]-SummaryTable[[#This Row],[OriginalBudget19]]</f>
        <v>5220</v>
      </c>
      <c r="BN91" s="54">
        <f>SummaryTable[[#This Row],[BudgetIncreaseAmount20]]/SummaryTable[[#This Row],[OriginalBudget19]]</f>
        <v>7.4534161490683232E-2</v>
      </c>
      <c r="BO91" s="61">
        <f>IF(COUNTIFS(allFYsTable[Code], SummaryTable[[#This Row],[Code]], allFYsTable[year2], BL$3)=0, NotFound, SUMIFS(allFYsTable[RevisedBudget], allFYsTable[Code], SummaryTable[[#This Row],[Code]], allFYsTable[year2], BL$3))</f>
        <v>67926</v>
      </c>
      <c r="BP91" s="61">
        <f>IF(COUNTIFS(allFYsTable[Code], SummaryTable[[#This Row],[Code]], allFYsTable[year2], BL$3)=0, NotFound, SUMIFS(allFYsTable[Actual], allFYsTable[Code], SummaryTable[[#This Row],[Code]], allFYsTable[year2], BL$3))</f>
        <v>67881</v>
      </c>
      <c r="BQ91" s="61">
        <f>IF(COUNTIFS(allFYsTable[Code], SummaryTable[[#This Row],[Code]], allFYsTable[year2], BL$3)=0, NotFound, SUMIFS(allFYsTable[DiffAmount], allFYsTable[Code], SummaryTable[[#This Row],[Code]], allFYsTable[year2], BL$3))</f>
        <v>-7374</v>
      </c>
      <c r="BR91" s="63">
        <f>IF(SummaryTable[[#This Row],[OriginalBudget20]]=0, IF(SummaryTable[[#This Row],[DiffAmount20]]=0, ZeroBudgetNoSpending, ZeroBudgetWithSpending), SummaryTable[[#This Row],[DiffAmount20]]/SummaryTable[[#This Row],[OriginalBudget20]])</f>
        <v>-9.7986844727925057E-2</v>
      </c>
      <c r="BS91" s="62">
        <f>IF(COUNTIFS(allFYsTable[Code], SummaryTable[[#This Row],[Code]], allFYsTable[year2], BS$3)=0, NotFound, SUMIFS(allFYsTable[OriginalBudget], allFYsTable[Code], SummaryTable[[#This Row],[Code]], allFYsTable[year2], BS$3))</f>
        <v>70035</v>
      </c>
      <c r="BT91" s="61">
        <f>SummaryTable[[#This Row],[OriginalBudget19]]-SummaryTable[[#This Row],[OriginalBudget18]]</f>
        <v>1159</v>
      </c>
      <c r="BU91" s="54">
        <f>SummaryTable[[#This Row],[BudgetIncreaseAmount19]]/SummaryTable[[#This Row],[OriginalBudget18]]</f>
        <v>1.6827341889772925E-2</v>
      </c>
      <c r="BV91" s="61">
        <f>IF(COUNTIFS(allFYsTable[Code], SummaryTable[[#This Row],[Code]], allFYsTable[year2], BS$3)=0, NotFound, SUMIFS(allFYsTable[RevisedBudget], allFYsTable[Code], SummaryTable[[#This Row],[Code]], allFYsTable[year2], BS$3))</f>
        <v>69355</v>
      </c>
      <c r="BW91" s="61">
        <f>IF(COUNTIFS(allFYsTable[Code], SummaryTable[[#This Row],[Code]], allFYsTable[year2], BS$3)=0, NotFound, SUMIFS(allFYsTable[Actual], allFYsTable[Code], SummaryTable[[#This Row],[Code]], allFYsTable[year2], BS$3))</f>
        <v>69303</v>
      </c>
      <c r="BX91" s="61">
        <f>IF(COUNTIFS(allFYsTable[Code], SummaryTable[[#This Row],[Code]], allFYsTable[year2], BS$3)=0, NotFound, SUMIFS(allFYsTable[DiffAmount], allFYsTable[Code], SummaryTable[[#This Row],[Code]], allFYsTable[year2], BS$3))</f>
        <v>-732</v>
      </c>
      <c r="BY91" s="63">
        <f>IF(SummaryTable[[#This Row],[OriginalBudget19]]=0, IF(SummaryTable[[#This Row],[DiffAmount19]]=0, ZeroBudgetNoSpending, ZeroBudgetWithSpending), SummaryTable[[#This Row],[DiffAmount19]]/SummaryTable[[#This Row],[OriginalBudget19]])</f>
        <v>-1.0451916898693511E-2</v>
      </c>
      <c r="BZ91" s="62">
        <f>IF(COUNTIFS(allFYsTable[Code], SummaryTable[[#This Row],[Code]], allFYsTable[year2], BZ$3)=0, NotFound, SUMIFS(allFYsTable[OriginalBudget], allFYsTable[Code], SummaryTable[[#This Row],[Code]], allFYsTable[year2], BZ$3))</f>
        <v>68876</v>
      </c>
      <c r="CA91" s="61">
        <f>SummaryTable[[#This Row],[OriginalBudget18]]-SummaryTable[[#This Row],[OriginalBudget17]]</f>
        <v>3273</v>
      </c>
      <c r="CB91" s="54">
        <f>SummaryTable[[#This Row],[BudgetIncreaseAmount18]]/SummaryTable[[#This Row],[OriginalBudget17]]</f>
        <v>4.989101108181028E-2</v>
      </c>
      <c r="CC91" s="61">
        <f>IF(COUNTIFS(allFYsTable[Code], SummaryTable[[#This Row],[Code]], allFYsTable[year2], BZ$3)=0, NotFound, SUMIFS(allFYsTable[RevisedBudget], allFYsTable[Code], SummaryTable[[#This Row],[Code]], allFYsTable[year2], BZ$3))</f>
        <v>74482</v>
      </c>
      <c r="CD91" s="61">
        <f>IF(COUNTIFS(allFYsTable[Code], SummaryTable[[#This Row],[Code]], allFYsTable[year2], BZ$3)=0, NotFound, SUMIFS(allFYsTable[Actual], allFYsTable[Code], SummaryTable[[#This Row],[Code]], allFYsTable[year2], BZ$3))</f>
        <v>73886</v>
      </c>
      <c r="CE91" s="61">
        <f>IF(COUNTIFS(allFYsTable[Code], SummaryTable[[#This Row],[Code]], allFYsTable[year2], BZ$3)=0, NotFound, SUMIFS(allFYsTable[DiffAmount], allFYsTable[Code], SummaryTable[[#This Row],[Code]], allFYsTable[year2], BZ$3))</f>
        <v>5010</v>
      </c>
      <c r="CF91" s="63">
        <f>IF(SummaryTable[[#This Row],[OriginalBudget18]]=0, IF(SummaryTable[[#This Row],[DiffAmount18]]=0, ZeroBudgetNoSpending, ZeroBudgetWithSpending), SummaryTable[[#This Row],[DiffAmount18]]/SummaryTable[[#This Row],[OriginalBudget18]])</f>
        <v>7.2739415761658627E-2</v>
      </c>
      <c r="CG91" s="62">
        <f>IF(COUNTIFS(allFYsTable[Code], SummaryTable[[#This Row],[Code]], allFYsTable[year2], CG$3)=0, NotFound, SUMIFS(allFYsTable[OriginalBudget], allFYsTable[Code], SummaryTable[[#This Row],[Code]], allFYsTable[year2], CG$3))</f>
        <v>65603</v>
      </c>
      <c r="CH91" s="61">
        <f>SummaryTable[[#This Row],[OriginalBudget17]]-SummaryTable[[#This Row],[OriginalBudget16]]</f>
        <v>7335</v>
      </c>
      <c r="CI91" s="54">
        <f>SummaryTable[[#This Row],[BudgetIncreaseAmount17]]/SummaryTable[[#This Row],[OriginalBudget16]]</f>
        <v>0.12588384705155489</v>
      </c>
      <c r="CJ91" s="61">
        <f>IF(COUNTIFS(allFYsTable[Code], SummaryTable[[#This Row],[Code]], allFYsTable[year2], CG$3)=0, NotFound, SUMIFS(allFYsTable[RevisedBudget], allFYsTable[Code], SummaryTable[[#This Row],[Code]], allFYsTable[year2], CG$3))</f>
        <v>66058</v>
      </c>
      <c r="CK91" s="61">
        <f>IF(COUNTIFS(allFYsTable[Code], SummaryTable[[#This Row],[Code]], allFYsTable[year2], CG$3)=0, NotFound, SUMIFS(allFYsTable[Actual], allFYsTable[Code], SummaryTable[[#This Row],[Code]], allFYsTable[year2], CG$3))</f>
        <v>65740</v>
      </c>
      <c r="CL91" s="61">
        <f>IF(COUNTIFS(allFYsTable[Code], SummaryTable[[#This Row],[Code]], allFYsTable[year2], CG$3)=0, NotFound, SUMIFS(allFYsTable[DiffAmount], allFYsTable[Code], SummaryTable[[#This Row],[Code]], allFYsTable[year2], CG$3))</f>
        <v>137</v>
      </c>
      <c r="CM91" s="63">
        <f>IF(SummaryTable[[#This Row],[OriginalBudget17]]=0, IF(SummaryTable[[#This Row],[DiffAmount17]]=0, ZeroBudgetNoSpending, ZeroBudgetWithSpending), SummaryTable[[#This Row],[DiffAmount17]]/SummaryTable[[#This Row],[OriginalBudget17]])</f>
        <v>2.0883191317470238E-3</v>
      </c>
      <c r="CN91" s="62">
        <f>IF(COUNTIFS(allFYsTable[Code], SummaryTable[[#This Row],[Code]], allFYsTable[year2], CN$3)=0, NotFound, SUMIFS(allFYsTable[OriginalBudget], allFYsTable[Code], SummaryTable[[#This Row],[Code]], allFYsTable[year2], CN$3))</f>
        <v>58268</v>
      </c>
      <c r="CO91" s="61">
        <f>SummaryTable[[#This Row],[OriginalBudget16]]-SummaryTable[[#This Row],[OriginalBudget15]]</f>
        <v>2000</v>
      </c>
      <c r="CP91" s="54">
        <f>SummaryTable[[#This Row],[BudgetIncreaseAmount16]]/SummaryTable[[#This Row],[OriginalBudget15]]</f>
        <v>3.5544181417501958E-2</v>
      </c>
      <c r="CQ91" s="61">
        <f>IF(COUNTIFS(allFYsTable[Code], SummaryTable[[#This Row],[Code]], allFYsTable[year2], CN$3)=0, NotFound, SUMIFS(allFYsTable[RevisedBudget], allFYsTable[Code], SummaryTable[[#This Row],[Code]], allFYsTable[year2], CN$3))</f>
        <v>55893</v>
      </c>
      <c r="CR91" s="61">
        <f>IF(COUNTIFS(allFYsTable[Code], SummaryTable[[#This Row],[Code]], allFYsTable[year2], CN$3)=0, NotFound, SUMIFS(allFYsTable[Actual], allFYsTable[Code], SummaryTable[[#This Row],[Code]], allFYsTable[year2], CN$3))</f>
        <v>55353</v>
      </c>
      <c r="CS91" s="61">
        <f>IF(COUNTIFS(allFYsTable[Code], SummaryTable[[#This Row],[Code]], allFYsTable[year2], CN$3)=0, NotFound, SUMIFS(allFYsTable[DiffAmount], allFYsTable[Code], SummaryTable[[#This Row],[Code]], allFYsTable[year2], CN$3))</f>
        <v>-2915</v>
      </c>
      <c r="CT91" s="63">
        <f>IF(SummaryTable[[#This Row],[OriginalBudget16]]=0, IF(SummaryTable[[#This Row],[DiffAmount16]]=0, ZeroBudgetNoSpending, ZeroBudgetWithSpending), SummaryTable[[#This Row],[DiffAmount16]]/SummaryTable[[#This Row],[OriginalBudget16]])</f>
        <v>-5.0027459325873547E-2</v>
      </c>
      <c r="CU91" s="62">
        <f>IF(COUNTIFS(allFYsTable[Code], SummaryTable[[#This Row],[Code]], allFYsTable[year2], CU$3)=0, NotFound, SUMIFS(allFYsTable[OriginalBudget], allFYsTable[Code], SummaryTable[[#This Row],[Code]], allFYsTable[year2], CU$3))</f>
        <v>56268</v>
      </c>
      <c r="CV91" s="61">
        <f>SummaryTable[[#This Row],[OriginalBudget15]]-SummaryTable[[#This Row],[OriginalBudget14]]</f>
        <v>8431</v>
      </c>
      <c r="CW91" s="54">
        <f>SummaryTable[[#This Row],[BudgetIncreaseAmount15]]/SummaryTable[[#This Row],[OriginalBudget14]]</f>
        <v>0.17624432970294959</v>
      </c>
      <c r="CX91" s="61">
        <f>IF(COUNTIFS(allFYsTable[Code], SummaryTable[[#This Row],[Code]], allFYsTable[year2], CU$3)=0, NotFound, SUMIFS(allFYsTable[RevisedBudget], allFYsTable[Code], SummaryTable[[#This Row],[Code]], allFYsTable[year2], CU$3))</f>
        <v>56692</v>
      </c>
      <c r="CY91" s="61">
        <f>IF(COUNTIFS(allFYsTable[Code], SummaryTable[[#This Row],[Code]], allFYsTable[year2], CU$3)=0, NotFound, SUMIFS(allFYsTable[Actual], allFYsTable[Code], SummaryTable[[#This Row],[Code]], allFYsTable[year2], CU$3))</f>
        <v>55750</v>
      </c>
      <c r="CZ91" s="61">
        <f>IF(COUNTIFS(allFYsTable[Code], SummaryTable[[#This Row],[Code]], allFYsTable[year2], CU$3)=0, NotFound, SUMIFS(allFYsTable[DiffAmount], allFYsTable[Code], SummaryTable[[#This Row],[Code]], allFYsTable[year2], CU$3))</f>
        <v>-518</v>
      </c>
      <c r="DA91" s="63">
        <f>IF(SummaryTable[[#This Row],[OriginalBudget15]]=0, IF(SummaryTable[[#This Row],[DiffAmount15]]=0, ZeroBudgetNoSpending, ZeroBudgetWithSpending), SummaryTable[[#This Row],[DiffAmount15]]/SummaryTable[[#This Row],[OriginalBudget15]])</f>
        <v>-9.2059429871330055E-3</v>
      </c>
      <c r="DB91" s="62">
        <f>IF(COUNTIFS(allFYsTable[Code], SummaryTable[[#This Row],[Code]], allFYsTable[year2], DB$3)=0, NotFound, SUMIFS(allFYsTable[OriginalBudget], allFYsTable[Code], SummaryTable[[#This Row],[Code]], allFYsTable[year2], DB$3))</f>
        <v>47837</v>
      </c>
      <c r="DC91" s="61">
        <f>SummaryTable[[#This Row],[OriginalBudget14]]-SummaryTable[[#This Row],[OriginalBudget13]]</f>
        <v>7863</v>
      </c>
      <c r="DD91" s="54">
        <f>SummaryTable[[#This Row],[BudgetIncreaseAmount14]]/SummaryTable[[#This Row],[OriginalBudget13]]</f>
        <v>0.19670285685695701</v>
      </c>
      <c r="DE91" s="61">
        <f>IF(COUNTIFS(allFYsTable[Code], SummaryTable[[#This Row],[Code]], allFYsTable[year2], DB$3)=0, NotFound, SUMIFS(allFYsTable[RevisedBudget], allFYsTable[Code], SummaryTable[[#This Row],[Code]], allFYsTable[year2], DB$3))</f>
        <v>54126</v>
      </c>
      <c r="DF91" s="61">
        <f>IF(COUNTIFS(allFYsTable[Code], SummaryTable[[#This Row],[Code]], allFYsTable[year2], DB$3)=0, NotFound, SUMIFS(allFYsTable[Actual], allFYsTable[Code], SummaryTable[[#This Row],[Code]], allFYsTable[year2], DB$3))</f>
        <v>53499</v>
      </c>
      <c r="DG91" s="61">
        <f>IF(COUNTIFS(allFYsTable[Code], SummaryTable[[#This Row],[Code]], allFYsTable[year2], DB$3)=0, NotFound, SUMIFS(allFYsTable[DiffAmount], allFYsTable[Code], SummaryTable[[#This Row],[Code]], allFYsTable[year2], DB$3))</f>
        <v>5662</v>
      </c>
      <c r="DH91" s="63">
        <f>IF(SummaryTable[[#This Row],[OriginalBudget14]]=0, IF(SummaryTable[[#This Row],[DiffAmount14]]=0, ZeroBudgetNoSpending, ZeroBudgetWithSpending), SummaryTable[[#This Row],[DiffAmount14]]/SummaryTable[[#This Row],[OriginalBudget14]])</f>
        <v>0.1183602650667893</v>
      </c>
      <c r="DI91" s="62">
        <f>IF(COUNTIFS(allFYsTable[Code], SummaryTable[[#This Row],[Code]], allFYsTable[year2], DI$3)=0, NotFound, SUMIFS(allFYsTable[OriginalBudget], allFYsTable[Code], SummaryTable[[#This Row],[Code]], allFYsTable[year2], DI$3))</f>
        <v>39974</v>
      </c>
      <c r="DJ91" s="61">
        <f>SummaryTable[[#This Row],[OriginalBudget13]]-SummaryTable[[#This Row],[OriginalBudget12]]</f>
        <v>5725</v>
      </c>
      <c r="DK91" s="54">
        <f>SummaryTable[[#This Row],[BudgetIncreaseAmount13]]/SummaryTable[[#This Row],[OriginalBudget12]]</f>
        <v>0.16715816520190371</v>
      </c>
      <c r="DL91" s="61">
        <f>IF(COUNTIFS(allFYsTable[Code], SummaryTable[[#This Row],[Code]], allFYsTable[year2], DI$3)=0, NotFound, SUMIFS(allFYsTable[RevisedBudget], allFYsTable[Code], SummaryTable[[#This Row],[Code]], allFYsTable[year2], DI$3))</f>
        <v>40681</v>
      </c>
      <c r="DM91" s="61">
        <f>IF(COUNTIFS(allFYsTable[Code], SummaryTable[[#This Row],[Code]], allFYsTable[year2], DI$3)=0, NotFound, SUMIFS(allFYsTable[Actual], allFYsTable[Code], SummaryTable[[#This Row],[Code]], allFYsTable[year2], DI$3))</f>
        <v>40253</v>
      </c>
      <c r="DN91" s="61">
        <f>IF(COUNTIFS(allFYsTable[Code], SummaryTable[[#This Row],[Code]], allFYsTable[year2], DI$3)=0, NotFound, SUMIFS(allFYsTable[DiffAmount], allFYsTable[Code], SummaryTable[[#This Row],[Code]], allFYsTable[year2], DI$3))</f>
        <v>279</v>
      </c>
      <c r="DO91" s="63">
        <f>IF(SummaryTable[[#This Row],[OriginalBudget13]]=0, IF(SummaryTable[[#This Row],[DiffAmount13]]=0, ZeroBudgetNoSpending, ZeroBudgetWithSpending), SummaryTable[[#This Row],[DiffAmount13]]/SummaryTable[[#This Row],[OriginalBudget13]])</f>
        <v>6.9795366988542554E-3</v>
      </c>
      <c r="DP91" s="62">
        <f>IF(COUNTIFS(allFYsTable[Code], SummaryTable[[#This Row],[Code]], allFYsTable[year2], DP$3)=0, NotFound, SUMIFS(allFYsTable[OriginalBudget], allFYsTable[Code], SummaryTable[[#This Row],[Code]], allFYsTable[year2], DP$3))</f>
        <v>34249</v>
      </c>
      <c r="DQ91" s="61">
        <f>SummaryTable[[#This Row],[OriginalBudget12]]-SummaryTable[[#This Row],[OriginalBudget11]]</f>
        <v>4121</v>
      </c>
      <c r="DR91" s="54">
        <f>SummaryTable[[#This Row],[BudgetIncreaseAmount12]]/SummaryTable[[#This Row],[OriginalBudget11]]</f>
        <v>0.13678305894848647</v>
      </c>
      <c r="DS91" s="61">
        <f>IF(COUNTIFS(allFYsTable[Code], SummaryTable[[#This Row],[Code]], allFYsTable[year2], DP$3)=0, NotFound, SUMIFS(allFYsTable[RevisedBudget], allFYsTable[Code], SummaryTable[[#This Row],[Code]], allFYsTable[year2], DP$3))</f>
        <v>35913</v>
      </c>
      <c r="DT91" s="61">
        <f>IF(COUNTIFS(allFYsTable[Code], SummaryTable[[#This Row],[Code]], allFYsTable[year2], DP$3)=0, NotFound, SUMIFS(allFYsTable[Actual], allFYsTable[Code], SummaryTable[[#This Row],[Code]], allFYsTable[year2], DP$3))</f>
        <v>35799</v>
      </c>
      <c r="DU91" s="61">
        <f>IF(COUNTIFS(allFYsTable[Code], SummaryTable[[#This Row],[Code]], allFYsTable[year2], DP$3)=0, NotFound, SUMIFS(allFYsTable[DiffAmount], allFYsTable[Code], SummaryTable[[#This Row],[Code]], allFYsTable[year2], DP$3))</f>
        <v>1550</v>
      </c>
      <c r="DV91" s="63">
        <f>IF(SummaryTable[[#This Row],[OriginalBudget12]]=0, IF(SummaryTable[[#This Row],[DiffAmount12]]=0, ZeroBudgetNoSpending, ZeroBudgetWithSpending), SummaryTable[[#This Row],[DiffAmount12]]/SummaryTable[[#This Row],[OriginalBudget12]])</f>
        <v>4.5256795818856027E-2</v>
      </c>
      <c r="DW91" s="62">
        <f>IF(COUNTIFS(allFYsTable[Code], SummaryTable[[#This Row],[Code]], allFYsTable[year2], DW$3)=0, NotFound, SUMIFS(allFYsTable[OriginalBudget], allFYsTable[Code], SummaryTable[[#This Row],[Code]], allFYsTable[year2], DW$3))</f>
        <v>30128</v>
      </c>
      <c r="DX91" s="61">
        <f>SummaryTable[[#This Row],[OriginalBudget11]]-SummaryTable[[#This Row],[OriginalBudget10]]</f>
        <v>-10899</v>
      </c>
      <c r="DY91" s="54">
        <f>SummaryTable[[#This Row],[BudgetIncreaseAmount11]]/SummaryTable[[#This Row],[OriginalBudget10]]</f>
        <v>-0.26565432520047771</v>
      </c>
      <c r="DZ91" s="61">
        <f>IF(COUNTIFS(allFYsTable[Code], SummaryTable[[#This Row],[Code]], allFYsTable[year2], DW$3)=0, NotFound, SUMIFS(allFYsTable[RevisedBudget], allFYsTable[Code], SummaryTable[[#This Row],[Code]], allFYsTable[year2], DW$3))</f>
        <v>30128</v>
      </c>
      <c r="EA91" s="61">
        <f>IF(COUNTIFS(allFYsTable[Code], SummaryTable[[#This Row],[Code]], allFYsTable[year2], DW$3)=0, NotFound, SUMIFS(allFYsTable[Actual], allFYsTable[Code], SummaryTable[[#This Row],[Code]], allFYsTable[year2], DW$3))</f>
        <v>29757</v>
      </c>
      <c r="EB91" s="61">
        <f>IF(COUNTIFS(allFYsTable[Code], SummaryTable[[#This Row],[Code]], allFYsTable[year2], DW$3)=0, NotFound, SUMIFS(allFYsTable[DiffAmount], allFYsTable[Code], SummaryTable[[#This Row],[Code]], allFYsTable[year2], DW$3))</f>
        <v>-371</v>
      </c>
      <c r="EC91" s="63">
        <f>IF(SummaryTable[[#This Row],[OriginalBudget11]]=0, IF(SummaryTable[[#This Row],[DiffAmount11]]=0, ZeroBudgetNoSpending, ZeroBudgetWithSpending), SummaryTable[[#This Row],[DiffAmount11]]/SummaryTable[[#This Row],[OriginalBudget11]])</f>
        <v>-1.2314126394052044E-2</v>
      </c>
      <c r="ED91" s="62">
        <f>IF(COUNTIFS(allFYsTable[Code], SummaryTable[[#This Row],[Code]], allFYsTable[year2], ED$3)=0, NotFound, SUMIFS(allFYsTable[OriginalBudget], allFYsTable[Code], SummaryTable[[#This Row],[Code]], allFYsTable[year2], ED$3))</f>
        <v>41027</v>
      </c>
      <c r="EE91" s="61">
        <f>SummaryTable[[#This Row],[OriginalBudget10]]-SummaryTable[[#This Row],[OriginalBudget09]]</f>
        <v>-15321</v>
      </c>
      <c r="EF91" s="54">
        <f>SummaryTable[[#This Row],[BudgetIncreaseAmount10]]/SummaryTable[[#This Row],[OriginalBudget09]]</f>
        <v>-0.27189962376659332</v>
      </c>
      <c r="EG91" s="61">
        <f>IF(COUNTIFS(allFYsTable[Code], SummaryTable[[#This Row],[Code]], allFYsTable[year2], ED$3)=0, NotFound, SUMIFS(allFYsTable[RevisedBudget], allFYsTable[Code], SummaryTable[[#This Row],[Code]], allFYsTable[year2], ED$3))</f>
        <v>46134</v>
      </c>
      <c r="EH91" s="61">
        <f>IF(COUNTIFS(allFYsTable[Code], SummaryTable[[#This Row],[Code]], allFYsTable[year2], ED$3)=0, NotFound, SUMIFS(allFYsTable[Actual], allFYsTable[Code], SummaryTable[[#This Row],[Code]], allFYsTable[year2], ED$3))</f>
        <v>46089</v>
      </c>
      <c r="EI91" s="61">
        <f>IF(COUNTIFS(allFYsTable[Code], SummaryTable[[#This Row],[Code]], allFYsTable[year2], ED$3)=0, NotFound, SUMIFS(allFYsTable[DiffAmount], allFYsTable[Code], SummaryTable[[#This Row],[Code]], allFYsTable[year2], ED$3))</f>
        <v>5062</v>
      </c>
      <c r="EJ91" s="63">
        <f>IF(SummaryTable[[#This Row],[OriginalBudget10]]=0, IF(SummaryTable[[#This Row],[DiffAmount10]]=0, ZeroBudgetNoSpending, ZeroBudgetWithSpending), SummaryTable[[#This Row],[DiffAmount10]]/SummaryTable[[#This Row],[OriginalBudget10]])</f>
        <v>0.12338216296585175</v>
      </c>
      <c r="EK91" s="62">
        <f>IF(COUNTIFS(allFYsTable[Code], SummaryTable[[#This Row],[Code]], allFYsTable[year2], EK$3)=0, NotFound, SUMIFS(allFYsTable[OriginalBudget], allFYsTable[Code], SummaryTable[[#This Row],[Code]], allFYsTable[year2], EK$3))</f>
        <v>56348</v>
      </c>
      <c r="EL91" s="61">
        <f>SummaryTable[[#This Row],[OriginalBudget09]]-SummaryTable[[#This Row],[OriginalBudget08]]</f>
        <v>-5419</v>
      </c>
      <c r="EM91" s="54">
        <f>SummaryTable[[#This Row],[BudgetIncreaseAmount09]]/SummaryTable[[#This Row],[OriginalBudget08]]</f>
        <v>-8.7732931824436991E-2</v>
      </c>
      <c r="EN91" s="61">
        <f>IF(COUNTIFS(allFYsTable[Code], SummaryTable[[#This Row],[Code]], allFYsTable[year2], EK$3)=0, NotFound, SUMIFS(allFYsTable[RevisedBudget], allFYsTable[Code], SummaryTable[[#This Row],[Code]], allFYsTable[year2], EK$3))</f>
        <v>53872</v>
      </c>
      <c r="EO91" s="61">
        <f>IF(COUNTIFS(allFYsTable[Code], SummaryTable[[#This Row],[Code]], allFYsTable[year2], EK$3)=0, NotFound, SUMIFS(allFYsTable[Actual], allFYsTable[Code], SummaryTable[[#This Row],[Code]], allFYsTable[year2], EK$3))</f>
        <v>53872</v>
      </c>
      <c r="EP91" s="61">
        <f>IF(COUNTIFS(allFYsTable[Code], SummaryTable[[#This Row],[Code]], allFYsTable[year2], EK$3)=0, NotFound, SUMIFS(allFYsTable[DiffAmount], allFYsTable[Code], SummaryTable[[#This Row],[Code]], allFYsTable[year2], EK$3))</f>
        <v>-2476</v>
      </c>
      <c r="EQ91" s="63">
        <f>IF(SummaryTable[[#This Row],[OriginalBudget09]]=0, IF(SummaryTable[[#This Row],[DiffAmount09]]=0, ZeroBudgetNoSpending, ZeroBudgetWithSpending), SummaryTable[[#This Row],[DiffAmount09]]/SummaryTable[[#This Row],[OriginalBudget09]])</f>
        <v>-4.3941222403634558E-2</v>
      </c>
      <c r="ER91" s="62">
        <f>IF(COUNTIFS(allFYsTable[Code], SummaryTable[[#This Row],[Code]], allFYsTable[year2], ER$3)=0, NotFound, SUMIFS(allFYsTable[OriginalBudget], allFYsTable[Code], SummaryTable[[#This Row],[Code]], allFYsTable[year2], ER$3))</f>
        <v>61767</v>
      </c>
      <c r="ES91" s="61">
        <f>SummaryTable[[#This Row],[OriginalBudget08]]-SummaryTable[[#This Row],[OriginalBudget07]]</f>
        <v>23752</v>
      </c>
      <c r="ET91" s="54">
        <f>SummaryTable[[#This Row],[BudgetIncreaseAmount08]]/SummaryTable[[#This Row],[OriginalBudget07]]</f>
        <v>0.62480599763251343</v>
      </c>
      <c r="EU91" s="61">
        <f>IF(COUNTIFS(allFYsTable[Code], SummaryTable[[#This Row],[Code]], allFYsTable[year2], ER$3)=0, NotFound, SUMIFS(allFYsTable[RevisedBudget], allFYsTable[Code], SummaryTable[[#This Row],[Code]], allFYsTable[year2], ER$3))</f>
        <v>64491</v>
      </c>
      <c r="EV91" s="61">
        <f>IF(COUNTIFS(allFYsTable[Code], SummaryTable[[#This Row],[Code]], allFYsTable[year2], ER$3)=0, NotFound, SUMIFS(allFYsTable[Actual], allFYsTable[Code], SummaryTable[[#This Row],[Code]], allFYsTable[year2], ER$3))</f>
        <v>64054</v>
      </c>
      <c r="EW91" s="61">
        <f>IF(COUNTIFS(allFYsTable[Code], SummaryTable[[#This Row],[Code]], allFYsTable[year2], ER$3)=0, NotFound, SUMIFS(allFYsTable[DiffAmount], allFYsTable[Code], SummaryTable[[#This Row],[Code]], allFYsTable[year2], ER$3))</f>
        <v>2287</v>
      </c>
      <c r="EX91" s="63">
        <f>IF(SummaryTable[[#This Row],[OriginalBudget08]]=0, IF(SummaryTable[[#This Row],[DiffAmount08]]=0, ZeroBudgetNoSpending, ZeroBudgetWithSpending), SummaryTable[[#This Row],[DiffAmount08]]/SummaryTable[[#This Row],[OriginalBudget08]])</f>
        <v>3.7026243787135524E-2</v>
      </c>
      <c r="EY91" s="62">
        <f>IF(COUNTIFS(allFYsTable[Code], SummaryTable[[#This Row],[Code]], allFYsTable[year2], EY$3)=0, NotFound, SUMIFS(allFYsTable[OriginalBudget], allFYsTable[Code], SummaryTable[[#This Row],[Code]], allFYsTable[year2], EY$3))</f>
        <v>38015</v>
      </c>
      <c r="EZ91" s="61">
        <f>SummaryTable[[#This Row],[OriginalBudget07]]-SummaryTable[[#This Row],[OriginalBudget06]]</f>
        <v>-1407</v>
      </c>
      <c r="FA91" s="54">
        <f>SummaryTable[[#This Row],[BudgetIncreaseAmount07]]/SummaryTable[[#This Row],[OriginalBudget06]]</f>
        <v>-3.5690731063872966E-2</v>
      </c>
      <c r="FB91" s="61">
        <f>IF(COUNTIFS(allFYsTable[Code], SummaryTable[[#This Row],[Code]], allFYsTable[year2], EY$3)=0, NotFound, SUMIFS(allFYsTable[RevisedBudget], allFYsTable[Code], SummaryTable[[#This Row],[Code]], allFYsTable[year2], EY$3))</f>
        <v>38764</v>
      </c>
      <c r="FC91" s="61">
        <f>IF(COUNTIFS(allFYsTable[Code], SummaryTable[[#This Row],[Code]], allFYsTable[year2], EY$3)=0, NotFound, SUMIFS(allFYsTable[Actual], allFYsTable[Code], SummaryTable[[#This Row],[Code]], allFYsTable[year2], EY$3))</f>
        <v>38140</v>
      </c>
      <c r="FD91" s="61">
        <f>IF(COUNTIFS(allFYsTable[Code], SummaryTable[[#This Row],[Code]], allFYsTable[year2], EY$3)=0, NotFound, SUMIFS(allFYsTable[DiffAmount], allFYsTable[Code], SummaryTable[[#This Row],[Code]], allFYsTable[year2], EY$3))</f>
        <v>125</v>
      </c>
      <c r="FE91" s="63">
        <f>IF(SummaryTable[[#This Row],[OriginalBudget07]]=0, IF(SummaryTable[[#This Row],[DiffAmount07]]=0, ZeroBudgetNoSpending, ZeroBudgetWithSpending), SummaryTable[[#This Row],[DiffAmount07]]/SummaryTable[[#This Row],[OriginalBudget07]])</f>
        <v>3.2881757201104829E-3</v>
      </c>
      <c r="FF91" s="62">
        <f>IF(COUNTIFS(allFYsTable[Code], SummaryTable[[#This Row],[Code]], allFYsTable[year2], FF$3)=0, NotFound, SUMIFS(allFYsTable[OriginalBudget], allFYsTable[Code], SummaryTable[[#This Row],[Code]], allFYsTable[year2], FF$3))</f>
        <v>39422</v>
      </c>
      <c r="FI91" s="61">
        <f>IF(COUNTIFS(allFYsTable[Code], SummaryTable[[#This Row],[Code]], allFYsTable[year2], FF$3)=0, NotFound, SUMIFS(allFYsTable[RevisedBudget], allFYsTable[Code], SummaryTable[[#This Row],[Code]], allFYsTable[year2], FF$3))</f>
        <v>46528</v>
      </c>
      <c r="FJ91" s="61">
        <f>IF(COUNTIFS(allFYsTable[Code], SummaryTable[[#This Row],[Code]], allFYsTable[year2], FF$3)=0, NotFound, SUMIFS(allFYsTable[Actual], allFYsTable[Code], SummaryTable[[#This Row],[Code]], allFYsTable[year2], FF$3))</f>
        <v>46515</v>
      </c>
      <c r="FK91" s="61">
        <f>IF(COUNTIFS(allFYsTable[Code], SummaryTable[[#This Row],[Code]], allFYsTable[year2], FF$3)=0, NotFound, SUMIFS(allFYsTable[DiffAmount], allFYsTable[Code], SummaryTable[[#This Row],[Code]], allFYsTable[year2], FF$3))</f>
        <v>7093</v>
      </c>
      <c r="FL91" s="63">
        <f>IF(SummaryTable[[#This Row],[OriginalBudget06]]=0, IF(SummaryTable[[#This Row],[DiffAmount06]]=0, ZeroBudgetNoSpending, ZeroBudgetWithSpending), SummaryTable[[#This Row],[DiffAmount06]]/SummaryTable[[#This Row],[OriginalBudget06]])</f>
        <v>0.17992491502206889</v>
      </c>
    </row>
    <row r="92" spans="1:168" x14ac:dyDescent="0.45">
      <c r="A92" t="s">
        <v>722</v>
      </c>
      <c r="B92">
        <f>_xlfn.MAXIFS(allFYsTable[year2], allFYsTable[Code], SummaryTable[[#This Row],[Code]])</f>
        <v>2025</v>
      </c>
      <c r="C92" t="str">
        <f>_xlfn.XLOOKUP(SummaryTable[[#This Row],[Code]], NameCodingTable[Code], NameCodingTable[Most Recent Category per allFYs])</f>
        <v>Governmental direction and support</v>
      </c>
      <c r="D92" t="str">
        <f>_xlfn.XLOOKUP(SummaryTable[[#This Row],[Code]], NameCodingTable[Code], NameCodingTable[Unit Display Name])</f>
        <v>Office of the City Administrator (OCA)</v>
      </c>
      <c r="E92" t="str">
        <f>_xlfn.XLOOKUP(SummaryTable[[#This Row],[Code]], NameCodingTable[Code], NameCodingTable[Type])</f>
        <v>agency</v>
      </c>
      <c r="F9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9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92" s="54">
        <f>SummaryTable[[#This Row],['# Over]]/SummaryTable[[#This Row],[Count]]</f>
        <v>0.3</v>
      </c>
      <c r="I9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14</v>
      </c>
      <c r="J92" s="54">
        <f>SummaryTable[[#This Row],['# Under]]/SummaryTable[[#This Row],[Count]]</f>
        <v>0.7</v>
      </c>
      <c r="K9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2" s="54">
        <f>SummaryTable[[#This Row],['# Equal]]/SummaryTable[[#This Row],[Count]]</f>
        <v>0</v>
      </c>
      <c r="M92" s="61">
        <f>SUMIFS(allFYsTable[OriginalBudget],allFYsTable[Code],SummaryTable[[#This Row],[Code]])/SummaryTable[[#This Row],[Count]]</f>
        <v>8020</v>
      </c>
      <c r="N92" s="61">
        <f>SUMIFS(allFYsTable[Actual],allFYsTable[Code],SummaryTable[[#This Row],[Code]])/SummaryTable[[#This Row],[Count]]</f>
        <v>7515.35</v>
      </c>
      <c r="O92" s="61">
        <f>SummaryTable[[#This Row],[AvgActAmt]]-SummaryTable[[#This Row],[AvgBudAmt]]</f>
        <v>-504.64999999999964</v>
      </c>
      <c r="P92" s="54">
        <f>IF(SummaryTable[[#This Row],[AvgBudAmt]]=0, IF(SummaryTable[[#This Row],[AvgDiff'#]]=0, 0, NamedFields!$C$3), SummaryTable[[#This Row],[AvgDiff'#]]/SummaryTable[[#This Row],[AvgBudAmt]])</f>
        <v>-6.2923940149625893E-2</v>
      </c>
      <c r="Q92" s="61">
        <f>IFERROR(SUMIFS(allFYsTable[OriginalBudget],allFYsTable[Code],SummaryTable[[#This Row],[Code]],allFYsTable[DiffAmount], "&gt;0")/SummaryTable[[#This Row],['# Over]], 0)</f>
        <v>8545.8333333333339</v>
      </c>
      <c r="R92" s="61">
        <f>IFERROR(SUMIFS(allFYsTable[Actual],allFYsTable[Code],SummaryTable[[#This Row],[Code]],allFYsTable[DiffAmount], "&gt;0")/SummaryTable[[#This Row],['# Over]], 0)</f>
        <v>9453.8333333333339</v>
      </c>
      <c r="S92" s="61">
        <f>SummaryTable[[#This Row],[OverAvgAct]]-SummaryTable[[#This Row],[OverAvgBud]]</f>
        <v>908</v>
      </c>
      <c r="T92" s="54">
        <f>IF(SummaryTable[[#This Row],[OverAvgBud]]=0, IF(SummaryTable[[#This Row],[OverAvgDiff'#]]=0, ZeroBudgetNoSpending, ZeroBudgetWithSpending), SummaryTable[[#This Row],[OverAvgDiff'#]]/SummaryTable[[#This Row],[OverAvgBud]])</f>
        <v>0.10625060945880058</v>
      </c>
      <c r="U92" s="61">
        <f>IFERROR(SUMIFS(allFYsTable[OriginalBudget],allFYsTable[Code],SummaryTable[[#This Row],[Code]],allFYsTable[DiffAmount], "&lt;0")/SummaryTable[[#This Row],['# Under]], 0)</f>
        <v>7794.6428571428569</v>
      </c>
      <c r="V92" s="61">
        <f>IFERROR( SUMIFS(allFYsTable[Actual],allFYsTable[Code],SummaryTable[[#This Row],[Code]],allFYsTable[DiffAmount], "&lt;0")/SummaryTable[[#This Row],['# Under]], 0)</f>
        <v>6684.5714285714284</v>
      </c>
      <c r="W92" s="61">
        <f>SummaryTable[[#This Row],[UnderAvgAct]]-SummaryTable[[#This Row],[UnderAvgBud]]</f>
        <v>-1110.0714285714284</v>
      </c>
      <c r="X92" s="54">
        <f>IF(SummaryTable[[#This Row],[UnderAvgBud]]=0, IF(SummaryTable[[#This Row],[UnderAvgDiff'#]]=0, ZeroBudgetNoSpending, NamedFields!$C$3), SummaryTable[[#This Row],[UnderAvgDiff'#]]/SummaryTable[[#This Row],[UnderAvgBud]])</f>
        <v>-0.14241466208476516</v>
      </c>
      <c r="Y9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9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92" s="54">
        <f>IF(SummaryTable[[#This Row],[IncreaseYears]]=0, ZeroBudgetNoSpending, SummaryTable[[#This Row],[OSinIncreaseYear'#]]/SummaryTable[[#This Row],[IncreaseYears]])</f>
        <v>0</v>
      </c>
      <c r="AB92" s="58" t="str">
        <f>SummaryTable[[#This Row],[Code]]</f>
        <v>AE0</v>
      </c>
      <c r="AC92" s="62">
        <f>IF(COUNTIFS(allFYsTable[Code], SummaryTable[[#This Row],[Code]], allFYsTable[year2], AC$3)=0, NotFound, SUMIFS(allFYsTable[OriginalBudget], allFYsTable[Code], SummaryTable[[#This Row],[Code]], allFYsTable[year2], AC$3))</f>
        <v>10344</v>
      </c>
      <c r="AD92" s="61">
        <f>SummaryTable[[#This Row],[OriginalBudget25]]-SummaryTable[[#This Row],[OriginalBudget24]]</f>
        <v>-1887</v>
      </c>
      <c r="AE92" s="54">
        <f>SummaryTable[[#This Row],[BudgetIncreaseAmount25]]/SummaryTable[[#This Row],[OriginalBudget24]]</f>
        <v>-0.15428010792249203</v>
      </c>
      <c r="AF92" s="61">
        <f>IF(COUNTIFS(allFYsTable[Code], SummaryTable[[#This Row],[Code]], allFYsTable[year2], AC$3)=0, NotFound, SUMIFS(allFYsTable[RevisedBudget], allFYsTable[Code], SummaryTable[[#This Row],[Code]], allFYsTable[year2], AC$3))</f>
        <v>8286</v>
      </c>
      <c r="AG92" s="61">
        <f>IF(COUNTIFS(allFYsTable[Code], SummaryTable[[#This Row],[Code]], allFYsTable[year2], AC$3)=0, NotFound, SUMIFS(allFYsTable[Actual], allFYsTable[Code], SummaryTable[[#This Row],[Code]], allFYsTable[year2], AC$3))</f>
        <v>7767</v>
      </c>
      <c r="AH92" s="61">
        <f>IF(COUNTIFS(allFYsTable[Code], SummaryTable[[#This Row],[Code]], allFYsTable[year2], AC$3)=0, NotFound, SUMIFS(allFYsTable[DiffAmount], allFYsTable[Code], SummaryTable[[#This Row],[Code]], allFYsTable[year2], AC$3))</f>
        <v>-2577</v>
      </c>
      <c r="AI92" s="63">
        <f>IF(SummaryTable[[#This Row],[OriginalBudget25]]=0, IF(SummaryTable[[#This Row],[DiffAmount25]]=0, ZeroBudgetNoSpending, ZeroBudgetWithSpending), SummaryTable[[#This Row],[DiffAmount25]]/SummaryTable[[#This Row],[OriginalBudget25]])</f>
        <v>-0.24912993039443154</v>
      </c>
      <c r="AJ92" s="62">
        <f>IF(COUNTIFS(allFYsTable[Code], SummaryTable[[#This Row],[Code]], allFYsTable[year2], AJ$3)=0, NotFound, SUMIFS(allFYsTable[OriginalBudget], allFYsTable[Code], SummaryTable[[#This Row],[Code]], allFYsTable[year2], AJ$3))</f>
        <v>12231</v>
      </c>
      <c r="AK92" s="61">
        <f>SummaryTable[[#This Row],[OriginalBudget24]]-SummaryTable[[#This Row],[OriginalBudget23]]</f>
        <v>10</v>
      </c>
      <c r="AL92" s="54">
        <f>SummaryTable[[#This Row],[BudgetIncreaseAmount24]]/SummaryTable[[#This Row],[OriginalBudget23]]</f>
        <v>8.1826364454627286E-4</v>
      </c>
      <c r="AM92" s="61">
        <f>IF(COUNTIFS(allFYsTable[Code], SummaryTable[[#This Row],[Code]], allFYsTable[year2], AK$3)=0, NotFound, SUMIFS(allFYsTable[RevisedBudget], allFYsTable[Code], SummaryTable[[#This Row],[Code]], allFYsTable[year2], AJ$3))</f>
        <v>10321</v>
      </c>
      <c r="AN92" s="61">
        <f>IF(COUNTIFS(allFYsTable[Code], SummaryTable[[#This Row],[Code]], allFYsTable[year2], AJ$3)=0, NotFound, SUMIFS(allFYsTable[Actual], allFYsTable[Code], SummaryTable[[#This Row],[Code]], allFYsTable[year2], AJ$3))</f>
        <v>9786</v>
      </c>
      <c r="AO92" s="61">
        <f>IF(COUNTIFS(allFYsTable[Code], SummaryTable[[#This Row],[Code]], allFYsTable[year2], AJ$3)=0, NotFound, SUMIFS(allFYsTable[DiffAmount], allFYsTable[Code], SummaryTable[[#This Row],[Code]], allFYsTable[year2], AJ$3))</f>
        <v>-2445</v>
      </c>
      <c r="AP92" s="63">
        <f>IF(SummaryTable[[#This Row],[OriginalBudget24]]=0, IF(SummaryTable[[#This Row],[DiffAmount24]]=0, ZeroBudgetNoSpending, ZeroBudgetWithSpending), SummaryTable[[#This Row],[DiffAmount24]]/SummaryTable[[#This Row],[OriginalBudget24]])</f>
        <v>-0.1999018886436105</v>
      </c>
      <c r="AQ92" s="62">
        <f>IF(COUNTIFS(allFYsTable[Code], SummaryTable[[#This Row],[Code]], allFYsTable[year2], AQ$3)=0, NotFound, SUMIFS(allFYsTable[OriginalBudget], allFYsTable[Code], SummaryTable[[#This Row],[Code]], allFYsTable[year2], AQ$3))</f>
        <v>12221</v>
      </c>
      <c r="AR92" s="61">
        <f>SummaryTable[[#This Row],[OriginalBudget23]]-SummaryTable[[#This Row],[OriginalBudget22]]</f>
        <v>1407</v>
      </c>
      <c r="AS92" s="54">
        <f>SummaryTable[[#This Row],[BudgetIncreaseAmount23]]/SummaryTable[[#This Row],[OriginalBudget22]]</f>
        <v>0.13010911781024598</v>
      </c>
      <c r="AT92" s="61">
        <f>IF(COUNTIFS(allFYsTable[Code], SummaryTable[[#This Row],[Code]], allFYsTable[year2], AQ$3)=0, NotFound, SUMIFS(allFYsTable[RevisedBudget], allFYsTable[Code], SummaryTable[[#This Row],[Code]], allFYsTable[year2], AQ$3))</f>
        <v>12612</v>
      </c>
      <c r="AU92" s="61">
        <f>IF(COUNTIFS(allFYsTable[Code], SummaryTable[[#This Row],[Code]], allFYsTable[year2], AQ$3)=0, NotFound, SUMIFS(allFYsTable[Actual], allFYsTable[Code], SummaryTable[[#This Row],[Code]], allFYsTable[year2], AQ$3))</f>
        <v>9899</v>
      </c>
      <c r="AV92" s="61">
        <f>IF(COUNTIFS(allFYsTable[Code], SummaryTable[[#This Row],[Code]], allFYsTable[year2], AQ$3)=0, NotFound, SUMIFS(allFYsTable[DiffAmount], allFYsTable[Code], SummaryTable[[#This Row],[Code]], allFYsTable[year2], AQ$3))</f>
        <v>-2322</v>
      </c>
      <c r="AW92" s="63">
        <f>IF(SummaryTable[[#This Row],[OriginalBudget23]]=0, IF(SummaryTable[[#This Row],[DiffAmount23]]=0, ZeroBudgetNoSpending, ZeroBudgetWithSpending), SummaryTable[[#This Row],[DiffAmount23]]/SummaryTable[[#This Row],[OriginalBudget23]])</f>
        <v>-0.19000081826364454</v>
      </c>
      <c r="AX92" s="62">
        <f>IF(COUNTIFS(allFYsTable[Code], SummaryTable[[#This Row],[Code]], allFYsTable[year2], AX$3)=0, NotFound, SUMIFS(allFYsTable[OriginalBudget], allFYsTable[Code], SummaryTable[[#This Row],[Code]], allFYsTable[year2], AX$3))</f>
        <v>10814</v>
      </c>
      <c r="AY92" s="61">
        <f>SummaryTable[[#This Row],[OriginalBudget22]]-SummaryTable[[#This Row],[OriginalBudget21]]</f>
        <v>-83</v>
      </c>
      <c r="AZ92" s="54">
        <f>SummaryTable[[#This Row],[BudgetIncreaseAmount22]]/SummaryTable[[#This Row],[OriginalBudget21]]</f>
        <v>-7.6167752592456641E-3</v>
      </c>
      <c r="BA92" s="61">
        <f>IF(COUNTIFS(allFYsTable[Code], SummaryTable[[#This Row],[Code]], allFYsTable[year2], AX$3)=0, NotFound, SUMIFS(allFYsTable[RevisedBudget], allFYsTable[Code], SummaryTable[[#This Row],[Code]], allFYsTable[year2], AX$3))</f>
        <v>7553</v>
      </c>
      <c r="BB92" s="61">
        <f>IF(COUNTIFS(allFYsTable[Code], SummaryTable[[#This Row],[Code]], allFYsTable[year2], AX$3)=0, NotFound, SUMIFS(allFYsTable[Actual], allFYsTable[Code], SummaryTable[[#This Row],[Code]], allFYsTable[year2], AX$3))</f>
        <v>7504</v>
      </c>
      <c r="BC92" s="61">
        <f>IF(COUNTIFS(allFYsTable[Code], SummaryTable[[#This Row],[Code]], allFYsTable[year2], AX$3)=0, NotFound, SUMIFS(allFYsTable[DiffAmount], allFYsTable[Code], SummaryTable[[#This Row],[Code]], allFYsTable[year2], AX$3))</f>
        <v>-3310</v>
      </c>
      <c r="BD92" s="63">
        <f>IF(SummaryTable[[#This Row],[OriginalBudget22]]=0, IF(SummaryTable[[#This Row],[DiffAmount22]]=0, ZeroBudgetNoSpending, ZeroBudgetWithSpending), SummaryTable[[#This Row],[DiffAmount22]]/SummaryTable[[#This Row],[OriginalBudget22]])</f>
        <v>-0.30608470501202145</v>
      </c>
      <c r="BE92" s="62">
        <f>IF(COUNTIFS(allFYsTable[Code], SummaryTable[[#This Row],[Code]], allFYsTable[year2], BE$3)=0, NotFound, SUMIFS(allFYsTable[OriginalBudget], allFYsTable[Code], SummaryTable[[#This Row],[Code]], allFYsTable[year2], BE$3))</f>
        <v>10897</v>
      </c>
      <c r="BF92" s="61">
        <f>SummaryTable[[#This Row],[OriginalBudget21]]-SummaryTable[[#This Row],[OriginalBudget20]]</f>
        <v>-71</v>
      </c>
      <c r="BG92" s="54">
        <f>SummaryTable[[#This Row],[BudgetIncreaseAmount21]]/SummaryTable[[#This Row],[OriginalBudget20]]</f>
        <v>-6.4733770970094818E-3</v>
      </c>
      <c r="BH92" s="61">
        <f>IF(COUNTIFS(allFYsTable[Code], SummaryTable[[#This Row],[Code]], allFYsTable[year2], BE$3)=0, NotFound, SUMIFS(allFYsTable[RevisedBudget], allFYsTable[Code], SummaryTable[[#This Row],[Code]], allFYsTable[year2], BE$3))</f>
        <v>10368</v>
      </c>
      <c r="BI92" s="61">
        <f>IF(COUNTIFS(allFYsTable[Code], SummaryTable[[#This Row],[Code]], allFYsTable[year2], BE$3)=0, NotFound, SUMIFS(allFYsTable[Actual], allFYsTable[Code], SummaryTable[[#This Row],[Code]], allFYsTable[year2], BE$3))</f>
        <v>9499</v>
      </c>
      <c r="BJ92" s="61">
        <f>IF(COUNTIFS(allFYsTable[Code], SummaryTable[[#This Row],[Code]], allFYsTable[year2], BE$3)=0, NotFound, SUMIFS(allFYsTable[DiffAmount], allFYsTable[Code], SummaryTable[[#This Row],[Code]], allFYsTable[year2], BE$3))</f>
        <v>-1398</v>
      </c>
      <c r="BK92" s="63">
        <f>IF(SummaryTable[[#This Row],[OriginalBudget21]]=0, IF(SummaryTable[[#This Row],[DiffAmount21]]=0, ZeroBudgetNoSpending, ZeroBudgetWithSpending), SummaryTable[[#This Row],[DiffAmount21]]/SummaryTable[[#This Row],[OriginalBudget21]])</f>
        <v>-0.12829219051114985</v>
      </c>
      <c r="BL92" s="62">
        <f>IF(COUNTIFS(allFYsTable[Code], SummaryTable[[#This Row],[Code]], allFYsTable[year2], BL$3)=0, NotFound, SUMIFS(allFYsTable[OriginalBudget], allFYsTable[Code], SummaryTable[[#This Row],[Code]], allFYsTable[year2], BL$3))</f>
        <v>10968</v>
      </c>
      <c r="BM92" s="61">
        <f>SummaryTable[[#This Row],[OriginalBudget20]]-SummaryTable[[#This Row],[OriginalBudget19]]</f>
        <v>2299</v>
      </c>
      <c r="BN92" s="54">
        <f>SummaryTable[[#This Row],[BudgetIncreaseAmount20]]/SummaryTable[[#This Row],[OriginalBudget19]]</f>
        <v>0.26519783135309727</v>
      </c>
      <c r="BO92" s="61">
        <f>IF(COUNTIFS(allFYsTable[Code], SummaryTable[[#This Row],[Code]], allFYsTable[year2], BL$3)=0, NotFound, SUMIFS(allFYsTable[RevisedBudget], allFYsTable[Code], SummaryTable[[#This Row],[Code]], allFYsTable[year2], BL$3))</f>
        <v>10731</v>
      </c>
      <c r="BP92" s="61">
        <f>IF(COUNTIFS(allFYsTable[Code], SummaryTable[[#This Row],[Code]], allFYsTable[year2], BL$3)=0, NotFound, SUMIFS(allFYsTable[Actual], allFYsTable[Code], SummaryTable[[#This Row],[Code]], allFYsTable[year2], BL$3))</f>
        <v>10253</v>
      </c>
      <c r="BQ92" s="61">
        <f>IF(COUNTIFS(allFYsTable[Code], SummaryTable[[#This Row],[Code]], allFYsTable[year2], BL$3)=0, NotFound, SUMIFS(allFYsTable[DiffAmount], allFYsTable[Code], SummaryTable[[#This Row],[Code]], allFYsTable[year2], BL$3))</f>
        <v>-715</v>
      </c>
      <c r="BR92" s="63">
        <f>IF(SummaryTable[[#This Row],[OriginalBudget20]]=0, IF(SummaryTable[[#This Row],[DiffAmount20]]=0, ZeroBudgetNoSpending, ZeroBudgetWithSpending), SummaryTable[[#This Row],[DiffAmount20]]/SummaryTable[[#This Row],[OriginalBudget20]])</f>
        <v>-6.5189642596644781E-2</v>
      </c>
      <c r="BS92" s="62">
        <f>IF(COUNTIFS(allFYsTable[Code], SummaryTable[[#This Row],[Code]], allFYsTable[year2], BS$3)=0, NotFound, SUMIFS(allFYsTable[OriginalBudget], allFYsTable[Code], SummaryTable[[#This Row],[Code]], allFYsTable[year2], BS$3))</f>
        <v>8669</v>
      </c>
      <c r="BT92" s="61">
        <f>SummaryTable[[#This Row],[OriginalBudget19]]-SummaryTable[[#This Row],[OriginalBudget18]]</f>
        <v>1012</v>
      </c>
      <c r="BU92" s="54">
        <f>SummaryTable[[#This Row],[BudgetIncreaseAmount19]]/SummaryTable[[#This Row],[OriginalBudget18]]</f>
        <v>0.13216664490009142</v>
      </c>
      <c r="BV92" s="61">
        <f>IF(COUNTIFS(allFYsTable[Code], SummaryTable[[#This Row],[Code]], allFYsTable[year2], BS$3)=0, NotFound, SUMIFS(allFYsTable[RevisedBudget], allFYsTable[Code], SummaryTable[[#This Row],[Code]], allFYsTable[year2], BS$3))</f>
        <v>9218</v>
      </c>
      <c r="BW92" s="61">
        <f>IF(COUNTIFS(allFYsTable[Code], SummaryTable[[#This Row],[Code]], allFYsTable[year2], BS$3)=0, NotFound, SUMIFS(allFYsTable[Actual], allFYsTable[Code], SummaryTable[[#This Row],[Code]], allFYsTable[year2], BS$3))</f>
        <v>9115</v>
      </c>
      <c r="BX92" s="61">
        <f>IF(COUNTIFS(allFYsTable[Code], SummaryTable[[#This Row],[Code]], allFYsTable[year2], BS$3)=0, NotFound, SUMIFS(allFYsTable[DiffAmount], allFYsTable[Code], SummaryTable[[#This Row],[Code]], allFYsTable[year2], BS$3))</f>
        <v>446</v>
      </c>
      <c r="BY92" s="63">
        <f>IF(SummaryTable[[#This Row],[OriginalBudget19]]=0, IF(SummaryTable[[#This Row],[DiffAmount19]]=0, ZeroBudgetNoSpending, ZeroBudgetWithSpending), SummaryTable[[#This Row],[DiffAmount19]]/SummaryTable[[#This Row],[OriginalBudget19]])</f>
        <v>5.1447687161148919E-2</v>
      </c>
      <c r="BZ92" s="62">
        <f>IF(COUNTIFS(allFYsTable[Code], SummaryTable[[#This Row],[Code]], allFYsTable[year2], BZ$3)=0, NotFound, SUMIFS(allFYsTable[OriginalBudget], allFYsTable[Code], SummaryTable[[#This Row],[Code]], allFYsTable[year2], BZ$3))</f>
        <v>7657</v>
      </c>
      <c r="CA92" s="61">
        <f>SummaryTable[[#This Row],[OriginalBudget18]]-SummaryTable[[#This Row],[OriginalBudget17]]</f>
        <v>588</v>
      </c>
      <c r="CB92" s="54">
        <f>SummaryTable[[#This Row],[BudgetIncreaseAmount18]]/SummaryTable[[#This Row],[OriginalBudget17]]</f>
        <v>8.3180082048380247E-2</v>
      </c>
      <c r="CC92" s="61">
        <f>IF(COUNTIFS(allFYsTable[Code], SummaryTable[[#This Row],[Code]], allFYsTable[year2], BZ$3)=0, NotFound, SUMIFS(allFYsTable[RevisedBudget], allFYsTable[Code], SummaryTable[[#This Row],[Code]], allFYsTable[year2], BZ$3))</f>
        <v>9240</v>
      </c>
      <c r="CD92" s="61">
        <f>IF(COUNTIFS(allFYsTable[Code], SummaryTable[[#This Row],[Code]], allFYsTable[year2], BZ$3)=0, NotFound, SUMIFS(allFYsTable[Actual], allFYsTable[Code], SummaryTable[[#This Row],[Code]], allFYsTable[year2], BZ$3))</f>
        <v>8187</v>
      </c>
      <c r="CE92" s="61">
        <f>IF(COUNTIFS(allFYsTable[Code], SummaryTable[[#This Row],[Code]], allFYsTable[year2], BZ$3)=0, NotFound, SUMIFS(allFYsTable[DiffAmount], allFYsTable[Code], SummaryTable[[#This Row],[Code]], allFYsTable[year2], BZ$3))</f>
        <v>530</v>
      </c>
      <c r="CF92" s="63">
        <f>IF(SummaryTable[[#This Row],[OriginalBudget18]]=0, IF(SummaryTable[[#This Row],[DiffAmount18]]=0, ZeroBudgetNoSpending, ZeroBudgetWithSpending), SummaryTable[[#This Row],[DiffAmount18]]/SummaryTable[[#This Row],[OriginalBudget18]])</f>
        <v>6.9217709285621001E-2</v>
      </c>
      <c r="CG92" s="62">
        <f>IF(COUNTIFS(allFYsTable[Code], SummaryTable[[#This Row],[Code]], allFYsTable[year2], CG$3)=0, NotFound, SUMIFS(allFYsTable[OriginalBudget], allFYsTable[Code], SummaryTable[[#This Row],[Code]], allFYsTable[year2], CG$3))</f>
        <v>7069</v>
      </c>
      <c r="CH92" s="61">
        <f>SummaryTable[[#This Row],[OriginalBudget17]]-SummaryTable[[#This Row],[OriginalBudget16]]</f>
        <v>940</v>
      </c>
      <c r="CI92" s="54">
        <f>SummaryTable[[#This Row],[BudgetIncreaseAmount17]]/SummaryTable[[#This Row],[OriginalBudget16]]</f>
        <v>0.1533692282590961</v>
      </c>
      <c r="CJ92" s="61">
        <f>IF(COUNTIFS(allFYsTable[Code], SummaryTable[[#This Row],[Code]], allFYsTable[year2], CG$3)=0, NotFound, SUMIFS(allFYsTable[RevisedBudget], allFYsTable[Code], SummaryTable[[#This Row],[Code]], allFYsTable[year2], CG$3))</f>
        <v>7069</v>
      </c>
      <c r="CK92" s="61">
        <f>IF(COUNTIFS(allFYsTable[Code], SummaryTable[[#This Row],[Code]], allFYsTable[year2], CG$3)=0, NotFound, SUMIFS(allFYsTable[Actual], allFYsTable[Code], SummaryTable[[#This Row],[Code]], allFYsTable[year2], CG$3))</f>
        <v>6894</v>
      </c>
      <c r="CL92" s="61">
        <f>IF(COUNTIFS(allFYsTable[Code], SummaryTable[[#This Row],[Code]], allFYsTable[year2], CG$3)=0, NotFound, SUMIFS(allFYsTable[DiffAmount], allFYsTable[Code], SummaryTable[[#This Row],[Code]], allFYsTable[year2], CG$3))</f>
        <v>-175</v>
      </c>
      <c r="CM92" s="63">
        <f>IF(SummaryTable[[#This Row],[OriginalBudget17]]=0, IF(SummaryTable[[#This Row],[DiffAmount17]]=0, ZeroBudgetNoSpending, ZeroBudgetWithSpending), SummaryTable[[#This Row],[DiffAmount17]]/SummaryTable[[#This Row],[OriginalBudget17]])</f>
        <v>-2.4755976800113169E-2</v>
      </c>
      <c r="CN92" s="62">
        <f>IF(COUNTIFS(allFYsTable[Code], SummaryTable[[#This Row],[Code]], allFYsTable[year2], CN$3)=0, NotFound, SUMIFS(allFYsTable[OriginalBudget], allFYsTable[Code], SummaryTable[[#This Row],[Code]], allFYsTable[year2], CN$3))</f>
        <v>6129</v>
      </c>
      <c r="CO92" s="61">
        <f>SummaryTable[[#This Row],[OriginalBudget16]]-SummaryTable[[#This Row],[OriginalBudget15]]</f>
        <v>2415</v>
      </c>
      <c r="CP92" s="54">
        <f>SummaryTable[[#This Row],[BudgetIncreaseAmount16]]/SummaryTable[[#This Row],[OriginalBudget15]]</f>
        <v>0.65024232633279488</v>
      </c>
      <c r="CQ92" s="61">
        <f>IF(COUNTIFS(allFYsTable[Code], SummaryTable[[#This Row],[Code]], allFYsTable[year2], CN$3)=0, NotFound, SUMIFS(allFYsTable[RevisedBudget], allFYsTable[Code], SummaryTable[[#This Row],[Code]], allFYsTable[year2], CN$3))</f>
        <v>5924</v>
      </c>
      <c r="CR92" s="61">
        <f>IF(COUNTIFS(allFYsTable[Code], SummaryTable[[#This Row],[Code]], allFYsTable[year2], CN$3)=0, NotFound, SUMIFS(allFYsTable[Actual], allFYsTable[Code], SummaryTable[[#This Row],[Code]], allFYsTable[year2], CN$3))</f>
        <v>5555</v>
      </c>
      <c r="CS92" s="61">
        <f>IF(COUNTIFS(allFYsTable[Code], SummaryTable[[#This Row],[Code]], allFYsTable[year2], CN$3)=0, NotFound, SUMIFS(allFYsTable[DiffAmount], allFYsTable[Code], SummaryTable[[#This Row],[Code]], allFYsTable[year2], CN$3))</f>
        <v>-574</v>
      </c>
      <c r="CT92" s="63">
        <f>IF(SummaryTable[[#This Row],[OriginalBudget16]]=0, IF(SummaryTable[[#This Row],[DiffAmount16]]=0, ZeroBudgetNoSpending, ZeroBudgetWithSpending), SummaryTable[[#This Row],[DiffAmount16]]/SummaryTable[[#This Row],[OriginalBudget16]])</f>
        <v>-9.36531244901289E-2</v>
      </c>
      <c r="CU92" s="62">
        <f>IF(COUNTIFS(allFYsTable[Code], SummaryTable[[#This Row],[Code]], allFYsTable[year2], CU$3)=0, NotFound, SUMIFS(allFYsTable[OriginalBudget], allFYsTable[Code], SummaryTable[[#This Row],[Code]], allFYsTable[year2], CU$3))</f>
        <v>3714</v>
      </c>
      <c r="CV92" s="61">
        <f>SummaryTable[[#This Row],[OriginalBudget15]]-SummaryTable[[#This Row],[OriginalBudget14]]</f>
        <v>331</v>
      </c>
      <c r="CW92" s="54">
        <f>SummaryTable[[#This Row],[BudgetIncreaseAmount15]]/SummaryTable[[#This Row],[OriginalBudget14]]</f>
        <v>9.7842151936151339E-2</v>
      </c>
      <c r="CX92" s="61">
        <f>IF(COUNTIFS(allFYsTable[Code], SummaryTable[[#This Row],[Code]], allFYsTable[year2], CU$3)=0, NotFound, SUMIFS(allFYsTable[RevisedBudget], allFYsTable[Code], SummaryTable[[#This Row],[Code]], allFYsTable[year2], CU$3))</f>
        <v>3980</v>
      </c>
      <c r="CY92" s="61">
        <f>IF(COUNTIFS(allFYsTable[Code], SummaryTable[[#This Row],[Code]], allFYsTable[year2], CU$3)=0, NotFound, SUMIFS(allFYsTable[Actual], allFYsTable[Code], SummaryTable[[#This Row],[Code]], allFYsTable[year2], CU$3))</f>
        <v>3980</v>
      </c>
      <c r="CZ92" s="61">
        <f>IF(COUNTIFS(allFYsTable[Code], SummaryTable[[#This Row],[Code]], allFYsTable[year2], CU$3)=0, NotFound, SUMIFS(allFYsTable[DiffAmount], allFYsTable[Code], SummaryTable[[#This Row],[Code]], allFYsTable[year2], CU$3))</f>
        <v>266</v>
      </c>
      <c r="DA92" s="63">
        <f>IF(SummaryTable[[#This Row],[OriginalBudget15]]=0, IF(SummaryTable[[#This Row],[DiffAmount15]]=0, ZeroBudgetNoSpending, ZeroBudgetWithSpending), SummaryTable[[#This Row],[DiffAmount15]]/SummaryTable[[#This Row],[OriginalBudget15]])</f>
        <v>7.1620893914916536E-2</v>
      </c>
      <c r="DB92" s="62">
        <f>IF(COUNTIFS(allFYsTable[Code], SummaryTable[[#This Row],[Code]], allFYsTable[year2], DB$3)=0, NotFound, SUMIFS(allFYsTable[OriginalBudget], allFYsTable[Code], SummaryTable[[#This Row],[Code]], allFYsTable[year2], DB$3))</f>
        <v>3383</v>
      </c>
      <c r="DC92" s="61">
        <f>SummaryTable[[#This Row],[OriginalBudget14]]-SummaryTable[[#This Row],[OriginalBudget13]]</f>
        <v>-18</v>
      </c>
      <c r="DD92" s="54">
        <f>SummaryTable[[#This Row],[BudgetIncreaseAmount14]]/SummaryTable[[#This Row],[OriginalBudget13]]</f>
        <v>-5.2925610114672155E-3</v>
      </c>
      <c r="DE92" s="61">
        <f>IF(COUNTIFS(allFYsTable[Code], SummaryTable[[#This Row],[Code]], allFYsTable[year2], DB$3)=0, NotFound, SUMIFS(allFYsTable[RevisedBudget], allFYsTable[Code], SummaryTable[[#This Row],[Code]], allFYsTable[year2], DB$3))</f>
        <v>3601</v>
      </c>
      <c r="DF92" s="61">
        <f>IF(COUNTIFS(allFYsTable[Code], SummaryTable[[#This Row],[Code]], allFYsTable[year2], DB$3)=0, NotFound, SUMIFS(allFYsTable[Actual], allFYsTable[Code], SummaryTable[[#This Row],[Code]], allFYsTable[year2], DB$3))</f>
        <v>3170</v>
      </c>
      <c r="DG92" s="61">
        <f>IF(COUNTIFS(allFYsTable[Code], SummaryTable[[#This Row],[Code]], allFYsTable[year2], DB$3)=0, NotFound, SUMIFS(allFYsTable[DiffAmount], allFYsTable[Code], SummaryTable[[#This Row],[Code]], allFYsTable[year2], DB$3))</f>
        <v>-213</v>
      </c>
      <c r="DH92" s="63">
        <f>IF(SummaryTable[[#This Row],[OriginalBudget14]]=0, IF(SummaryTable[[#This Row],[DiffAmount14]]=0, ZeroBudgetNoSpending, ZeroBudgetWithSpending), SummaryTable[[#This Row],[DiffAmount14]]/SummaryTable[[#This Row],[OriginalBudget14]])</f>
        <v>-6.2961868164351162E-2</v>
      </c>
      <c r="DI92" s="62">
        <f>IF(COUNTIFS(allFYsTable[Code], SummaryTable[[#This Row],[Code]], allFYsTable[year2], DI$3)=0, NotFound, SUMIFS(allFYsTable[OriginalBudget], allFYsTable[Code], SummaryTable[[#This Row],[Code]], allFYsTable[year2], DI$3))</f>
        <v>3401</v>
      </c>
      <c r="DJ92" s="61">
        <f>SummaryTable[[#This Row],[OriginalBudget13]]-SummaryTable[[#This Row],[OriginalBudget12]]</f>
        <v>118</v>
      </c>
      <c r="DK92" s="54">
        <f>SummaryTable[[#This Row],[BudgetIncreaseAmount13]]/SummaryTable[[#This Row],[OriginalBudget12]]</f>
        <v>3.5942735303076456E-2</v>
      </c>
      <c r="DL92" s="61">
        <f>IF(COUNTIFS(allFYsTable[Code], SummaryTable[[#This Row],[Code]], allFYsTable[year2], DI$3)=0, NotFound, SUMIFS(allFYsTable[RevisedBudget], allFYsTable[Code], SummaryTable[[#This Row],[Code]], allFYsTable[year2], DI$3))</f>
        <v>3401</v>
      </c>
      <c r="DM92" s="61">
        <f>IF(COUNTIFS(allFYsTable[Code], SummaryTable[[#This Row],[Code]], allFYsTable[year2], DI$3)=0, NotFound, SUMIFS(allFYsTable[Actual], allFYsTable[Code], SummaryTable[[#This Row],[Code]], allFYsTable[year2], DI$3))</f>
        <v>3195</v>
      </c>
      <c r="DN92" s="61">
        <f>IF(COUNTIFS(allFYsTable[Code], SummaryTable[[#This Row],[Code]], allFYsTable[year2], DI$3)=0, NotFound, SUMIFS(allFYsTable[DiffAmount], allFYsTable[Code], SummaryTable[[#This Row],[Code]], allFYsTable[year2], DI$3))</f>
        <v>-206</v>
      </c>
      <c r="DO92" s="63">
        <f>IF(SummaryTable[[#This Row],[OriginalBudget13]]=0, IF(SummaryTable[[#This Row],[DiffAmount13]]=0, ZeroBudgetNoSpending, ZeroBudgetWithSpending), SummaryTable[[#This Row],[DiffAmount13]]/SummaryTable[[#This Row],[OriginalBudget13]])</f>
        <v>-6.0570420464569244E-2</v>
      </c>
      <c r="DP92" s="62">
        <f>IF(COUNTIFS(allFYsTable[Code], SummaryTable[[#This Row],[Code]], allFYsTable[year2], DP$3)=0, NotFound, SUMIFS(allFYsTable[OriginalBudget], allFYsTable[Code], SummaryTable[[#This Row],[Code]], allFYsTable[year2], DP$3))</f>
        <v>3283</v>
      </c>
      <c r="DQ92" s="61">
        <f>SummaryTable[[#This Row],[OriginalBudget12]]-SummaryTable[[#This Row],[OriginalBudget11]]</f>
        <v>-153</v>
      </c>
      <c r="DR92" s="54">
        <f>SummaryTable[[#This Row],[BudgetIncreaseAmount12]]/SummaryTable[[#This Row],[OriginalBudget11]]</f>
        <v>-4.452852153667055E-2</v>
      </c>
      <c r="DS92" s="61">
        <f>IF(COUNTIFS(allFYsTable[Code], SummaryTable[[#This Row],[Code]], allFYsTable[year2], DP$3)=0, NotFound, SUMIFS(allFYsTable[RevisedBudget], allFYsTable[Code], SummaryTable[[#This Row],[Code]], allFYsTable[year2], DP$3))</f>
        <v>3058</v>
      </c>
      <c r="DT92" s="61">
        <f>IF(COUNTIFS(allFYsTable[Code], SummaryTable[[#This Row],[Code]], allFYsTable[year2], DP$3)=0, NotFound, SUMIFS(allFYsTable[Actual], allFYsTable[Code], SummaryTable[[#This Row],[Code]], allFYsTable[year2], DP$3))</f>
        <v>2847</v>
      </c>
      <c r="DU92" s="61">
        <f>IF(COUNTIFS(allFYsTable[Code], SummaryTable[[#This Row],[Code]], allFYsTable[year2], DP$3)=0, NotFound, SUMIFS(allFYsTable[DiffAmount], allFYsTable[Code], SummaryTable[[#This Row],[Code]], allFYsTable[year2], DP$3))</f>
        <v>-436</v>
      </c>
      <c r="DV92" s="63">
        <f>IF(SummaryTable[[#This Row],[OriginalBudget12]]=0, IF(SummaryTable[[#This Row],[DiffAmount12]]=0, ZeroBudgetNoSpending, ZeroBudgetWithSpending), SummaryTable[[#This Row],[DiffAmount12]]/SummaryTable[[#This Row],[OriginalBudget12]])</f>
        <v>-0.13280536095035028</v>
      </c>
      <c r="DW92" s="62">
        <f>IF(COUNTIFS(allFYsTable[Code], SummaryTable[[#This Row],[Code]], allFYsTable[year2], DW$3)=0, NotFound, SUMIFS(allFYsTable[OriginalBudget], allFYsTable[Code], SummaryTable[[#This Row],[Code]], allFYsTable[year2], DW$3))</f>
        <v>3436</v>
      </c>
      <c r="DX92" s="61">
        <f>SummaryTable[[#This Row],[OriginalBudget11]]-SummaryTable[[#This Row],[OriginalBudget10]]</f>
        <v>-2006</v>
      </c>
      <c r="DY92" s="54">
        <f>SummaryTable[[#This Row],[BudgetIncreaseAmount11]]/SummaryTable[[#This Row],[OriginalBudget10]]</f>
        <v>-0.36861447997059904</v>
      </c>
      <c r="DZ92" s="61">
        <f>IF(COUNTIFS(allFYsTable[Code], SummaryTable[[#This Row],[Code]], allFYsTable[year2], DW$3)=0, NotFound, SUMIFS(allFYsTable[RevisedBudget], allFYsTable[Code], SummaryTable[[#This Row],[Code]], allFYsTable[year2], DW$3))</f>
        <v>4126</v>
      </c>
      <c r="EA92" s="61">
        <f>IF(COUNTIFS(allFYsTable[Code], SummaryTable[[#This Row],[Code]], allFYsTable[year2], DW$3)=0, NotFound, SUMIFS(allFYsTable[Actual], allFYsTable[Code], SummaryTable[[#This Row],[Code]], allFYsTable[year2], DW$3))</f>
        <v>4012</v>
      </c>
      <c r="EB92" s="61">
        <f>IF(COUNTIFS(allFYsTable[Code], SummaryTable[[#This Row],[Code]], allFYsTable[year2], DW$3)=0, NotFound, SUMIFS(allFYsTable[DiffAmount], allFYsTable[Code], SummaryTable[[#This Row],[Code]], allFYsTable[year2], DW$3))</f>
        <v>576</v>
      </c>
      <c r="EC92" s="63">
        <f>IF(SummaryTable[[#This Row],[OriginalBudget11]]=0, IF(SummaryTable[[#This Row],[DiffAmount11]]=0, ZeroBudgetNoSpending, ZeroBudgetWithSpending), SummaryTable[[#This Row],[DiffAmount11]]/SummaryTable[[#This Row],[OriginalBudget11]])</f>
        <v>0.16763678696158324</v>
      </c>
      <c r="ED92" s="62">
        <f>IF(COUNTIFS(allFYsTable[Code], SummaryTable[[#This Row],[Code]], allFYsTable[year2], ED$3)=0, NotFound, SUMIFS(allFYsTable[OriginalBudget], allFYsTable[Code], SummaryTable[[#This Row],[Code]], allFYsTable[year2], ED$3))</f>
        <v>5442</v>
      </c>
      <c r="EE92" s="61">
        <f>SummaryTable[[#This Row],[OriginalBudget10]]-SummaryTable[[#This Row],[OriginalBudget09]]</f>
        <v>-522</v>
      </c>
      <c r="EF92" s="54">
        <f>SummaryTable[[#This Row],[BudgetIncreaseAmount10]]/SummaryTable[[#This Row],[OriginalBudget09]]</f>
        <v>-8.75251509054326E-2</v>
      </c>
      <c r="EG92" s="61">
        <f>IF(COUNTIFS(allFYsTable[Code], SummaryTable[[#This Row],[Code]], allFYsTable[year2], ED$3)=0, NotFound, SUMIFS(allFYsTable[RevisedBudget], allFYsTable[Code], SummaryTable[[#This Row],[Code]], allFYsTable[year2], ED$3))</f>
        <v>5042</v>
      </c>
      <c r="EH92" s="61">
        <f>IF(COUNTIFS(allFYsTable[Code], SummaryTable[[#This Row],[Code]], allFYsTable[year2], ED$3)=0, NotFound, SUMIFS(allFYsTable[Actual], allFYsTable[Code], SummaryTable[[#This Row],[Code]], allFYsTable[year2], ED$3))</f>
        <v>5017</v>
      </c>
      <c r="EI92" s="61">
        <f>IF(COUNTIFS(allFYsTable[Code], SummaryTable[[#This Row],[Code]], allFYsTable[year2], ED$3)=0, NotFound, SUMIFS(allFYsTable[DiffAmount], allFYsTable[Code], SummaryTable[[#This Row],[Code]], allFYsTable[year2], ED$3))</f>
        <v>-425</v>
      </c>
      <c r="EJ92" s="63">
        <f>IF(SummaryTable[[#This Row],[OriginalBudget10]]=0, IF(SummaryTable[[#This Row],[DiffAmount10]]=0, ZeroBudgetNoSpending, ZeroBudgetWithSpending), SummaryTable[[#This Row],[DiffAmount10]]/SummaryTable[[#This Row],[OriginalBudget10]])</f>
        <v>-7.80962881293642E-2</v>
      </c>
      <c r="EK92" s="62">
        <f>IF(COUNTIFS(allFYsTable[Code], SummaryTable[[#This Row],[Code]], allFYsTable[year2], EK$3)=0, NotFound, SUMIFS(allFYsTable[OriginalBudget], allFYsTable[Code], SummaryTable[[#This Row],[Code]], allFYsTable[year2], EK$3))</f>
        <v>5964</v>
      </c>
      <c r="EL92" s="61">
        <f>SummaryTable[[#This Row],[OriginalBudget09]]-SummaryTable[[#This Row],[OriginalBudget08]]</f>
        <v>-1015</v>
      </c>
      <c r="EM92" s="54">
        <f>SummaryTable[[#This Row],[BudgetIncreaseAmount09]]/SummaryTable[[#This Row],[OriginalBudget08]]</f>
        <v>-0.14543630892678033</v>
      </c>
      <c r="EN92" s="61">
        <f>IF(COUNTIFS(allFYsTable[Code], SummaryTable[[#This Row],[Code]], allFYsTable[year2], EK$3)=0, NotFound, SUMIFS(allFYsTable[RevisedBudget], allFYsTable[Code], SummaryTable[[#This Row],[Code]], allFYsTable[year2], EK$3))</f>
        <v>5864</v>
      </c>
      <c r="EO92" s="61">
        <f>IF(COUNTIFS(allFYsTable[Code], SummaryTable[[#This Row],[Code]], allFYsTable[year2], EK$3)=0, NotFound, SUMIFS(allFYsTable[Actual], allFYsTable[Code], SummaryTable[[#This Row],[Code]], allFYsTable[year2], EK$3))</f>
        <v>5691</v>
      </c>
      <c r="EP92" s="61">
        <f>IF(COUNTIFS(allFYsTable[Code], SummaryTable[[#This Row],[Code]], allFYsTable[year2], EK$3)=0, NotFound, SUMIFS(allFYsTable[DiffAmount], allFYsTable[Code], SummaryTable[[#This Row],[Code]], allFYsTable[year2], EK$3))</f>
        <v>-273</v>
      </c>
      <c r="EQ92" s="63">
        <f>IF(SummaryTable[[#This Row],[OriginalBudget09]]=0, IF(SummaryTable[[#This Row],[DiffAmount09]]=0, ZeroBudgetNoSpending, ZeroBudgetWithSpending), SummaryTable[[#This Row],[DiffAmount09]]/SummaryTable[[#This Row],[OriginalBudget09]])</f>
        <v>-4.5774647887323945E-2</v>
      </c>
      <c r="ER92" s="62">
        <f>IF(COUNTIFS(allFYsTable[Code], SummaryTable[[#This Row],[Code]], allFYsTable[year2], ER$3)=0, NotFound, SUMIFS(allFYsTable[OriginalBudget], allFYsTable[Code], SummaryTable[[#This Row],[Code]], allFYsTable[year2], ER$3))</f>
        <v>6979</v>
      </c>
      <c r="ES92" s="61">
        <f>SummaryTable[[#This Row],[OriginalBudget08]]-SummaryTable[[#This Row],[OriginalBudget07]]</f>
        <v>-3694</v>
      </c>
      <c r="ET92" s="54">
        <f>SummaryTable[[#This Row],[BudgetIncreaseAmount08]]/SummaryTable[[#This Row],[OriginalBudget07]]</f>
        <v>-0.34610699896936192</v>
      </c>
      <c r="EU92" s="61">
        <f>IF(COUNTIFS(allFYsTable[Code], SummaryTable[[#This Row],[Code]], allFYsTable[year2], ER$3)=0, NotFound, SUMIFS(allFYsTable[RevisedBudget], allFYsTable[Code], SummaryTable[[#This Row],[Code]], allFYsTable[year2], ER$3))</f>
        <v>6846</v>
      </c>
      <c r="EV92" s="61">
        <f>IF(COUNTIFS(allFYsTable[Code], SummaryTable[[#This Row],[Code]], allFYsTable[year2], ER$3)=0, NotFound, SUMIFS(allFYsTable[Actual], allFYsTable[Code], SummaryTable[[#This Row],[Code]], allFYsTable[year2], ER$3))</f>
        <v>6507</v>
      </c>
      <c r="EW92" s="61">
        <f>IF(COUNTIFS(allFYsTable[Code], SummaryTable[[#This Row],[Code]], allFYsTable[year2], ER$3)=0, NotFound, SUMIFS(allFYsTable[DiffAmount], allFYsTable[Code], SummaryTable[[#This Row],[Code]], allFYsTable[year2], ER$3))</f>
        <v>-472</v>
      </c>
      <c r="EX92" s="63">
        <f>IF(SummaryTable[[#This Row],[OriginalBudget08]]=0, IF(SummaryTable[[#This Row],[DiffAmount08]]=0, ZeroBudgetNoSpending, ZeroBudgetWithSpending), SummaryTable[[#This Row],[DiffAmount08]]/SummaryTable[[#This Row],[OriginalBudget08]])</f>
        <v>-6.7631465826049578E-2</v>
      </c>
      <c r="EY92" s="62">
        <f>IF(COUNTIFS(allFYsTable[Code], SummaryTable[[#This Row],[Code]], allFYsTable[year2], EY$3)=0, NotFound, SUMIFS(allFYsTable[OriginalBudget], allFYsTable[Code], SummaryTable[[#This Row],[Code]], allFYsTable[year2], EY$3))</f>
        <v>10673</v>
      </c>
      <c r="EZ92" s="61">
        <f>SummaryTable[[#This Row],[OriginalBudget07]]-SummaryTable[[#This Row],[OriginalBudget06]]</f>
        <v>1773</v>
      </c>
      <c r="FA92" s="54">
        <f>SummaryTable[[#This Row],[BudgetIncreaseAmount07]]/SummaryTable[[#This Row],[OriginalBudget06]]</f>
        <v>0.1992134831460674</v>
      </c>
      <c r="FB92" s="61">
        <f>IF(COUNTIFS(allFYsTable[Code], SummaryTable[[#This Row],[Code]], allFYsTable[year2], EY$3)=0, NotFound, SUMIFS(allFYsTable[RevisedBudget], allFYsTable[Code], SummaryTable[[#This Row],[Code]], allFYsTable[year2], EY$3))</f>
        <v>12567</v>
      </c>
      <c r="FC92" s="61">
        <f>IF(COUNTIFS(allFYsTable[Code], SummaryTable[[#This Row],[Code]], allFYsTable[year2], EY$3)=0, NotFound, SUMIFS(allFYsTable[Actual], allFYsTable[Code], SummaryTable[[#This Row],[Code]], allFYsTable[year2], EY$3))</f>
        <v>11447</v>
      </c>
      <c r="FD92" s="61">
        <f>IF(COUNTIFS(allFYsTable[Code], SummaryTable[[#This Row],[Code]], allFYsTable[year2], EY$3)=0, NotFound, SUMIFS(allFYsTable[DiffAmount], allFYsTable[Code], SummaryTable[[#This Row],[Code]], allFYsTable[year2], EY$3))</f>
        <v>774</v>
      </c>
      <c r="FE92" s="63">
        <f>IF(SummaryTable[[#This Row],[OriginalBudget07]]=0, IF(SummaryTable[[#This Row],[DiffAmount07]]=0, ZeroBudgetNoSpending, ZeroBudgetWithSpending), SummaryTable[[#This Row],[DiffAmount07]]/SummaryTable[[#This Row],[OriginalBudget07]])</f>
        <v>7.2519441581560942E-2</v>
      </c>
      <c r="FF92" s="62">
        <f>IF(COUNTIFS(allFYsTable[Code], SummaryTable[[#This Row],[Code]], allFYsTable[year2], FF$3)=0, NotFound, SUMIFS(allFYsTable[OriginalBudget], allFYsTable[Code], SummaryTable[[#This Row],[Code]], allFYsTable[year2], FF$3))</f>
        <v>8900</v>
      </c>
      <c r="FI92" s="61">
        <f>IF(COUNTIFS(allFYsTable[Code], SummaryTable[[#This Row],[Code]], allFYsTable[year2], FF$3)=0, NotFound, SUMIFS(allFYsTable[RevisedBudget], allFYsTable[Code], SummaryTable[[#This Row],[Code]], allFYsTable[year2], FF$3))</f>
        <v>11927</v>
      </c>
      <c r="FJ92" s="61">
        <f>IF(COUNTIFS(allFYsTable[Code], SummaryTable[[#This Row],[Code]], allFYsTable[year2], FF$3)=0, NotFound, SUMIFS(allFYsTable[Actual], allFYsTable[Code], SummaryTable[[#This Row],[Code]], allFYsTable[year2], FF$3))</f>
        <v>11726</v>
      </c>
      <c r="FK92" s="61">
        <f>IF(COUNTIFS(allFYsTable[Code], SummaryTable[[#This Row],[Code]], allFYsTable[year2], FF$3)=0, NotFound, SUMIFS(allFYsTable[DiffAmount], allFYsTable[Code], SummaryTable[[#This Row],[Code]], allFYsTable[year2], FF$3))</f>
        <v>2826</v>
      </c>
      <c r="FL92" s="63">
        <f>IF(SummaryTable[[#This Row],[OriginalBudget06]]=0, IF(SummaryTable[[#This Row],[DiffAmount06]]=0, ZeroBudgetNoSpending, ZeroBudgetWithSpending), SummaryTable[[#This Row],[DiffAmount06]]/SummaryTable[[#This Row],[OriginalBudget06]])</f>
        <v>0.31752808988764047</v>
      </c>
    </row>
    <row r="93" spans="1:168" x14ac:dyDescent="0.45">
      <c r="A93" t="s">
        <v>778</v>
      </c>
      <c r="B93">
        <f>_xlfn.MAXIFS(allFYsTable[year2], allFYsTable[Code], SummaryTable[[#This Row],[Code]])</f>
        <v>2025</v>
      </c>
      <c r="C93" t="str">
        <f>_xlfn.XLOOKUP(SummaryTable[[#This Row],[Code]], NameCodingTable[Code], NameCodingTable[Most Recent Category per allFYs])</f>
        <v>Public education system</v>
      </c>
      <c r="D93" t="str">
        <f>_xlfn.XLOOKUP(SummaryTable[[#This Row],[Code]], NameCodingTable[Code], NameCodingTable[Unit Display Name])</f>
        <v>Office of the Deputy Mayor for Education</v>
      </c>
      <c r="E93" t="str">
        <f>_xlfn.XLOOKUP(SummaryTable[[#This Row],[Code]], NameCodingTable[Code], NameCodingTable[Type])</f>
        <v>agency</v>
      </c>
      <c r="F9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18</v>
      </c>
      <c r="G9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4</v>
      </c>
      <c r="H93" s="54">
        <f>SummaryTable[[#This Row],['# Over]]/SummaryTable[[#This Row],[Count]]</f>
        <v>0.22222222222222221</v>
      </c>
      <c r="I9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14</v>
      </c>
      <c r="J93" s="54">
        <f>SummaryTable[[#This Row],['# Under]]/SummaryTable[[#This Row],[Count]]</f>
        <v>0.77777777777777779</v>
      </c>
      <c r="K9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3" s="54">
        <f>SummaryTable[[#This Row],['# Equal]]/SummaryTable[[#This Row],[Count]]</f>
        <v>0</v>
      </c>
      <c r="M93" s="61">
        <f>SUMIFS(allFYsTable[OriginalBudget],allFYsTable[Code],SummaryTable[[#This Row],[Code]])/SummaryTable[[#This Row],[Count]]</f>
        <v>12310.388888888889</v>
      </c>
      <c r="N93" s="61">
        <f>SUMIFS(allFYsTable[Actual],allFYsTable[Code],SummaryTable[[#This Row],[Code]])/SummaryTable[[#This Row],[Count]]</f>
        <v>11248.388888888889</v>
      </c>
      <c r="O93" s="61">
        <f>SummaryTable[[#This Row],[AvgActAmt]]-SummaryTable[[#This Row],[AvgBudAmt]]</f>
        <v>-1062</v>
      </c>
      <c r="P93" s="54">
        <f>IF(SummaryTable[[#This Row],[AvgBudAmt]]=0, IF(SummaryTable[[#This Row],[AvgDiff'#]]=0, 0, NamedFields!$C$3), SummaryTable[[#This Row],[AvgDiff'#]]/SummaryTable[[#This Row],[AvgBudAmt]])</f>
        <v>-8.6268598789640188E-2</v>
      </c>
      <c r="Q93" s="61">
        <f>IFERROR(SUMIFS(allFYsTable[OriginalBudget],allFYsTable[Code],SummaryTable[[#This Row],[Code]],allFYsTable[DiffAmount], "&gt;0")/SummaryTable[[#This Row],['# Over]], 0)</f>
        <v>4046</v>
      </c>
      <c r="R93" s="61">
        <f>IFERROR(SUMIFS(allFYsTable[Actual],allFYsTable[Code],SummaryTable[[#This Row],[Code]],allFYsTable[DiffAmount], "&gt;0")/SummaryTable[[#This Row],['# Over]], 0)</f>
        <v>4500</v>
      </c>
      <c r="S93" s="61">
        <f>SummaryTable[[#This Row],[OverAvgAct]]-SummaryTable[[#This Row],[OverAvgBud]]</f>
        <v>454</v>
      </c>
      <c r="T93" s="54">
        <f>IF(SummaryTable[[#This Row],[OverAvgBud]]=0, IF(SummaryTable[[#This Row],[OverAvgDiff'#]]=0, ZeroBudgetNoSpending, ZeroBudgetWithSpending), SummaryTable[[#This Row],[OverAvgDiff'#]]/SummaryTable[[#This Row],[OverAvgBud]])</f>
        <v>0.11220958971824024</v>
      </c>
      <c r="U93" s="61">
        <f>IFERROR(SUMIFS(allFYsTable[OriginalBudget],allFYsTable[Code],SummaryTable[[#This Row],[Code]],allFYsTable[DiffAmount], "&lt;0")/SummaryTable[[#This Row],['# Under]], 0)</f>
        <v>14671.642857142857</v>
      </c>
      <c r="V93" s="61">
        <f>IFERROR( SUMIFS(allFYsTable[Actual],allFYsTable[Code],SummaryTable[[#This Row],[Code]],allFYsTable[DiffAmount], "&lt;0")/SummaryTable[[#This Row],['# Under]], 0)</f>
        <v>13176.5</v>
      </c>
      <c r="W93" s="61">
        <f>SummaryTable[[#This Row],[UnderAvgAct]]-SummaryTable[[#This Row],[UnderAvgBud]]</f>
        <v>-1495.1428571428569</v>
      </c>
      <c r="X93" s="54">
        <f>IF(SummaryTable[[#This Row],[UnderAvgBud]]=0, IF(SummaryTable[[#This Row],[UnderAvgDiff'#]]=0, ZeroBudgetNoSpending, NamedFields!$C$3), SummaryTable[[#This Row],[UnderAvgDiff'#]]/SummaryTable[[#This Row],[UnderAvgBud]])</f>
        <v>-0.10190698285808872</v>
      </c>
      <c r="Y9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11</v>
      </c>
      <c r="Z9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93" s="54">
        <f>IF(SummaryTable[[#This Row],[IncreaseYears]]=0, ZeroBudgetNoSpending, SummaryTable[[#This Row],[OSinIncreaseYear'#]]/SummaryTable[[#This Row],[IncreaseYears]])</f>
        <v>9.0909090909090912E-2</v>
      </c>
      <c r="AB93" s="58" t="str">
        <f>SummaryTable[[#This Row],[Code]]</f>
        <v>GW0</v>
      </c>
      <c r="AC93" s="62">
        <f>IF(COUNTIFS(allFYsTable[Code], SummaryTable[[#This Row],[Code]], allFYsTable[year2], AC$3)=0, NotFound, SUMIFS(allFYsTable[OriginalBudget], allFYsTable[Code], SummaryTable[[#This Row],[Code]], allFYsTable[year2], AC$3))</f>
        <v>36799</v>
      </c>
      <c r="AD93" s="61">
        <f>SummaryTable[[#This Row],[OriginalBudget25]]-SummaryTable[[#This Row],[OriginalBudget24]]</f>
        <v>6721</v>
      </c>
      <c r="AE93" s="54">
        <f>SummaryTable[[#This Row],[BudgetIncreaseAmount25]]/SummaryTable[[#This Row],[OriginalBudget24]]</f>
        <v>0.22345235720460138</v>
      </c>
      <c r="AF93" s="61">
        <f>IF(COUNTIFS(allFYsTable[Code], SummaryTable[[#This Row],[Code]], allFYsTable[year2], AC$3)=0, NotFound, SUMIFS(allFYsTable[RevisedBudget], allFYsTable[Code], SummaryTable[[#This Row],[Code]], allFYsTable[year2], AC$3))</f>
        <v>35864</v>
      </c>
      <c r="AG93" s="61">
        <f>IF(COUNTIFS(allFYsTable[Code], SummaryTable[[#This Row],[Code]], allFYsTable[year2], AC$3)=0, NotFound, SUMIFS(allFYsTable[Actual], allFYsTable[Code], SummaryTable[[#This Row],[Code]], allFYsTable[year2], AC$3))</f>
        <v>35509</v>
      </c>
      <c r="AH93" s="61">
        <f>IF(COUNTIFS(allFYsTable[Code], SummaryTable[[#This Row],[Code]], allFYsTable[year2], AC$3)=0, NotFound, SUMIFS(allFYsTable[DiffAmount], allFYsTable[Code], SummaryTable[[#This Row],[Code]], allFYsTable[year2], AC$3))</f>
        <v>-1290</v>
      </c>
      <c r="AI93" s="63">
        <f>IF(SummaryTable[[#This Row],[OriginalBudget25]]=0, IF(SummaryTable[[#This Row],[DiffAmount25]]=0, ZeroBudgetNoSpending, ZeroBudgetWithSpending), SummaryTable[[#This Row],[DiffAmount25]]/SummaryTable[[#This Row],[OriginalBudget25]])</f>
        <v>-3.5055300415772164E-2</v>
      </c>
      <c r="AJ93" s="62">
        <f>IF(COUNTIFS(allFYsTable[Code], SummaryTable[[#This Row],[Code]], allFYsTable[year2], AJ$3)=0, NotFound, SUMIFS(allFYsTable[OriginalBudget], allFYsTable[Code], SummaryTable[[#This Row],[Code]], allFYsTable[year2], AJ$3))</f>
        <v>30078</v>
      </c>
      <c r="AK93" s="61">
        <f>SummaryTable[[#This Row],[OriginalBudget24]]-SummaryTable[[#This Row],[OriginalBudget23]]</f>
        <v>1266</v>
      </c>
      <c r="AL93" s="54">
        <f>SummaryTable[[#This Row],[BudgetIncreaseAmount24]]/SummaryTable[[#This Row],[OriginalBudget23]]</f>
        <v>4.394002498958767E-2</v>
      </c>
      <c r="AM93" s="61">
        <f>IF(COUNTIFS(allFYsTable[Code], SummaryTable[[#This Row],[Code]], allFYsTable[year2], AK$3)=0, NotFound, SUMIFS(allFYsTable[RevisedBudget], allFYsTable[Code], SummaryTable[[#This Row],[Code]], allFYsTable[year2], AJ$3))</f>
        <v>29057</v>
      </c>
      <c r="AN93" s="61">
        <f>IF(COUNTIFS(allFYsTable[Code], SummaryTable[[#This Row],[Code]], allFYsTable[year2], AJ$3)=0, NotFound, SUMIFS(allFYsTable[Actual], allFYsTable[Code], SummaryTable[[#This Row],[Code]], allFYsTable[year2], AJ$3))</f>
        <v>29057</v>
      </c>
      <c r="AO93" s="61">
        <f>IF(COUNTIFS(allFYsTable[Code], SummaryTable[[#This Row],[Code]], allFYsTable[year2], AJ$3)=0, NotFound, SUMIFS(allFYsTable[DiffAmount], allFYsTable[Code], SummaryTable[[#This Row],[Code]], allFYsTable[year2], AJ$3))</f>
        <v>-1021</v>
      </c>
      <c r="AP93" s="63">
        <f>IF(SummaryTable[[#This Row],[OriginalBudget24]]=0, IF(SummaryTable[[#This Row],[DiffAmount24]]=0, ZeroBudgetNoSpending, ZeroBudgetWithSpending), SummaryTable[[#This Row],[DiffAmount24]]/SummaryTable[[#This Row],[OriginalBudget24]])</f>
        <v>-3.3945076135381343E-2</v>
      </c>
      <c r="AQ93" s="62">
        <f>IF(COUNTIFS(allFYsTable[Code], SummaryTable[[#This Row],[Code]], allFYsTable[year2], AQ$3)=0, NotFound, SUMIFS(allFYsTable[OriginalBudget], allFYsTable[Code], SummaryTable[[#This Row],[Code]], allFYsTable[year2], AQ$3))</f>
        <v>28812</v>
      </c>
      <c r="AR93" s="61">
        <f>SummaryTable[[#This Row],[OriginalBudget23]]-SummaryTable[[#This Row],[OriginalBudget22]]</f>
        <v>3476</v>
      </c>
      <c r="AS93" s="54">
        <f>SummaryTable[[#This Row],[BudgetIncreaseAmount23]]/SummaryTable[[#This Row],[OriginalBudget22]]</f>
        <v>0.1371960846226713</v>
      </c>
      <c r="AT93" s="61">
        <f>IF(COUNTIFS(allFYsTable[Code], SummaryTable[[#This Row],[Code]], allFYsTable[year2], AQ$3)=0, NotFound, SUMIFS(allFYsTable[RevisedBudget], allFYsTable[Code], SummaryTable[[#This Row],[Code]], allFYsTable[year2], AQ$3))</f>
        <v>28433</v>
      </c>
      <c r="AU93" s="61">
        <f>IF(COUNTIFS(allFYsTable[Code], SummaryTable[[#This Row],[Code]], allFYsTable[year2], AQ$3)=0, NotFound, SUMIFS(allFYsTable[Actual], allFYsTable[Code], SummaryTable[[#This Row],[Code]], allFYsTable[year2], AQ$3))</f>
        <v>28430</v>
      </c>
      <c r="AV93" s="61">
        <f>IF(COUNTIFS(allFYsTable[Code], SummaryTable[[#This Row],[Code]], allFYsTable[year2], AQ$3)=0, NotFound, SUMIFS(allFYsTable[DiffAmount], allFYsTable[Code], SummaryTable[[#This Row],[Code]], allFYsTable[year2], AQ$3))</f>
        <v>-382</v>
      </c>
      <c r="AW93" s="63">
        <f>IF(SummaryTable[[#This Row],[OriginalBudget23]]=0, IF(SummaryTable[[#This Row],[DiffAmount23]]=0, ZeroBudgetNoSpending, ZeroBudgetWithSpending), SummaryTable[[#This Row],[DiffAmount23]]/SummaryTable[[#This Row],[OriginalBudget23]])</f>
        <v>-1.3258364570317923E-2</v>
      </c>
      <c r="AX93" s="62">
        <f>IF(COUNTIFS(allFYsTable[Code], SummaryTable[[#This Row],[Code]], allFYsTable[year2], AX$3)=0, NotFound, SUMIFS(allFYsTable[OriginalBudget], allFYsTable[Code], SummaryTable[[#This Row],[Code]], allFYsTable[year2], AX$3))</f>
        <v>25336</v>
      </c>
      <c r="AY93" s="61">
        <f>SummaryTable[[#This Row],[OriginalBudget22]]-SummaryTable[[#This Row],[OriginalBudget21]]</f>
        <v>4198</v>
      </c>
      <c r="AZ93" s="54">
        <f>SummaryTable[[#This Row],[BudgetIncreaseAmount22]]/SummaryTable[[#This Row],[OriginalBudget21]]</f>
        <v>0.19859967830447536</v>
      </c>
      <c r="BA93" s="61">
        <f>IF(COUNTIFS(allFYsTable[Code], SummaryTable[[#This Row],[Code]], allFYsTable[year2], AX$3)=0, NotFound, SUMIFS(allFYsTable[RevisedBudget], allFYsTable[Code], SummaryTable[[#This Row],[Code]], allFYsTable[year2], AX$3))</f>
        <v>20469</v>
      </c>
      <c r="BB93" s="61">
        <f>IF(COUNTIFS(allFYsTable[Code], SummaryTable[[#This Row],[Code]], allFYsTable[year2], AX$3)=0, NotFound, SUMIFS(allFYsTable[Actual], allFYsTable[Code], SummaryTable[[#This Row],[Code]], allFYsTable[year2], AX$3))</f>
        <v>19383</v>
      </c>
      <c r="BC93" s="61">
        <f>IF(COUNTIFS(allFYsTable[Code], SummaryTable[[#This Row],[Code]], allFYsTable[year2], AX$3)=0, NotFound, SUMIFS(allFYsTable[DiffAmount], allFYsTable[Code], SummaryTable[[#This Row],[Code]], allFYsTable[year2], AX$3))</f>
        <v>-5953</v>
      </c>
      <c r="BD93" s="63">
        <f>IF(SummaryTable[[#This Row],[OriginalBudget22]]=0, IF(SummaryTable[[#This Row],[DiffAmount22]]=0, ZeroBudgetNoSpending, ZeroBudgetWithSpending), SummaryTable[[#This Row],[DiffAmount22]]/SummaryTable[[#This Row],[OriginalBudget22]])</f>
        <v>-0.23496210925165772</v>
      </c>
      <c r="BE93" s="62">
        <f>IF(COUNTIFS(allFYsTable[Code], SummaryTable[[#This Row],[Code]], allFYsTable[year2], BE$3)=0, NotFound, SUMIFS(allFYsTable[OriginalBudget], allFYsTable[Code], SummaryTable[[#This Row],[Code]], allFYsTable[year2], BE$3))</f>
        <v>21138</v>
      </c>
      <c r="BF93" s="61">
        <f>SummaryTable[[#This Row],[OriginalBudget21]]-SummaryTable[[#This Row],[OriginalBudget20]]</f>
        <v>-171</v>
      </c>
      <c r="BG93" s="54">
        <f>SummaryTable[[#This Row],[BudgetIncreaseAmount21]]/SummaryTable[[#This Row],[OriginalBudget20]]</f>
        <v>-8.0247782627058985E-3</v>
      </c>
      <c r="BH93" s="61">
        <f>IF(COUNTIFS(allFYsTable[Code], SummaryTable[[#This Row],[Code]], allFYsTable[year2], BE$3)=0, NotFound, SUMIFS(allFYsTable[RevisedBudget], allFYsTable[Code], SummaryTable[[#This Row],[Code]], allFYsTable[year2], BE$3))</f>
        <v>21091</v>
      </c>
      <c r="BI93" s="61">
        <f>IF(COUNTIFS(allFYsTable[Code], SummaryTable[[#This Row],[Code]], allFYsTable[year2], BE$3)=0, NotFound, SUMIFS(allFYsTable[Actual], allFYsTable[Code], SummaryTable[[#This Row],[Code]], allFYsTable[year2], BE$3))</f>
        <v>20537</v>
      </c>
      <c r="BJ93" s="61">
        <f>IF(COUNTIFS(allFYsTable[Code], SummaryTable[[#This Row],[Code]], allFYsTable[year2], BE$3)=0, NotFound, SUMIFS(allFYsTable[DiffAmount], allFYsTable[Code], SummaryTable[[#This Row],[Code]], allFYsTable[year2], BE$3))</f>
        <v>-601</v>
      </c>
      <c r="BK93" s="63">
        <f>IF(SummaryTable[[#This Row],[OriginalBudget21]]=0, IF(SummaryTable[[#This Row],[DiffAmount21]]=0, ZeroBudgetNoSpending, ZeroBudgetWithSpending), SummaryTable[[#This Row],[DiffAmount21]]/SummaryTable[[#This Row],[OriginalBudget21]])</f>
        <v>-2.8432207398997066E-2</v>
      </c>
      <c r="BL93" s="62">
        <f>IF(COUNTIFS(allFYsTable[Code], SummaryTable[[#This Row],[Code]], allFYsTable[year2], BL$3)=0, NotFound, SUMIFS(allFYsTable[OriginalBudget], allFYsTable[Code], SummaryTable[[#This Row],[Code]], allFYsTable[year2], BL$3))</f>
        <v>21309</v>
      </c>
      <c r="BM93" s="61">
        <f>SummaryTable[[#This Row],[OriginalBudget20]]-SummaryTable[[#This Row],[OriginalBudget19]]</f>
        <v>3943</v>
      </c>
      <c r="BN93" s="54">
        <f>SummaryTable[[#This Row],[BudgetIncreaseAmount20]]/SummaryTable[[#This Row],[OriginalBudget19]]</f>
        <v>0.227052861914085</v>
      </c>
      <c r="BO93" s="61">
        <f>IF(COUNTIFS(allFYsTable[Code], SummaryTable[[#This Row],[Code]], allFYsTable[year2], BL$3)=0, NotFound, SUMIFS(allFYsTable[RevisedBudget], allFYsTable[Code], SummaryTable[[#This Row],[Code]], allFYsTable[year2], BL$3))</f>
        <v>16877</v>
      </c>
      <c r="BP93" s="61">
        <f>IF(COUNTIFS(allFYsTable[Code], SummaryTable[[#This Row],[Code]], allFYsTable[year2], BL$3)=0, NotFound, SUMIFS(allFYsTable[Actual], allFYsTable[Code], SummaryTable[[#This Row],[Code]], allFYsTable[year2], BL$3))</f>
        <v>15531</v>
      </c>
      <c r="BQ93" s="61">
        <f>IF(COUNTIFS(allFYsTable[Code], SummaryTable[[#This Row],[Code]], allFYsTable[year2], BL$3)=0, NotFound, SUMIFS(allFYsTable[DiffAmount], allFYsTable[Code], SummaryTable[[#This Row],[Code]], allFYsTable[year2], BL$3))</f>
        <v>-5778</v>
      </c>
      <c r="BR93" s="63">
        <f>IF(SummaryTable[[#This Row],[OriginalBudget20]]=0, IF(SummaryTable[[#This Row],[DiffAmount20]]=0, ZeroBudgetNoSpending, ZeroBudgetWithSpending), SummaryTable[[#This Row],[DiffAmount20]]/SummaryTable[[#This Row],[OriginalBudget20]])</f>
        <v>-0.27115303392932566</v>
      </c>
      <c r="BS93" s="62">
        <f>IF(COUNTIFS(allFYsTable[Code], SummaryTable[[#This Row],[Code]], allFYsTable[year2], BS$3)=0, NotFound, SUMIFS(allFYsTable[OriginalBudget], allFYsTable[Code], SummaryTable[[#This Row],[Code]], allFYsTable[year2], BS$3))</f>
        <v>17366</v>
      </c>
      <c r="BT93" s="61">
        <f>SummaryTable[[#This Row],[OriginalBudget19]]-SummaryTable[[#This Row],[OriginalBudget18]]</f>
        <v>9846</v>
      </c>
      <c r="BU93" s="54">
        <f>SummaryTable[[#This Row],[BudgetIncreaseAmount19]]/SummaryTable[[#This Row],[OriginalBudget18]]</f>
        <v>1.3093085106382978</v>
      </c>
      <c r="BV93" s="61">
        <f>IF(COUNTIFS(allFYsTable[Code], SummaryTable[[#This Row],[Code]], allFYsTable[year2], BS$3)=0, NotFound, SUMIFS(allFYsTable[RevisedBudget], allFYsTable[Code], SummaryTable[[#This Row],[Code]], allFYsTable[year2], BS$3))</f>
        <v>17216</v>
      </c>
      <c r="BW93" s="61">
        <f>IF(COUNTIFS(allFYsTable[Code], SummaryTable[[#This Row],[Code]], allFYsTable[year2], BS$3)=0, NotFound, SUMIFS(allFYsTable[Actual], allFYsTable[Code], SummaryTable[[#This Row],[Code]], allFYsTable[year2], BS$3))</f>
        <v>16967</v>
      </c>
      <c r="BX93" s="61">
        <f>IF(COUNTIFS(allFYsTable[Code], SummaryTable[[#This Row],[Code]], allFYsTable[year2], BS$3)=0, NotFound, SUMIFS(allFYsTable[DiffAmount], allFYsTable[Code], SummaryTable[[#This Row],[Code]], allFYsTable[year2], BS$3))</f>
        <v>-399</v>
      </c>
      <c r="BY93" s="63">
        <f>IF(SummaryTable[[#This Row],[OriginalBudget19]]=0, IF(SummaryTable[[#This Row],[DiffAmount19]]=0, ZeroBudgetNoSpending, ZeroBudgetWithSpending), SummaryTable[[#This Row],[DiffAmount19]]/SummaryTable[[#This Row],[OriginalBudget19]])</f>
        <v>-2.2975929978118162E-2</v>
      </c>
      <c r="BZ93" s="62">
        <f>IF(COUNTIFS(allFYsTable[Code], SummaryTable[[#This Row],[Code]], allFYsTable[year2], BZ$3)=0, NotFound, SUMIFS(allFYsTable[OriginalBudget], allFYsTable[Code], SummaryTable[[#This Row],[Code]], allFYsTable[year2], BZ$3))</f>
        <v>7520</v>
      </c>
      <c r="CA93" s="61">
        <f>SummaryTable[[#This Row],[OriginalBudget18]]-SummaryTable[[#This Row],[OriginalBudget17]]</f>
        <v>3777</v>
      </c>
      <c r="CB93" s="54">
        <f>SummaryTable[[#This Row],[BudgetIncreaseAmount18]]/SummaryTable[[#This Row],[OriginalBudget17]]</f>
        <v>1.00908362276249</v>
      </c>
      <c r="CC93" s="61">
        <f>IF(COUNTIFS(allFYsTable[Code], SummaryTable[[#This Row],[Code]], allFYsTable[year2], BZ$3)=0, NotFound, SUMIFS(allFYsTable[RevisedBudget], allFYsTable[Code], SummaryTable[[#This Row],[Code]], allFYsTable[year2], BZ$3))</f>
        <v>9291</v>
      </c>
      <c r="CD93" s="61">
        <f>IF(COUNTIFS(allFYsTable[Code], SummaryTable[[#This Row],[Code]], allFYsTable[year2], BZ$3)=0, NotFound, SUMIFS(allFYsTable[Actual], allFYsTable[Code], SummaryTable[[#This Row],[Code]], allFYsTable[year2], BZ$3))</f>
        <v>9035</v>
      </c>
      <c r="CE93" s="61">
        <f>IF(COUNTIFS(allFYsTable[Code], SummaryTable[[#This Row],[Code]], allFYsTable[year2], BZ$3)=0, NotFound, SUMIFS(allFYsTable[DiffAmount], allFYsTable[Code], SummaryTable[[#This Row],[Code]], allFYsTable[year2], BZ$3))</f>
        <v>1515</v>
      </c>
      <c r="CF93" s="63">
        <f>IF(SummaryTable[[#This Row],[OriginalBudget18]]=0, IF(SummaryTable[[#This Row],[DiffAmount18]]=0, ZeroBudgetNoSpending, ZeroBudgetWithSpending), SummaryTable[[#This Row],[DiffAmount18]]/SummaryTable[[#This Row],[OriginalBudget18]])</f>
        <v>0.2014627659574468</v>
      </c>
      <c r="CG93" s="62">
        <f>IF(COUNTIFS(allFYsTable[Code], SummaryTable[[#This Row],[Code]], allFYsTable[year2], CG$3)=0, NotFound, SUMIFS(allFYsTable[OriginalBudget], allFYsTable[Code], SummaryTable[[#This Row],[Code]], allFYsTable[year2], CG$3))</f>
        <v>3743</v>
      </c>
      <c r="CH93" s="61">
        <f>SummaryTable[[#This Row],[OriginalBudget17]]-SummaryTable[[#This Row],[OriginalBudget16]]</f>
        <v>172</v>
      </c>
      <c r="CI93" s="54">
        <f>SummaryTable[[#This Row],[BudgetIncreaseAmount17]]/SummaryTable[[#This Row],[OriginalBudget16]]</f>
        <v>4.8165779893587231E-2</v>
      </c>
      <c r="CJ93" s="61">
        <f>IF(COUNTIFS(allFYsTable[Code], SummaryTable[[#This Row],[Code]], allFYsTable[year2], CG$3)=0, NotFound, SUMIFS(allFYsTable[RevisedBudget], allFYsTable[Code], SummaryTable[[#This Row],[Code]], allFYsTable[year2], CG$3))</f>
        <v>3504</v>
      </c>
      <c r="CK93" s="61">
        <f>IF(COUNTIFS(allFYsTable[Code], SummaryTable[[#This Row],[Code]], allFYsTable[year2], CG$3)=0, NotFound, SUMIFS(allFYsTable[Actual], allFYsTable[Code], SummaryTable[[#This Row],[Code]], allFYsTable[year2], CG$3))</f>
        <v>3504</v>
      </c>
      <c r="CL93" s="61">
        <f>IF(COUNTIFS(allFYsTable[Code], SummaryTable[[#This Row],[Code]], allFYsTable[year2], CG$3)=0, NotFound, SUMIFS(allFYsTable[DiffAmount], allFYsTable[Code], SummaryTable[[#This Row],[Code]], allFYsTable[year2], CG$3))</f>
        <v>-239</v>
      </c>
      <c r="CM93" s="63">
        <f>IF(SummaryTable[[#This Row],[OriginalBudget17]]=0, IF(SummaryTable[[#This Row],[DiffAmount17]]=0, ZeroBudgetNoSpending, ZeroBudgetWithSpending), SummaryTable[[#This Row],[DiffAmount17]]/SummaryTable[[#This Row],[OriginalBudget17]])</f>
        <v>-6.3852524712797218E-2</v>
      </c>
      <c r="CN93" s="62">
        <f>IF(COUNTIFS(allFYsTable[Code], SummaryTable[[#This Row],[Code]], allFYsTable[year2], CN$3)=0, NotFound, SUMIFS(allFYsTable[OriginalBudget], allFYsTable[Code], SummaryTable[[#This Row],[Code]], allFYsTable[year2], CN$3))</f>
        <v>3571</v>
      </c>
      <c r="CO93" s="61">
        <f>SummaryTable[[#This Row],[OriginalBudget16]]-SummaryTable[[#This Row],[OriginalBudget15]]</f>
        <v>-3346</v>
      </c>
      <c r="CP93" s="54">
        <f>SummaryTable[[#This Row],[BudgetIncreaseAmount16]]/SummaryTable[[#This Row],[OriginalBudget15]]</f>
        <v>-0.48373572357958655</v>
      </c>
      <c r="CQ93" s="61">
        <f>IF(COUNTIFS(allFYsTable[Code], SummaryTable[[#This Row],[Code]], allFYsTable[year2], CN$3)=0, NotFound, SUMIFS(allFYsTable[RevisedBudget], allFYsTable[Code], SummaryTable[[#This Row],[Code]], allFYsTable[year2], CN$3))</f>
        <v>3285</v>
      </c>
      <c r="CR93" s="61">
        <f>IF(COUNTIFS(allFYsTable[Code], SummaryTable[[#This Row],[Code]], allFYsTable[year2], CN$3)=0, NotFound, SUMIFS(allFYsTable[Actual], allFYsTable[Code], SummaryTable[[#This Row],[Code]], allFYsTable[year2], CN$3))</f>
        <v>3285</v>
      </c>
      <c r="CS93" s="61">
        <f>IF(COUNTIFS(allFYsTable[Code], SummaryTable[[#This Row],[Code]], allFYsTable[year2], CN$3)=0, NotFound, SUMIFS(allFYsTable[DiffAmount], allFYsTable[Code], SummaryTable[[#This Row],[Code]], allFYsTable[year2], CN$3))</f>
        <v>-286</v>
      </c>
      <c r="CT93" s="63">
        <f>IF(SummaryTable[[#This Row],[OriginalBudget16]]=0, IF(SummaryTable[[#This Row],[DiffAmount16]]=0, ZeroBudgetNoSpending, ZeroBudgetWithSpending), SummaryTable[[#This Row],[DiffAmount16]]/SummaryTable[[#This Row],[OriginalBudget16]])</f>
        <v>-8.0089610753290394E-2</v>
      </c>
      <c r="CU93" s="62">
        <f>IF(COUNTIFS(allFYsTable[Code], SummaryTable[[#This Row],[Code]], allFYsTable[year2], CU$3)=0, NotFound, SUMIFS(allFYsTable[OriginalBudget], allFYsTable[Code], SummaryTable[[#This Row],[Code]], allFYsTable[year2], CU$3))</f>
        <v>6917</v>
      </c>
      <c r="CV93" s="61">
        <f>SummaryTable[[#This Row],[OriginalBudget15]]-SummaryTable[[#This Row],[OriginalBudget14]]</f>
        <v>5091</v>
      </c>
      <c r="CW93" s="54">
        <f>SummaryTable[[#This Row],[BudgetIncreaseAmount15]]/SummaryTable[[#This Row],[OriginalBudget14]]</f>
        <v>2.7880613362541071</v>
      </c>
      <c r="CX93" s="61">
        <f>IF(COUNTIFS(allFYsTable[Code], SummaryTable[[#This Row],[Code]], allFYsTable[year2], CU$3)=0, NotFound, SUMIFS(allFYsTable[RevisedBudget], allFYsTable[Code], SummaryTable[[#This Row],[Code]], allFYsTable[year2], CU$3))</f>
        <v>3061</v>
      </c>
      <c r="CY93" s="61">
        <f>IF(COUNTIFS(allFYsTable[Code], SummaryTable[[#This Row],[Code]], allFYsTable[year2], CU$3)=0, NotFound, SUMIFS(allFYsTable[Actual], allFYsTable[Code], SummaryTable[[#This Row],[Code]], allFYsTable[year2], CU$3))</f>
        <v>2850</v>
      </c>
      <c r="CZ93" s="61">
        <f>IF(COUNTIFS(allFYsTable[Code], SummaryTable[[#This Row],[Code]], allFYsTable[year2], CU$3)=0, NotFound, SUMIFS(allFYsTable[DiffAmount], allFYsTable[Code], SummaryTable[[#This Row],[Code]], allFYsTable[year2], CU$3))</f>
        <v>-4067</v>
      </c>
      <c r="DA93" s="63">
        <f>IF(SummaryTable[[#This Row],[OriginalBudget15]]=0, IF(SummaryTable[[#This Row],[DiffAmount15]]=0, ZeroBudgetNoSpending, ZeroBudgetWithSpending), SummaryTable[[#This Row],[DiffAmount15]]/SummaryTable[[#This Row],[OriginalBudget15]])</f>
        <v>-0.58797166401619194</v>
      </c>
      <c r="DB93" s="62">
        <f>IF(COUNTIFS(allFYsTable[Code], SummaryTable[[#This Row],[Code]], allFYsTable[year2], DB$3)=0, NotFound, SUMIFS(allFYsTable[OriginalBudget], allFYsTable[Code], SummaryTable[[#This Row],[Code]], allFYsTable[year2], DB$3))</f>
        <v>1826</v>
      </c>
      <c r="DC93" s="61">
        <f>SummaryTable[[#This Row],[OriginalBudget14]]-SummaryTable[[#This Row],[OriginalBudget13]]</f>
        <v>-477</v>
      </c>
      <c r="DD93" s="54">
        <f>SummaryTable[[#This Row],[BudgetIncreaseAmount14]]/SummaryTable[[#This Row],[OriginalBudget13]]</f>
        <v>-0.20712114633087278</v>
      </c>
      <c r="DE93" s="61">
        <f>IF(COUNTIFS(allFYsTable[Code], SummaryTable[[#This Row],[Code]], allFYsTable[year2], DB$3)=0, NotFound, SUMIFS(allFYsTable[RevisedBudget], allFYsTable[Code], SummaryTable[[#This Row],[Code]], allFYsTable[year2], DB$3))</f>
        <v>2008</v>
      </c>
      <c r="DF93" s="61">
        <f>IF(COUNTIFS(allFYsTable[Code], SummaryTable[[#This Row],[Code]], allFYsTable[year2], DB$3)=0, NotFound, SUMIFS(allFYsTable[Actual], allFYsTable[Code], SummaryTable[[#This Row],[Code]], allFYsTable[year2], DB$3))</f>
        <v>1860</v>
      </c>
      <c r="DG93" s="61">
        <f>IF(COUNTIFS(allFYsTable[Code], SummaryTable[[#This Row],[Code]], allFYsTable[year2], DB$3)=0, NotFound, SUMIFS(allFYsTable[DiffAmount], allFYsTable[Code], SummaryTable[[#This Row],[Code]], allFYsTable[year2], DB$3))</f>
        <v>34</v>
      </c>
      <c r="DH93" s="63">
        <f>IF(SummaryTable[[#This Row],[OriginalBudget14]]=0, IF(SummaryTable[[#This Row],[DiffAmount14]]=0, ZeroBudgetNoSpending, ZeroBudgetWithSpending), SummaryTable[[#This Row],[DiffAmount14]]/SummaryTable[[#This Row],[OriginalBudget14]])</f>
        <v>1.8619934282584884E-2</v>
      </c>
      <c r="DI93" s="62">
        <f>IF(COUNTIFS(allFYsTable[Code], SummaryTable[[#This Row],[Code]], allFYsTable[year2], DI$3)=0, NotFound, SUMIFS(allFYsTable[OriginalBudget], allFYsTable[Code], SummaryTable[[#This Row],[Code]], allFYsTable[year2], DI$3))</f>
        <v>2303</v>
      </c>
      <c r="DJ93" s="61">
        <f>SummaryTable[[#This Row],[OriginalBudget13]]-SummaryTable[[#This Row],[OriginalBudget12]]</f>
        <v>391</v>
      </c>
      <c r="DK93" s="54">
        <f>SummaryTable[[#This Row],[BudgetIncreaseAmount13]]/SummaryTable[[#This Row],[OriginalBudget12]]</f>
        <v>0.20449790794979081</v>
      </c>
      <c r="DL93" s="61">
        <f>IF(COUNTIFS(allFYsTable[Code], SummaryTable[[#This Row],[Code]], allFYsTable[year2], DI$3)=0, NotFound, SUMIFS(allFYsTable[RevisedBudget], allFYsTable[Code], SummaryTable[[#This Row],[Code]], allFYsTable[year2], DI$3))</f>
        <v>2738</v>
      </c>
      <c r="DM93" s="61">
        <f>IF(COUNTIFS(allFYsTable[Code], SummaryTable[[#This Row],[Code]], allFYsTable[year2], DI$3)=0, NotFound, SUMIFS(allFYsTable[Actual], allFYsTable[Code], SummaryTable[[#This Row],[Code]], allFYsTable[year2], DI$3))</f>
        <v>2048</v>
      </c>
      <c r="DN93" s="61">
        <f>IF(COUNTIFS(allFYsTable[Code], SummaryTable[[#This Row],[Code]], allFYsTable[year2], DI$3)=0, NotFound, SUMIFS(allFYsTable[DiffAmount], allFYsTable[Code], SummaryTable[[#This Row],[Code]], allFYsTable[year2], DI$3))</f>
        <v>-255</v>
      </c>
      <c r="DO93" s="63">
        <f>IF(SummaryTable[[#This Row],[OriginalBudget13]]=0, IF(SummaryTable[[#This Row],[DiffAmount13]]=0, ZeroBudgetNoSpending, ZeroBudgetWithSpending), SummaryTable[[#This Row],[DiffAmount13]]/SummaryTable[[#This Row],[OriginalBudget13]])</f>
        <v>-0.1107251411202779</v>
      </c>
      <c r="DP93" s="62">
        <f>IF(COUNTIFS(allFYsTable[Code], SummaryTable[[#This Row],[Code]], allFYsTable[year2], DP$3)=0, NotFound, SUMIFS(allFYsTable[OriginalBudget], allFYsTable[Code], SummaryTable[[#This Row],[Code]], allFYsTable[year2], DP$3))</f>
        <v>1912</v>
      </c>
      <c r="DQ93" s="61">
        <f>SummaryTable[[#This Row],[OriginalBudget12]]-SummaryTable[[#This Row],[OriginalBudget11]]</f>
        <v>685</v>
      </c>
      <c r="DR93" s="54">
        <f>SummaryTable[[#This Row],[BudgetIncreaseAmount12]]/SummaryTable[[#This Row],[OriginalBudget11]]</f>
        <v>0.55827220863895677</v>
      </c>
      <c r="DS93" s="61">
        <f>IF(COUNTIFS(allFYsTable[Code], SummaryTable[[#This Row],[Code]], allFYsTable[year2], DP$3)=0, NotFound, SUMIFS(allFYsTable[RevisedBudget], allFYsTable[Code], SummaryTable[[#This Row],[Code]], allFYsTable[year2], DP$3))</f>
        <v>1857</v>
      </c>
      <c r="DT93" s="61">
        <f>IF(COUNTIFS(allFYsTable[Code], SummaryTable[[#This Row],[Code]], allFYsTable[year2], DP$3)=0, NotFound, SUMIFS(allFYsTable[Actual], allFYsTable[Code], SummaryTable[[#This Row],[Code]], allFYsTable[year2], DP$3))</f>
        <v>1677</v>
      </c>
      <c r="DU93" s="61">
        <f>IF(COUNTIFS(allFYsTable[Code], SummaryTable[[#This Row],[Code]], allFYsTable[year2], DP$3)=0, NotFound, SUMIFS(allFYsTable[DiffAmount], allFYsTable[Code], SummaryTable[[#This Row],[Code]], allFYsTable[year2], DP$3))</f>
        <v>-235</v>
      </c>
      <c r="DV93" s="63">
        <f>IF(SummaryTable[[#This Row],[OriginalBudget12]]=0, IF(SummaryTable[[#This Row],[DiffAmount12]]=0, ZeroBudgetNoSpending, ZeroBudgetWithSpending), SummaryTable[[#This Row],[DiffAmount12]]/SummaryTable[[#This Row],[OriginalBudget12]])</f>
        <v>-0.12290794979079497</v>
      </c>
      <c r="DW93" s="62">
        <f>IF(COUNTIFS(allFYsTable[Code], SummaryTable[[#This Row],[Code]], allFYsTable[year2], DW$3)=0, NotFound, SUMIFS(allFYsTable[OriginalBudget], allFYsTable[Code], SummaryTable[[#This Row],[Code]], allFYsTable[year2], DW$3))</f>
        <v>1227</v>
      </c>
      <c r="DX93" s="61">
        <f>SummaryTable[[#This Row],[OriginalBudget11]]-SummaryTable[[#This Row],[OriginalBudget10]]</f>
        <v>449</v>
      </c>
      <c r="DY93" s="54">
        <f>SummaryTable[[#This Row],[BudgetIncreaseAmount11]]/SummaryTable[[#This Row],[OriginalBudget10]]</f>
        <v>0.57712082262210795</v>
      </c>
      <c r="DZ93" s="61">
        <f>IF(COUNTIFS(allFYsTable[Code], SummaryTable[[#This Row],[Code]], allFYsTable[year2], DW$3)=0, NotFound, SUMIFS(allFYsTable[RevisedBudget], allFYsTable[Code], SummaryTable[[#This Row],[Code]], allFYsTable[year2], DW$3))</f>
        <v>1293</v>
      </c>
      <c r="EA93" s="61">
        <f>IF(COUNTIFS(allFYsTable[Code], SummaryTable[[#This Row],[Code]], allFYsTable[year2], DW$3)=0, NotFound, SUMIFS(allFYsTable[Actual], allFYsTable[Code], SummaryTable[[#This Row],[Code]], allFYsTable[year2], DW$3))</f>
        <v>1214</v>
      </c>
      <c r="EB93" s="61">
        <f>IF(COUNTIFS(allFYsTable[Code], SummaryTable[[#This Row],[Code]], allFYsTable[year2], DW$3)=0, NotFound, SUMIFS(allFYsTable[DiffAmount], allFYsTable[Code], SummaryTable[[#This Row],[Code]], allFYsTable[year2], DW$3))</f>
        <v>-13</v>
      </c>
      <c r="EC93" s="63">
        <f>IF(SummaryTable[[#This Row],[OriginalBudget11]]=0, IF(SummaryTable[[#This Row],[DiffAmount11]]=0, ZeroBudgetNoSpending, ZeroBudgetWithSpending), SummaryTable[[#This Row],[DiffAmount11]]/SummaryTable[[#This Row],[OriginalBudget11]])</f>
        <v>-1.0594947025264874E-2</v>
      </c>
      <c r="ED93" s="62">
        <f>IF(COUNTIFS(allFYsTable[Code], SummaryTable[[#This Row],[Code]], allFYsTable[year2], ED$3)=0, NotFound, SUMIFS(allFYsTable[OriginalBudget], allFYsTable[Code], SummaryTable[[#This Row],[Code]], allFYsTable[year2], ED$3))</f>
        <v>778</v>
      </c>
      <c r="EE93" s="61">
        <f>SummaryTable[[#This Row],[OriginalBudget10]]-SummaryTable[[#This Row],[OriginalBudget09]]</f>
        <v>-4114</v>
      </c>
      <c r="EF93" s="54">
        <f>SummaryTable[[#This Row],[BudgetIncreaseAmount10]]/SummaryTable[[#This Row],[OriginalBudget09]]</f>
        <v>-0.84096484055600984</v>
      </c>
      <c r="EG93" s="61">
        <f>IF(COUNTIFS(allFYsTable[Code], SummaryTable[[#This Row],[Code]], allFYsTable[year2], ED$3)=0, NotFound, SUMIFS(allFYsTable[RevisedBudget], allFYsTable[Code], SummaryTable[[#This Row],[Code]], allFYsTable[year2], ED$3))</f>
        <v>828</v>
      </c>
      <c r="EH93" s="61">
        <f>IF(COUNTIFS(allFYsTable[Code], SummaryTable[[#This Row],[Code]], allFYsTable[year2], ED$3)=0, NotFound, SUMIFS(allFYsTable[Actual], allFYsTable[Code], SummaryTable[[#This Row],[Code]], allFYsTable[year2], ED$3))</f>
        <v>823</v>
      </c>
      <c r="EI93" s="61">
        <f>IF(COUNTIFS(allFYsTable[Code], SummaryTable[[#This Row],[Code]], allFYsTable[year2], ED$3)=0, NotFound, SUMIFS(allFYsTable[DiffAmount], allFYsTable[Code], SummaryTable[[#This Row],[Code]], allFYsTable[year2], ED$3))</f>
        <v>45</v>
      </c>
      <c r="EJ93" s="63">
        <f>IF(SummaryTable[[#This Row],[OriginalBudget10]]=0, IF(SummaryTable[[#This Row],[DiffAmount10]]=0, ZeroBudgetNoSpending, ZeroBudgetWithSpending), SummaryTable[[#This Row],[DiffAmount10]]/SummaryTable[[#This Row],[OriginalBudget10]])</f>
        <v>5.7840616966580979E-2</v>
      </c>
      <c r="EK93" s="62">
        <f>IF(COUNTIFS(allFYsTable[Code], SummaryTable[[#This Row],[Code]], allFYsTable[year2], EK$3)=0, NotFound, SUMIFS(allFYsTable[OriginalBudget], allFYsTable[Code], SummaryTable[[#This Row],[Code]], allFYsTable[year2], EK$3))</f>
        <v>4892</v>
      </c>
      <c r="EL93" s="61">
        <f>SummaryTable[[#This Row],[OriginalBudget09]]-SummaryTable[[#This Row],[OriginalBudget08]]</f>
        <v>2450</v>
      </c>
      <c r="EM93" s="54">
        <f>SummaryTable[[#This Row],[BudgetIncreaseAmount09]]/SummaryTable[[#This Row],[OriginalBudget08]]</f>
        <v>1.0032760032760033</v>
      </c>
      <c r="EN93" s="61">
        <f>IF(COUNTIFS(allFYsTable[Code], SummaryTable[[#This Row],[Code]], allFYsTable[year2], EK$3)=0, NotFound, SUMIFS(allFYsTable[RevisedBudget], allFYsTable[Code], SummaryTable[[#This Row],[Code]], allFYsTable[year2], EK$3))</f>
        <v>4892</v>
      </c>
      <c r="EO93" s="61">
        <f>IF(COUNTIFS(allFYsTable[Code], SummaryTable[[#This Row],[Code]], allFYsTable[year2], EK$3)=0, NotFound, SUMIFS(allFYsTable[Actual], allFYsTable[Code], SummaryTable[[#This Row],[Code]], allFYsTable[year2], EK$3))</f>
        <v>4479</v>
      </c>
      <c r="EP93" s="61">
        <f>IF(COUNTIFS(allFYsTable[Code], SummaryTable[[#This Row],[Code]], allFYsTable[year2], EK$3)=0, NotFound, SUMIFS(allFYsTable[DiffAmount], allFYsTable[Code], SummaryTable[[#This Row],[Code]], allFYsTable[year2], EK$3))</f>
        <v>-413</v>
      </c>
      <c r="EQ93" s="63">
        <f>IF(SummaryTable[[#This Row],[OriginalBudget09]]=0, IF(SummaryTable[[#This Row],[DiffAmount09]]=0, ZeroBudgetNoSpending, ZeroBudgetWithSpending), SummaryTable[[#This Row],[DiffAmount09]]/SummaryTable[[#This Row],[OriginalBudget09]])</f>
        <v>-8.4423548650858549E-2</v>
      </c>
      <c r="ER93" s="62">
        <f>IF(COUNTIFS(allFYsTable[Code], SummaryTable[[#This Row],[Code]], allFYsTable[year2], ER$3)=0, NotFound, SUMIFS(allFYsTable[OriginalBudget], allFYsTable[Code], SummaryTable[[#This Row],[Code]], allFYsTable[year2], ER$3))</f>
        <v>2442</v>
      </c>
      <c r="ES93" s="61" t="e">
        <f>SummaryTable[[#This Row],[OriginalBudget08]]-SummaryTable[[#This Row],[OriginalBudget07]]</f>
        <v>#N/A</v>
      </c>
      <c r="ET93" s="54" t="e">
        <f>SummaryTable[[#This Row],[BudgetIncreaseAmount08]]/SummaryTable[[#This Row],[OriginalBudget07]]</f>
        <v>#N/A</v>
      </c>
      <c r="EU93" s="61">
        <f>IF(COUNTIFS(allFYsTable[Code], SummaryTable[[#This Row],[Code]], allFYsTable[year2], ER$3)=0, NotFound, SUMIFS(allFYsTable[RevisedBudget], allFYsTable[Code], SummaryTable[[#This Row],[Code]], allFYsTable[year2], ER$3))</f>
        <v>6942</v>
      </c>
      <c r="EV93" s="61">
        <f>IF(COUNTIFS(allFYsTable[Code], SummaryTable[[#This Row],[Code]], allFYsTable[year2], ER$3)=0, NotFound, SUMIFS(allFYsTable[Actual], allFYsTable[Code], SummaryTable[[#This Row],[Code]], allFYsTable[year2], ER$3))</f>
        <v>2467</v>
      </c>
      <c r="EW93" s="61">
        <f>IF(COUNTIFS(allFYsTable[Code], SummaryTable[[#This Row],[Code]], allFYsTable[year2], ER$3)=0, NotFound, SUMIFS(allFYsTable[DiffAmount], allFYsTable[Code], SummaryTable[[#This Row],[Code]], allFYsTable[year2], ER$3))</f>
        <v>25</v>
      </c>
      <c r="EX93" s="63">
        <f>IF(SummaryTable[[#This Row],[OriginalBudget08]]=0, IF(SummaryTable[[#This Row],[DiffAmount08]]=0, ZeroBudgetNoSpending, ZeroBudgetWithSpending), SummaryTable[[#This Row],[DiffAmount08]]/SummaryTable[[#This Row],[OriginalBudget08]])</f>
        <v>1.0237510237510237E-2</v>
      </c>
      <c r="EY93" s="62" t="e">
        <f>IF(COUNTIFS(allFYsTable[Code], SummaryTable[[#This Row],[Code]], allFYsTable[year2], EY$3)=0, NotFound, SUMIFS(allFYsTable[OriginalBudget], allFYsTable[Code], SummaryTable[[#This Row],[Code]], allFYsTable[year2], EY$3))</f>
        <v>#N/A</v>
      </c>
      <c r="EZ93" s="61" t="e">
        <f>SummaryTable[[#This Row],[OriginalBudget07]]-SummaryTable[[#This Row],[OriginalBudget06]]</f>
        <v>#N/A</v>
      </c>
      <c r="FA93" s="54" t="e">
        <f>SummaryTable[[#This Row],[BudgetIncreaseAmount07]]/SummaryTable[[#This Row],[OriginalBudget06]]</f>
        <v>#N/A</v>
      </c>
      <c r="FB93" s="61" t="e">
        <f>IF(COUNTIFS(allFYsTable[Code], SummaryTable[[#This Row],[Code]], allFYsTable[year2], EY$3)=0, NotFound, SUMIFS(allFYsTable[RevisedBudget], allFYsTable[Code], SummaryTable[[#This Row],[Code]], allFYsTable[year2], EY$3))</f>
        <v>#N/A</v>
      </c>
      <c r="FC93" s="61" t="e">
        <f>IF(COUNTIFS(allFYsTable[Code], SummaryTable[[#This Row],[Code]], allFYsTable[year2], EY$3)=0, NotFound, SUMIFS(allFYsTable[Actual], allFYsTable[Code], SummaryTable[[#This Row],[Code]], allFYsTable[year2], EY$3))</f>
        <v>#N/A</v>
      </c>
      <c r="FD93" s="61" t="e">
        <f>IF(COUNTIFS(allFYsTable[Code], SummaryTable[[#This Row],[Code]], allFYsTable[year2], EY$3)=0, NotFound, SUMIFS(allFYsTable[DiffAmount], allFYsTable[Code], SummaryTable[[#This Row],[Code]], allFYsTable[year2], EY$3))</f>
        <v>#N/A</v>
      </c>
      <c r="FE93" s="63" t="e">
        <f>IF(SummaryTable[[#This Row],[OriginalBudget07]]=0, IF(SummaryTable[[#This Row],[DiffAmount07]]=0, ZeroBudgetNoSpending, ZeroBudgetWithSpending), SummaryTable[[#This Row],[DiffAmount07]]/SummaryTable[[#This Row],[OriginalBudget07]])</f>
        <v>#N/A</v>
      </c>
      <c r="FF93" s="62" t="e">
        <f>IF(COUNTIFS(allFYsTable[Code], SummaryTable[[#This Row],[Code]], allFYsTable[year2], FF$3)=0, NotFound, SUMIFS(allFYsTable[OriginalBudget], allFYsTable[Code], SummaryTable[[#This Row],[Code]], allFYsTable[year2], FF$3))</f>
        <v>#N/A</v>
      </c>
      <c r="FI93" s="61" t="e">
        <f>IF(COUNTIFS(allFYsTable[Code], SummaryTable[[#This Row],[Code]], allFYsTable[year2], FF$3)=0, NotFound, SUMIFS(allFYsTable[RevisedBudget], allFYsTable[Code], SummaryTable[[#This Row],[Code]], allFYsTable[year2], FF$3))</f>
        <v>#N/A</v>
      </c>
      <c r="FJ93" s="61" t="e">
        <f>IF(COUNTIFS(allFYsTable[Code], SummaryTable[[#This Row],[Code]], allFYsTable[year2], FF$3)=0, NotFound, SUMIFS(allFYsTable[Actual], allFYsTable[Code], SummaryTable[[#This Row],[Code]], allFYsTable[year2], FF$3))</f>
        <v>#N/A</v>
      </c>
      <c r="FK93" s="61" t="e">
        <f>IF(COUNTIFS(allFYsTable[Code], SummaryTable[[#This Row],[Code]], allFYsTable[year2], FF$3)=0, NotFound, SUMIFS(allFYsTable[DiffAmount], allFYsTable[Code], SummaryTable[[#This Row],[Code]], allFYsTable[year2], FF$3))</f>
        <v>#N/A</v>
      </c>
      <c r="FL93" s="63" t="e">
        <f>IF(SummaryTable[[#This Row],[OriginalBudget06]]=0, IF(SummaryTable[[#This Row],[DiffAmount06]]=0, ZeroBudgetNoSpending, ZeroBudgetWithSpending), SummaryTable[[#This Row],[DiffAmount06]]/SummaryTable[[#This Row],[OriginalBudget06]])</f>
        <v>#N/A</v>
      </c>
    </row>
    <row r="94" spans="1:168" x14ac:dyDescent="0.45">
      <c r="A94" t="s">
        <v>793</v>
      </c>
      <c r="B94">
        <f>_xlfn.MAXIFS(allFYsTable[year2], allFYsTable[Code], SummaryTable[[#This Row],[Code]])</f>
        <v>2025</v>
      </c>
      <c r="C94" t="str">
        <f>_xlfn.XLOOKUP(SummaryTable[[#This Row],[Code]], NameCodingTable[Code], NameCodingTable[Most Recent Category per allFYs])</f>
        <v>Human support services</v>
      </c>
      <c r="D94" t="str">
        <f>_xlfn.XLOOKUP(SummaryTable[[#This Row],[Code]], NameCodingTable[Code], NameCodingTable[Unit Display Name])</f>
        <v>Office of the Deputy Mayor for Health and Human Services</v>
      </c>
      <c r="E94" t="str">
        <f>_xlfn.XLOOKUP(SummaryTable[[#This Row],[Code]], NameCodingTable[Code], NameCodingTable[Type])</f>
        <v>agency</v>
      </c>
      <c r="F9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14</v>
      </c>
      <c r="G9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4</v>
      </c>
      <c r="H94" s="54">
        <f>SummaryTable[[#This Row],['# Over]]/SummaryTable[[#This Row],[Count]]</f>
        <v>0.2857142857142857</v>
      </c>
      <c r="I9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94" s="54">
        <f>SummaryTable[[#This Row],['# Under]]/SummaryTable[[#This Row],[Count]]</f>
        <v>0.7142857142857143</v>
      </c>
      <c r="K9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4" s="54">
        <f>SummaryTable[[#This Row],['# Equal]]/SummaryTable[[#This Row],[Count]]</f>
        <v>0</v>
      </c>
      <c r="M94" s="61">
        <f>SUMIFS(allFYsTable[OriginalBudget],allFYsTable[Code],SummaryTable[[#This Row],[Code]])/SummaryTable[[#This Row],[Count]]</f>
        <v>1883.8571428571429</v>
      </c>
      <c r="N94" s="61">
        <f>SUMIFS(allFYsTable[Actual],allFYsTable[Code],SummaryTable[[#This Row],[Code]])/SummaryTable[[#This Row],[Count]]</f>
        <v>1664</v>
      </c>
      <c r="O94" s="61">
        <f>SummaryTable[[#This Row],[AvgActAmt]]-SummaryTable[[#This Row],[AvgBudAmt]]</f>
        <v>-219.85714285714289</v>
      </c>
      <c r="P94" s="54">
        <f>IF(SummaryTable[[#This Row],[AvgBudAmt]]=0, IF(SummaryTable[[#This Row],[AvgDiff'#]]=0, 0, NamedFields!$C$3), SummaryTable[[#This Row],[AvgDiff'#]]/SummaryTable[[#This Row],[AvgBudAmt]])</f>
        <v>-0.11670584666717224</v>
      </c>
      <c r="Q94" s="61">
        <f>IFERROR(SUMIFS(allFYsTable[OriginalBudget],allFYsTable[Code],SummaryTable[[#This Row],[Code]],allFYsTable[DiffAmount], "&gt;0")/SummaryTable[[#This Row],['# Over]], 0)</f>
        <v>1259.5</v>
      </c>
      <c r="R94" s="61">
        <f>IFERROR(SUMIFS(allFYsTable[Actual],allFYsTable[Code],SummaryTable[[#This Row],[Code]],allFYsTable[DiffAmount], "&gt;0")/SummaryTable[[#This Row],['# Over]], 0)</f>
        <v>1452.75</v>
      </c>
      <c r="S94" s="61">
        <f>SummaryTable[[#This Row],[OverAvgAct]]-SummaryTable[[#This Row],[OverAvgBud]]</f>
        <v>193.25</v>
      </c>
      <c r="T94" s="54">
        <f>IF(SummaryTable[[#This Row],[OverAvgBud]]=0, IF(SummaryTable[[#This Row],[OverAvgDiff'#]]=0, ZeroBudgetNoSpending, ZeroBudgetWithSpending), SummaryTable[[#This Row],[OverAvgDiff'#]]/SummaryTable[[#This Row],[OverAvgBud]])</f>
        <v>0.15343390234219928</v>
      </c>
      <c r="U94" s="61">
        <f>IFERROR(SUMIFS(allFYsTable[OriginalBudget],allFYsTable[Code],SummaryTable[[#This Row],[Code]],allFYsTable[DiffAmount], "&lt;0")/SummaryTable[[#This Row],['# Under]], 0)</f>
        <v>2133.6</v>
      </c>
      <c r="V94" s="61">
        <f>IFERROR( SUMIFS(allFYsTable[Actual],allFYsTable[Code],SummaryTable[[#This Row],[Code]],allFYsTable[DiffAmount], "&lt;0")/SummaryTable[[#This Row],['# Under]], 0)</f>
        <v>1748.5</v>
      </c>
      <c r="W94" s="61">
        <f>SummaryTable[[#This Row],[UnderAvgAct]]-SummaryTable[[#This Row],[UnderAvgBud]]</f>
        <v>-385.09999999999991</v>
      </c>
      <c r="X94" s="54">
        <f>IF(SummaryTable[[#This Row],[UnderAvgBud]]=0, IF(SummaryTable[[#This Row],[UnderAvgDiff'#]]=0, ZeroBudgetNoSpending, NamedFields!$C$3), SummaryTable[[#This Row],[UnderAvgDiff'#]]/SummaryTable[[#This Row],[UnderAvgBud]])</f>
        <v>-0.18049306336707907</v>
      </c>
      <c r="Y9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9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94" s="54">
        <f>IF(SummaryTable[[#This Row],[IncreaseYears]]=0, ZeroBudgetNoSpending, SummaryTable[[#This Row],[OSinIncreaseYear'#]]/SummaryTable[[#This Row],[IncreaseYears]])</f>
        <v>0.2</v>
      </c>
      <c r="AB94" s="58" t="str">
        <f>SummaryTable[[#This Row],[Code]]</f>
        <v>HG0</v>
      </c>
      <c r="AC94" s="62">
        <f>IF(COUNTIFS(allFYsTable[Code], SummaryTable[[#This Row],[Code]], allFYsTable[year2], AC$3)=0, NotFound, SUMIFS(allFYsTable[OriginalBudget], allFYsTable[Code], SummaryTable[[#This Row],[Code]], allFYsTable[year2], AC$3))</f>
        <v>2451</v>
      </c>
      <c r="AD94" s="61">
        <f>SummaryTable[[#This Row],[OriginalBudget25]]-SummaryTable[[#This Row],[OriginalBudget24]]</f>
        <v>-27</v>
      </c>
      <c r="AE94" s="54">
        <f>SummaryTable[[#This Row],[BudgetIncreaseAmount25]]/SummaryTable[[#This Row],[OriginalBudget24]]</f>
        <v>-1.0895883777239709E-2</v>
      </c>
      <c r="AF94" s="61">
        <f>IF(COUNTIFS(allFYsTable[Code], SummaryTable[[#This Row],[Code]], allFYsTable[year2], AC$3)=0, NotFound, SUMIFS(allFYsTable[RevisedBudget], allFYsTable[Code], SummaryTable[[#This Row],[Code]], allFYsTable[year2], AC$3))</f>
        <v>2402</v>
      </c>
      <c r="AG94" s="61">
        <f>IF(COUNTIFS(allFYsTable[Code], SummaryTable[[#This Row],[Code]], allFYsTable[year2], AC$3)=0, NotFound, SUMIFS(allFYsTable[Actual], allFYsTable[Code], SummaryTable[[#This Row],[Code]], allFYsTable[year2], AC$3))</f>
        <v>1816</v>
      </c>
      <c r="AH94" s="61">
        <f>IF(COUNTIFS(allFYsTable[Code], SummaryTable[[#This Row],[Code]], allFYsTable[year2], AC$3)=0, NotFound, SUMIFS(allFYsTable[DiffAmount], allFYsTable[Code], SummaryTable[[#This Row],[Code]], allFYsTable[year2], AC$3))</f>
        <v>-635</v>
      </c>
      <c r="AI94" s="63">
        <f>IF(SummaryTable[[#This Row],[OriginalBudget25]]=0, IF(SummaryTable[[#This Row],[DiffAmount25]]=0, ZeroBudgetNoSpending, ZeroBudgetWithSpending), SummaryTable[[#This Row],[DiffAmount25]]/SummaryTable[[#This Row],[OriginalBudget25]])</f>
        <v>-0.25907792737658097</v>
      </c>
      <c r="AJ94" s="62">
        <f>IF(COUNTIFS(allFYsTable[Code], SummaryTable[[#This Row],[Code]], allFYsTable[year2], AJ$3)=0, NotFound, SUMIFS(allFYsTable[OriginalBudget], allFYsTable[Code], SummaryTable[[#This Row],[Code]], allFYsTable[year2], AJ$3))</f>
        <v>2478</v>
      </c>
      <c r="AK94" s="61">
        <f>SummaryTable[[#This Row],[OriginalBudget24]]-SummaryTable[[#This Row],[OriginalBudget23]]</f>
        <v>-383</v>
      </c>
      <c r="AL94" s="54">
        <f>SummaryTable[[#This Row],[BudgetIncreaseAmount24]]/SummaryTable[[#This Row],[OriginalBudget23]]</f>
        <v>-0.13386927647675637</v>
      </c>
      <c r="AM94" s="61">
        <f>IF(COUNTIFS(allFYsTable[Code], SummaryTable[[#This Row],[Code]], allFYsTable[year2], AK$3)=0, NotFound, SUMIFS(allFYsTable[RevisedBudget], allFYsTable[Code], SummaryTable[[#This Row],[Code]], allFYsTable[year2], AJ$3))</f>
        <v>2237</v>
      </c>
      <c r="AN94" s="61">
        <f>IF(COUNTIFS(allFYsTable[Code], SummaryTable[[#This Row],[Code]], allFYsTable[year2], AJ$3)=0, NotFound, SUMIFS(allFYsTable[Actual], allFYsTable[Code], SummaryTable[[#This Row],[Code]], allFYsTable[year2], AJ$3))</f>
        <v>2092</v>
      </c>
      <c r="AO94" s="61">
        <f>IF(COUNTIFS(allFYsTable[Code], SummaryTable[[#This Row],[Code]], allFYsTable[year2], AJ$3)=0, NotFound, SUMIFS(allFYsTable[DiffAmount], allFYsTable[Code], SummaryTable[[#This Row],[Code]], allFYsTable[year2], AJ$3))</f>
        <v>-386</v>
      </c>
      <c r="AP94" s="63">
        <f>IF(SummaryTable[[#This Row],[OriginalBudget24]]=0, IF(SummaryTable[[#This Row],[DiffAmount24]]=0, ZeroBudgetNoSpending, ZeroBudgetWithSpending), SummaryTable[[#This Row],[DiffAmount24]]/SummaryTable[[#This Row],[OriginalBudget24]])</f>
        <v>-0.15577078288942695</v>
      </c>
      <c r="AQ94" s="62">
        <f>IF(COUNTIFS(allFYsTable[Code], SummaryTable[[#This Row],[Code]], allFYsTable[year2], AQ$3)=0, NotFound, SUMIFS(allFYsTable[OriginalBudget], allFYsTable[Code], SummaryTable[[#This Row],[Code]], allFYsTable[year2], AQ$3))</f>
        <v>2861</v>
      </c>
      <c r="AR94" s="61">
        <f>SummaryTable[[#This Row],[OriginalBudget23]]-SummaryTable[[#This Row],[OriginalBudget22]]</f>
        <v>-62</v>
      </c>
      <c r="AS94" s="54">
        <f>SummaryTable[[#This Row],[BudgetIncreaseAmount23]]/SummaryTable[[#This Row],[OriginalBudget22]]</f>
        <v>-2.1211084502223743E-2</v>
      </c>
      <c r="AT94" s="61">
        <f>IF(COUNTIFS(allFYsTable[Code], SummaryTable[[#This Row],[Code]], allFYsTable[year2], AQ$3)=0, NotFound, SUMIFS(allFYsTable[RevisedBudget], allFYsTable[Code], SummaryTable[[#This Row],[Code]], allFYsTable[year2], AQ$3))</f>
        <v>2405</v>
      </c>
      <c r="AU94" s="61">
        <f>IF(COUNTIFS(allFYsTable[Code], SummaryTable[[#This Row],[Code]], allFYsTable[year2], AQ$3)=0, NotFound, SUMIFS(allFYsTable[Actual], allFYsTable[Code], SummaryTable[[#This Row],[Code]], allFYsTable[year2], AQ$3))</f>
        <v>2045</v>
      </c>
      <c r="AV94" s="61">
        <f>IF(COUNTIFS(allFYsTable[Code], SummaryTable[[#This Row],[Code]], allFYsTable[year2], AQ$3)=0, NotFound, SUMIFS(allFYsTable[DiffAmount], allFYsTable[Code], SummaryTable[[#This Row],[Code]], allFYsTable[year2], AQ$3))</f>
        <v>-816</v>
      </c>
      <c r="AW94" s="63">
        <f>IF(SummaryTable[[#This Row],[OriginalBudget23]]=0, IF(SummaryTable[[#This Row],[DiffAmount23]]=0, ZeroBudgetNoSpending, ZeroBudgetWithSpending), SummaryTable[[#This Row],[DiffAmount23]]/SummaryTable[[#This Row],[OriginalBudget23]])</f>
        <v>-0.28521495980426426</v>
      </c>
      <c r="AX94" s="62">
        <f>IF(COUNTIFS(allFYsTable[Code], SummaryTable[[#This Row],[Code]], allFYsTable[year2], AX$3)=0, NotFound, SUMIFS(allFYsTable[OriginalBudget], allFYsTable[Code], SummaryTable[[#This Row],[Code]], allFYsTable[year2], AX$3))</f>
        <v>2923</v>
      </c>
      <c r="AY94" s="61">
        <f>SummaryTable[[#This Row],[OriginalBudget22]]-SummaryTable[[#This Row],[OriginalBudget21]]</f>
        <v>807</v>
      </c>
      <c r="AZ94" s="54">
        <f>SummaryTable[[#This Row],[BudgetIncreaseAmount22]]/SummaryTable[[#This Row],[OriginalBudget21]]</f>
        <v>0.38137996219281661</v>
      </c>
      <c r="BA94" s="61">
        <f>IF(COUNTIFS(allFYsTable[Code], SummaryTable[[#This Row],[Code]], allFYsTable[year2], AX$3)=0, NotFound, SUMIFS(allFYsTable[RevisedBudget], allFYsTable[Code], SummaryTable[[#This Row],[Code]], allFYsTable[year2], AX$3))</f>
        <v>2148</v>
      </c>
      <c r="BB94" s="61">
        <f>IF(COUNTIFS(allFYsTable[Code], SummaryTable[[#This Row],[Code]], allFYsTable[year2], AX$3)=0, NotFound, SUMIFS(allFYsTable[Actual], allFYsTable[Code], SummaryTable[[#This Row],[Code]], allFYsTable[year2], AX$3))</f>
        <v>2096</v>
      </c>
      <c r="BC94" s="61">
        <f>IF(COUNTIFS(allFYsTable[Code], SummaryTable[[#This Row],[Code]], allFYsTable[year2], AX$3)=0, NotFound, SUMIFS(allFYsTable[DiffAmount], allFYsTable[Code], SummaryTable[[#This Row],[Code]], allFYsTable[year2], AX$3))</f>
        <v>-827</v>
      </c>
      <c r="BD94" s="63">
        <f>IF(SummaryTable[[#This Row],[OriginalBudget22]]=0, IF(SummaryTable[[#This Row],[DiffAmount22]]=0, ZeroBudgetNoSpending, ZeroBudgetWithSpending), SummaryTable[[#This Row],[DiffAmount22]]/SummaryTable[[#This Row],[OriginalBudget22]])</f>
        <v>-0.28292849811837156</v>
      </c>
      <c r="BE94" s="62">
        <f>IF(COUNTIFS(allFYsTable[Code], SummaryTable[[#This Row],[Code]], allFYsTable[year2], BE$3)=0, NotFound, SUMIFS(allFYsTable[OriginalBudget], allFYsTable[Code], SummaryTable[[#This Row],[Code]], allFYsTable[year2], BE$3))</f>
        <v>2116</v>
      </c>
      <c r="BF94" s="61">
        <f>SummaryTable[[#This Row],[OriginalBudget21]]-SummaryTable[[#This Row],[OriginalBudget20]]</f>
        <v>238</v>
      </c>
      <c r="BG94" s="54">
        <f>SummaryTable[[#This Row],[BudgetIncreaseAmount21]]/SummaryTable[[#This Row],[OriginalBudget20]]</f>
        <v>0.12673056443024494</v>
      </c>
      <c r="BH94" s="61">
        <f>IF(COUNTIFS(allFYsTable[Code], SummaryTable[[#This Row],[Code]], allFYsTable[year2], BE$3)=0, NotFound, SUMIFS(allFYsTable[RevisedBudget], allFYsTable[Code], SummaryTable[[#This Row],[Code]], allFYsTable[year2], BE$3))</f>
        <v>2054</v>
      </c>
      <c r="BI94" s="61">
        <f>IF(COUNTIFS(allFYsTable[Code], SummaryTable[[#This Row],[Code]], allFYsTable[year2], BE$3)=0, NotFound, SUMIFS(allFYsTable[Actual], allFYsTable[Code], SummaryTable[[#This Row],[Code]], allFYsTable[year2], BE$3))</f>
        <v>1969</v>
      </c>
      <c r="BJ94" s="61">
        <f>IF(COUNTIFS(allFYsTable[Code], SummaryTable[[#This Row],[Code]], allFYsTable[year2], BE$3)=0, NotFound, SUMIFS(allFYsTable[DiffAmount], allFYsTable[Code], SummaryTable[[#This Row],[Code]], allFYsTable[year2], BE$3))</f>
        <v>-147</v>
      </c>
      <c r="BK94" s="63">
        <f>IF(SummaryTable[[#This Row],[OriginalBudget21]]=0, IF(SummaryTable[[#This Row],[DiffAmount21]]=0, ZeroBudgetNoSpending, ZeroBudgetWithSpending), SummaryTable[[#This Row],[DiffAmount21]]/SummaryTable[[#This Row],[OriginalBudget21]])</f>
        <v>-6.9470699432892247E-2</v>
      </c>
      <c r="BL94" s="62">
        <f>IF(COUNTIFS(allFYsTable[Code], SummaryTable[[#This Row],[Code]], allFYsTable[year2], BL$3)=0, NotFound, SUMIFS(allFYsTable[OriginalBudget], allFYsTable[Code], SummaryTable[[#This Row],[Code]], allFYsTable[year2], BL$3))</f>
        <v>1878</v>
      </c>
      <c r="BM94" s="61">
        <f>SummaryTable[[#This Row],[OriginalBudget20]]-SummaryTable[[#This Row],[OriginalBudget19]]</f>
        <v>96</v>
      </c>
      <c r="BN94" s="54">
        <f>SummaryTable[[#This Row],[BudgetIncreaseAmount20]]/SummaryTable[[#This Row],[OriginalBudget19]]</f>
        <v>5.387205387205387E-2</v>
      </c>
      <c r="BO94" s="61">
        <f>IF(COUNTIFS(allFYsTable[Code], SummaryTable[[#This Row],[Code]], allFYsTable[year2], BL$3)=0, NotFound, SUMIFS(allFYsTable[RevisedBudget], allFYsTable[Code], SummaryTable[[#This Row],[Code]], allFYsTable[year2], BL$3))</f>
        <v>2172</v>
      </c>
      <c r="BP94" s="61">
        <f>IF(COUNTIFS(allFYsTable[Code], SummaryTable[[#This Row],[Code]], allFYsTable[year2], BL$3)=0, NotFound, SUMIFS(allFYsTable[Actual], allFYsTable[Code], SummaryTable[[#This Row],[Code]], allFYsTable[year2], BL$3))</f>
        <v>2125</v>
      </c>
      <c r="BQ94" s="61">
        <f>IF(COUNTIFS(allFYsTable[Code], SummaryTable[[#This Row],[Code]], allFYsTable[year2], BL$3)=0, NotFound, SUMIFS(allFYsTable[DiffAmount], allFYsTable[Code], SummaryTable[[#This Row],[Code]], allFYsTable[year2], BL$3))</f>
        <v>247</v>
      </c>
      <c r="BR94" s="63">
        <f>IF(SummaryTable[[#This Row],[OriginalBudget20]]=0, IF(SummaryTable[[#This Row],[DiffAmount20]]=0, ZeroBudgetNoSpending, ZeroBudgetWithSpending), SummaryTable[[#This Row],[DiffAmount20]]/SummaryTable[[#This Row],[OriginalBudget20]])</f>
        <v>0.13152289669861555</v>
      </c>
      <c r="BS94" s="62">
        <f>IF(COUNTIFS(allFYsTable[Code], SummaryTable[[#This Row],[Code]], allFYsTable[year2], BS$3)=0, NotFound, SUMIFS(allFYsTable[OriginalBudget], allFYsTable[Code], SummaryTable[[#This Row],[Code]], allFYsTable[year2], BS$3))</f>
        <v>1782</v>
      </c>
      <c r="BT94" s="61">
        <f>SummaryTable[[#This Row],[OriginalBudget19]]-SummaryTable[[#This Row],[OriginalBudget18]]</f>
        <v>-5</v>
      </c>
      <c r="BU94" s="54">
        <f>SummaryTable[[#This Row],[BudgetIncreaseAmount19]]/SummaryTable[[#This Row],[OriginalBudget18]]</f>
        <v>-2.7979854504756574E-3</v>
      </c>
      <c r="BV94" s="61">
        <f>IF(COUNTIFS(allFYsTable[Code], SummaryTable[[#This Row],[Code]], allFYsTable[year2], BS$3)=0, NotFound, SUMIFS(allFYsTable[RevisedBudget], allFYsTable[Code], SummaryTable[[#This Row],[Code]], allFYsTable[year2], BS$3))</f>
        <v>1781</v>
      </c>
      <c r="BW94" s="61">
        <f>IF(COUNTIFS(allFYsTable[Code], SummaryTable[[#This Row],[Code]], allFYsTable[year2], BS$3)=0, NotFound, SUMIFS(allFYsTable[Actual], allFYsTable[Code], SummaryTable[[#This Row],[Code]], allFYsTable[year2], BS$3))</f>
        <v>1763</v>
      </c>
      <c r="BX94" s="61">
        <f>IF(COUNTIFS(allFYsTable[Code], SummaryTable[[#This Row],[Code]], allFYsTable[year2], BS$3)=0, NotFound, SUMIFS(allFYsTable[DiffAmount], allFYsTable[Code], SummaryTable[[#This Row],[Code]], allFYsTable[year2], BS$3))</f>
        <v>-19</v>
      </c>
      <c r="BY94" s="63">
        <f>IF(SummaryTable[[#This Row],[OriginalBudget19]]=0, IF(SummaryTable[[#This Row],[DiffAmount19]]=0, ZeroBudgetNoSpending, ZeroBudgetWithSpending), SummaryTable[[#This Row],[DiffAmount19]]/SummaryTable[[#This Row],[OriginalBudget19]])</f>
        <v>-1.0662177328843996E-2</v>
      </c>
      <c r="BZ94" s="62">
        <f>IF(COUNTIFS(allFYsTable[Code], SummaryTable[[#This Row],[Code]], allFYsTable[year2], BZ$3)=0, NotFound, SUMIFS(allFYsTable[OriginalBudget], allFYsTable[Code], SummaryTable[[#This Row],[Code]], allFYsTable[year2], BZ$3))</f>
        <v>1787</v>
      </c>
      <c r="CA94" s="61">
        <f>SummaryTable[[#This Row],[OriginalBudget18]]-SummaryTable[[#This Row],[OriginalBudget17]]</f>
        <v>-508</v>
      </c>
      <c r="CB94" s="54">
        <f>SummaryTable[[#This Row],[BudgetIncreaseAmount18]]/SummaryTable[[#This Row],[OriginalBudget17]]</f>
        <v>-0.22135076252723312</v>
      </c>
      <c r="CC94" s="61">
        <f>IF(COUNTIFS(allFYsTable[Code], SummaryTable[[#This Row],[Code]], allFYsTable[year2], BZ$3)=0, NotFound, SUMIFS(allFYsTable[RevisedBudget], allFYsTable[Code], SummaryTable[[#This Row],[Code]], allFYsTable[year2], BZ$3))</f>
        <v>1787</v>
      </c>
      <c r="CD94" s="61">
        <f>IF(COUNTIFS(allFYsTable[Code], SummaryTable[[#This Row],[Code]], allFYsTable[year2], BZ$3)=0, NotFound, SUMIFS(allFYsTable[Actual], allFYsTable[Code], SummaryTable[[#This Row],[Code]], allFYsTable[year2], BZ$3))</f>
        <v>1714</v>
      </c>
      <c r="CE94" s="61">
        <f>IF(COUNTIFS(allFYsTable[Code], SummaryTable[[#This Row],[Code]], allFYsTable[year2], BZ$3)=0, NotFound, SUMIFS(allFYsTable[DiffAmount], allFYsTable[Code], SummaryTable[[#This Row],[Code]], allFYsTable[year2], BZ$3))</f>
        <v>-73</v>
      </c>
      <c r="CF94" s="63">
        <f>IF(SummaryTable[[#This Row],[OriginalBudget18]]=0, IF(SummaryTable[[#This Row],[DiffAmount18]]=0, ZeroBudgetNoSpending, ZeroBudgetWithSpending), SummaryTable[[#This Row],[DiffAmount18]]/SummaryTable[[#This Row],[OriginalBudget18]])</f>
        <v>-4.0850587576944597E-2</v>
      </c>
      <c r="CG94" s="62">
        <f>IF(COUNTIFS(allFYsTable[Code], SummaryTable[[#This Row],[Code]], allFYsTable[year2], CG$3)=0, NotFound, SUMIFS(allFYsTable[OriginalBudget], allFYsTable[Code], SummaryTable[[#This Row],[Code]], allFYsTable[year2], CG$3))</f>
        <v>2295</v>
      </c>
      <c r="CH94" s="61">
        <f>SummaryTable[[#This Row],[OriginalBudget17]]-SummaryTable[[#This Row],[OriginalBudget16]]</f>
        <v>904</v>
      </c>
      <c r="CI94" s="54">
        <f>SummaryTable[[#This Row],[BudgetIncreaseAmount17]]/SummaryTable[[#This Row],[OriginalBudget16]]</f>
        <v>0.64989216391085547</v>
      </c>
      <c r="CJ94" s="61">
        <f>IF(COUNTIFS(allFYsTable[Code], SummaryTable[[#This Row],[Code]], allFYsTable[year2], CG$3)=0, NotFound, SUMIFS(allFYsTable[RevisedBudget], allFYsTable[Code], SummaryTable[[#This Row],[Code]], allFYsTable[year2], CG$3))</f>
        <v>2420</v>
      </c>
      <c r="CK94" s="61">
        <f>IF(COUNTIFS(allFYsTable[Code], SummaryTable[[#This Row],[Code]], allFYsTable[year2], CG$3)=0, NotFound, SUMIFS(allFYsTable[Actual], allFYsTable[Code], SummaryTable[[#This Row],[Code]], allFYsTable[year2], CG$3))</f>
        <v>2242</v>
      </c>
      <c r="CL94" s="61">
        <f>IF(COUNTIFS(allFYsTable[Code], SummaryTable[[#This Row],[Code]], allFYsTable[year2], CG$3)=0, NotFound, SUMIFS(allFYsTable[DiffAmount], allFYsTable[Code], SummaryTable[[#This Row],[Code]], allFYsTable[year2], CG$3))</f>
        <v>-53</v>
      </c>
      <c r="CM94" s="63">
        <f>IF(SummaryTable[[#This Row],[OriginalBudget17]]=0, IF(SummaryTable[[#This Row],[DiffAmount17]]=0, ZeroBudgetNoSpending, ZeroBudgetWithSpending), SummaryTable[[#This Row],[DiffAmount17]]/SummaryTable[[#This Row],[OriginalBudget17]])</f>
        <v>-2.3093681917211329E-2</v>
      </c>
      <c r="CN94" s="62">
        <f>IF(COUNTIFS(allFYsTable[Code], SummaryTable[[#This Row],[Code]], allFYsTable[year2], CN$3)=0, NotFound, SUMIFS(allFYsTable[OriginalBudget], allFYsTable[Code], SummaryTable[[#This Row],[Code]], allFYsTable[year2], CN$3))</f>
        <v>1391</v>
      </c>
      <c r="CO94" s="61">
        <f>SummaryTable[[#This Row],[OriginalBudget16]]-SummaryTable[[#This Row],[OriginalBudget15]]</f>
        <v>219</v>
      </c>
      <c r="CP94" s="54">
        <f>SummaryTable[[#This Row],[BudgetIncreaseAmount16]]/SummaryTable[[#This Row],[OriginalBudget15]]</f>
        <v>0.18686006825938567</v>
      </c>
      <c r="CQ94" s="61">
        <f>IF(COUNTIFS(allFYsTable[Code], SummaryTable[[#This Row],[Code]], allFYsTable[year2], CN$3)=0, NotFound, SUMIFS(allFYsTable[RevisedBudget], allFYsTable[Code], SummaryTable[[#This Row],[Code]], allFYsTable[year2], CN$3))</f>
        <v>1698</v>
      </c>
      <c r="CR94" s="61">
        <f>IF(COUNTIFS(allFYsTable[Code], SummaryTable[[#This Row],[Code]], allFYsTable[year2], CN$3)=0, NotFound, SUMIFS(allFYsTable[Actual], allFYsTable[Code], SummaryTable[[#This Row],[Code]], allFYsTable[year2], CN$3))</f>
        <v>1569</v>
      </c>
      <c r="CS94" s="61">
        <f>IF(COUNTIFS(allFYsTable[Code], SummaryTable[[#This Row],[Code]], allFYsTable[year2], CN$3)=0, NotFound, SUMIFS(allFYsTable[DiffAmount], allFYsTable[Code], SummaryTable[[#This Row],[Code]], allFYsTable[year2], CN$3))</f>
        <v>178</v>
      </c>
      <c r="CT94" s="63">
        <f>IF(SummaryTable[[#This Row],[OriginalBudget16]]=0, IF(SummaryTable[[#This Row],[DiffAmount16]]=0, ZeroBudgetNoSpending, ZeroBudgetWithSpending), SummaryTable[[#This Row],[DiffAmount16]]/SummaryTable[[#This Row],[OriginalBudget16]])</f>
        <v>0.12796549245147376</v>
      </c>
      <c r="CU94" s="62">
        <f>IF(COUNTIFS(allFYsTable[Code], SummaryTable[[#This Row],[Code]], allFYsTable[year2], CU$3)=0, NotFound, SUMIFS(allFYsTable[OriginalBudget], allFYsTable[Code], SummaryTable[[#This Row],[Code]], allFYsTable[year2], CU$3))</f>
        <v>1172</v>
      </c>
      <c r="CV94" s="61">
        <f>SummaryTable[[#This Row],[OriginalBudget15]]-SummaryTable[[#This Row],[OriginalBudget14]]</f>
        <v>-773</v>
      </c>
      <c r="CW94" s="54">
        <f>SummaryTable[[#This Row],[BudgetIncreaseAmount15]]/SummaryTable[[#This Row],[OriginalBudget14]]</f>
        <v>-0.3974293059125964</v>
      </c>
      <c r="CX94" s="61">
        <f>IF(COUNTIFS(allFYsTable[Code], SummaryTable[[#This Row],[Code]], allFYsTable[year2], CU$3)=0, NotFound, SUMIFS(allFYsTable[RevisedBudget], allFYsTable[Code], SummaryTable[[#This Row],[Code]], allFYsTable[year2], CU$3))</f>
        <v>1312</v>
      </c>
      <c r="CY94" s="61">
        <f>IF(COUNTIFS(allFYsTable[Code], SummaryTable[[#This Row],[Code]], allFYsTable[year2], CU$3)=0, NotFound, SUMIFS(allFYsTable[Actual], allFYsTable[Code], SummaryTable[[#This Row],[Code]], allFYsTable[year2], CU$3))</f>
        <v>1261</v>
      </c>
      <c r="CZ94" s="61">
        <f>IF(COUNTIFS(allFYsTable[Code], SummaryTable[[#This Row],[Code]], allFYsTable[year2], CU$3)=0, NotFound, SUMIFS(allFYsTable[DiffAmount], allFYsTable[Code], SummaryTable[[#This Row],[Code]], allFYsTable[year2], CU$3))</f>
        <v>89</v>
      </c>
      <c r="DA94" s="63">
        <f>IF(SummaryTable[[#This Row],[OriginalBudget15]]=0, IF(SummaryTable[[#This Row],[DiffAmount15]]=0, ZeroBudgetNoSpending, ZeroBudgetWithSpending), SummaryTable[[#This Row],[DiffAmount15]]/SummaryTable[[#This Row],[OriginalBudget15]])</f>
        <v>7.593856655290103E-2</v>
      </c>
      <c r="DB94" s="62">
        <f>IF(COUNTIFS(allFYsTable[Code], SummaryTable[[#This Row],[Code]], allFYsTable[year2], DB$3)=0, NotFound, SUMIFS(allFYsTable[OriginalBudget], allFYsTable[Code], SummaryTable[[#This Row],[Code]], allFYsTable[year2], DB$3))</f>
        <v>1945</v>
      </c>
      <c r="DC94" s="61">
        <f>SummaryTable[[#This Row],[OriginalBudget14]]-SummaryTable[[#This Row],[OriginalBudget13]]</f>
        <v>1348</v>
      </c>
      <c r="DD94" s="54">
        <f>SummaryTable[[#This Row],[BudgetIncreaseAmount14]]/SummaryTable[[#This Row],[OriginalBudget13]]</f>
        <v>2.2579564489112229</v>
      </c>
      <c r="DE94" s="61">
        <f>IF(COUNTIFS(allFYsTable[Code], SummaryTable[[#This Row],[Code]], allFYsTable[year2], DB$3)=0, NotFound, SUMIFS(allFYsTable[RevisedBudget], allFYsTable[Code], SummaryTable[[#This Row],[Code]], allFYsTable[year2], DB$3))</f>
        <v>1210</v>
      </c>
      <c r="DF94" s="61">
        <f>IF(COUNTIFS(allFYsTable[Code], SummaryTable[[#This Row],[Code]], allFYsTable[year2], DB$3)=0, NotFound, SUMIFS(allFYsTable[Actual], allFYsTable[Code], SummaryTable[[#This Row],[Code]], allFYsTable[year2], DB$3))</f>
        <v>1126</v>
      </c>
      <c r="DG94" s="61">
        <f>IF(COUNTIFS(allFYsTable[Code], SummaryTable[[#This Row],[Code]], allFYsTable[year2], DB$3)=0, NotFound, SUMIFS(allFYsTable[DiffAmount], allFYsTable[Code], SummaryTable[[#This Row],[Code]], allFYsTable[year2], DB$3))</f>
        <v>-819</v>
      </c>
      <c r="DH94" s="63">
        <f>IF(SummaryTable[[#This Row],[OriginalBudget14]]=0, IF(SummaryTable[[#This Row],[DiffAmount14]]=0, ZeroBudgetNoSpending, ZeroBudgetWithSpending), SummaryTable[[#This Row],[DiffAmount14]]/SummaryTable[[#This Row],[OriginalBudget14]])</f>
        <v>-0.42107969151670949</v>
      </c>
      <c r="DI94" s="62">
        <f>IF(COUNTIFS(allFYsTable[Code], SummaryTable[[#This Row],[Code]], allFYsTable[year2], DI$3)=0, NotFound, SUMIFS(allFYsTable[OriginalBudget], allFYsTable[Code], SummaryTable[[#This Row],[Code]], allFYsTable[year2], DI$3))</f>
        <v>597</v>
      </c>
      <c r="DJ94" s="61">
        <f>SummaryTable[[#This Row],[OriginalBudget13]]-SummaryTable[[#This Row],[OriginalBudget12]]</f>
        <v>-101</v>
      </c>
      <c r="DK94" s="54">
        <f>SummaryTable[[#This Row],[BudgetIncreaseAmount13]]/SummaryTable[[#This Row],[OriginalBudget12]]</f>
        <v>-0.14469914040114612</v>
      </c>
      <c r="DL94" s="61">
        <f>IF(COUNTIFS(allFYsTable[Code], SummaryTable[[#This Row],[Code]], allFYsTable[year2], DI$3)=0, NotFound, SUMIFS(allFYsTable[RevisedBudget], allFYsTable[Code], SummaryTable[[#This Row],[Code]], allFYsTable[year2], DI$3))</f>
        <v>947</v>
      </c>
      <c r="DM94" s="61">
        <f>IF(COUNTIFS(allFYsTable[Code], SummaryTable[[#This Row],[Code]], allFYsTable[year2], DI$3)=0, NotFound, SUMIFS(allFYsTable[Actual], allFYsTable[Code], SummaryTable[[#This Row],[Code]], allFYsTable[year2], DI$3))</f>
        <v>856</v>
      </c>
      <c r="DN94" s="61">
        <f>IF(COUNTIFS(allFYsTable[Code], SummaryTable[[#This Row],[Code]], allFYsTable[year2], DI$3)=0, NotFound, SUMIFS(allFYsTable[DiffAmount], allFYsTable[Code], SummaryTable[[#This Row],[Code]], allFYsTable[year2], DI$3))</f>
        <v>259</v>
      </c>
      <c r="DO94" s="63">
        <f>IF(SummaryTable[[#This Row],[OriginalBudget13]]=0, IF(SummaryTable[[#This Row],[DiffAmount13]]=0, ZeroBudgetNoSpending, ZeroBudgetWithSpending), SummaryTable[[#This Row],[DiffAmount13]]/SummaryTable[[#This Row],[OriginalBudget13]])</f>
        <v>0.43383584589614738</v>
      </c>
      <c r="DP94" s="62">
        <f>IF(COUNTIFS(allFYsTable[Code], SummaryTable[[#This Row],[Code]], allFYsTable[year2], DP$3)=0, NotFound, SUMIFS(allFYsTable[OriginalBudget], allFYsTable[Code], SummaryTable[[#This Row],[Code]], allFYsTable[year2], DP$3))</f>
        <v>698</v>
      </c>
      <c r="DQ94" s="61" t="e">
        <f>SummaryTable[[#This Row],[OriginalBudget12]]-SummaryTable[[#This Row],[OriginalBudget11]]</f>
        <v>#N/A</v>
      </c>
      <c r="DR94" s="54" t="e">
        <f>SummaryTable[[#This Row],[BudgetIncreaseAmount12]]/SummaryTable[[#This Row],[OriginalBudget11]]</f>
        <v>#N/A</v>
      </c>
      <c r="DS94" s="61">
        <f>IF(COUNTIFS(allFYsTable[Code], SummaryTable[[#This Row],[Code]], allFYsTable[year2], DP$3)=0, NotFound, SUMIFS(allFYsTable[RevisedBudget], allFYsTable[Code], SummaryTable[[#This Row],[Code]], allFYsTable[year2], DP$3))</f>
        <v>628</v>
      </c>
      <c r="DT94" s="61">
        <f>IF(COUNTIFS(allFYsTable[Code], SummaryTable[[#This Row],[Code]], allFYsTable[year2], DP$3)=0, NotFound, SUMIFS(allFYsTable[Actual], allFYsTable[Code], SummaryTable[[#This Row],[Code]], allFYsTable[year2], DP$3))</f>
        <v>622</v>
      </c>
      <c r="DU94" s="61">
        <f>IF(COUNTIFS(allFYsTable[Code], SummaryTable[[#This Row],[Code]], allFYsTable[year2], DP$3)=0, NotFound, SUMIFS(allFYsTable[DiffAmount], allFYsTable[Code], SummaryTable[[#This Row],[Code]], allFYsTable[year2], DP$3))</f>
        <v>-76</v>
      </c>
      <c r="DV94" s="63">
        <f>IF(SummaryTable[[#This Row],[OriginalBudget12]]=0, IF(SummaryTable[[#This Row],[DiffAmount12]]=0, ZeroBudgetNoSpending, ZeroBudgetWithSpending), SummaryTable[[#This Row],[DiffAmount12]]/SummaryTable[[#This Row],[OriginalBudget12]])</f>
        <v>-0.10888252148997135</v>
      </c>
      <c r="DW94" s="62" t="e">
        <f>IF(COUNTIFS(allFYsTable[Code], SummaryTable[[#This Row],[Code]], allFYsTable[year2], DW$3)=0, NotFound, SUMIFS(allFYsTable[OriginalBudget], allFYsTable[Code], SummaryTable[[#This Row],[Code]], allFYsTable[year2], DW$3))</f>
        <v>#N/A</v>
      </c>
      <c r="DX94" s="61" t="e">
        <f>SummaryTable[[#This Row],[OriginalBudget11]]-SummaryTable[[#This Row],[OriginalBudget10]]</f>
        <v>#N/A</v>
      </c>
      <c r="DY94" s="54" t="e">
        <f>SummaryTable[[#This Row],[BudgetIncreaseAmount11]]/SummaryTable[[#This Row],[OriginalBudget10]]</f>
        <v>#N/A</v>
      </c>
      <c r="DZ94" s="61" t="e">
        <f>IF(COUNTIFS(allFYsTable[Code], SummaryTable[[#This Row],[Code]], allFYsTable[year2], DW$3)=0, NotFound, SUMIFS(allFYsTable[RevisedBudget], allFYsTable[Code], SummaryTable[[#This Row],[Code]], allFYsTable[year2], DW$3))</f>
        <v>#N/A</v>
      </c>
      <c r="EA94" s="61" t="e">
        <f>IF(COUNTIFS(allFYsTable[Code], SummaryTable[[#This Row],[Code]], allFYsTable[year2], DW$3)=0, NotFound, SUMIFS(allFYsTable[Actual], allFYsTable[Code], SummaryTable[[#This Row],[Code]], allFYsTable[year2], DW$3))</f>
        <v>#N/A</v>
      </c>
      <c r="EB94" s="61" t="e">
        <f>IF(COUNTIFS(allFYsTable[Code], SummaryTable[[#This Row],[Code]], allFYsTable[year2], DW$3)=0, NotFound, SUMIFS(allFYsTable[DiffAmount], allFYsTable[Code], SummaryTable[[#This Row],[Code]], allFYsTable[year2], DW$3))</f>
        <v>#N/A</v>
      </c>
      <c r="EC94" s="63" t="e">
        <f>IF(SummaryTable[[#This Row],[OriginalBudget11]]=0, IF(SummaryTable[[#This Row],[DiffAmount11]]=0, ZeroBudgetNoSpending, ZeroBudgetWithSpending), SummaryTable[[#This Row],[DiffAmount11]]/SummaryTable[[#This Row],[OriginalBudget11]])</f>
        <v>#N/A</v>
      </c>
      <c r="ED94" s="62" t="e">
        <f>IF(COUNTIFS(allFYsTable[Code], SummaryTable[[#This Row],[Code]], allFYsTable[year2], ED$3)=0, NotFound, SUMIFS(allFYsTable[OriginalBudget], allFYsTable[Code], SummaryTable[[#This Row],[Code]], allFYsTable[year2], ED$3))</f>
        <v>#N/A</v>
      </c>
      <c r="EE94" s="61" t="e">
        <f>SummaryTable[[#This Row],[OriginalBudget10]]-SummaryTable[[#This Row],[OriginalBudget09]]</f>
        <v>#N/A</v>
      </c>
      <c r="EF94" s="54" t="e">
        <f>SummaryTable[[#This Row],[BudgetIncreaseAmount10]]/SummaryTable[[#This Row],[OriginalBudget09]]</f>
        <v>#N/A</v>
      </c>
      <c r="EG94" s="61" t="e">
        <f>IF(COUNTIFS(allFYsTable[Code], SummaryTable[[#This Row],[Code]], allFYsTable[year2], ED$3)=0, NotFound, SUMIFS(allFYsTable[RevisedBudget], allFYsTable[Code], SummaryTable[[#This Row],[Code]], allFYsTable[year2], ED$3))</f>
        <v>#N/A</v>
      </c>
      <c r="EH94" s="61" t="e">
        <f>IF(COUNTIFS(allFYsTable[Code], SummaryTable[[#This Row],[Code]], allFYsTable[year2], ED$3)=0, NotFound, SUMIFS(allFYsTable[Actual], allFYsTable[Code], SummaryTable[[#This Row],[Code]], allFYsTable[year2], ED$3))</f>
        <v>#N/A</v>
      </c>
      <c r="EI94" s="61" t="e">
        <f>IF(COUNTIFS(allFYsTable[Code], SummaryTable[[#This Row],[Code]], allFYsTable[year2], ED$3)=0, NotFound, SUMIFS(allFYsTable[DiffAmount], allFYsTable[Code], SummaryTable[[#This Row],[Code]], allFYsTable[year2], ED$3))</f>
        <v>#N/A</v>
      </c>
      <c r="EJ94" s="63" t="e">
        <f>IF(SummaryTable[[#This Row],[OriginalBudget10]]=0, IF(SummaryTable[[#This Row],[DiffAmount10]]=0, ZeroBudgetNoSpending, ZeroBudgetWithSpending), SummaryTable[[#This Row],[DiffAmount10]]/SummaryTable[[#This Row],[OriginalBudget10]])</f>
        <v>#N/A</v>
      </c>
      <c r="EK94" s="62" t="e">
        <f>IF(COUNTIFS(allFYsTable[Code], SummaryTable[[#This Row],[Code]], allFYsTable[year2], EK$3)=0, NotFound, SUMIFS(allFYsTable[OriginalBudget], allFYsTable[Code], SummaryTable[[#This Row],[Code]], allFYsTable[year2], EK$3))</f>
        <v>#N/A</v>
      </c>
      <c r="EL94" s="61" t="e">
        <f>SummaryTable[[#This Row],[OriginalBudget09]]-SummaryTable[[#This Row],[OriginalBudget08]]</f>
        <v>#N/A</v>
      </c>
      <c r="EM94" s="54" t="e">
        <f>SummaryTable[[#This Row],[BudgetIncreaseAmount09]]/SummaryTable[[#This Row],[OriginalBudget08]]</f>
        <v>#N/A</v>
      </c>
      <c r="EN94" s="61" t="e">
        <f>IF(COUNTIFS(allFYsTable[Code], SummaryTable[[#This Row],[Code]], allFYsTable[year2], EK$3)=0, NotFound, SUMIFS(allFYsTable[RevisedBudget], allFYsTable[Code], SummaryTable[[#This Row],[Code]], allFYsTable[year2], EK$3))</f>
        <v>#N/A</v>
      </c>
      <c r="EO94" s="61" t="e">
        <f>IF(COUNTIFS(allFYsTable[Code], SummaryTable[[#This Row],[Code]], allFYsTable[year2], EK$3)=0, NotFound, SUMIFS(allFYsTable[Actual], allFYsTable[Code], SummaryTable[[#This Row],[Code]], allFYsTable[year2], EK$3))</f>
        <v>#N/A</v>
      </c>
      <c r="EP94" s="61" t="e">
        <f>IF(COUNTIFS(allFYsTable[Code], SummaryTable[[#This Row],[Code]], allFYsTable[year2], EK$3)=0, NotFound, SUMIFS(allFYsTable[DiffAmount], allFYsTable[Code], SummaryTable[[#This Row],[Code]], allFYsTable[year2], EK$3))</f>
        <v>#N/A</v>
      </c>
      <c r="EQ94" s="63" t="e">
        <f>IF(SummaryTable[[#This Row],[OriginalBudget09]]=0, IF(SummaryTable[[#This Row],[DiffAmount09]]=0, ZeroBudgetNoSpending, ZeroBudgetWithSpending), SummaryTable[[#This Row],[DiffAmount09]]/SummaryTable[[#This Row],[OriginalBudget09]])</f>
        <v>#N/A</v>
      </c>
      <c r="ER94" s="62" t="e">
        <f>IF(COUNTIFS(allFYsTable[Code], SummaryTable[[#This Row],[Code]], allFYsTable[year2], ER$3)=0, NotFound, SUMIFS(allFYsTable[OriginalBudget], allFYsTable[Code], SummaryTable[[#This Row],[Code]], allFYsTable[year2], ER$3))</f>
        <v>#N/A</v>
      </c>
      <c r="ES94" s="61" t="e">
        <f>SummaryTable[[#This Row],[OriginalBudget08]]-SummaryTable[[#This Row],[OriginalBudget07]]</f>
        <v>#N/A</v>
      </c>
      <c r="ET94" s="54" t="e">
        <f>SummaryTable[[#This Row],[BudgetIncreaseAmount08]]/SummaryTable[[#This Row],[OriginalBudget07]]</f>
        <v>#N/A</v>
      </c>
      <c r="EU94" s="61" t="e">
        <f>IF(COUNTIFS(allFYsTable[Code], SummaryTable[[#This Row],[Code]], allFYsTable[year2], ER$3)=0, NotFound, SUMIFS(allFYsTable[RevisedBudget], allFYsTable[Code], SummaryTable[[#This Row],[Code]], allFYsTable[year2], ER$3))</f>
        <v>#N/A</v>
      </c>
      <c r="EV94" s="61" t="e">
        <f>IF(COUNTIFS(allFYsTable[Code], SummaryTable[[#This Row],[Code]], allFYsTable[year2], ER$3)=0, NotFound, SUMIFS(allFYsTable[Actual], allFYsTable[Code], SummaryTable[[#This Row],[Code]], allFYsTable[year2], ER$3))</f>
        <v>#N/A</v>
      </c>
      <c r="EW94" s="61" t="e">
        <f>IF(COUNTIFS(allFYsTable[Code], SummaryTable[[#This Row],[Code]], allFYsTable[year2], ER$3)=0, NotFound, SUMIFS(allFYsTable[DiffAmount], allFYsTable[Code], SummaryTable[[#This Row],[Code]], allFYsTable[year2], ER$3))</f>
        <v>#N/A</v>
      </c>
      <c r="EX94" s="63" t="e">
        <f>IF(SummaryTable[[#This Row],[OriginalBudget08]]=0, IF(SummaryTable[[#This Row],[DiffAmount08]]=0, ZeroBudgetNoSpending, ZeroBudgetWithSpending), SummaryTable[[#This Row],[DiffAmount08]]/SummaryTable[[#This Row],[OriginalBudget08]])</f>
        <v>#N/A</v>
      </c>
      <c r="EY94" s="62" t="e">
        <f>IF(COUNTIFS(allFYsTable[Code], SummaryTable[[#This Row],[Code]], allFYsTable[year2], EY$3)=0, NotFound, SUMIFS(allFYsTable[OriginalBudget], allFYsTable[Code], SummaryTable[[#This Row],[Code]], allFYsTable[year2], EY$3))</f>
        <v>#N/A</v>
      </c>
      <c r="EZ94" s="61" t="e">
        <f>SummaryTable[[#This Row],[OriginalBudget07]]-SummaryTable[[#This Row],[OriginalBudget06]]</f>
        <v>#N/A</v>
      </c>
      <c r="FA94" s="54" t="e">
        <f>SummaryTable[[#This Row],[BudgetIncreaseAmount07]]/SummaryTable[[#This Row],[OriginalBudget06]]</f>
        <v>#N/A</v>
      </c>
      <c r="FB94" s="61" t="e">
        <f>IF(COUNTIFS(allFYsTable[Code], SummaryTable[[#This Row],[Code]], allFYsTable[year2], EY$3)=0, NotFound, SUMIFS(allFYsTable[RevisedBudget], allFYsTable[Code], SummaryTable[[#This Row],[Code]], allFYsTable[year2], EY$3))</f>
        <v>#N/A</v>
      </c>
      <c r="FC94" s="61" t="e">
        <f>IF(COUNTIFS(allFYsTable[Code], SummaryTable[[#This Row],[Code]], allFYsTable[year2], EY$3)=0, NotFound, SUMIFS(allFYsTable[Actual], allFYsTable[Code], SummaryTable[[#This Row],[Code]], allFYsTable[year2], EY$3))</f>
        <v>#N/A</v>
      </c>
      <c r="FD94" s="61" t="e">
        <f>IF(COUNTIFS(allFYsTable[Code], SummaryTable[[#This Row],[Code]], allFYsTable[year2], EY$3)=0, NotFound, SUMIFS(allFYsTable[DiffAmount], allFYsTable[Code], SummaryTable[[#This Row],[Code]], allFYsTable[year2], EY$3))</f>
        <v>#N/A</v>
      </c>
      <c r="FE94" s="63" t="e">
        <f>IF(SummaryTable[[#This Row],[OriginalBudget07]]=0, IF(SummaryTable[[#This Row],[DiffAmount07]]=0, ZeroBudgetNoSpending, ZeroBudgetWithSpending), SummaryTable[[#This Row],[DiffAmount07]]/SummaryTable[[#This Row],[OriginalBudget07]])</f>
        <v>#N/A</v>
      </c>
      <c r="FF94" s="62" t="e">
        <f>IF(COUNTIFS(allFYsTable[Code], SummaryTable[[#This Row],[Code]], allFYsTable[year2], FF$3)=0, NotFound, SUMIFS(allFYsTable[OriginalBudget], allFYsTable[Code], SummaryTable[[#This Row],[Code]], allFYsTable[year2], FF$3))</f>
        <v>#N/A</v>
      </c>
      <c r="FI94" s="61" t="e">
        <f>IF(COUNTIFS(allFYsTable[Code], SummaryTable[[#This Row],[Code]], allFYsTable[year2], FF$3)=0, NotFound, SUMIFS(allFYsTable[RevisedBudget], allFYsTable[Code], SummaryTable[[#This Row],[Code]], allFYsTable[year2], FF$3))</f>
        <v>#N/A</v>
      </c>
      <c r="FJ94" s="61" t="e">
        <f>IF(COUNTIFS(allFYsTable[Code], SummaryTable[[#This Row],[Code]], allFYsTable[year2], FF$3)=0, NotFound, SUMIFS(allFYsTable[Actual], allFYsTable[Code], SummaryTable[[#This Row],[Code]], allFYsTable[year2], FF$3))</f>
        <v>#N/A</v>
      </c>
      <c r="FK94" s="61" t="e">
        <f>IF(COUNTIFS(allFYsTable[Code], SummaryTable[[#This Row],[Code]], allFYsTable[year2], FF$3)=0, NotFound, SUMIFS(allFYsTable[DiffAmount], allFYsTable[Code], SummaryTable[[#This Row],[Code]], allFYsTable[year2], FF$3))</f>
        <v>#N/A</v>
      </c>
      <c r="FL94" s="63" t="e">
        <f>IF(SummaryTable[[#This Row],[OriginalBudget06]]=0, IF(SummaryTable[[#This Row],[DiffAmount06]]=0, ZeroBudgetNoSpending, ZeroBudgetWithSpending), SummaryTable[[#This Row],[DiffAmount06]]/SummaryTable[[#This Row],[OriginalBudget06]])</f>
        <v>#N/A</v>
      </c>
    </row>
    <row r="95" spans="1:168" x14ac:dyDescent="0.45">
      <c r="A95" t="s">
        <v>804</v>
      </c>
      <c r="B95">
        <f>_xlfn.MAXIFS(allFYsTable[year2], allFYsTable[Code], SummaryTable[[#This Row],[Code]])</f>
        <v>2025</v>
      </c>
      <c r="C95" t="str">
        <f>_xlfn.XLOOKUP(SummaryTable[[#This Row],[Code]], NameCodingTable[Code], NameCodingTable[Most Recent Category per allFYs])</f>
        <v>Operations and infrastructure</v>
      </c>
      <c r="D95" t="str">
        <f>_xlfn.XLOOKUP(SummaryTable[[#This Row],[Code]], NameCodingTable[Code], NameCodingTable[Unit Display Name])</f>
        <v xml:space="preserve">Office of the Deputy Mayor for Operations and Infrastructure </v>
      </c>
      <c r="E95" t="str">
        <f>_xlfn.XLOOKUP(SummaryTable[[#This Row],[Code]], NameCodingTable[Code], NameCodingTable[Type])</f>
        <v>agency</v>
      </c>
      <c r="F9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6</v>
      </c>
      <c r="G9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95" s="54">
        <f>SummaryTable[[#This Row],['# Over]]/SummaryTable[[#This Row],[Count]]</f>
        <v>0</v>
      </c>
      <c r="I9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5</v>
      </c>
      <c r="J95" s="54">
        <f>SummaryTable[[#This Row],['# Under]]/SummaryTable[[#This Row],[Count]]</f>
        <v>0.83333333333333337</v>
      </c>
      <c r="K9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95" s="54">
        <f>SummaryTable[[#This Row],['# Equal]]/SummaryTable[[#This Row],[Count]]</f>
        <v>0.16666666666666666</v>
      </c>
      <c r="M95" s="61">
        <f>SUMIFS(allFYsTable[OriginalBudget],allFYsTable[Code],SummaryTable[[#This Row],[Code]])/SummaryTable[[#This Row],[Count]]</f>
        <v>1313</v>
      </c>
      <c r="N95" s="61">
        <f>SUMIFS(allFYsTable[Actual],allFYsTable[Code],SummaryTable[[#This Row],[Code]])/SummaryTable[[#This Row],[Count]]</f>
        <v>1193.3333333333333</v>
      </c>
      <c r="O95" s="61">
        <f>SummaryTable[[#This Row],[AvgActAmt]]-SummaryTable[[#This Row],[AvgBudAmt]]</f>
        <v>-119.66666666666674</v>
      </c>
      <c r="P95" s="54">
        <f>IF(SummaryTable[[#This Row],[AvgBudAmt]]=0, IF(SummaryTable[[#This Row],[AvgDiff'#]]=0, 0, NamedFields!$C$3), SummaryTable[[#This Row],[AvgDiff'#]]/SummaryTable[[#This Row],[AvgBudAmt]])</f>
        <v>-9.1139883219091194E-2</v>
      </c>
      <c r="Q95" s="61">
        <f>IFERROR(SUMIFS(allFYsTable[OriginalBudget],allFYsTable[Code],SummaryTable[[#This Row],[Code]],allFYsTable[DiffAmount], "&gt;0")/SummaryTable[[#This Row],['# Over]], 0)</f>
        <v>0</v>
      </c>
      <c r="R95" s="61">
        <f>IFERROR(SUMIFS(allFYsTable[Actual],allFYsTable[Code],SummaryTable[[#This Row],[Code]],allFYsTable[DiffAmount], "&gt;0")/SummaryTable[[#This Row],['# Over]], 0)</f>
        <v>0</v>
      </c>
      <c r="S95" s="61">
        <f>SummaryTable[[#This Row],[OverAvgAct]]-SummaryTable[[#This Row],[OverAvgBud]]</f>
        <v>0</v>
      </c>
      <c r="T95" s="54">
        <f>IF(SummaryTable[[#This Row],[OverAvgBud]]=0, IF(SummaryTable[[#This Row],[OverAvgDiff'#]]=0, ZeroBudgetNoSpending, ZeroBudgetWithSpending), SummaryTable[[#This Row],[OverAvgDiff'#]]/SummaryTable[[#This Row],[OverAvgBud]])</f>
        <v>0</v>
      </c>
      <c r="U95" s="61">
        <f>IFERROR(SUMIFS(allFYsTable[OriginalBudget],allFYsTable[Code],SummaryTable[[#This Row],[Code]],allFYsTable[DiffAmount], "&lt;0")/SummaryTable[[#This Row],['# Under]], 0)</f>
        <v>1326.8</v>
      </c>
      <c r="V95" s="61">
        <f>IFERROR( SUMIFS(allFYsTable[Actual],allFYsTable[Code],SummaryTable[[#This Row],[Code]],allFYsTable[DiffAmount], "&lt;0")/SummaryTable[[#This Row],['# Under]], 0)</f>
        <v>1183.2</v>
      </c>
      <c r="W95" s="61">
        <f>SummaryTable[[#This Row],[UnderAvgAct]]-SummaryTable[[#This Row],[UnderAvgBud]]</f>
        <v>-143.59999999999991</v>
      </c>
      <c r="X95" s="54">
        <f>IF(SummaryTable[[#This Row],[UnderAvgBud]]=0, IF(SummaryTable[[#This Row],[UnderAvgDiff'#]]=0, ZeroBudgetNoSpending, NamedFields!$C$3), SummaryTable[[#This Row],[UnderAvgDiff'#]]/SummaryTable[[#This Row],[UnderAvgBud]])</f>
        <v>-0.10823032861018987</v>
      </c>
      <c r="Y9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9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95" s="54">
        <f>IF(SummaryTable[[#This Row],[IncreaseYears]]=0, ZeroBudgetNoSpending, SummaryTable[[#This Row],[OSinIncreaseYear'#]]/SummaryTable[[#This Row],[IncreaseYears]])</f>
        <v>0</v>
      </c>
      <c r="AB95" s="58" t="str">
        <f>SummaryTable[[#This Row],[Code]]</f>
        <v>KO0</v>
      </c>
      <c r="AC95" s="62">
        <f>IF(COUNTIFS(allFYsTable[Code], SummaryTable[[#This Row],[Code]], allFYsTable[year2], AC$3)=0, NotFound, SUMIFS(allFYsTable[OriginalBudget], allFYsTable[Code], SummaryTable[[#This Row],[Code]], allFYsTable[year2], AC$3))</f>
        <v>1350</v>
      </c>
      <c r="AD95" s="61">
        <f>SummaryTable[[#This Row],[OriginalBudget25]]-SummaryTable[[#This Row],[OriginalBudget24]]</f>
        <v>-49</v>
      </c>
      <c r="AE95" s="54">
        <f>SummaryTable[[#This Row],[BudgetIncreaseAmount25]]/SummaryTable[[#This Row],[OriginalBudget24]]</f>
        <v>-3.5025017869907075E-2</v>
      </c>
      <c r="AF95" s="61">
        <f>IF(COUNTIFS(allFYsTable[Code], SummaryTable[[#This Row],[Code]], allFYsTable[year2], AC$3)=0, NotFound, SUMIFS(allFYsTable[RevisedBudget], allFYsTable[Code], SummaryTable[[#This Row],[Code]], allFYsTable[year2], AC$3))</f>
        <v>1320</v>
      </c>
      <c r="AG95" s="61">
        <f>IF(COUNTIFS(allFYsTable[Code], SummaryTable[[#This Row],[Code]], allFYsTable[year2], AC$3)=0, NotFound, SUMIFS(allFYsTable[Actual], allFYsTable[Code], SummaryTable[[#This Row],[Code]], allFYsTable[year2], AC$3))</f>
        <v>1090</v>
      </c>
      <c r="AH95" s="61">
        <f>IF(COUNTIFS(allFYsTable[Code], SummaryTable[[#This Row],[Code]], allFYsTable[year2], AC$3)=0, NotFound, SUMIFS(allFYsTable[DiffAmount], allFYsTable[Code], SummaryTable[[#This Row],[Code]], allFYsTable[year2], AC$3))</f>
        <v>-260</v>
      </c>
      <c r="AI95" s="63">
        <f>IF(SummaryTable[[#This Row],[OriginalBudget25]]=0, IF(SummaryTable[[#This Row],[DiffAmount25]]=0, ZeroBudgetNoSpending, ZeroBudgetWithSpending), SummaryTable[[#This Row],[DiffAmount25]]/SummaryTable[[#This Row],[OriginalBudget25]])</f>
        <v>-0.19259259259259259</v>
      </c>
      <c r="AJ95" s="62">
        <f>IF(COUNTIFS(allFYsTable[Code], SummaryTable[[#This Row],[Code]], allFYsTable[year2], AJ$3)=0, NotFound, SUMIFS(allFYsTable[OriginalBudget], allFYsTable[Code], SummaryTable[[#This Row],[Code]], allFYsTable[year2], AJ$3))</f>
        <v>1399</v>
      </c>
      <c r="AK95" s="61">
        <f>SummaryTable[[#This Row],[OriginalBudget24]]-SummaryTable[[#This Row],[OriginalBudget23]]</f>
        <v>116</v>
      </c>
      <c r="AL95" s="54">
        <f>SummaryTable[[#This Row],[BudgetIncreaseAmount24]]/SummaryTable[[#This Row],[OriginalBudget23]]</f>
        <v>9.041309431021044E-2</v>
      </c>
      <c r="AM95" s="61">
        <f>IF(COUNTIFS(allFYsTable[Code], SummaryTable[[#This Row],[Code]], allFYsTable[year2], AK$3)=0, NotFound, SUMIFS(allFYsTable[RevisedBudget], allFYsTable[Code], SummaryTable[[#This Row],[Code]], allFYsTable[year2], AJ$3))</f>
        <v>1399</v>
      </c>
      <c r="AN95" s="61">
        <f>IF(COUNTIFS(allFYsTable[Code], SummaryTable[[#This Row],[Code]], allFYsTable[year2], AJ$3)=0, NotFound, SUMIFS(allFYsTable[Actual], allFYsTable[Code], SummaryTable[[#This Row],[Code]], allFYsTable[year2], AJ$3))</f>
        <v>1392</v>
      </c>
      <c r="AO95" s="61">
        <f>IF(COUNTIFS(allFYsTable[Code], SummaryTable[[#This Row],[Code]], allFYsTable[year2], AJ$3)=0, NotFound, SUMIFS(allFYsTable[DiffAmount], allFYsTable[Code], SummaryTable[[#This Row],[Code]], allFYsTable[year2], AJ$3))</f>
        <v>-7</v>
      </c>
      <c r="AP95" s="63">
        <f>IF(SummaryTable[[#This Row],[OriginalBudget24]]=0, IF(SummaryTable[[#This Row],[DiffAmount24]]=0, ZeroBudgetNoSpending, ZeroBudgetWithSpending), SummaryTable[[#This Row],[DiffAmount24]]/SummaryTable[[#This Row],[OriginalBudget24]])</f>
        <v>-5.003573981415297E-3</v>
      </c>
      <c r="AQ95" s="62">
        <f>IF(COUNTIFS(allFYsTable[Code], SummaryTable[[#This Row],[Code]], allFYsTable[year2], AQ$3)=0, NotFound, SUMIFS(allFYsTable[OriginalBudget], allFYsTable[Code], SummaryTable[[#This Row],[Code]], allFYsTable[year2], AQ$3))</f>
        <v>1283</v>
      </c>
      <c r="AR95" s="61">
        <f>SummaryTable[[#This Row],[OriginalBudget23]]-SummaryTable[[#This Row],[OriginalBudget22]]</f>
        <v>39</v>
      </c>
      <c r="AS95" s="54">
        <f>SummaryTable[[#This Row],[BudgetIncreaseAmount23]]/SummaryTable[[#This Row],[OriginalBudget22]]</f>
        <v>3.1350482315112539E-2</v>
      </c>
      <c r="AT95" s="61">
        <f>IF(COUNTIFS(allFYsTable[Code], SummaryTable[[#This Row],[Code]], allFYsTable[year2], AQ$3)=0, NotFound, SUMIFS(allFYsTable[RevisedBudget], allFYsTable[Code], SummaryTable[[#This Row],[Code]], allFYsTable[year2], AQ$3))</f>
        <v>1283</v>
      </c>
      <c r="AU95" s="61">
        <f>IF(COUNTIFS(allFYsTable[Code], SummaryTable[[#This Row],[Code]], allFYsTable[year2], AQ$3)=0, NotFound, SUMIFS(allFYsTable[Actual], allFYsTable[Code], SummaryTable[[#This Row],[Code]], allFYsTable[year2], AQ$3))</f>
        <v>1162</v>
      </c>
      <c r="AV95" s="61">
        <f>IF(COUNTIFS(allFYsTable[Code], SummaryTable[[#This Row],[Code]], allFYsTable[year2], AQ$3)=0, NotFound, SUMIFS(allFYsTable[DiffAmount], allFYsTable[Code], SummaryTable[[#This Row],[Code]], allFYsTable[year2], AQ$3))</f>
        <v>-121</v>
      </c>
      <c r="AW95" s="63">
        <f>IF(SummaryTable[[#This Row],[OriginalBudget23]]=0, IF(SummaryTable[[#This Row],[DiffAmount23]]=0, ZeroBudgetNoSpending, ZeroBudgetWithSpending), SummaryTable[[#This Row],[DiffAmount23]]/SummaryTable[[#This Row],[OriginalBudget23]])</f>
        <v>-9.4310210444271236E-2</v>
      </c>
      <c r="AX95" s="62">
        <f>IF(COUNTIFS(allFYsTable[Code], SummaryTable[[#This Row],[Code]], allFYsTable[year2], AX$3)=0, NotFound, SUMIFS(allFYsTable[OriginalBudget], allFYsTable[Code], SummaryTable[[#This Row],[Code]], allFYsTable[year2], AX$3))</f>
        <v>1244</v>
      </c>
      <c r="AY95" s="61">
        <f>SummaryTable[[#This Row],[OriginalBudget22]]-SummaryTable[[#This Row],[OriginalBudget21]]</f>
        <v>-54</v>
      </c>
      <c r="AZ95" s="54">
        <f>SummaryTable[[#This Row],[BudgetIncreaseAmount22]]/SummaryTable[[#This Row],[OriginalBudget21]]</f>
        <v>-4.1602465331278891E-2</v>
      </c>
      <c r="BA95" s="61">
        <f>IF(COUNTIFS(allFYsTable[Code], SummaryTable[[#This Row],[Code]], allFYsTable[year2], AX$3)=0, NotFound, SUMIFS(allFYsTable[RevisedBudget], allFYsTable[Code], SummaryTable[[#This Row],[Code]], allFYsTable[year2], AX$3))</f>
        <v>1244</v>
      </c>
      <c r="BB95" s="61">
        <f>IF(COUNTIFS(allFYsTable[Code], SummaryTable[[#This Row],[Code]], allFYsTable[year2], AX$3)=0, NotFound, SUMIFS(allFYsTable[Actual], allFYsTable[Code], SummaryTable[[#This Row],[Code]], allFYsTable[year2], AX$3))</f>
        <v>1244</v>
      </c>
      <c r="BC95" s="61">
        <f>IF(COUNTIFS(allFYsTable[Code], SummaryTable[[#This Row],[Code]], allFYsTable[year2], AX$3)=0, NotFound, SUMIFS(allFYsTable[DiffAmount], allFYsTable[Code], SummaryTable[[#This Row],[Code]], allFYsTable[year2], AX$3))</f>
        <v>0</v>
      </c>
      <c r="BD95" s="63">
        <f>IF(SummaryTable[[#This Row],[OriginalBudget22]]=0, IF(SummaryTable[[#This Row],[DiffAmount22]]=0, ZeroBudgetNoSpending, ZeroBudgetWithSpending), SummaryTable[[#This Row],[DiffAmount22]]/SummaryTable[[#This Row],[OriginalBudget22]])</f>
        <v>0</v>
      </c>
      <c r="BE95" s="62">
        <f>IF(COUNTIFS(allFYsTable[Code], SummaryTable[[#This Row],[Code]], allFYsTable[year2], BE$3)=0, NotFound, SUMIFS(allFYsTable[OriginalBudget], allFYsTable[Code], SummaryTable[[#This Row],[Code]], allFYsTable[year2], BE$3))</f>
        <v>1298</v>
      </c>
      <c r="BF95" s="61">
        <f>SummaryTable[[#This Row],[OriginalBudget21]]-SummaryTable[[#This Row],[OriginalBudget20]]</f>
        <v>-6</v>
      </c>
      <c r="BG95" s="54">
        <f>SummaryTable[[#This Row],[BudgetIncreaseAmount21]]/SummaryTable[[#This Row],[OriginalBudget20]]</f>
        <v>-4.601226993865031E-3</v>
      </c>
      <c r="BH95" s="61">
        <f>IF(COUNTIFS(allFYsTable[Code], SummaryTable[[#This Row],[Code]], allFYsTable[year2], BE$3)=0, NotFound, SUMIFS(allFYsTable[RevisedBudget], allFYsTable[Code], SummaryTable[[#This Row],[Code]], allFYsTable[year2], BE$3))</f>
        <v>1157</v>
      </c>
      <c r="BI95" s="61">
        <f>IF(COUNTIFS(allFYsTable[Code], SummaryTable[[#This Row],[Code]], allFYsTable[year2], BE$3)=0, NotFound, SUMIFS(allFYsTable[Actual], allFYsTable[Code], SummaryTable[[#This Row],[Code]], allFYsTable[year2], BE$3))</f>
        <v>1157</v>
      </c>
      <c r="BJ95" s="61">
        <f>IF(COUNTIFS(allFYsTable[Code], SummaryTable[[#This Row],[Code]], allFYsTable[year2], BE$3)=0, NotFound, SUMIFS(allFYsTable[DiffAmount], allFYsTable[Code], SummaryTable[[#This Row],[Code]], allFYsTable[year2], BE$3))</f>
        <v>-141</v>
      </c>
      <c r="BK95" s="63">
        <f>IF(SummaryTable[[#This Row],[OriginalBudget21]]=0, IF(SummaryTable[[#This Row],[DiffAmount21]]=0, ZeroBudgetNoSpending, ZeroBudgetWithSpending), SummaryTable[[#This Row],[DiffAmount21]]/SummaryTable[[#This Row],[OriginalBudget21]])</f>
        <v>-0.10862865947611711</v>
      </c>
      <c r="BL95" s="62">
        <f>IF(COUNTIFS(allFYsTable[Code], SummaryTable[[#This Row],[Code]], allFYsTable[year2], BL$3)=0, NotFound, SUMIFS(allFYsTable[OriginalBudget], allFYsTable[Code], SummaryTable[[#This Row],[Code]], allFYsTable[year2], BL$3))</f>
        <v>1304</v>
      </c>
      <c r="BM95" s="61" t="e">
        <f>SummaryTable[[#This Row],[OriginalBudget20]]-SummaryTable[[#This Row],[OriginalBudget19]]</f>
        <v>#N/A</v>
      </c>
      <c r="BN95" s="54" t="e">
        <f>SummaryTable[[#This Row],[BudgetIncreaseAmount20]]/SummaryTable[[#This Row],[OriginalBudget19]]</f>
        <v>#N/A</v>
      </c>
      <c r="BO95" s="61">
        <f>IF(COUNTIFS(allFYsTable[Code], SummaryTable[[#This Row],[Code]], allFYsTable[year2], BL$3)=0, NotFound, SUMIFS(allFYsTable[RevisedBudget], allFYsTable[Code], SummaryTable[[#This Row],[Code]], allFYsTable[year2], BL$3))</f>
        <v>1224</v>
      </c>
      <c r="BP95" s="61">
        <f>IF(COUNTIFS(allFYsTable[Code], SummaryTable[[#This Row],[Code]], allFYsTable[year2], BL$3)=0, NotFound, SUMIFS(allFYsTable[Actual], allFYsTable[Code], SummaryTable[[#This Row],[Code]], allFYsTable[year2], BL$3))</f>
        <v>1115</v>
      </c>
      <c r="BQ95" s="61">
        <f>IF(COUNTIFS(allFYsTable[Code], SummaryTable[[#This Row],[Code]], allFYsTable[year2], BL$3)=0, NotFound, SUMIFS(allFYsTable[DiffAmount], allFYsTable[Code], SummaryTable[[#This Row],[Code]], allFYsTable[year2], BL$3))</f>
        <v>-189</v>
      </c>
      <c r="BR95" s="63">
        <f>IF(SummaryTable[[#This Row],[OriginalBudget20]]=0, IF(SummaryTable[[#This Row],[DiffAmount20]]=0, ZeroBudgetNoSpending, ZeroBudgetWithSpending), SummaryTable[[#This Row],[DiffAmount20]]/SummaryTable[[#This Row],[OriginalBudget20]])</f>
        <v>-0.14493865030674846</v>
      </c>
      <c r="BS95" s="62" t="e">
        <f>IF(COUNTIFS(allFYsTable[Code], SummaryTable[[#This Row],[Code]], allFYsTable[year2], BS$3)=0, NotFound, SUMIFS(allFYsTable[OriginalBudget], allFYsTable[Code], SummaryTable[[#This Row],[Code]], allFYsTable[year2], BS$3))</f>
        <v>#N/A</v>
      </c>
      <c r="BT95" s="61" t="e">
        <f>SummaryTable[[#This Row],[OriginalBudget19]]-SummaryTable[[#This Row],[OriginalBudget18]]</f>
        <v>#N/A</v>
      </c>
      <c r="BU95" s="54" t="e">
        <f>SummaryTable[[#This Row],[BudgetIncreaseAmount19]]/SummaryTable[[#This Row],[OriginalBudget18]]</f>
        <v>#N/A</v>
      </c>
      <c r="BV95" s="61" t="e">
        <f>IF(COUNTIFS(allFYsTable[Code], SummaryTable[[#This Row],[Code]], allFYsTable[year2], BS$3)=0, NotFound, SUMIFS(allFYsTable[RevisedBudget], allFYsTable[Code], SummaryTable[[#This Row],[Code]], allFYsTable[year2], BS$3))</f>
        <v>#N/A</v>
      </c>
      <c r="BW95" s="61" t="e">
        <f>IF(COUNTIFS(allFYsTable[Code], SummaryTable[[#This Row],[Code]], allFYsTable[year2], BS$3)=0, NotFound, SUMIFS(allFYsTable[Actual], allFYsTable[Code], SummaryTable[[#This Row],[Code]], allFYsTable[year2], BS$3))</f>
        <v>#N/A</v>
      </c>
      <c r="BX95" s="61" t="e">
        <f>IF(COUNTIFS(allFYsTable[Code], SummaryTable[[#This Row],[Code]], allFYsTable[year2], BS$3)=0, NotFound, SUMIFS(allFYsTable[DiffAmount], allFYsTable[Code], SummaryTable[[#This Row],[Code]], allFYsTable[year2], BS$3))</f>
        <v>#N/A</v>
      </c>
      <c r="BY95" s="63" t="e">
        <f>IF(SummaryTable[[#This Row],[OriginalBudget19]]=0, IF(SummaryTable[[#This Row],[DiffAmount19]]=0, ZeroBudgetNoSpending, ZeroBudgetWithSpending), SummaryTable[[#This Row],[DiffAmount19]]/SummaryTable[[#This Row],[OriginalBudget19]])</f>
        <v>#N/A</v>
      </c>
      <c r="BZ95" s="62" t="e">
        <f>IF(COUNTIFS(allFYsTable[Code], SummaryTable[[#This Row],[Code]], allFYsTable[year2], BZ$3)=0, NotFound, SUMIFS(allFYsTable[OriginalBudget], allFYsTable[Code], SummaryTable[[#This Row],[Code]], allFYsTable[year2], BZ$3))</f>
        <v>#N/A</v>
      </c>
      <c r="CA95" s="61" t="e">
        <f>SummaryTable[[#This Row],[OriginalBudget18]]-SummaryTable[[#This Row],[OriginalBudget17]]</f>
        <v>#N/A</v>
      </c>
      <c r="CB95" s="54" t="e">
        <f>SummaryTable[[#This Row],[BudgetIncreaseAmount18]]/SummaryTable[[#This Row],[OriginalBudget17]]</f>
        <v>#N/A</v>
      </c>
      <c r="CC95" s="61" t="e">
        <f>IF(COUNTIFS(allFYsTable[Code], SummaryTable[[#This Row],[Code]], allFYsTable[year2], BZ$3)=0, NotFound, SUMIFS(allFYsTable[RevisedBudget], allFYsTable[Code], SummaryTable[[#This Row],[Code]], allFYsTable[year2], BZ$3))</f>
        <v>#N/A</v>
      </c>
      <c r="CD95" s="61" t="e">
        <f>IF(COUNTIFS(allFYsTable[Code], SummaryTable[[#This Row],[Code]], allFYsTable[year2], BZ$3)=0, NotFound, SUMIFS(allFYsTable[Actual], allFYsTable[Code], SummaryTable[[#This Row],[Code]], allFYsTable[year2], BZ$3))</f>
        <v>#N/A</v>
      </c>
      <c r="CE95" s="61" t="e">
        <f>IF(COUNTIFS(allFYsTable[Code], SummaryTable[[#This Row],[Code]], allFYsTable[year2], BZ$3)=0, NotFound, SUMIFS(allFYsTable[DiffAmount], allFYsTable[Code], SummaryTable[[#This Row],[Code]], allFYsTable[year2], BZ$3))</f>
        <v>#N/A</v>
      </c>
      <c r="CF95" s="63" t="e">
        <f>IF(SummaryTable[[#This Row],[OriginalBudget18]]=0, IF(SummaryTable[[#This Row],[DiffAmount18]]=0, ZeroBudgetNoSpending, ZeroBudgetWithSpending), SummaryTable[[#This Row],[DiffAmount18]]/SummaryTable[[#This Row],[OriginalBudget18]])</f>
        <v>#N/A</v>
      </c>
      <c r="CG95" s="62" t="e">
        <f>IF(COUNTIFS(allFYsTable[Code], SummaryTable[[#This Row],[Code]], allFYsTable[year2], CG$3)=0, NotFound, SUMIFS(allFYsTable[OriginalBudget], allFYsTable[Code], SummaryTable[[#This Row],[Code]], allFYsTable[year2], CG$3))</f>
        <v>#N/A</v>
      </c>
      <c r="CH95" s="61" t="e">
        <f>SummaryTable[[#This Row],[OriginalBudget17]]-SummaryTable[[#This Row],[OriginalBudget16]]</f>
        <v>#N/A</v>
      </c>
      <c r="CI95" s="54" t="e">
        <f>SummaryTable[[#This Row],[BudgetIncreaseAmount17]]/SummaryTable[[#This Row],[OriginalBudget16]]</f>
        <v>#N/A</v>
      </c>
      <c r="CJ95" s="61" t="e">
        <f>IF(COUNTIFS(allFYsTable[Code], SummaryTable[[#This Row],[Code]], allFYsTable[year2], CG$3)=0, NotFound, SUMIFS(allFYsTable[RevisedBudget], allFYsTable[Code], SummaryTable[[#This Row],[Code]], allFYsTable[year2], CG$3))</f>
        <v>#N/A</v>
      </c>
      <c r="CK95" s="61" t="e">
        <f>IF(COUNTIFS(allFYsTable[Code], SummaryTable[[#This Row],[Code]], allFYsTable[year2], CG$3)=0, NotFound, SUMIFS(allFYsTable[Actual], allFYsTable[Code], SummaryTable[[#This Row],[Code]], allFYsTable[year2], CG$3))</f>
        <v>#N/A</v>
      </c>
      <c r="CL95" s="61" t="e">
        <f>IF(COUNTIFS(allFYsTable[Code], SummaryTable[[#This Row],[Code]], allFYsTable[year2], CG$3)=0, NotFound, SUMIFS(allFYsTable[DiffAmount], allFYsTable[Code], SummaryTable[[#This Row],[Code]], allFYsTable[year2], CG$3))</f>
        <v>#N/A</v>
      </c>
      <c r="CM95" s="63" t="e">
        <f>IF(SummaryTable[[#This Row],[OriginalBudget17]]=0, IF(SummaryTable[[#This Row],[DiffAmount17]]=0, ZeroBudgetNoSpending, ZeroBudgetWithSpending), SummaryTable[[#This Row],[DiffAmount17]]/SummaryTable[[#This Row],[OriginalBudget17]])</f>
        <v>#N/A</v>
      </c>
      <c r="CN95" s="62" t="e">
        <f>IF(COUNTIFS(allFYsTable[Code], SummaryTable[[#This Row],[Code]], allFYsTable[year2], CN$3)=0, NotFound, SUMIFS(allFYsTable[OriginalBudget], allFYsTable[Code], SummaryTable[[#This Row],[Code]], allFYsTable[year2], CN$3))</f>
        <v>#N/A</v>
      </c>
      <c r="CO95" s="61" t="e">
        <f>SummaryTable[[#This Row],[OriginalBudget16]]-SummaryTable[[#This Row],[OriginalBudget15]]</f>
        <v>#N/A</v>
      </c>
      <c r="CP95" s="54" t="e">
        <f>SummaryTable[[#This Row],[BudgetIncreaseAmount16]]/SummaryTable[[#This Row],[OriginalBudget15]]</f>
        <v>#N/A</v>
      </c>
      <c r="CQ95" s="61" t="e">
        <f>IF(COUNTIFS(allFYsTable[Code], SummaryTable[[#This Row],[Code]], allFYsTable[year2], CN$3)=0, NotFound, SUMIFS(allFYsTable[RevisedBudget], allFYsTable[Code], SummaryTable[[#This Row],[Code]], allFYsTable[year2], CN$3))</f>
        <v>#N/A</v>
      </c>
      <c r="CR95" s="61" t="e">
        <f>IF(COUNTIFS(allFYsTable[Code], SummaryTable[[#This Row],[Code]], allFYsTable[year2], CN$3)=0, NotFound, SUMIFS(allFYsTable[Actual], allFYsTable[Code], SummaryTable[[#This Row],[Code]], allFYsTable[year2], CN$3))</f>
        <v>#N/A</v>
      </c>
      <c r="CS95" s="61" t="e">
        <f>IF(COUNTIFS(allFYsTable[Code], SummaryTable[[#This Row],[Code]], allFYsTable[year2], CN$3)=0, NotFound, SUMIFS(allFYsTable[DiffAmount], allFYsTable[Code], SummaryTable[[#This Row],[Code]], allFYsTable[year2], CN$3))</f>
        <v>#N/A</v>
      </c>
      <c r="CT95" s="63" t="e">
        <f>IF(SummaryTable[[#This Row],[OriginalBudget16]]=0, IF(SummaryTable[[#This Row],[DiffAmount16]]=0, ZeroBudgetNoSpending, ZeroBudgetWithSpending), SummaryTable[[#This Row],[DiffAmount16]]/SummaryTable[[#This Row],[OriginalBudget16]])</f>
        <v>#N/A</v>
      </c>
      <c r="CU95" s="62" t="e">
        <f>IF(COUNTIFS(allFYsTable[Code], SummaryTable[[#This Row],[Code]], allFYsTable[year2], CU$3)=0, NotFound, SUMIFS(allFYsTable[OriginalBudget], allFYsTable[Code], SummaryTable[[#This Row],[Code]], allFYsTable[year2], CU$3))</f>
        <v>#N/A</v>
      </c>
      <c r="CV95" s="61" t="e">
        <f>SummaryTable[[#This Row],[OriginalBudget15]]-SummaryTable[[#This Row],[OriginalBudget14]]</f>
        <v>#N/A</v>
      </c>
      <c r="CW95" s="54" t="e">
        <f>SummaryTable[[#This Row],[BudgetIncreaseAmount15]]/SummaryTable[[#This Row],[OriginalBudget14]]</f>
        <v>#N/A</v>
      </c>
      <c r="CX95" s="61" t="e">
        <f>IF(COUNTIFS(allFYsTable[Code], SummaryTable[[#This Row],[Code]], allFYsTable[year2], CU$3)=0, NotFound, SUMIFS(allFYsTable[RevisedBudget], allFYsTable[Code], SummaryTable[[#This Row],[Code]], allFYsTable[year2], CU$3))</f>
        <v>#N/A</v>
      </c>
      <c r="CY95" s="61" t="e">
        <f>IF(COUNTIFS(allFYsTable[Code], SummaryTable[[#This Row],[Code]], allFYsTable[year2], CU$3)=0, NotFound, SUMIFS(allFYsTable[Actual], allFYsTable[Code], SummaryTable[[#This Row],[Code]], allFYsTable[year2], CU$3))</f>
        <v>#N/A</v>
      </c>
      <c r="CZ95" s="61" t="e">
        <f>IF(COUNTIFS(allFYsTable[Code], SummaryTable[[#This Row],[Code]], allFYsTable[year2], CU$3)=0, NotFound, SUMIFS(allFYsTable[DiffAmount], allFYsTable[Code], SummaryTable[[#This Row],[Code]], allFYsTable[year2], CU$3))</f>
        <v>#N/A</v>
      </c>
      <c r="DA95" s="63" t="e">
        <f>IF(SummaryTable[[#This Row],[OriginalBudget15]]=0, IF(SummaryTable[[#This Row],[DiffAmount15]]=0, ZeroBudgetNoSpending, ZeroBudgetWithSpending), SummaryTable[[#This Row],[DiffAmount15]]/SummaryTable[[#This Row],[OriginalBudget15]])</f>
        <v>#N/A</v>
      </c>
      <c r="DB95" s="62" t="e">
        <f>IF(COUNTIFS(allFYsTable[Code], SummaryTable[[#This Row],[Code]], allFYsTable[year2], DB$3)=0, NotFound, SUMIFS(allFYsTable[OriginalBudget], allFYsTable[Code], SummaryTable[[#This Row],[Code]], allFYsTable[year2], DB$3))</f>
        <v>#N/A</v>
      </c>
      <c r="DC95" s="61" t="e">
        <f>SummaryTable[[#This Row],[OriginalBudget14]]-SummaryTable[[#This Row],[OriginalBudget13]]</f>
        <v>#N/A</v>
      </c>
      <c r="DD95" s="54" t="e">
        <f>SummaryTable[[#This Row],[BudgetIncreaseAmount14]]/SummaryTable[[#This Row],[OriginalBudget13]]</f>
        <v>#N/A</v>
      </c>
      <c r="DE95" s="61" t="e">
        <f>IF(COUNTIFS(allFYsTable[Code], SummaryTable[[#This Row],[Code]], allFYsTable[year2], DB$3)=0, NotFound, SUMIFS(allFYsTable[RevisedBudget], allFYsTable[Code], SummaryTable[[#This Row],[Code]], allFYsTable[year2], DB$3))</f>
        <v>#N/A</v>
      </c>
      <c r="DF95" s="61" t="e">
        <f>IF(COUNTIFS(allFYsTable[Code], SummaryTable[[#This Row],[Code]], allFYsTable[year2], DB$3)=0, NotFound, SUMIFS(allFYsTable[Actual], allFYsTable[Code], SummaryTable[[#This Row],[Code]], allFYsTable[year2], DB$3))</f>
        <v>#N/A</v>
      </c>
      <c r="DG95" s="61" t="e">
        <f>IF(COUNTIFS(allFYsTable[Code], SummaryTable[[#This Row],[Code]], allFYsTable[year2], DB$3)=0, NotFound, SUMIFS(allFYsTable[DiffAmount], allFYsTable[Code], SummaryTable[[#This Row],[Code]], allFYsTable[year2], DB$3))</f>
        <v>#N/A</v>
      </c>
      <c r="DH95" s="63" t="e">
        <f>IF(SummaryTable[[#This Row],[OriginalBudget14]]=0, IF(SummaryTable[[#This Row],[DiffAmount14]]=0, ZeroBudgetNoSpending, ZeroBudgetWithSpending), SummaryTable[[#This Row],[DiffAmount14]]/SummaryTable[[#This Row],[OriginalBudget14]])</f>
        <v>#N/A</v>
      </c>
      <c r="DI95" s="62" t="e">
        <f>IF(COUNTIFS(allFYsTable[Code], SummaryTable[[#This Row],[Code]], allFYsTable[year2], DI$3)=0, NotFound, SUMIFS(allFYsTable[OriginalBudget], allFYsTable[Code], SummaryTable[[#This Row],[Code]], allFYsTable[year2], DI$3))</f>
        <v>#N/A</v>
      </c>
      <c r="DJ95" s="61" t="e">
        <f>SummaryTable[[#This Row],[OriginalBudget13]]-SummaryTable[[#This Row],[OriginalBudget12]]</f>
        <v>#N/A</v>
      </c>
      <c r="DK95" s="54" t="e">
        <f>SummaryTable[[#This Row],[BudgetIncreaseAmount13]]/SummaryTable[[#This Row],[OriginalBudget12]]</f>
        <v>#N/A</v>
      </c>
      <c r="DL95" s="61" t="e">
        <f>IF(COUNTIFS(allFYsTable[Code], SummaryTable[[#This Row],[Code]], allFYsTable[year2], DI$3)=0, NotFound, SUMIFS(allFYsTable[RevisedBudget], allFYsTable[Code], SummaryTable[[#This Row],[Code]], allFYsTable[year2], DI$3))</f>
        <v>#N/A</v>
      </c>
      <c r="DM95" s="61" t="e">
        <f>IF(COUNTIFS(allFYsTable[Code], SummaryTable[[#This Row],[Code]], allFYsTable[year2], DI$3)=0, NotFound, SUMIFS(allFYsTable[Actual], allFYsTable[Code], SummaryTable[[#This Row],[Code]], allFYsTable[year2], DI$3))</f>
        <v>#N/A</v>
      </c>
      <c r="DN95" s="61" t="e">
        <f>IF(COUNTIFS(allFYsTable[Code], SummaryTable[[#This Row],[Code]], allFYsTable[year2], DI$3)=0, NotFound, SUMIFS(allFYsTable[DiffAmount], allFYsTable[Code], SummaryTable[[#This Row],[Code]], allFYsTable[year2], DI$3))</f>
        <v>#N/A</v>
      </c>
      <c r="DO95" s="63" t="e">
        <f>IF(SummaryTable[[#This Row],[OriginalBudget13]]=0, IF(SummaryTable[[#This Row],[DiffAmount13]]=0, ZeroBudgetNoSpending, ZeroBudgetWithSpending), SummaryTable[[#This Row],[DiffAmount13]]/SummaryTable[[#This Row],[OriginalBudget13]])</f>
        <v>#N/A</v>
      </c>
      <c r="DP95" s="62" t="e">
        <f>IF(COUNTIFS(allFYsTable[Code], SummaryTable[[#This Row],[Code]], allFYsTable[year2], DP$3)=0, NotFound, SUMIFS(allFYsTable[OriginalBudget], allFYsTable[Code], SummaryTable[[#This Row],[Code]], allFYsTable[year2], DP$3))</f>
        <v>#N/A</v>
      </c>
      <c r="DQ95" s="61" t="e">
        <f>SummaryTable[[#This Row],[OriginalBudget12]]-SummaryTable[[#This Row],[OriginalBudget11]]</f>
        <v>#N/A</v>
      </c>
      <c r="DR95" s="54" t="e">
        <f>SummaryTable[[#This Row],[BudgetIncreaseAmount12]]/SummaryTable[[#This Row],[OriginalBudget11]]</f>
        <v>#N/A</v>
      </c>
      <c r="DS95" s="61" t="e">
        <f>IF(COUNTIFS(allFYsTable[Code], SummaryTable[[#This Row],[Code]], allFYsTable[year2], DP$3)=0, NotFound, SUMIFS(allFYsTable[RevisedBudget], allFYsTable[Code], SummaryTable[[#This Row],[Code]], allFYsTable[year2], DP$3))</f>
        <v>#N/A</v>
      </c>
      <c r="DT95" s="61" t="e">
        <f>IF(COUNTIFS(allFYsTable[Code], SummaryTable[[#This Row],[Code]], allFYsTable[year2], DP$3)=0, NotFound, SUMIFS(allFYsTable[Actual], allFYsTable[Code], SummaryTable[[#This Row],[Code]], allFYsTable[year2], DP$3))</f>
        <v>#N/A</v>
      </c>
      <c r="DU95" s="61" t="e">
        <f>IF(COUNTIFS(allFYsTable[Code], SummaryTable[[#This Row],[Code]], allFYsTable[year2], DP$3)=0, NotFound, SUMIFS(allFYsTable[DiffAmount], allFYsTable[Code], SummaryTable[[#This Row],[Code]], allFYsTable[year2], DP$3))</f>
        <v>#N/A</v>
      </c>
      <c r="DV95" s="63" t="e">
        <f>IF(SummaryTable[[#This Row],[OriginalBudget12]]=0, IF(SummaryTable[[#This Row],[DiffAmount12]]=0, ZeroBudgetNoSpending, ZeroBudgetWithSpending), SummaryTable[[#This Row],[DiffAmount12]]/SummaryTable[[#This Row],[OriginalBudget12]])</f>
        <v>#N/A</v>
      </c>
      <c r="DW95" s="62" t="e">
        <f>IF(COUNTIFS(allFYsTable[Code], SummaryTable[[#This Row],[Code]], allFYsTable[year2], DW$3)=0, NotFound, SUMIFS(allFYsTable[OriginalBudget], allFYsTable[Code], SummaryTable[[#This Row],[Code]], allFYsTable[year2], DW$3))</f>
        <v>#N/A</v>
      </c>
      <c r="DX95" s="61" t="e">
        <f>SummaryTable[[#This Row],[OriginalBudget11]]-SummaryTable[[#This Row],[OriginalBudget10]]</f>
        <v>#N/A</v>
      </c>
      <c r="DY95" s="54" t="e">
        <f>SummaryTable[[#This Row],[BudgetIncreaseAmount11]]/SummaryTable[[#This Row],[OriginalBudget10]]</f>
        <v>#N/A</v>
      </c>
      <c r="DZ95" s="61" t="e">
        <f>IF(COUNTIFS(allFYsTable[Code], SummaryTable[[#This Row],[Code]], allFYsTable[year2], DW$3)=0, NotFound, SUMIFS(allFYsTable[RevisedBudget], allFYsTable[Code], SummaryTable[[#This Row],[Code]], allFYsTable[year2], DW$3))</f>
        <v>#N/A</v>
      </c>
      <c r="EA95" s="61" t="e">
        <f>IF(COUNTIFS(allFYsTable[Code], SummaryTable[[#This Row],[Code]], allFYsTable[year2], DW$3)=0, NotFound, SUMIFS(allFYsTable[Actual], allFYsTable[Code], SummaryTable[[#This Row],[Code]], allFYsTable[year2], DW$3))</f>
        <v>#N/A</v>
      </c>
      <c r="EB95" s="61" t="e">
        <f>IF(COUNTIFS(allFYsTable[Code], SummaryTable[[#This Row],[Code]], allFYsTable[year2], DW$3)=0, NotFound, SUMIFS(allFYsTable[DiffAmount], allFYsTable[Code], SummaryTable[[#This Row],[Code]], allFYsTable[year2], DW$3))</f>
        <v>#N/A</v>
      </c>
      <c r="EC95" s="63" t="e">
        <f>IF(SummaryTable[[#This Row],[OriginalBudget11]]=0, IF(SummaryTable[[#This Row],[DiffAmount11]]=0, ZeroBudgetNoSpending, ZeroBudgetWithSpending), SummaryTable[[#This Row],[DiffAmount11]]/SummaryTable[[#This Row],[OriginalBudget11]])</f>
        <v>#N/A</v>
      </c>
      <c r="ED95" s="62" t="e">
        <f>IF(COUNTIFS(allFYsTable[Code], SummaryTable[[#This Row],[Code]], allFYsTable[year2], ED$3)=0, NotFound, SUMIFS(allFYsTable[OriginalBudget], allFYsTable[Code], SummaryTable[[#This Row],[Code]], allFYsTable[year2], ED$3))</f>
        <v>#N/A</v>
      </c>
      <c r="EE95" s="61" t="e">
        <f>SummaryTable[[#This Row],[OriginalBudget10]]-SummaryTable[[#This Row],[OriginalBudget09]]</f>
        <v>#N/A</v>
      </c>
      <c r="EF95" s="54" t="e">
        <f>SummaryTable[[#This Row],[BudgetIncreaseAmount10]]/SummaryTable[[#This Row],[OriginalBudget09]]</f>
        <v>#N/A</v>
      </c>
      <c r="EG95" s="61" t="e">
        <f>IF(COUNTIFS(allFYsTable[Code], SummaryTable[[#This Row],[Code]], allFYsTable[year2], ED$3)=0, NotFound, SUMIFS(allFYsTable[RevisedBudget], allFYsTable[Code], SummaryTable[[#This Row],[Code]], allFYsTable[year2], ED$3))</f>
        <v>#N/A</v>
      </c>
      <c r="EH95" s="61" t="e">
        <f>IF(COUNTIFS(allFYsTable[Code], SummaryTable[[#This Row],[Code]], allFYsTable[year2], ED$3)=0, NotFound, SUMIFS(allFYsTable[Actual], allFYsTable[Code], SummaryTable[[#This Row],[Code]], allFYsTable[year2], ED$3))</f>
        <v>#N/A</v>
      </c>
      <c r="EI95" s="61" t="e">
        <f>IF(COUNTIFS(allFYsTable[Code], SummaryTable[[#This Row],[Code]], allFYsTable[year2], ED$3)=0, NotFound, SUMIFS(allFYsTable[DiffAmount], allFYsTable[Code], SummaryTable[[#This Row],[Code]], allFYsTable[year2], ED$3))</f>
        <v>#N/A</v>
      </c>
      <c r="EJ95" s="63" t="e">
        <f>IF(SummaryTable[[#This Row],[OriginalBudget10]]=0, IF(SummaryTable[[#This Row],[DiffAmount10]]=0, ZeroBudgetNoSpending, ZeroBudgetWithSpending), SummaryTable[[#This Row],[DiffAmount10]]/SummaryTable[[#This Row],[OriginalBudget10]])</f>
        <v>#N/A</v>
      </c>
      <c r="EK95" s="62" t="e">
        <f>IF(COUNTIFS(allFYsTable[Code], SummaryTable[[#This Row],[Code]], allFYsTable[year2], EK$3)=0, NotFound, SUMIFS(allFYsTable[OriginalBudget], allFYsTable[Code], SummaryTable[[#This Row],[Code]], allFYsTable[year2], EK$3))</f>
        <v>#N/A</v>
      </c>
      <c r="EL95" s="61" t="e">
        <f>SummaryTable[[#This Row],[OriginalBudget09]]-SummaryTable[[#This Row],[OriginalBudget08]]</f>
        <v>#N/A</v>
      </c>
      <c r="EM95" s="54" t="e">
        <f>SummaryTable[[#This Row],[BudgetIncreaseAmount09]]/SummaryTable[[#This Row],[OriginalBudget08]]</f>
        <v>#N/A</v>
      </c>
      <c r="EN95" s="61" t="e">
        <f>IF(COUNTIFS(allFYsTable[Code], SummaryTable[[#This Row],[Code]], allFYsTable[year2], EK$3)=0, NotFound, SUMIFS(allFYsTable[RevisedBudget], allFYsTable[Code], SummaryTable[[#This Row],[Code]], allFYsTable[year2], EK$3))</f>
        <v>#N/A</v>
      </c>
      <c r="EO95" s="61" t="e">
        <f>IF(COUNTIFS(allFYsTable[Code], SummaryTable[[#This Row],[Code]], allFYsTable[year2], EK$3)=0, NotFound, SUMIFS(allFYsTable[Actual], allFYsTable[Code], SummaryTable[[#This Row],[Code]], allFYsTable[year2], EK$3))</f>
        <v>#N/A</v>
      </c>
      <c r="EP95" s="61" t="e">
        <f>IF(COUNTIFS(allFYsTable[Code], SummaryTable[[#This Row],[Code]], allFYsTable[year2], EK$3)=0, NotFound, SUMIFS(allFYsTable[DiffAmount], allFYsTable[Code], SummaryTable[[#This Row],[Code]], allFYsTable[year2], EK$3))</f>
        <v>#N/A</v>
      </c>
      <c r="EQ95" s="63" t="e">
        <f>IF(SummaryTable[[#This Row],[OriginalBudget09]]=0, IF(SummaryTable[[#This Row],[DiffAmount09]]=0, ZeroBudgetNoSpending, ZeroBudgetWithSpending), SummaryTable[[#This Row],[DiffAmount09]]/SummaryTable[[#This Row],[OriginalBudget09]])</f>
        <v>#N/A</v>
      </c>
      <c r="ER95" s="62" t="e">
        <f>IF(COUNTIFS(allFYsTable[Code], SummaryTable[[#This Row],[Code]], allFYsTable[year2], ER$3)=0, NotFound, SUMIFS(allFYsTable[OriginalBudget], allFYsTable[Code], SummaryTable[[#This Row],[Code]], allFYsTable[year2], ER$3))</f>
        <v>#N/A</v>
      </c>
      <c r="ES95" s="61" t="e">
        <f>SummaryTable[[#This Row],[OriginalBudget08]]-SummaryTable[[#This Row],[OriginalBudget07]]</f>
        <v>#N/A</v>
      </c>
      <c r="ET95" s="54" t="e">
        <f>SummaryTable[[#This Row],[BudgetIncreaseAmount08]]/SummaryTable[[#This Row],[OriginalBudget07]]</f>
        <v>#N/A</v>
      </c>
      <c r="EU95" s="61" t="e">
        <f>IF(COUNTIFS(allFYsTable[Code], SummaryTable[[#This Row],[Code]], allFYsTable[year2], ER$3)=0, NotFound, SUMIFS(allFYsTable[RevisedBudget], allFYsTable[Code], SummaryTable[[#This Row],[Code]], allFYsTable[year2], ER$3))</f>
        <v>#N/A</v>
      </c>
      <c r="EV95" s="61" t="e">
        <f>IF(COUNTIFS(allFYsTable[Code], SummaryTable[[#This Row],[Code]], allFYsTable[year2], ER$3)=0, NotFound, SUMIFS(allFYsTable[Actual], allFYsTable[Code], SummaryTable[[#This Row],[Code]], allFYsTable[year2], ER$3))</f>
        <v>#N/A</v>
      </c>
      <c r="EW95" s="61" t="e">
        <f>IF(COUNTIFS(allFYsTable[Code], SummaryTable[[#This Row],[Code]], allFYsTable[year2], ER$3)=0, NotFound, SUMIFS(allFYsTable[DiffAmount], allFYsTable[Code], SummaryTable[[#This Row],[Code]], allFYsTable[year2], ER$3))</f>
        <v>#N/A</v>
      </c>
      <c r="EX95" s="63" t="e">
        <f>IF(SummaryTable[[#This Row],[OriginalBudget08]]=0, IF(SummaryTable[[#This Row],[DiffAmount08]]=0, ZeroBudgetNoSpending, ZeroBudgetWithSpending), SummaryTable[[#This Row],[DiffAmount08]]/SummaryTable[[#This Row],[OriginalBudget08]])</f>
        <v>#N/A</v>
      </c>
      <c r="EY95" s="62" t="e">
        <f>IF(COUNTIFS(allFYsTable[Code], SummaryTable[[#This Row],[Code]], allFYsTable[year2], EY$3)=0, NotFound, SUMIFS(allFYsTable[OriginalBudget], allFYsTable[Code], SummaryTable[[#This Row],[Code]], allFYsTable[year2], EY$3))</f>
        <v>#N/A</v>
      </c>
      <c r="EZ95" s="61" t="e">
        <f>SummaryTable[[#This Row],[OriginalBudget07]]-SummaryTable[[#This Row],[OriginalBudget06]]</f>
        <v>#N/A</v>
      </c>
      <c r="FA95" s="54" t="e">
        <f>SummaryTable[[#This Row],[BudgetIncreaseAmount07]]/SummaryTable[[#This Row],[OriginalBudget06]]</f>
        <v>#N/A</v>
      </c>
      <c r="FB95" s="61" t="e">
        <f>IF(COUNTIFS(allFYsTable[Code], SummaryTable[[#This Row],[Code]], allFYsTable[year2], EY$3)=0, NotFound, SUMIFS(allFYsTable[RevisedBudget], allFYsTable[Code], SummaryTable[[#This Row],[Code]], allFYsTable[year2], EY$3))</f>
        <v>#N/A</v>
      </c>
      <c r="FC95" s="61" t="e">
        <f>IF(COUNTIFS(allFYsTable[Code], SummaryTable[[#This Row],[Code]], allFYsTable[year2], EY$3)=0, NotFound, SUMIFS(allFYsTable[Actual], allFYsTable[Code], SummaryTable[[#This Row],[Code]], allFYsTable[year2], EY$3))</f>
        <v>#N/A</v>
      </c>
      <c r="FD95" s="61" t="e">
        <f>IF(COUNTIFS(allFYsTable[Code], SummaryTable[[#This Row],[Code]], allFYsTable[year2], EY$3)=0, NotFound, SUMIFS(allFYsTable[DiffAmount], allFYsTable[Code], SummaryTable[[#This Row],[Code]], allFYsTable[year2], EY$3))</f>
        <v>#N/A</v>
      </c>
      <c r="FE95" s="63" t="e">
        <f>IF(SummaryTable[[#This Row],[OriginalBudget07]]=0, IF(SummaryTable[[#This Row],[DiffAmount07]]=0, ZeroBudgetNoSpending, ZeroBudgetWithSpending), SummaryTable[[#This Row],[DiffAmount07]]/SummaryTable[[#This Row],[OriginalBudget07]])</f>
        <v>#N/A</v>
      </c>
      <c r="FF95" s="62" t="e">
        <f>IF(COUNTIFS(allFYsTable[Code], SummaryTable[[#This Row],[Code]], allFYsTable[year2], FF$3)=0, NotFound, SUMIFS(allFYsTable[OriginalBudget], allFYsTable[Code], SummaryTable[[#This Row],[Code]], allFYsTable[year2], FF$3))</f>
        <v>#N/A</v>
      </c>
      <c r="FI95" s="61" t="e">
        <f>IF(COUNTIFS(allFYsTable[Code], SummaryTable[[#This Row],[Code]], allFYsTable[year2], FF$3)=0, NotFound, SUMIFS(allFYsTable[RevisedBudget], allFYsTable[Code], SummaryTable[[#This Row],[Code]], allFYsTable[year2], FF$3))</f>
        <v>#N/A</v>
      </c>
      <c r="FJ95" s="61" t="e">
        <f>IF(COUNTIFS(allFYsTable[Code], SummaryTable[[#This Row],[Code]], allFYsTable[year2], FF$3)=0, NotFound, SUMIFS(allFYsTable[Actual], allFYsTable[Code], SummaryTable[[#This Row],[Code]], allFYsTable[year2], FF$3))</f>
        <v>#N/A</v>
      </c>
      <c r="FK95" s="61" t="e">
        <f>IF(COUNTIFS(allFYsTable[Code], SummaryTable[[#This Row],[Code]], allFYsTable[year2], FF$3)=0, NotFound, SUMIFS(allFYsTable[DiffAmount], allFYsTable[Code], SummaryTable[[#This Row],[Code]], allFYsTable[year2], FF$3))</f>
        <v>#N/A</v>
      </c>
      <c r="FL95" s="63" t="e">
        <f>IF(SummaryTable[[#This Row],[OriginalBudget06]]=0, IF(SummaryTable[[#This Row],[DiffAmount06]]=0, ZeroBudgetNoSpending, ZeroBudgetWithSpending), SummaryTable[[#This Row],[DiffAmount06]]/SummaryTable[[#This Row],[OriginalBudget06]])</f>
        <v>#N/A</v>
      </c>
    </row>
    <row r="96" spans="1:168" x14ac:dyDescent="0.45">
      <c r="A96" t="s">
        <v>743</v>
      </c>
      <c r="B96">
        <f>_xlfn.MAXIFS(allFYsTable[year2], allFYsTable[Code], SummaryTable[[#This Row],[Code]])</f>
        <v>2025</v>
      </c>
      <c r="C96" t="str">
        <f>_xlfn.XLOOKUP(SummaryTable[[#This Row],[Code]], NameCodingTable[Code], NameCodingTable[Most Recent Category per allFYs])</f>
        <v>Economic development and regulation</v>
      </c>
      <c r="D96" t="str">
        <f>_xlfn.XLOOKUP(SummaryTable[[#This Row],[Code]], NameCodingTable[Code], NameCodingTable[Unit Display Name])</f>
        <v>Office of the Deputy Mayor for Planning and Economic Development (DMPED)</v>
      </c>
      <c r="E96" t="str">
        <f>_xlfn.XLOOKUP(SummaryTable[[#This Row],[Code]], NameCodingTable[Code], NameCodingTable[Type])</f>
        <v>agency</v>
      </c>
      <c r="F9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9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12</v>
      </c>
      <c r="H96" s="54">
        <f>SummaryTable[[#This Row],['# Over]]/SummaryTable[[#This Row],[Count]]</f>
        <v>0.6</v>
      </c>
      <c r="I9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8</v>
      </c>
      <c r="J96" s="54">
        <f>SummaryTable[[#This Row],['# Under]]/SummaryTable[[#This Row],[Count]]</f>
        <v>0.4</v>
      </c>
      <c r="K9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6" s="54">
        <f>SummaryTable[[#This Row],['# Equal]]/SummaryTable[[#This Row],[Count]]</f>
        <v>0</v>
      </c>
      <c r="M96" s="61">
        <f>SUMIFS(allFYsTable[OriginalBudget],allFYsTable[Code],SummaryTable[[#This Row],[Code]])/SummaryTable[[#This Row],[Count]]</f>
        <v>29820.15</v>
      </c>
      <c r="N96" s="61">
        <f>SUMIFS(allFYsTable[Actual],allFYsTable[Code],SummaryTable[[#This Row],[Code]])/SummaryTable[[#This Row],[Count]]</f>
        <v>33748.449999999997</v>
      </c>
      <c r="O96" s="61">
        <f>SummaryTable[[#This Row],[AvgActAmt]]-SummaryTable[[#This Row],[AvgBudAmt]]</f>
        <v>3928.2999999999956</v>
      </c>
      <c r="P96" s="54">
        <f>IF(SummaryTable[[#This Row],[AvgBudAmt]]=0, IF(SummaryTable[[#This Row],[AvgDiff'#]]=0, 0, NamedFields!$C$3), SummaryTable[[#This Row],[AvgDiff'#]]/SummaryTable[[#This Row],[AvgBudAmt]])</f>
        <v>0.13173307310660728</v>
      </c>
      <c r="Q96" s="61">
        <f>IFERROR(SUMIFS(allFYsTable[OriginalBudget],allFYsTable[Code],SummaryTable[[#This Row],[Code]],allFYsTable[DiffAmount], "&gt;0")/SummaryTable[[#This Row],['# Over]], 0)</f>
        <v>20892.5</v>
      </c>
      <c r="R96" s="61">
        <f>IFERROR(SUMIFS(allFYsTable[Actual],allFYsTable[Code],SummaryTable[[#This Row],[Code]],allFYsTable[DiffAmount], "&gt;0")/SummaryTable[[#This Row],['# Over]], 0)</f>
        <v>31673.75</v>
      </c>
      <c r="S96" s="61">
        <f>SummaryTable[[#This Row],[OverAvgAct]]-SummaryTable[[#This Row],[OverAvgBud]]</f>
        <v>10781.25</v>
      </c>
      <c r="T96" s="54">
        <f>IF(SummaryTable[[#This Row],[OverAvgBud]]=0, IF(SummaryTable[[#This Row],[OverAvgDiff'#]]=0, ZeroBudgetNoSpending, ZeroBudgetWithSpending), SummaryTable[[#This Row],[OverAvgDiff'#]]/SummaryTable[[#This Row],[OverAvgBud]])</f>
        <v>0.51603446212755777</v>
      </c>
      <c r="U96" s="61">
        <f>IFERROR(SUMIFS(allFYsTable[OriginalBudget],allFYsTable[Code],SummaryTable[[#This Row],[Code]],allFYsTable[DiffAmount], "&lt;0")/SummaryTable[[#This Row],['# Under]], 0)</f>
        <v>43211.625</v>
      </c>
      <c r="V96" s="61">
        <f>IFERROR( SUMIFS(allFYsTable[Actual],allFYsTable[Code],SummaryTable[[#This Row],[Code]],allFYsTable[DiffAmount], "&lt;0")/SummaryTable[[#This Row],['# Under]], 0)</f>
        <v>36860.5</v>
      </c>
      <c r="W96" s="61">
        <f>SummaryTable[[#This Row],[UnderAvgAct]]-SummaryTable[[#This Row],[UnderAvgBud]]</f>
        <v>-6351.125</v>
      </c>
      <c r="X96" s="54">
        <f>IF(SummaryTable[[#This Row],[UnderAvgBud]]=0, IF(SummaryTable[[#This Row],[UnderAvgDiff'#]]=0, ZeroBudgetNoSpending, NamedFields!$C$3), SummaryTable[[#This Row],[UnderAvgDiff'#]]/SummaryTable[[#This Row],[UnderAvgBud]])</f>
        <v>-0.14697723124275008</v>
      </c>
      <c r="Y9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7</v>
      </c>
      <c r="Z9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3</v>
      </c>
      <c r="AA96" s="54">
        <f>IF(SummaryTable[[#This Row],[IncreaseYears]]=0, ZeroBudgetNoSpending, SummaryTable[[#This Row],[OSinIncreaseYear'#]]/SummaryTable[[#This Row],[IncreaseYears]])</f>
        <v>0.42857142857142855</v>
      </c>
      <c r="AB96" s="58" t="str">
        <f>SummaryTable[[#This Row],[Code]]</f>
        <v>EB0</v>
      </c>
      <c r="AC96" s="62">
        <f>IF(COUNTIFS(allFYsTable[Code], SummaryTable[[#This Row],[Code]], allFYsTable[year2], AC$3)=0, NotFound, SUMIFS(allFYsTable[OriginalBudget], allFYsTable[Code], SummaryTable[[#This Row],[Code]], allFYsTable[year2], AC$3))</f>
        <v>41632</v>
      </c>
      <c r="AD96" s="61">
        <f>SummaryTable[[#This Row],[OriginalBudget25]]-SummaryTable[[#This Row],[OriginalBudget24]]</f>
        <v>2660</v>
      </c>
      <c r="AE96" s="54">
        <f>SummaryTable[[#This Row],[BudgetIncreaseAmount25]]/SummaryTable[[#This Row],[OriginalBudget24]]</f>
        <v>6.8254131171097202E-2</v>
      </c>
      <c r="AF96" s="61">
        <f>IF(COUNTIFS(allFYsTable[Code], SummaryTable[[#This Row],[Code]], allFYsTable[year2], AC$3)=0, NotFound, SUMIFS(allFYsTable[RevisedBudget], allFYsTable[Code], SummaryTable[[#This Row],[Code]], allFYsTable[year2], AC$3))</f>
        <v>36483</v>
      </c>
      <c r="AG96" s="61">
        <f>IF(COUNTIFS(allFYsTable[Code], SummaryTable[[#This Row],[Code]], allFYsTable[year2], AC$3)=0, NotFound, SUMIFS(allFYsTable[Actual], allFYsTable[Code], SummaryTable[[#This Row],[Code]], allFYsTable[year2], AC$3))</f>
        <v>35392</v>
      </c>
      <c r="AH96" s="61">
        <f>IF(COUNTIFS(allFYsTable[Code], SummaryTable[[#This Row],[Code]], allFYsTable[year2], AC$3)=0, NotFound, SUMIFS(allFYsTable[DiffAmount], allFYsTable[Code], SummaryTable[[#This Row],[Code]], allFYsTable[year2], AC$3))</f>
        <v>-6240</v>
      </c>
      <c r="AI96" s="63">
        <f>IF(SummaryTable[[#This Row],[OriginalBudget25]]=0, IF(SummaryTable[[#This Row],[DiffAmount25]]=0, ZeroBudgetNoSpending, ZeroBudgetWithSpending), SummaryTable[[#This Row],[DiffAmount25]]/SummaryTable[[#This Row],[OriginalBudget25]])</f>
        <v>-0.1498847040737894</v>
      </c>
      <c r="AJ96" s="62">
        <f>IF(COUNTIFS(allFYsTable[Code], SummaryTable[[#This Row],[Code]], allFYsTable[year2], AJ$3)=0, NotFound, SUMIFS(allFYsTable[OriginalBudget], allFYsTable[Code], SummaryTable[[#This Row],[Code]], allFYsTable[year2], AJ$3))</f>
        <v>38972</v>
      </c>
      <c r="AK96" s="61">
        <f>SummaryTable[[#This Row],[OriginalBudget24]]-SummaryTable[[#This Row],[OriginalBudget23]]</f>
        <v>-5150</v>
      </c>
      <c r="AL96" s="54">
        <f>SummaryTable[[#This Row],[BudgetIncreaseAmount24]]/SummaryTable[[#This Row],[OriginalBudget23]]</f>
        <v>-0.11672181678074429</v>
      </c>
      <c r="AM96" s="61">
        <f>IF(COUNTIFS(allFYsTable[Code], SummaryTable[[#This Row],[Code]], allFYsTable[year2], AK$3)=0, NotFound, SUMIFS(allFYsTable[RevisedBudget], allFYsTable[Code], SummaryTable[[#This Row],[Code]], allFYsTable[year2], AJ$3))</f>
        <v>86208</v>
      </c>
      <c r="AN96" s="61">
        <f>IF(COUNTIFS(allFYsTable[Code], SummaryTable[[#This Row],[Code]], allFYsTable[year2], AJ$3)=0, NotFound, SUMIFS(allFYsTable[Actual], allFYsTable[Code], SummaryTable[[#This Row],[Code]], allFYsTable[year2], AJ$3))</f>
        <v>86208</v>
      </c>
      <c r="AO96" s="61">
        <f>IF(COUNTIFS(allFYsTable[Code], SummaryTable[[#This Row],[Code]], allFYsTable[year2], AJ$3)=0, NotFound, SUMIFS(allFYsTable[DiffAmount], allFYsTable[Code], SummaryTable[[#This Row],[Code]], allFYsTable[year2], AJ$3))</f>
        <v>47236</v>
      </c>
      <c r="AP96" s="63">
        <f>IF(SummaryTable[[#This Row],[OriginalBudget24]]=0, IF(SummaryTable[[#This Row],[DiffAmount24]]=0, ZeroBudgetNoSpending, ZeroBudgetWithSpending), SummaryTable[[#This Row],[DiffAmount24]]/SummaryTable[[#This Row],[OriginalBudget24]])</f>
        <v>1.2120496766909576</v>
      </c>
      <c r="AQ96" s="62">
        <f>IF(COUNTIFS(allFYsTable[Code], SummaryTable[[#This Row],[Code]], allFYsTable[year2], AQ$3)=0, NotFound, SUMIFS(allFYsTable[OriginalBudget], allFYsTable[Code], SummaryTable[[#This Row],[Code]], allFYsTable[year2], AQ$3))</f>
        <v>44122</v>
      </c>
      <c r="AR96" s="61">
        <f>SummaryTable[[#This Row],[OriginalBudget23]]-SummaryTable[[#This Row],[OriginalBudget22]]</f>
        <v>-76936</v>
      </c>
      <c r="AS96" s="54">
        <f>SummaryTable[[#This Row],[BudgetIncreaseAmount23]]/SummaryTable[[#This Row],[OriginalBudget22]]</f>
        <v>-0.6355300764922599</v>
      </c>
      <c r="AT96" s="61">
        <f>IF(COUNTIFS(allFYsTable[Code], SummaryTable[[#This Row],[Code]], allFYsTable[year2], AQ$3)=0, NotFound, SUMIFS(allFYsTable[RevisedBudget], allFYsTable[Code], SummaryTable[[#This Row],[Code]], allFYsTable[year2], AQ$3))</f>
        <v>52436</v>
      </c>
      <c r="AU96" s="61">
        <f>IF(COUNTIFS(allFYsTable[Code], SummaryTable[[#This Row],[Code]], allFYsTable[year2], AQ$3)=0, NotFound, SUMIFS(allFYsTable[Actual], allFYsTable[Code], SummaryTable[[#This Row],[Code]], allFYsTable[year2], AQ$3))</f>
        <v>51913</v>
      </c>
      <c r="AV96" s="61">
        <f>IF(COUNTIFS(allFYsTable[Code], SummaryTable[[#This Row],[Code]], allFYsTable[year2], AQ$3)=0, NotFound, SUMIFS(allFYsTable[DiffAmount], allFYsTable[Code], SummaryTable[[#This Row],[Code]], allFYsTable[year2], AQ$3))</f>
        <v>7791</v>
      </c>
      <c r="AW96" s="63">
        <f>IF(SummaryTable[[#This Row],[OriginalBudget23]]=0, IF(SummaryTable[[#This Row],[DiffAmount23]]=0, ZeroBudgetNoSpending, ZeroBudgetWithSpending), SummaryTable[[#This Row],[DiffAmount23]]/SummaryTable[[#This Row],[OriginalBudget23]])</f>
        <v>0.1765785775803454</v>
      </c>
      <c r="AX96" s="62">
        <f>IF(COUNTIFS(allFYsTable[Code], SummaryTable[[#This Row],[Code]], allFYsTable[year2], AX$3)=0, NotFound, SUMIFS(allFYsTable[OriginalBudget], allFYsTable[Code], SummaryTable[[#This Row],[Code]], allFYsTable[year2], AX$3))</f>
        <v>121058</v>
      </c>
      <c r="AY96" s="61">
        <f>SummaryTable[[#This Row],[OriginalBudget22]]-SummaryTable[[#This Row],[OriginalBudget21]]</f>
        <v>93296</v>
      </c>
      <c r="AZ96" s="54">
        <f>SummaryTable[[#This Row],[BudgetIncreaseAmount22]]/SummaryTable[[#This Row],[OriginalBudget21]]</f>
        <v>3.3605648008068583</v>
      </c>
      <c r="BA96" s="61">
        <f>IF(COUNTIFS(allFYsTable[Code], SummaryTable[[#This Row],[Code]], allFYsTable[year2], AX$3)=0, NotFound, SUMIFS(allFYsTable[RevisedBudget], allFYsTable[Code], SummaryTable[[#This Row],[Code]], allFYsTable[year2], AX$3))</f>
        <v>86797</v>
      </c>
      <c r="BB96" s="61">
        <f>IF(COUNTIFS(allFYsTable[Code], SummaryTable[[#This Row],[Code]], allFYsTable[year2], AX$3)=0, NotFound, SUMIFS(allFYsTable[Actual], allFYsTable[Code], SummaryTable[[#This Row],[Code]], allFYsTable[year2], AX$3))</f>
        <v>86214</v>
      </c>
      <c r="BC96" s="61">
        <f>IF(COUNTIFS(allFYsTable[Code], SummaryTable[[#This Row],[Code]], allFYsTable[year2], AX$3)=0, NotFound, SUMIFS(allFYsTable[DiffAmount], allFYsTable[Code], SummaryTable[[#This Row],[Code]], allFYsTable[year2], AX$3))</f>
        <v>-34844</v>
      </c>
      <c r="BD96" s="63">
        <f>IF(SummaryTable[[#This Row],[OriginalBudget22]]=0, IF(SummaryTable[[#This Row],[DiffAmount22]]=0, ZeroBudgetNoSpending, ZeroBudgetWithSpending), SummaryTable[[#This Row],[DiffAmount22]]/SummaryTable[[#This Row],[OriginalBudget22]])</f>
        <v>-0.28782897454112905</v>
      </c>
      <c r="BE96" s="62">
        <f>IF(COUNTIFS(allFYsTable[Code], SummaryTable[[#This Row],[Code]], allFYsTable[year2], BE$3)=0, NotFound, SUMIFS(allFYsTable[OriginalBudget], allFYsTable[Code], SummaryTable[[#This Row],[Code]], allFYsTable[year2], BE$3))</f>
        <v>27762</v>
      </c>
      <c r="BF96" s="61">
        <f>SummaryTable[[#This Row],[OriginalBudget21]]-SummaryTable[[#This Row],[OriginalBudget20]]</f>
        <v>1177</v>
      </c>
      <c r="BG96" s="54">
        <f>SummaryTable[[#This Row],[BudgetIncreaseAmount21]]/SummaryTable[[#This Row],[OriginalBudget20]]</f>
        <v>4.4273086326876057E-2</v>
      </c>
      <c r="BH96" s="61">
        <f>IF(COUNTIFS(allFYsTable[Code], SummaryTable[[#This Row],[Code]], allFYsTable[year2], BE$3)=0, NotFound, SUMIFS(allFYsTable[RevisedBudget], allFYsTable[Code], SummaryTable[[#This Row],[Code]], allFYsTable[year2], BE$3))</f>
        <v>33007</v>
      </c>
      <c r="BI96" s="61">
        <f>IF(COUNTIFS(allFYsTable[Code], SummaryTable[[#This Row],[Code]], allFYsTable[year2], BE$3)=0, NotFound, SUMIFS(allFYsTable[Actual], allFYsTable[Code], SummaryTable[[#This Row],[Code]], allFYsTable[year2], BE$3))</f>
        <v>32996</v>
      </c>
      <c r="BJ96" s="61">
        <f>IF(COUNTIFS(allFYsTable[Code], SummaryTable[[#This Row],[Code]], allFYsTable[year2], BE$3)=0, NotFound, SUMIFS(allFYsTable[DiffAmount], allFYsTable[Code], SummaryTable[[#This Row],[Code]], allFYsTable[year2], BE$3))</f>
        <v>5234</v>
      </c>
      <c r="BK96" s="63">
        <f>IF(SummaryTable[[#This Row],[OriginalBudget21]]=0, IF(SummaryTable[[#This Row],[DiffAmount21]]=0, ZeroBudgetNoSpending, ZeroBudgetWithSpending), SummaryTable[[#This Row],[DiffAmount21]]/SummaryTable[[#This Row],[OriginalBudget21]])</f>
        <v>0.18853108565665297</v>
      </c>
      <c r="BL96" s="62">
        <f>IF(COUNTIFS(allFYsTable[Code], SummaryTable[[#This Row],[Code]], allFYsTable[year2], BL$3)=0, NotFound, SUMIFS(allFYsTable[OriginalBudget], allFYsTable[Code], SummaryTable[[#This Row],[Code]], allFYsTable[year2], BL$3))</f>
        <v>26585</v>
      </c>
      <c r="BM96" s="61">
        <f>SummaryTable[[#This Row],[OriginalBudget20]]-SummaryTable[[#This Row],[OriginalBudget19]]</f>
        <v>4802</v>
      </c>
      <c r="BN96" s="54">
        <f>SummaryTable[[#This Row],[BudgetIncreaseAmount20]]/SummaryTable[[#This Row],[OriginalBudget19]]</f>
        <v>0.2204471376761695</v>
      </c>
      <c r="BO96" s="61">
        <f>IF(COUNTIFS(allFYsTable[Code], SummaryTable[[#This Row],[Code]], allFYsTable[year2], BL$3)=0, NotFound, SUMIFS(allFYsTable[RevisedBudget], allFYsTable[Code], SummaryTable[[#This Row],[Code]], allFYsTable[year2], BL$3))</f>
        <v>30259</v>
      </c>
      <c r="BP96" s="61">
        <f>IF(COUNTIFS(allFYsTable[Code], SummaryTable[[#This Row],[Code]], allFYsTable[year2], BL$3)=0, NotFound, SUMIFS(allFYsTable[Actual], allFYsTable[Code], SummaryTable[[#This Row],[Code]], allFYsTable[year2], BL$3))</f>
        <v>29778</v>
      </c>
      <c r="BQ96" s="61">
        <f>IF(COUNTIFS(allFYsTable[Code], SummaryTable[[#This Row],[Code]], allFYsTable[year2], BL$3)=0, NotFound, SUMIFS(allFYsTable[DiffAmount], allFYsTable[Code], SummaryTable[[#This Row],[Code]], allFYsTable[year2], BL$3))</f>
        <v>3193</v>
      </c>
      <c r="BR96" s="63">
        <f>IF(SummaryTable[[#This Row],[OriginalBudget20]]=0, IF(SummaryTable[[#This Row],[DiffAmount20]]=0, ZeroBudgetNoSpending, ZeroBudgetWithSpending), SummaryTable[[#This Row],[DiffAmount20]]/SummaryTable[[#This Row],[OriginalBudget20]])</f>
        <v>0.12010532255031033</v>
      </c>
      <c r="BS96" s="62">
        <f>IF(COUNTIFS(allFYsTable[Code], SummaryTable[[#This Row],[Code]], allFYsTable[year2], BS$3)=0, NotFound, SUMIFS(allFYsTable[OriginalBudget], allFYsTable[Code], SummaryTable[[#This Row],[Code]], allFYsTable[year2], BS$3))</f>
        <v>21783</v>
      </c>
      <c r="BT96" s="61">
        <f>SummaryTable[[#This Row],[OriginalBudget19]]-SummaryTable[[#This Row],[OriginalBudget18]]</f>
        <v>8783</v>
      </c>
      <c r="BU96" s="54">
        <f>SummaryTable[[#This Row],[BudgetIncreaseAmount19]]/SummaryTable[[#This Row],[OriginalBudget18]]</f>
        <v>0.67561538461538462</v>
      </c>
      <c r="BV96" s="61">
        <f>IF(COUNTIFS(allFYsTable[Code], SummaryTable[[#This Row],[Code]], allFYsTable[year2], BS$3)=0, NotFound, SUMIFS(allFYsTable[RevisedBudget], allFYsTable[Code], SummaryTable[[#This Row],[Code]], allFYsTable[year2], BS$3))</f>
        <v>34138</v>
      </c>
      <c r="BW96" s="61">
        <f>IF(COUNTIFS(allFYsTable[Code], SummaryTable[[#This Row],[Code]], allFYsTable[year2], BS$3)=0, NotFound, SUMIFS(allFYsTable[Actual], allFYsTable[Code], SummaryTable[[#This Row],[Code]], allFYsTable[year2], BS$3))</f>
        <v>34078</v>
      </c>
      <c r="BX96" s="61">
        <f>IF(COUNTIFS(allFYsTable[Code], SummaryTable[[#This Row],[Code]], allFYsTable[year2], BS$3)=0, NotFound, SUMIFS(allFYsTable[DiffAmount], allFYsTable[Code], SummaryTable[[#This Row],[Code]], allFYsTable[year2], BS$3))</f>
        <v>12295</v>
      </c>
      <c r="BY96" s="63">
        <f>IF(SummaryTable[[#This Row],[OriginalBudget19]]=0, IF(SummaryTable[[#This Row],[DiffAmount19]]=0, ZeroBudgetNoSpending, ZeroBudgetWithSpending), SummaryTable[[#This Row],[DiffAmount19]]/SummaryTable[[#This Row],[OriginalBudget19]])</f>
        <v>0.56443097828581923</v>
      </c>
      <c r="BZ96" s="62">
        <f>IF(COUNTIFS(allFYsTable[Code], SummaryTable[[#This Row],[Code]], allFYsTable[year2], BZ$3)=0, NotFound, SUMIFS(allFYsTable[OriginalBudget], allFYsTable[Code], SummaryTable[[#This Row],[Code]], allFYsTable[year2], BZ$3))</f>
        <v>13000</v>
      </c>
      <c r="CA96" s="61">
        <f>SummaryTable[[#This Row],[OriginalBudget18]]-SummaryTable[[#This Row],[OriginalBudget17]]</f>
        <v>-801</v>
      </c>
      <c r="CB96" s="54">
        <f>SummaryTable[[#This Row],[BudgetIncreaseAmount18]]/SummaryTable[[#This Row],[OriginalBudget17]]</f>
        <v>-5.803927251648431E-2</v>
      </c>
      <c r="CC96" s="61">
        <f>IF(COUNTIFS(allFYsTable[Code], SummaryTable[[#This Row],[Code]], allFYsTable[year2], BZ$3)=0, NotFound, SUMIFS(allFYsTable[RevisedBudget], allFYsTable[Code], SummaryTable[[#This Row],[Code]], allFYsTable[year2], BZ$3))</f>
        <v>35719</v>
      </c>
      <c r="CD96" s="61">
        <f>IF(COUNTIFS(allFYsTable[Code], SummaryTable[[#This Row],[Code]], allFYsTable[year2], BZ$3)=0, NotFound, SUMIFS(allFYsTable[Actual], allFYsTable[Code], SummaryTable[[#This Row],[Code]], allFYsTable[year2], BZ$3))</f>
        <v>32590</v>
      </c>
      <c r="CE96" s="61">
        <f>IF(COUNTIFS(allFYsTable[Code], SummaryTable[[#This Row],[Code]], allFYsTable[year2], BZ$3)=0, NotFound, SUMIFS(allFYsTable[DiffAmount], allFYsTable[Code], SummaryTable[[#This Row],[Code]], allFYsTable[year2], BZ$3))</f>
        <v>19590</v>
      </c>
      <c r="CF96" s="63">
        <f>IF(SummaryTable[[#This Row],[OriginalBudget18]]=0, IF(SummaryTable[[#This Row],[DiffAmount18]]=0, ZeroBudgetNoSpending, ZeroBudgetWithSpending), SummaryTable[[#This Row],[DiffAmount18]]/SummaryTable[[#This Row],[OriginalBudget18]])</f>
        <v>1.506923076923077</v>
      </c>
      <c r="CG96" s="62">
        <f>IF(COUNTIFS(allFYsTable[Code], SummaryTable[[#This Row],[Code]], allFYsTable[year2], CG$3)=0, NotFound, SUMIFS(allFYsTable[OriginalBudget], allFYsTable[Code], SummaryTable[[#This Row],[Code]], allFYsTable[year2], CG$3))</f>
        <v>13801</v>
      </c>
      <c r="CH96" s="61">
        <f>SummaryTable[[#This Row],[OriginalBudget17]]-SummaryTable[[#This Row],[OriginalBudget16]]</f>
        <v>-3749</v>
      </c>
      <c r="CI96" s="54">
        <f>SummaryTable[[#This Row],[BudgetIncreaseAmount17]]/SummaryTable[[#This Row],[OriginalBudget16]]</f>
        <v>-0.21361823361823362</v>
      </c>
      <c r="CJ96" s="61">
        <f>IF(COUNTIFS(allFYsTable[Code], SummaryTable[[#This Row],[Code]], allFYsTable[year2], CG$3)=0, NotFound, SUMIFS(allFYsTable[RevisedBudget], allFYsTable[Code], SummaryTable[[#This Row],[Code]], allFYsTable[year2], CG$3))</f>
        <v>16931</v>
      </c>
      <c r="CK96" s="61">
        <f>IF(COUNTIFS(allFYsTable[Code], SummaryTable[[#This Row],[Code]], allFYsTable[year2], CG$3)=0, NotFound, SUMIFS(allFYsTable[Actual], allFYsTable[Code], SummaryTable[[#This Row],[Code]], allFYsTable[year2], CG$3))</f>
        <v>16461</v>
      </c>
      <c r="CL96" s="61">
        <f>IF(COUNTIFS(allFYsTable[Code], SummaryTable[[#This Row],[Code]], allFYsTable[year2], CG$3)=0, NotFound, SUMIFS(allFYsTable[DiffAmount], allFYsTable[Code], SummaryTable[[#This Row],[Code]], allFYsTable[year2], CG$3))</f>
        <v>2660</v>
      </c>
      <c r="CM96" s="63">
        <f>IF(SummaryTable[[#This Row],[OriginalBudget17]]=0, IF(SummaryTable[[#This Row],[DiffAmount17]]=0, ZeroBudgetNoSpending, ZeroBudgetWithSpending), SummaryTable[[#This Row],[DiffAmount17]]/SummaryTable[[#This Row],[OriginalBudget17]])</f>
        <v>0.19273965654662706</v>
      </c>
      <c r="CN96" s="62">
        <f>IF(COUNTIFS(allFYsTable[Code], SummaryTable[[#This Row],[Code]], allFYsTable[year2], CN$3)=0, NotFound, SUMIFS(allFYsTable[OriginalBudget], allFYsTable[Code], SummaryTable[[#This Row],[Code]], allFYsTable[year2], CN$3))</f>
        <v>17550</v>
      </c>
      <c r="CO96" s="61">
        <f>SummaryTable[[#This Row],[OriginalBudget16]]-SummaryTable[[#This Row],[OriginalBudget15]]</f>
        <v>-3499</v>
      </c>
      <c r="CP96" s="54">
        <f>SummaryTable[[#This Row],[BudgetIncreaseAmount16]]/SummaryTable[[#This Row],[OriginalBudget15]]</f>
        <v>-0.16623117487766639</v>
      </c>
      <c r="CQ96" s="61">
        <f>IF(COUNTIFS(allFYsTable[Code], SummaryTable[[#This Row],[Code]], allFYsTable[year2], CN$3)=0, NotFound, SUMIFS(allFYsTable[RevisedBudget], allFYsTable[Code], SummaryTable[[#This Row],[Code]], allFYsTable[year2], CN$3))</f>
        <v>17423</v>
      </c>
      <c r="CR96" s="61">
        <f>IF(COUNTIFS(allFYsTable[Code], SummaryTable[[#This Row],[Code]], allFYsTable[year2], CN$3)=0, NotFound, SUMIFS(allFYsTable[Actual], allFYsTable[Code], SummaryTable[[#This Row],[Code]], allFYsTable[year2], CN$3))</f>
        <v>17171</v>
      </c>
      <c r="CS96" s="61">
        <f>IF(COUNTIFS(allFYsTable[Code], SummaryTable[[#This Row],[Code]], allFYsTable[year2], CN$3)=0, NotFound, SUMIFS(allFYsTable[DiffAmount], allFYsTable[Code], SummaryTable[[#This Row],[Code]], allFYsTable[year2], CN$3))</f>
        <v>-379</v>
      </c>
      <c r="CT96" s="63">
        <f>IF(SummaryTable[[#This Row],[OriginalBudget16]]=0, IF(SummaryTable[[#This Row],[DiffAmount16]]=0, ZeroBudgetNoSpending, ZeroBudgetWithSpending), SummaryTable[[#This Row],[DiffAmount16]]/SummaryTable[[#This Row],[OriginalBudget16]])</f>
        <v>-2.1595441595441595E-2</v>
      </c>
      <c r="CU96" s="62">
        <f>IF(COUNTIFS(allFYsTable[Code], SummaryTable[[#This Row],[Code]], allFYsTable[year2], CU$3)=0, NotFound, SUMIFS(allFYsTable[OriginalBudget], allFYsTable[Code], SummaryTable[[#This Row],[Code]], allFYsTable[year2], CU$3))</f>
        <v>21049</v>
      </c>
      <c r="CV96" s="61">
        <f>SummaryTable[[#This Row],[OriginalBudget15]]-SummaryTable[[#This Row],[OriginalBudget14]]</f>
        <v>7721</v>
      </c>
      <c r="CW96" s="54">
        <f>SummaryTable[[#This Row],[BudgetIncreaseAmount15]]/SummaryTable[[#This Row],[OriginalBudget14]]</f>
        <v>0.57930672268907568</v>
      </c>
      <c r="CX96" s="61">
        <f>IF(COUNTIFS(allFYsTable[Code], SummaryTable[[#This Row],[Code]], allFYsTable[year2], CU$3)=0, NotFound, SUMIFS(allFYsTable[RevisedBudget], allFYsTable[Code], SummaryTable[[#This Row],[Code]], allFYsTable[year2], CU$3))</f>
        <v>20912</v>
      </c>
      <c r="CY96" s="61">
        <f>IF(COUNTIFS(allFYsTable[Code], SummaryTable[[#This Row],[Code]], allFYsTable[year2], CU$3)=0, NotFound, SUMIFS(allFYsTable[Actual], allFYsTable[Code], SummaryTable[[#This Row],[Code]], allFYsTable[year2], CU$3))</f>
        <v>20186</v>
      </c>
      <c r="CZ96" s="61">
        <f>IF(COUNTIFS(allFYsTable[Code], SummaryTable[[#This Row],[Code]], allFYsTable[year2], CU$3)=0, NotFound, SUMIFS(allFYsTable[DiffAmount], allFYsTable[Code], SummaryTable[[#This Row],[Code]], allFYsTable[year2], CU$3))</f>
        <v>-863</v>
      </c>
      <c r="DA96" s="63">
        <f>IF(SummaryTable[[#This Row],[OriginalBudget15]]=0, IF(SummaryTable[[#This Row],[DiffAmount15]]=0, ZeroBudgetNoSpending, ZeroBudgetWithSpending), SummaryTable[[#This Row],[DiffAmount15]]/SummaryTable[[#This Row],[OriginalBudget15]])</f>
        <v>-4.0999572426243525E-2</v>
      </c>
      <c r="DB96" s="62">
        <f>IF(COUNTIFS(allFYsTable[Code], SummaryTable[[#This Row],[Code]], allFYsTable[year2], DB$3)=0, NotFound, SUMIFS(allFYsTable[OriginalBudget], allFYsTable[Code], SummaryTable[[#This Row],[Code]], allFYsTable[year2], DB$3))</f>
        <v>13328</v>
      </c>
      <c r="DC96" s="61">
        <f>SummaryTable[[#This Row],[OriginalBudget14]]-SummaryTable[[#This Row],[OriginalBudget13]]</f>
        <v>1575</v>
      </c>
      <c r="DD96" s="54">
        <f>SummaryTable[[#This Row],[BudgetIncreaseAmount14]]/SummaryTable[[#This Row],[OriginalBudget13]]</f>
        <v>0.13400833829660513</v>
      </c>
      <c r="DE96" s="61">
        <f>IF(COUNTIFS(allFYsTable[Code], SummaryTable[[#This Row],[Code]], allFYsTable[year2], DB$3)=0, NotFound, SUMIFS(allFYsTable[RevisedBudget], allFYsTable[Code], SummaryTable[[#This Row],[Code]], allFYsTable[year2], DB$3))</f>
        <v>20052</v>
      </c>
      <c r="DF96" s="61">
        <f>IF(COUNTIFS(allFYsTable[Code], SummaryTable[[#This Row],[Code]], allFYsTable[year2], DB$3)=0, NotFound, SUMIFS(allFYsTable[Actual], allFYsTable[Code], SummaryTable[[#This Row],[Code]], allFYsTable[year2], DB$3))</f>
        <v>18266</v>
      </c>
      <c r="DG96" s="61">
        <f>IF(COUNTIFS(allFYsTable[Code], SummaryTable[[#This Row],[Code]], allFYsTable[year2], DB$3)=0, NotFound, SUMIFS(allFYsTable[DiffAmount], allFYsTable[Code], SummaryTable[[#This Row],[Code]], allFYsTable[year2], DB$3))</f>
        <v>4938</v>
      </c>
      <c r="DH96" s="63">
        <f>IF(SummaryTable[[#This Row],[OriginalBudget14]]=0, IF(SummaryTable[[#This Row],[DiffAmount14]]=0, ZeroBudgetNoSpending, ZeroBudgetWithSpending), SummaryTable[[#This Row],[DiffAmount14]]/SummaryTable[[#This Row],[OriginalBudget14]])</f>
        <v>0.37049819927971189</v>
      </c>
      <c r="DI96" s="62">
        <f>IF(COUNTIFS(allFYsTable[Code], SummaryTable[[#This Row],[Code]], allFYsTable[year2], DI$3)=0, NotFound, SUMIFS(allFYsTable[OriginalBudget], allFYsTable[Code], SummaryTable[[#This Row],[Code]], allFYsTable[year2], DI$3))</f>
        <v>11753</v>
      </c>
      <c r="DJ96" s="61">
        <f>SummaryTable[[#This Row],[OriginalBudget13]]-SummaryTable[[#This Row],[OriginalBudget12]]</f>
        <v>3514</v>
      </c>
      <c r="DK96" s="54">
        <f>SummaryTable[[#This Row],[BudgetIncreaseAmount13]]/SummaryTable[[#This Row],[OriginalBudget12]]</f>
        <v>0.42650807136788443</v>
      </c>
      <c r="DL96" s="61">
        <f>IF(COUNTIFS(allFYsTable[Code], SummaryTable[[#This Row],[Code]], allFYsTable[year2], DI$3)=0, NotFound, SUMIFS(allFYsTable[RevisedBudget], allFYsTable[Code], SummaryTable[[#This Row],[Code]], allFYsTable[year2], DI$3))</f>
        <v>12028</v>
      </c>
      <c r="DM96" s="61">
        <f>IF(COUNTIFS(allFYsTable[Code], SummaryTable[[#This Row],[Code]], allFYsTable[year2], DI$3)=0, NotFound, SUMIFS(allFYsTable[Actual], allFYsTable[Code], SummaryTable[[#This Row],[Code]], allFYsTable[year2], DI$3))</f>
        <v>11877</v>
      </c>
      <c r="DN96" s="61">
        <f>IF(COUNTIFS(allFYsTable[Code], SummaryTable[[#This Row],[Code]], allFYsTable[year2], DI$3)=0, NotFound, SUMIFS(allFYsTable[DiffAmount], allFYsTable[Code], SummaryTable[[#This Row],[Code]], allFYsTable[year2], DI$3))</f>
        <v>124</v>
      </c>
      <c r="DO96" s="63">
        <f>IF(SummaryTable[[#This Row],[OriginalBudget13]]=0, IF(SummaryTable[[#This Row],[DiffAmount13]]=0, ZeroBudgetNoSpending, ZeroBudgetWithSpending), SummaryTable[[#This Row],[DiffAmount13]]/SummaryTable[[#This Row],[OriginalBudget13]])</f>
        <v>1.0550497745256531E-2</v>
      </c>
      <c r="DP96" s="62">
        <f>IF(COUNTIFS(allFYsTable[Code], SummaryTable[[#This Row],[Code]], allFYsTable[year2], DP$3)=0, NotFound, SUMIFS(allFYsTable[OriginalBudget], allFYsTable[Code], SummaryTable[[#This Row],[Code]], allFYsTable[year2], DP$3))</f>
        <v>8239</v>
      </c>
      <c r="DQ96" s="61">
        <f>SummaryTable[[#This Row],[OriginalBudget12]]-SummaryTable[[#This Row],[OriginalBudget11]]</f>
        <v>390</v>
      </c>
      <c r="DR96" s="54">
        <f>SummaryTable[[#This Row],[BudgetIncreaseAmount12]]/SummaryTable[[#This Row],[OriginalBudget11]]</f>
        <v>4.9687858325901391E-2</v>
      </c>
      <c r="DS96" s="61">
        <f>IF(COUNTIFS(allFYsTable[Code], SummaryTable[[#This Row],[Code]], allFYsTable[year2], DP$3)=0, NotFound, SUMIFS(allFYsTable[RevisedBudget], allFYsTable[Code], SummaryTable[[#This Row],[Code]], allFYsTable[year2], DP$3))</f>
        <v>9711</v>
      </c>
      <c r="DT96" s="61">
        <f>IF(COUNTIFS(allFYsTable[Code], SummaryTable[[#This Row],[Code]], allFYsTable[year2], DP$3)=0, NotFound, SUMIFS(allFYsTable[Actual], allFYsTable[Code], SummaryTable[[#This Row],[Code]], allFYsTable[year2], DP$3))</f>
        <v>9687</v>
      </c>
      <c r="DU96" s="61">
        <f>IF(COUNTIFS(allFYsTable[Code], SummaryTable[[#This Row],[Code]], allFYsTable[year2], DP$3)=0, NotFound, SUMIFS(allFYsTable[DiffAmount], allFYsTable[Code], SummaryTable[[#This Row],[Code]], allFYsTable[year2], DP$3))</f>
        <v>1448</v>
      </c>
      <c r="DV96" s="63">
        <f>IF(SummaryTable[[#This Row],[OriginalBudget12]]=0, IF(SummaryTable[[#This Row],[DiffAmount12]]=0, ZeroBudgetNoSpending, ZeroBudgetWithSpending), SummaryTable[[#This Row],[DiffAmount12]]/SummaryTable[[#This Row],[OriginalBudget12]])</f>
        <v>0.1757494841606991</v>
      </c>
      <c r="DW96" s="62">
        <f>IF(COUNTIFS(allFYsTable[Code], SummaryTable[[#This Row],[Code]], allFYsTable[year2], DW$3)=0, NotFound, SUMIFS(allFYsTable[OriginalBudget], allFYsTable[Code], SummaryTable[[#This Row],[Code]], allFYsTable[year2], DW$3))</f>
        <v>7849</v>
      </c>
      <c r="DX96" s="61">
        <f>SummaryTable[[#This Row],[OriginalBudget11]]-SummaryTable[[#This Row],[OriginalBudget10]]</f>
        <v>-17335</v>
      </c>
      <c r="DY96" s="54">
        <f>SummaryTable[[#This Row],[BudgetIncreaseAmount11]]/SummaryTable[[#This Row],[OriginalBudget10]]</f>
        <v>-0.68833386277001274</v>
      </c>
      <c r="DZ96" s="61">
        <f>IF(COUNTIFS(allFYsTable[Code], SummaryTable[[#This Row],[Code]], allFYsTable[year2], DW$3)=0, NotFound, SUMIFS(allFYsTable[RevisedBudget], allFYsTable[Code], SummaryTable[[#This Row],[Code]], allFYsTable[year2], DW$3))</f>
        <v>10439</v>
      </c>
      <c r="EA96" s="61">
        <f>IF(COUNTIFS(allFYsTable[Code], SummaryTable[[#This Row],[Code]], allFYsTable[year2], DW$3)=0, NotFound, SUMIFS(allFYsTable[Actual], allFYsTable[Code], SummaryTable[[#This Row],[Code]], allFYsTable[year2], DW$3))</f>
        <v>7658</v>
      </c>
      <c r="EB96" s="61">
        <f>IF(COUNTIFS(allFYsTable[Code], SummaryTable[[#This Row],[Code]], allFYsTable[year2], DW$3)=0, NotFound, SUMIFS(allFYsTable[DiffAmount], allFYsTable[Code], SummaryTable[[#This Row],[Code]], allFYsTable[year2], DW$3))</f>
        <v>-191</v>
      </c>
      <c r="EC96" s="63">
        <f>IF(SummaryTable[[#This Row],[OriginalBudget11]]=0, IF(SummaryTable[[#This Row],[DiffAmount11]]=0, ZeroBudgetNoSpending, ZeroBudgetWithSpending), SummaryTable[[#This Row],[DiffAmount11]]/SummaryTable[[#This Row],[OriginalBudget11]])</f>
        <v>-2.4334310103197858E-2</v>
      </c>
      <c r="ED96" s="62">
        <f>IF(COUNTIFS(allFYsTable[Code], SummaryTable[[#This Row],[Code]], allFYsTable[year2], ED$3)=0, NotFound, SUMIFS(allFYsTable[OriginalBudget], allFYsTable[Code], SummaryTable[[#This Row],[Code]], allFYsTable[year2], ED$3))</f>
        <v>25184</v>
      </c>
      <c r="EE96" s="61">
        <f>SummaryTable[[#This Row],[OriginalBudget10]]-SummaryTable[[#This Row],[OriginalBudget09]]</f>
        <v>-21719</v>
      </c>
      <c r="EF96" s="54">
        <f>SummaryTable[[#This Row],[BudgetIncreaseAmount10]]/SummaryTable[[#This Row],[OriginalBudget09]]</f>
        <v>-0.46306206426028185</v>
      </c>
      <c r="EG96" s="61">
        <f>IF(COUNTIFS(allFYsTable[Code], SummaryTable[[#This Row],[Code]], allFYsTable[year2], ED$3)=0, NotFound, SUMIFS(allFYsTable[RevisedBudget], allFYsTable[Code], SummaryTable[[#This Row],[Code]], allFYsTable[year2], ED$3))</f>
        <v>25177</v>
      </c>
      <c r="EH96" s="61">
        <f>IF(COUNTIFS(allFYsTable[Code], SummaryTable[[#This Row],[Code]], allFYsTable[year2], ED$3)=0, NotFound, SUMIFS(allFYsTable[Actual], allFYsTable[Code], SummaryTable[[#This Row],[Code]], allFYsTable[year2], ED$3))</f>
        <v>20993</v>
      </c>
      <c r="EI96" s="61">
        <f>IF(COUNTIFS(allFYsTable[Code], SummaryTable[[#This Row],[Code]], allFYsTable[year2], ED$3)=0, NotFound, SUMIFS(allFYsTable[DiffAmount], allFYsTable[Code], SummaryTable[[#This Row],[Code]], allFYsTable[year2], ED$3))</f>
        <v>-4191</v>
      </c>
      <c r="EJ96" s="63">
        <f>IF(SummaryTable[[#This Row],[OriginalBudget10]]=0, IF(SummaryTable[[#This Row],[DiffAmount10]]=0, ZeroBudgetNoSpending, ZeroBudgetWithSpending), SummaryTable[[#This Row],[DiffAmount10]]/SummaryTable[[#This Row],[OriginalBudget10]])</f>
        <v>-0.16641518424396443</v>
      </c>
      <c r="EK96" s="62">
        <f>IF(COUNTIFS(allFYsTable[Code], SummaryTable[[#This Row],[Code]], allFYsTable[year2], EK$3)=0, NotFound, SUMIFS(allFYsTable[OriginalBudget], allFYsTable[Code], SummaryTable[[#This Row],[Code]], allFYsTable[year2], EK$3))</f>
        <v>46903</v>
      </c>
      <c r="EL96" s="61">
        <f>SummaryTable[[#This Row],[OriginalBudget09]]-SummaryTable[[#This Row],[OriginalBudget08]]</f>
        <v>-17565</v>
      </c>
      <c r="EM96" s="54">
        <f>SummaryTable[[#This Row],[BudgetIncreaseAmount09]]/SummaryTable[[#This Row],[OriginalBudget08]]</f>
        <v>-0.27246075572376993</v>
      </c>
      <c r="EN96" s="61">
        <f>IF(COUNTIFS(allFYsTable[Code], SummaryTable[[#This Row],[Code]], allFYsTable[year2], EK$3)=0, NotFound, SUMIFS(allFYsTable[RevisedBudget], allFYsTable[Code], SummaryTable[[#This Row],[Code]], allFYsTable[year2], EK$3))</f>
        <v>44151</v>
      </c>
      <c r="EO96" s="61">
        <f>IF(COUNTIFS(allFYsTable[Code], SummaryTable[[#This Row],[Code]], allFYsTable[year2], EK$3)=0, NotFound, SUMIFS(allFYsTable[Actual], allFYsTable[Code], SummaryTable[[#This Row],[Code]], allFYsTable[year2], EK$3))</f>
        <v>44141</v>
      </c>
      <c r="EP96" s="61">
        <f>IF(COUNTIFS(allFYsTable[Code], SummaryTable[[#This Row],[Code]], allFYsTable[year2], EK$3)=0, NotFound, SUMIFS(allFYsTable[DiffAmount], allFYsTable[Code], SummaryTable[[#This Row],[Code]], allFYsTable[year2], EK$3))</f>
        <v>-2762</v>
      </c>
      <c r="EQ96" s="63">
        <f>IF(SummaryTable[[#This Row],[OriginalBudget09]]=0, IF(SummaryTable[[#This Row],[DiffAmount09]]=0, ZeroBudgetNoSpending, ZeroBudgetWithSpending), SummaryTable[[#This Row],[DiffAmount09]]/SummaryTable[[#This Row],[OriginalBudget09]])</f>
        <v>-5.8887491205253398E-2</v>
      </c>
      <c r="ER96" s="62">
        <f>IF(COUNTIFS(allFYsTable[Code], SummaryTable[[#This Row],[Code]], allFYsTable[year2], ER$3)=0, NotFound, SUMIFS(allFYsTable[OriginalBudget], allFYsTable[Code], SummaryTable[[#This Row],[Code]], allFYsTable[year2], ER$3))</f>
        <v>64468</v>
      </c>
      <c r="ES96" s="61">
        <f>SummaryTable[[#This Row],[OriginalBudget08]]-SummaryTable[[#This Row],[OriginalBudget07]]</f>
        <v>51418</v>
      </c>
      <c r="ET96" s="54">
        <f>SummaryTable[[#This Row],[BudgetIncreaseAmount08]]/SummaryTable[[#This Row],[OriginalBudget07]]</f>
        <v>3.9400766283524904</v>
      </c>
      <c r="EU96" s="61">
        <f>IF(COUNTIFS(allFYsTable[Code], SummaryTable[[#This Row],[Code]], allFYsTable[year2], ER$3)=0, NotFound, SUMIFS(allFYsTable[RevisedBudget], allFYsTable[Code], SummaryTable[[#This Row],[Code]], allFYsTable[year2], ER$3))</f>
        <v>66968</v>
      </c>
      <c r="EV96" s="61">
        <f>IF(COUNTIFS(allFYsTable[Code], SummaryTable[[#This Row],[Code]], allFYsTable[year2], ER$3)=0, NotFound, SUMIFS(allFYsTable[Actual], allFYsTable[Code], SummaryTable[[#This Row],[Code]], allFYsTable[year2], ER$3))</f>
        <v>63129</v>
      </c>
      <c r="EW96" s="61">
        <f>IF(COUNTIFS(allFYsTable[Code], SummaryTable[[#This Row],[Code]], allFYsTable[year2], ER$3)=0, NotFound, SUMIFS(allFYsTable[DiffAmount], allFYsTable[Code], SummaryTable[[#This Row],[Code]], allFYsTable[year2], ER$3))</f>
        <v>-1339</v>
      </c>
      <c r="EX96" s="63">
        <f>IF(SummaryTable[[#This Row],[OriginalBudget08]]=0, IF(SummaryTable[[#This Row],[DiffAmount08]]=0, ZeroBudgetNoSpending, ZeroBudgetWithSpending), SummaryTable[[#This Row],[DiffAmount08]]/SummaryTable[[#This Row],[OriginalBudget08]])</f>
        <v>-2.0769994415834211E-2</v>
      </c>
      <c r="EY96" s="62">
        <f>IF(COUNTIFS(allFYsTable[Code], SummaryTable[[#This Row],[Code]], allFYsTable[year2], EY$3)=0, NotFound, SUMIFS(allFYsTable[OriginalBudget], allFYsTable[Code], SummaryTable[[#This Row],[Code]], allFYsTable[year2], EY$3))</f>
        <v>13050</v>
      </c>
      <c r="EZ96" s="61">
        <f>SummaryTable[[#This Row],[OriginalBudget07]]-SummaryTable[[#This Row],[OriginalBudget06]]</f>
        <v>-631</v>
      </c>
      <c r="FA96" s="54">
        <f>SummaryTable[[#This Row],[BudgetIncreaseAmount07]]/SummaryTable[[#This Row],[OriginalBudget06]]</f>
        <v>-4.6122359476646446E-2</v>
      </c>
      <c r="FB96" s="61">
        <f>IF(COUNTIFS(allFYsTable[Code], SummaryTable[[#This Row],[Code]], allFYsTable[year2], EY$3)=0, NotFound, SUMIFS(allFYsTable[RevisedBudget], allFYsTable[Code], SummaryTable[[#This Row],[Code]], allFYsTable[year2], EY$3))</f>
        <v>25486</v>
      </c>
      <c r="FC96" s="61">
        <f>IF(COUNTIFS(allFYsTable[Code], SummaryTable[[#This Row],[Code]], allFYsTable[year2], EY$3)=0, NotFound, SUMIFS(allFYsTable[Actual], allFYsTable[Code], SummaryTable[[#This Row],[Code]], allFYsTable[year2], EY$3))</f>
        <v>24273</v>
      </c>
      <c r="FD96" s="61">
        <f>IF(COUNTIFS(allFYsTable[Code], SummaryTable[[#This Row],[Code]], allFYsTable[year2], EY$3)=0, NotFound, SUMIFS(allFYsTable[DiffAmount], allFYsTable[Code], SummaryTable[[#This Row],[Code]], allFYsTable[year2], EY$3))</f>
        <v>11223</v>
      </c>
      <c r="FE96" s="63">
        <f>IF(SummaryTable[[#This Row],[OriginalBudget07]]=0, IF(SummaryTable[[#This Row],[DiffAmount07]]=0, ZeroBudgetNoSpending, ZeroBudgetWithSpending), SummaryTable[[#This Row],[DiffAmount07]]/SummaryTable[[#This Row],[OriginalBudget07]])</f>
        <v>0.86</v>
      </c>
      <c r="FF96" s="62">
        <f>IF(COUNTIFS(allFYsTable[Code], SummaryTable[[#This Row],[Code]], allFYsTable[year2], FF$3)=0, NotFound, SUMIFS(allFYsTable[OriginalBudget], allFYsTable[Code], SummaryTable[[#This Row],[Code]], allFYsTable[year2], FF$3))</f>
        <v>13681</v>
      </c>
      <c r="FI96" s="61">
        <f>IF(COUNTIFS(allFYsTable[Code], SummaryTable[[#This Row],[Code]], allFYsTable[year2], FF$3)=0, NotFound, SUMIFS(allFYsTable[RevisedBudget], allFYsTable[Code], SummaryTable[[#This Row],[Code]], allFYsTable[year2], FF$3))</f>
        <v>18332</v>
      </c>
      <c r="FJ96" s="61">
        <f>IF(COUNTIFS(allFYsTable[Code], SummaryTable[[#This Row],[Code]], allFYsTable[year2], FF$3)=0, NotFound, SUMIFS(allFYsTable[Actual], allFYsTable[Code], SummaryTable[[#This Row],[Code]], allFYsTable[year2], FF$3))</f>
        <v>16996</v>
      </c>
      <c r="FK96" s="61">
        <f>IF(COUNTIFS(allFYsTable[Code], SummaryTable[[#This Row],[Code]], allFYsTable[year2], FF$3)=0, NotFound, SUMIFS(allFYsTable[DiffAmount], allFYsTable[Code], SummaryTable[[#This Row],[Code]], allFYsTable[year2], FF$3))</f>
        <v>3315</v>
      </c>
      <c r="FL96" s="63">
        <f>IF(SummaryTable[[#This Row],[OriginalBudget06]]=0, IF(SummaryTable[[#This Row],[DiffAmount06]]=0, ZeroBudgetNoSpending, ZeroBudgetWithSpending), SummaryTable[[#This Row],[DiffAmount06]]/SummaryTable[[#This Row],[OriginalBudget06]])</f>
        <v>0.24230684891455304</v>
      </c>
    </row>
    <row r="97" spans="1:168" x14ac:dyDescent="0.45">
      <c r="A97" t="s">
        <v>765</v>
      </c>
      <c r="B97">
        <f>_xlfn.MAXIFS(allFYsTable[year2], allFYsTable[Code], SummaryTable[[#This Row],[Code]])</f>
        <v>2025</v>
      </c>
      <c r="C97" t="str">
        <f>_xlfn.XLOOKUP(SummaryTable[[#This Row],[Code]], NameCodingTable[Code], NameCodingTable[Most Recent Category per allFYs])</f>
        <v>Public safety and justice</v>
      </c>
      <c r="D97" t="str">
        <f>_xlfn.XLOOKUP(SummaryTable[[#This Row],[Code]], NameCodingTable[Code], NameCodingTable[Unit Display Name])</f>
        <v>Office of the Deputy Mayor for Public Safety and Justice</v>
      </c>
      <c r="E97" t="str">
        <f>_xlfn.XLOOKUP(SummaryTable[[#This Row],[Code]], NameCodingTable[Code], NameCodingTable[Type])</f>
        <v>agency</v>
      </c>
      <c r="F9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15</v>
      </c>
      <c r="G9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97" s="54">
        <f>SummaryTable[[#This Row],['# Over]]/SummaryTable[[#This Row],[Count]]</f>
        <v>0.2</v>
      </c>
      <c r="I9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97" s="54">
        <f>SummaryTable[[#This Row],['# Under]]/SummaryTable[[#This Row],[Count]]</f>
        <v>0.8</v>
      </c>
      <c r="K9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7" s="54">
        <f>SummaryTable[[#This Row],['# Equal]]/SummaryTable[[#This Row],[Count]]</f>
        <v>0</v>
      </c>
      <c r="M97" s="61">
        <f>SUMIFS(allFYsTable[OriginalBudget],allFYsTable[Code],SummaryTable[[#This Row],[Code]])/SummaryTable[[#This Row],[Count]]</f>
        <v>6375.333333333333</v>
      </c>
      <c r="N97" s="61">
        <f>SUMIFS(allFYsTable[Actual],allFYsTable[Code],SummaryTable[[#This Row],[Code]])/SummaryTable[[#This Row],[Count]]</f>
        <v>6052.7333333333336</v>
      </c>
      <c r="O97" s="61">
        <f>SummaryTable[[#This Row],[AvgActAmt]]-SummaryTable[[#This Row],[AvgBudAmt]]</f>
        <v>-322.59999999999945</v>
      </c>
      <c r="P97" s="54">
        <f>IF(SummaryTable[[#This Row],[AvgBudAmt]]=0, IF(SummaryTable[[#This Row],[AvgDiff'#]]=0, 0, NamedFields!$C$3), SummaryTable[[#This Row],[AvgDiff'#]]/SummaryTable[[#This Row],[AvgBudAmt]])</f>
        <v>-5.0601275750287486E-2</v>
      </c>
      <c r="Q97" s="61">
        <f>IFERROR(SUMIFS(allFYsTable[OriginalBudget],allFYsTable[Code],SummaryTable[[#This Row],[Code]],allFYsTable[DiffAmount], "&gt;0")/SummaryTable[[#This Row],['# Over]], 0)</f>
        <v>7152.333333333333</v>
      </c>
      <c r="R97" s="61">
        <f>IFERROR(SUMIFS(allFYsTable[Actual],allFYsTable[Code],SummaryTable[[#This Row],[Code]],allFYsTable[DiffAmount], "&gt;0")/SummaryTable[[#This Row],['# Over]], 0)</f>
        <v>7713.333333333333</v>
      </c>
      <c r="S97" s="61">
        <f>SummaryTable[[#This Row],[OverAvgAct]]-SummaryTable[[#This Row],[OverAvgBud]]</f>
        <v>561</v>
      </c>
      <c r="T97" s="54">
        <f>IF(SummaryTable[[#This Row],[OverAvgBud]]=0, IF(SummaryTable[[#This Row],[OverAvgDiff'#]]=0, ZeroBudgetNoSpending, ZeroBudgetWithSpending), SummaryTable[[#This Row],[OverAvgDiff'#]]/SummaryTable[[#This Row],[OverAvgBud]])</f>
        <v>7.8435941650743357E-2</v>
      </c>
      <c r="U97" s="61">
        <f>IFERROR(SUMIFS(allFYsTable[OriginalBudget],allFYsTable[Code],SummaryTable[[#This Row],[Code]],allFYsTable[DiffAmount], "&lt;0")/SummaryTable[[#This Row],['# Under]], 0)</f>
        <v>6181.083333333333</v>
      </c>
      <c r="V97" s="61">
        <f>IFERROR( SUMIFS(allFYsTable[Actual],allFYsTable[Code],SummaryTable[[#This Row],[Code]],allFYsTable[DiffAmount], "&lt;0")/SummaryTable[[#This Row],['# Under]], 0)</f>
        <v>5637.583333333333</v>
      </c>
      <c r="W97" s="61">
        <f>SummaryTable[[#This Row],[UnderAvgAct]]-SummaryTable[[#This Row],[UnderAvgBud]]</f>
        <v>-543.5</v>
      </c>
      <c r="X97" s="54">
        <f>IF(SummaryTable[[#This Row],[UnderAvgBud]]=0, IF(SummaryTable[[#This Row],[UnderAvgDiff'#]]=0, ZeroBudgetNoSpending, NamedFields!$C$3), SummaryTable[[#This Row],[UnderAvgDiff'#]]/SummaryTable[[#This Row],[UnderAvgBud]])</f>
        <v>-8.792957005918596E-2</v>
      </c>
      <c r="Y9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10</v>
      </c>
      <c r="Z9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2</v>
      </c>
      <c r="AA97" s="54">
        <f>IF(SummaryTable[[#This Row],[IncreaseYears]]=0, ZeroBudgetNoSpending, SummaryTable[[#This Row],[OSinIncreaseYear'#]]/SummaryTable[[#This Row],[IncreaseYears]])</f>
        <v>0.2</v>
      </c>
      <c r="AB97" s="58" t="str">
        <f>SummaryTable[[#This Row],[Code]]</f>
        <v>FQ0</v>
      </c>
      <c r="AC97" s="62">
        <f>IF(COUNTIFS(allFYsTable[Code], SummaryTable[[#This Row],[Code]], allFYsTable[year2], AC$3)=0, NotFound, SUMIFS(allFYsTable[OriginalBudget], allFYsTable[Code], SummaryTable[[#This Row],[Code]], allFYsTable[year2], AC$3))</f>
        <v>16549</v>
      </c>
      <c r="AD97" s="61">
        <f>SummaryTable[[#This Row],[OriginalBudget25]]-SummaryTable[[#This Row],[OriginalBudget24]]</f>
        <v>9380</v>
      </c>
      <c r="AE97" s="54">
        <f>SummaryTable[[#This Row],[BudgetIncreaseAmount25]]/SummaryTable[[#This Row],[OriginalBudget24]]</f>
        <v>1.308411214953271</v>
      </c>
      <c r="AF97" s="61">
        <f>IF(COUNTIFS(allFYsTable[Code], SummaryTable[[#This Row],[Code]], allFYsTable[year2], AC$3)=0, NotFound, SUMIFS(allFYsTable[RevisedBudget], allFYsTable[Code], SummaryTable[[#This Row],[Code]], allFYsTable[year2], AC$3))</f>
        <v>14370</v>
      </c>
      <c r="AG97" s="61">
        <f>IF(COUNTIFS(allFYsTable[Code], SummaryTable[[#This Row],[Code]], allFYsTable[year2], AC$3)=0, NotFound, SUMIFS(allFYsTable[Actual], allFYsTable[Code], SummaryTable[[#This Row],[Code]], allFYsTable[year2], AC$3))</f>
        <v>14023</v>
      </c>
      <c r="AH97" s="61">
        <f>IF(COUNTIFS(allFYsTable[Code], SummaryTable[[#This Row],[Code]], allFYsTable[year2], AC$3)=0, NotFound, SUMIFS(allFYsTable[DiffAmount], allFYsTable[Code], SummaryTable[[#This Row],[Code]], allFYsTable[year2], AC$3))</f>
        <v>-2526</v>
      </c>
      <c r="AI97" s="63">
        <f>IF(SummaryTable[[#This Row],[OriginalBudget25]]=0, IF(SummaryTable[[#This Row],[DiffAmount25]]=0, ZeroBudgetNoSpending, ZeroBudgetWithSpending), SummaryTable[[#This Row],[DiffAmount25]]/SummaryTable[[#This Row],[OriginalBudget25]])</f>
        <v>-0.1526376216085564</v>
      </c>
      <c r="AJ97" s="62">
        <f>IF(COUNTIFS(allFYsTable[Code], SummaryTable[[#This Row],[Code]], allFYsTable[year2], AJ$3)=0, NotFound, SUMIFS(allFYsTable[OriginalBudget], allFYsTable[Code], SummaryTable[[#This Row],[Code]], allFYsTable[year2], AJ$3))</f>
        <v>7169</v>
      </c>
      <c r="AK97" s="61">
        <f>SummaryTable[[#This Row],[OriginalBudget24]]-SummaryTable[[#This Row],[OriginalBudget23]]</f>
        <v>4179</v>
      </c>
      <c r="AL97" s="54">
        <f>SummaryTable[[#This Row],[BudgetIncreaseAmount24]]/SummaryTable[[#This Row],[OriginalBudget23]]</f>
        <v>1.3976588628762541</v>
      </c>
      <c r="AM97" s="61">
        <f>IF(COUNTIFS(allFYsTable[Code], SummaryTable[[#This Row],[Code]], allFYsTable[year2], AK$3)=0, NotFound, SUMIFS(allFYsTable[RevisedBudget], allFYsTable[Code], SummaryTable[[#This Row],[Code]], allFYsTable[year2], AJ$3))</f>
        <v>7034</v>
      </c>
      <c r="AN97" s="61">
        <f>IF(COUNTIFS(allFYsTable[Code], SummaryTable[[#This Row],[Code]], allFYsTable[year2], AJ$3)=0, NotFound, SUMIFS(allFYsTable[Actual], allFYsTable[Code], SummaryTable[[#This Row],[Code]], allFYsTable[year2], AJ$3))</f>
        <v>6282</v>
      </c>
      <c r="AO97" s="61">
        <f>IF(COUNTIFS(allFYsTable[Code], SummaryTable[[#This Row],[Code]], allFYsTable[year2], AJ$3)=0, NotFound, SUMIFS(allFYsTable[DiffAmount], allFYsTable[Code], SummaryTable[[#This Row],[Code]], allFYsTable[year2], AJ$3))</f>
        <v>-887</v>
      </c>
      <c r="AP97" s="63">
        <f>IF(SummaryTable[[#This Row],[OriginalBudget24]]=0, IF(SummaryTable[[#This Row],[DiffAmount24]]=0, ZeroBudgetNoSpending, ZeroBudgetWithSpending), SummaryTable[[#This Row],[DiffAmount24]]/SummaryTable[[#This Row],[OriginalBudget24]])</f>
        <v>-0.12372715859952574</v>
      </c>
      <c r="AQ97" s="62">
        <f>IF(COUNTIFS(allFYsTable[Code], SummaryTable[[#This Row],[Code]], allFYsTable[year2], AQ$3)=0, NotFound, SUMIFS(allFYsTable[OriginalBudget], allFYsTable[Code], SummaryTable[[#This Row],[Code]], allFYsTable[year2], AQ$3))</f>
        <v>2990</v>
      </c>
      <c r="AR97" s="61">
        <f>SummaryTable[[#This Row],[OriginalBudget23]]-SummaryTable[[#This Row],[OriginalBudget22]]</f>
        <v>591</v>
      </c>
      <c r="AS97" s="54">
        <f>SummaryTable[[#This Row],[BudgetIncreaseAmount23]]/SummaryTable[[#This Row],[OriginalBudget22]]</f>
        <v>0.24635264693622341</v>
      </c>
      <c r="AT97" s="61">
        <f>IF(COUNTIFS(allFYsTable[Code], SummaryTable[[#This Row],[Code]], allFYsTable[year2], AQ$3)=0, NotFound, SUMIFS(allFYsTable[RevisedBudget], allFYsTable[Code], SummaryTable[[#This Row],[Code]], allFYsTable[year2], AQ$3))</f>
        <v>3394</v>
      </c>
      <c r="AU97" s="61">
        <f>IF(COUNTIFS(allFYsTable[Code], SummaryTable[[#This Row],[Code]], allFYsTable[year2], AQ$3)=0, NotFound, SUMIFS(allFYsTable[Actual], allFYsTable[Code], SummaryTable[[#This Row],[Code]], allFYsTable[year2], AQ$3))</f>
        <v>2334</v>
      </c>
      <c r="AV97" s="61">
        <f>IF(COUNTIFS(allFYsTable[Code], SummaryTable[[#This Row],[Code]], allFYsTable[year2], AQ$3)=0, NotFound, SUMIFS(allFYsTable[DiffAmount], allFYsTable[Code], SummaryTable[[#This Row],[Code]], allFYsTable[year2], AQ$3))</f>
        <v>-656</v>
      </c>
      <c r="AW97" s="63">
        <f>IF(SummaryTable[[#This Row],[OriginalBudget23]]=0, IF(SummaryTable[[#This Row],[DiffAmount23]]=0, ZeroBudgetNoSpending, ZeroBudgetWithSpending), SummaryTable[[#This Row],[DiffAmount23]]/SummaryTable[[#This Row],[OriginalBudget23]])</f>
        <v>-0.21939799331103679</v>
      </c>
      <c r="AX97" s="62">
        <f>IF(COUNTIFS(allFYsTable[Code], SummaryTable[[#This Row],[Code]], allFYsTable[year2], AX$3)=0, NotFound, SUMIFS(allFYsTable[OriginalBudget], allFYsTable[Code], SummaryTable[[#This Row],[Code]], allFYsTable[year2], AX$3))</f>
        <v>2399</v>
      </c>
      <c r="AY97" s="61">
        <f>SummaryTable[[#This Row],[OriginalBudget22]]-SummaryTable[[#This Row],[OriginalBudget21]]</f>
        <v>712</v>
      </c>
      <c r="AZ97" s="54">
        <f>SummaryTable[[#This Row],[BudgetIncreaseAmount22]]/SummaryTable[[#This Row],[OriginalBudget21]]</f>
        <v>0.42205097806757558</v>
      </c>
      <c r="BA97" s="61">
        <f>IF(COUNTIFS(allFYsTable[Code], SummaryTable[[#This Row],[Code]], allFYsTable[year2], AX$3)=0, NotFound, SUMIFS(allFYsTable[RevisedBudget], allFYsTable[Code], SummaryTable[[#This Row],[Code]], allFYsTable[year2], AX$3))</f>
        <v>3125</v>
      </c>
      <c r="BB97" s="61">
        <f>IF(COUNTIFS(allFYsTable[Code], SummaryTable[[#This Row],[Code]], allFYsTable[year2], AX$3)=0, NotFound, SUMIFS(allFYsTable[Actual], allFYsTable[Code], SummaryTable[[#This Row],[Code]], allFYsTable[year2], AX$3))</f>
        <v>3109</v>
      </c>
      <c r="BC97" s="61">
        <f>IF(COUNTIFS(allFYsTable[Code], SummaryTable[[#This Row],[Code]], allFYsTable[year2], AX$3)=0, NotFound, SUMIFS(allFYsTable[DiffAmount], allFYsTable[Code], SummaryTable[[#This Row],[Code]], allFYsTable[year2], AX$3))</f>
        <v>710</v>
      </c>
      <c r="BD97" s="63">
        <f>IF(SummaryTable[[#This Row],[OriginalBudget22]]=0, IF(SummaryTable[[#This Row],[DiffAmount22]]=0, ZeroBudgetNoSpending, ZeroBudgetWithSpending), SummaryTable[[#This Row],[DiffAmount22]]/SummaryTable[[#This Row],[OriginalBudget22]])</f>
        <v>0.29595664860358484</v>
      </c>
      <c r="BE97" s="62">
        <f>IF(COUNTIFS(allFYsTable[Code], SummaryTable[[#This Row],[Code]], allFYsTable[year2], BE$3)=0, NotFound, SUMIFS(allFYsTable[OriginalBudget], allFYsTable[Code], SummaryTable[[#This Row],[Code]], allFYsTable[year2], BE$3))</f>
        <v>1687</v>
      </c>
      <c r="BF97" s="61">
        <f>SummaryTable[[#This Row],[OriginalBudget21]]-SummaryTable[[#This Row],[OriginalBudget20]]</f>
        <v>116</v>
      </c>
      <c r="BG97" s="54">
        <f>SummaryTable[[#This Row],[BudgetIncreaseAmount21]]/SummaryTable[[#This Row],[OriginalBudget20]]</f>
        <v>7.383831954169319E-2</v>
      </c>
      <c r="BH97" s="61">
        <f>IF(COUNTIFS(allFYsTable[Code], SummaryTable[[#This Row],[Code]], allFYsTable[year2], BE$3)=0, NotFound, SUMIFS(allFYsTable[RevisedBudget], allFYsTable[Code], SummaryTable[[#This Row],[Code]], allFYsTable[year2], BE$3))</f>
        <v>1861</v>
      </c>
      <c r="BI97" s="61">
        <f>IF(COUNTIFS(allFYsTable[Code], SummaryTable[[#This Row],[Code]], allFYsTable[year2], BE$3)=0, NotFound, SUMIFS(allFYsTable[Actual], allFYsTable[Code], SummaryTable[[#This Row],[Code]], allFYsTable[year2], BE$3))</f>
        <v>1647</v>
      </c>
      <c r="BJ97" s="61">
        <f>IF(COUNTIFS(allFYsTable[Code], SummaryTable[[#This Row],[Code]], allFYsTable[year2], BE$3)=0, NotFound, SUMIFS(allFYsTable[DiffAmount], allFYsTable[Code], SummaryTable[[#This Row],[Code]], allFYsTable[year2], BE$3))</f>
        <v>-40</v>
      </c>
      <c r="BK97" s="63">
        <f>IF(SummaryTable[[#This Row],[OriginalBudget21]]=0, IF(SummaryTable[[#This Row],[DiffAmount21]]=0, ZeroBudgetNoSpending, ZeroBudgetWithSpending), SummaryTable[[#This Row],[DiffAmount21]]/SummaryTable[[#This Row],[OriginalBudget21]])</f>
        <v>-2.3710729104919975E-2</v>
      </c>
      <c r="BL97" s="62">
        <f>IF(COUNTIFS(allFYsTable[Code], SummaryTable[[#This Row],[Code]], allFYsTable[year2], BL$3)=0, NotFound, SUMIFS(allFYsTable[OriginalBudget], allFYsTable[Code], SummaryTable[[#This Row],[Code]], allFYsTable[year2], BL$3))</f>
        <v>1571</v>
      </c>
      <c r="BM97" s="61">
        <f>SummaryTable[[#This Row],[OriginalBudget20]]-SummaryTable[[#This Row],[OriginalBudget19]]</f>
        <v>-25</v>
      </c>
      <c r="BN97" s="54">
        <f>SummaryTable[[#This Row],[BudgetIncreaseAmount20]]/SummaryTable[[#This Row],[OriginalBudget19]]</f>
        <v>-1.5664160401002505E-2</v>
      </c>
      <c r="BO97" s="61">
        <f>IF(COUNTIFS(allFYsTable[Code], SummaryTable[[#This Row],[Code]], allFYsTable[year2], BL$3)=0, NotFound, SUMIFS(allFYsTable[RevisedBudget], allFYsTable[Code], SummaryTable[[#This Row],[Code]], allFYsTable[year2], BL$3))</f>
        <v>1483</v>
      </c>
      <c r="BP97" s="61">
        <f>IF(COUNTIFS(allFYsTable[Code], SummaryTable[[#This Row],[Code]], allFYsTable[year2], BL$3)=0, NotFound, SUMIFS(allFYsTable[Actual], allFYsTable[Code], SummaryTable[[#This Row],[Code]], allFYsTable[year2], BL$3))</f>
        <v>1457</v>
      </c>
      <c r="BQ97" s="61">
        <f>IF(COUNTIFS(allFYsTable[Code], SummaryTable[[#This Row],[Code]], allFYsTable[year2], BL$3)=0, NotFound, SUMIFS(allFYsTable[DiffAmount], allFYsTable[Code], SummaryTable[[#This Row],[Code]], allFYsTable[year2], BL$3))</f>
        <v>-114</v>
      </c>
      <c r="BR97" s="63">
        <f>IF(SummaryTable[[#This Row],[OriginalBudget20]]=0, IF(SummaryTable[[#This Row],[DiffAmount20]]=0, ZeroBudgetNoSpending, ZeroBudgetWithSpending), SummaryTable[[#This Row],[DiffAmount20]]/SummaryTable[[#This Row],[OriginalBudget20]])</f>
        <v>-7.2565245066836412E-2</v>
      </c>
      <c r="BS97" s="62">
        <f>IF(COUNTIFS(allFYsTable[Code], SummaryTable[[#This Row],[Code]], allFYsTable[year2], BS$3)=0, NotFound, SUMIFS(allFYsTable[OriginalBudget], allFYsTable[Code], SummaryTable[[#This Row],[Code]], allFYsTable[year2], BS$3))</f>
        <v>1596</v>
      </c>
      <c r="BT97" s="61">
        <f>SummaryTable[[#This Row],[OriginalBudget19]]-SummaryTable[[#This Row],[OriginalBudget18]]</f>
        <v>-17</v>
      </c>
      <c r="BU97" s="54">
        <f>SummaryTable[[#This Row],[BudgetIncreaseAmount19]]/SummaryTable[[#This Row],[OriginalBudget18]]</f>
        <v>-1.0539367637941723E-2</v>
      </c>
      <c r="BV97" s="61">
        <f>IF(COUNTIFS(allFYsTable[Code], SummaryTable[[#This Row],[Code]], allFYsTable[year2], BS$3)=0, NotFound, SUMIFS(allFYsTable[RevisedBudget], allFYsTable[Code], SummaryTable[[#This Row],[Code]], allFYsTable[year2], BS$3))</f>
        <v>1396</v>
      </c>
      <c r="BW97" s="61">
        <f>IF(COUNTIFS(allFYsTable[Code], SummaryTable[[#This Row],[Code]], allFYsTable[year2], BS$3)=0, NotFound, SUMIFS(allFYsTable[Actual], allFYsTable[Code], SummaryTable[[#This Row],[Code]], allFYsTable[year2], BS$3))</f>
        <v>1320</v>
      </c>
      <c r="BX97" s="61">
        <f>IF(COUNTIFS(allFYsTable[Code], SummaryTable[[#This Row],[Code]], allFYsTable[year2], BS$3)=0, NotFound, SUMIFS(allFYsTable[DiffAmount], allFYsTable[Code], SummaryTable[[#This Row],[Code]], allFYsTable[year2], BS$3))</f>
        <v>-276</v>
      </c>
      <c r="BY97" s="63">
        <f>IF(SummaryTable[[#This Row],[OriginalBudget19]]=0, IF(SummaryTable[[#This Row],[DiffAmount19]]=0, ZeroBudgetNoSpending, ZeroBudgetWithSpending), SummaryTable[[#This Row],[DiffAmount19]]/SummaryTable[[#This Row],[OriginalBudget19]])</f>
        <v>-0.17293233082706766</v>
      </c>
      <c r="BZ97" s="62">
        <f>IF(COUNTIFS(allFYsTable[Code], SummaryTable[[#This Row],[Code]], allFYsTable[year2], BZ$3)=0, NotFound, SUMIFS(allFYsTable[OriginalBudget], allFYsTable[Code], SummaryTable[[#This Row],[Code]], allFYsTable[year2], BZ$3))</f>
        <v>1613</v>
      </c>
      <c r="CA97" s="61">
        <f>SummaryTable[[#This Row],[OriginalBudget18]]-SummaryTable[[#This Row],[OriginalBudget17]]</f>
        <v>338</v>
      </c>
      <c r="CB97" s="54">
        <f>SummaryTable[[#This Row],[BudgetIncreaseAmount18]]/SummaryTable[[#This Row],[OriginalBudget17]]</f>
        <v>0.26509803921568625</v>
      </c>
      <c r="CC97" s="61">
        <f>IF(COUNTIFS(allFYsTable[Code], SummaryTable[[#This Row],[Code]], allFYsTable[year2], BZ$3)=0, NotFound, SUMIFS(allFYsTable[RevisedBudget], allFYsTable[Code], SummaryTable[[#This Row],[Code]], allFYsTable[year2], BZ$3))</f>
        <v>1415</v>
      </c>
      <c r="CD97" s="61">
        <f>IF(COUNTIFS(allFYsTable[Code], SummaryTable[[#This Row],[Code]], allFYsTable[year2], BZ$3)=0, NotFound, SUMIFS(allFYsTable[Actual], allFYsTable[Code], SummaryTable[[#This Row],[Code]], allFYsTable[year2], BZ$3))</f>
        <v>1330</v>
      </c>
      <c r="CE97" s="61">
        <f>IF(COUNTIFS(allFYsTable[Code], SummaryTable[[#This Row],[Code]], allFYsTable[year2], BZ$3)=0, NotFound, SUMIFS(allFYsTable[DiffAmount], allFYsTable[Code], SummaryTable[[#This Row],[Code]], allFYsTable[year2], BZ$3))</f>
        <v>-283</v>
      </c>
      <c r="CF97" s="63">
        <f>IF(SummaryTable[[#This Row],[OriginalBudget18]]=0, IF(SummaryTable[[#This Row],[DiffAmount18]]=0, ZeroBudgetNoSpending, ZeroBudgetWithSpending), SummaryTable[[#This Row],[DiffAmount18]]/SummaryTable[[#This Row],[OriginalBudget18]])</f>
        <v>-0.17544947303161809</v>
      </c>
      <c r="CG97" s="62">
        <f>IF(COUNTIFS(allFYsTable[Code], SummaryTable[[#This Row],[Code]], allFYsTable[year2], CG$3)=0, NotFound, SUMIFS(allFYsTable[OriginalBudget], allFYsTable[Code], SummaryTable[[#This Row],[Code]], allFYsTable[year2], CG$3))</f>
        <v>1275</v>
      </c>
      <c r="CH97" s="61">
        <f>SummaryTable[[#This Row],[OriginalBudget17]]-SummaryTable[[#This Row],[OriginalBudget16]]</f>
        <v>429</v>
      </c>
      <c r="CI97" s="54">
        <f>SummaryTable[[#This Row],[BudgetIncreaseAmount17]]/SummaryTable[[#This Row],[OriginalBudget16]]</f>
        <v>0.50709219858156029</v>
      </c>
      <c r="CJ97" s="61">
        <f>IF(COUNTIFS(allFYsTable[Code], SummaryTable[[#This Row],[Code]], allFYsTable[year2], CG$3)=0, NotFound, SUMIFS(allFYsTable[RevisedBudget], allFYsTable[Code], SummaryTable[[#This Row],[Code]], allFYsTable[year2], CG$3))</f>
        <v>1773</v>
      </c>
      <c r="CK97" s="61">
        <f>IF(COUNTIFS(allFYsTable[Code], SummaryTable[[#This Row],[Code]], allFYsTable[year2], CG$3)=0, NotFound, SUMIFS(allFYsTable[Actual], allFYsTable[Code], SummaryTable[[#This Row],[Code]], allFYsTable[year2], CG$3))</f>
        <v>1683</v>
      </c>
      <c r="CL97" s="61">
        <f>IF(COUNTIFS(allFYsTable[Code], SummaryTable[[#This Row],[Code]], allFYsTable[year2], CG$3)=0, NotFound, SUMIFS(allFYsTable[DiffAmount], allFYsTable[Code], SummaryTable[[#This Row],[Code]], allFYsTable[year2], CG$3))</f>
        <v>408</v>
      </c>
      <c r="CM97" s="63">
        <f>IF(SummaryTable[[#This Row],[OriginalBudget17]]=0, IF(SummaryTable[[#This Row],[DiffAmount17]]=0, ZeroBudgetNoSpending, ZeroBudgetWithSpending), SummaryTable[[#This Row],[DiffAmount17]]/SummaryTable[[#This Row],[OriginalBudget17]])</f>
        <v>0.32</v>
      </c>
      <c r="CN97" s="62">
        <f>IF(COUNTIFS(allFYsTable[Code], SummaryTable[[#This Row],[Code]], allFYsTable[year2], CN$3)=0, NotFound, SUMIFS(allFYsTable[OriginalBudget], allFYsTable[Code], SummaryTable[[#This Row],[Code]], allFYsTable[year2], CN$3))</f>
        <v>846</v>
      </c>
      <c r="CO97" s="61">
        <f>SummaryTable[[#This Row],[OriginalBudget16]]-SummaryTable[[#This Row],[OriginalBudget15]]</f>
        <v>-19626</v>
      </c>
      <c r="CP97" s="54">
        <f>SummaryTable[[#This Row],[BudgetIncreaseAmount16]]/SummaryTable[[#This Row],[OriginalBudget15]]</f>
        <v>-0.95867526377491208</v>
      </c>
      <c r="CQ97" s="61">
        <f>IF(COUNTIFS(allFYsTable[Code], SummaryTable[[#This Row],[Code]], allFYsTable[year2], CN$3)=0, NotFound, SUMIFS(allFYsTable[RevisedBudget], allFYsTable[Code], SummaryTable[[#This Row],[Code]], allFYsTable[year2], CN$3))</f>
        <v>846</v>
      </c>
      <c r="CR97" s="61">
        <f>IF(COUNTIFS(allFYsTable[Code], SummaryTable[[#This Row],[Code]], allFYsTable[year2], CN$3)=0, NotFound, SUMIFS(allFYsTable[Actual], allFYsTable[Code], SummaryTable[[#This Row],[Code]], allFYsTable[year2], CN$3))</f>
        <v>683</v>
      </c>
      <c r="CS97" s="61">
        <f>IF(COUNTIFS(allFYsTable[Code], SummaryTable[[#This Row],[Code]], allFYsTable[year2], CN$3)=0, NotFound, SUMIFS(allFYsTable[DiffAmount], allFYsTable[Code], SummaryTable[[#This Row],[Code]], allFYsTable[year2], CN$3))</f>
        <v>-163</v>
      </c>
      <c r="CT97" s="63">
        <f>IF(SummaryTable[[#This Row],[OriginalBudget16]]=0, IF(SummaryTable[[#This Row],[DiffAmount16]]=0, ZeroBudgetNoSpending, ZeroBudgetWithSpending), SummaryTable[[#This Row],[DiffAmount16]]/SummaryTable[[#This Row],[OriginalBudget16]])</f>
        <v>-0.19267139479905437</v>
      </c>
      <c r="CU97" s="62">
        <f>IF(COUNTIFS(allFYsTable[Code], SummaryTable[[#This Row],[Code]], allFYsTable[year2], CU$3)=0, NotFound, SUMIFS(allFYsTable[OriginalBudget], allFYsTable[Code], SummaryTable[[#This Row],[Code]], allFYsTable[year2], CU$3))</f>
        <v>20472</v>
      </c>
      <c r="CV97" s="61">
        <f>SummaryTable[[#This Row],[OriginalBudget15]]-SummaryTable[[#This Row],[OriginalBudget14]]</f>
        <v>2689</v>
      </c>
      <c r="CW97" s="54">
        <f>SummaryTable[[#This Row],[BudgetIncreaseAmount15]]/SummaryTable[[#This Row],[OriginalBudget14]]</f>
        <v>0.15121183152448969</v>
      </c>
      <c r="CX97" s="61">
        <f>IF(COUNTIFS(allFYsTable[Code], SummaryTable[[#This Row],[Code]], allFYsTable[year2], CU$3)=0, NotFound, SUMIFS(allFYsTable[RevisedBudget], allFYsTable[Code], SummaryTable[[#This Row],[Code]], allFYsTable[year2], CU$3))</f>
        <v>19916</v>
      </c>
      <c r="CY97" s="61">
        <f>IF(COUNTIFS(allFYsTable[Code], SummaryTable[[#This Row],[Code]], allFYsTable[year2], CU$3)=0, NotFound, SUMIFS(allFYsTable[Actual], allFYsTable[Code], SummaryTable[[#This Row],[Code]], allFYsTable[year2], CU$3))</f>
        <v>19517</v>
      </c>
      <c r="CZ97" s="61">
        <f>IF(COUNTIFS(allFYsTable[Code], SummaryTable[[#This Row],[Code]], allFYsTable[year2], CU$3)=0, NotFound, SUMIFS(allFYsTable[DiffAmount], allFYsTable[Code], SummaryTable[[#This Row],[Code]], allFYsTable[year2], CU$3))</f>
        <v>-955</v>
      </c>
      <c r="DA97" s="63">
        <f>IF(SummaryTable[[#This Row],[OriginalBudget15]]=0, IF(SummaryTable[[#This Row],[DiffAmount15]]=0, ZeroBudgetNoSpending, ZeroBudgetWithSpending), SummaryTable[[#This Row],[DiffAmount15]]/SummaryTable[[#This Row],[OriginalBudget15]])</f>
        <v>-4.6649081672528334E-2</v>
      </c>
      <c r="DB97" s="62">
        <f>IF(COUNTIFS(allFYsTable[Code], SummaryTable[[#This Row],[Code]], allFYsTable[year2], DB$3)=0, NotFound, SUMIFS(allFYsTable[OriginalBudget], allFYsTable[Code], SummaryTable[[#This Row],[Code]], allFYsTable[year2], DB$3))</f>
        <v>17783</v>
      </c>
      <c r="DC97" s="61">
        <f>SummaryTable[[#This Row],[OriginalBudget14]]-SummaryTable[[#This Row],[OriginalBudget13]]</f>
        <v>6639</v>
      </c>
      <c r="DD97" s="54">
        <f>SummaryTable[[#This Row],[BudgetIncreaseAmount14]]/SummaryTable[[#This Row],[OriginalBudget13]]</f>
        <v>0.59574659009332376</v>
      </c>
      <c r="DE97" s="61">
        <f>IF(COUNTIFS(allFYsTable[Code], SummaryTable[[#This Row],[Code]], allFYsTable[year2], DB$3)=0, NotFound, SUMIFS(allFYsTable[RevisedBudget], allFYsTable[Code], SummaryTable[[#This Row],[Code]], allFYsTable[year2], DB$3))</f>
        <v>18628</v>
      </c>
      <c r="DF97" s="61">
        <f>IF(COUNTIFS(allFYsTable[Code], SummaryTable[[#This Row],[Code]], allFYsTable[year2], DB$3)=0, NotFound, SUMIFS(allFYsTable[Actual], allFYsTable[Code], SummaryTable[[#This Row],[Code]], allFYsTable[year2], DB$3))</f>
        <v>18348</v>
      </c>
      <c r="DG97" s="61">
        <f>IF(COUNTIFS(allFYsTable[Code], SummaryTable[[#This Row],[Code]], allFYsTable[year2], DB$3)=0, NotFound, SUMIFS(allFYsTable[DiffAmount], allFYsTable[Code], SummaryTable[[#This Row],[Code]], allFYsTable[year2], DB$3))</f>
        <v>565</v>
      </c>
      <c r="DH97" s="63">
        <f>IF(SummaryTable[[#This Row],[OriginalBudget14]]=0, IF(SummaryTable[[#This Row],[DiffAmount14]]=0, ZeroBudgetNoSpending, ZeroBudgetWithSpending), SummaryTable[[#This Row],[DiffAmount14]]/SummaryTable[[#This Row],[OriginalBudget14]])</f>
        <v>3.1771916999381429E-2</v>
      </c>
      <c r="DI97" s="62">
        <f>IF(COUNTIFS(allFYsTable[Code], SummaryTable[[#This Row],[Code]], allFYsTable[year2], DI$3)=0, NotFound, SUMIFS(allFYsTable[OriginalBudget], allFYsTable[Code], SummaryTable[[#This Row],[Code]], allFYsTable[year2], DI$3))</f>
        <v>11144</v>
      </c>
      <c r="DJ97" s="61">
        <f>SummaryTable[[#This Row],[OriginalBudget13]]-SummaryTable[[#This Row],[OriginalBudget12]]</f>
        <v>2983</v>
      </c>
      <c r="DK97" s="54">
        <f>SummaryTable[[#This Row],[BudgetIncreaseAmount13]]/SummaryTable[[#This Row],[OriginalBudget12]]</f>
        <v>0.36551893150349224</v>
      </c>
      <c r="DL97" s="61">
        <f>IF(COUNTIFS(allFYsTable[Code], SummaryTable[[#This Row],[Code]], allFYsTable[year2], DI$3)=0, NotFound, SUMIFS(allFYsTable[RevisedBudget], allFYsTable[Code], SummaryTable[[#This Row],[Code]], allFYsTable[year2], DI$3))</f>
        <v>11160</v>
      </c>
      <c r="DM97" s="61">
        <f>IF(COUNTIFS(allFYsTable[Code], SummaryTable[[#This Row],[Code]], allFYsTable[year2], DI$3)=0, NotFound, SUMIFS(allFYsTable[Actual], allFYsTable[Code], SummaryTable[[#This Row],[Code]], allFYsTable[year2], DI$3))</f>
        <v>11042</v>
      </c>
      <c r="DN97" s="61">
        <f>IF(COUNTIFS(allFYsTable[Code], SummaryTable[[#This Row],[Code]], allFYsTable[year2], DI$3)=0, NotFound, SUMIFS(allFYsTable[DiffAmount], allFYsTable[Code], SummaryTable[[#This Row],[Code]], allFYsTable[year2], DI$3))</f>
        <v>-102</v>
      </c>
      <c r="DO97" s="63">
        <f>IF(SummaryTable[[#This Row],[OriginalBudget13]]=0, IF(SummaryTable[[#This Row],[DiffAmount13]]=0, ZeroBudgetNoSpending, ZeroBudgetWithSpending), SummaryTable[[#This Row],[DiffAmount13]]/SummaryTable[[#This Row],[OriginalBudget13]])</f>
        <v>-9.1529073941134242E-3</v>
      </c>
      <c r="DP97" s="62">
        <f>IF(COUNTIFS(allFYsTable[Code], SummaryTable[[#This Row],[Code]], allFYsTable[year2], DP$3)=0, NotFound, SUMIFS(allFYsTable[OriginalBudget], allFYsTable[Code], SummaryTable[[#This Row],[Code]], allFYsTable[year2], DP$3))</f>
        <v>8161</v>
      </c>
      <c r="DQ97" s="61">
        <f>SummaryTable[[#This Row],[OriginalBudget12]]-SummaryTable[[#This Row],[OriginalBudget11]]</f>
        <v>7786</v>
      </c>
      <c r="DR97" s="54">
        <f>SummaryTable[[#This Row],[BudgetIncreaseAmount12]]/SummaryTable[[#This Row],[OriginalBudget11]]</f>
        <v>20.762666666666668</v>
      </c>
      <c r="DS97" s="61">
        <f>IF(COUNTIFS(allFYsTable[Code], SummaryTable[[#This Row],[Code]], allFYsTable[year2], DP$3)=0, NotFound, SUMIFS(allFYsTable[RevisedBudget], allFYsTable[Code], SummaryTable[[#This Row],[Code]], allFYsTable[year2], DP$3))</f>
        <v>8656</v>
      </c>
      <c r="DT97" s="61">
        <f>IF(COUNTIFS(allFYsTable[Code], SummaryTable[[#This Row],[Code]], allFYsTable[year2], DP$3)=0, NotFound, SUMIFS(allFYsTable[Actual], allFYsTable[Code], SummaryTable[[#This Row],[Code]], allFYsTable[year2], DP$3))</f>
        <v>7720</v>
      </c>
      <c r="DU97" s="61">
        <f>IF(COUNTIFS(allFYsTable[Code], SummaryTable[[#This Row],[Code]], allFYsTable[year2], DP$3)=0, NotFound, SUMIFS(allFYsTable[DiffAmount], allFYsTable[Code], SummaryTable[[#This Row],[Code]], allFYsTable[year2], DP$3))</f>
        <v>-441</v>
      </c>
      <c r="DV97" s="63">
        <f>IF(SummaryTable[[#This Row],[OriginalBudget12]]=0, IF(SummaryTable[[#This Row],[DiffAmount12]]=0, ZeroBudgetNoSpending, ZeroBudgetWithSpending), SummaryTable[[#This Row],[DiffAmount12]]/SummaryTable[[#This Row],[OriginalBudget12]])</f>
        <v>-5.4037495404974878E-2</v>
      </c>
      <c r="DW97" s="62">
        <f>IF(COUNTIFS(allFYsTable[Code], SummaryTable[[#This Row],[Code]], allFYsTable[year2], DW$3)=0, NotFound, SUMIFS(allFYsTable[OriginalBudget], allFYsTable[Code], SummaryTable[[#This Row],[Code]], allFYsTable[year2], DW$3))</f>
        <v>375</v>
      </c>
      <c r="DX97" s="61" t="e">
        <f>SummaryTable[[#This Row],[OriginalBudget11]]-SummaryTable[[#This Row],[OriginalBudget10]]</f>
        <v>#N/A</v>
      </c>
      <c r="DY97" s="54" t="e">
        <f>SummaryTable[[#This Row],[BudgetIncreaseAmount11]]/SummaryTable[[#This Row],[OriginalBudget10]]</f>
        <v>#N/A</v>
      </c>
      <c r="DZ97" s="61">
        <f>IF(COUNTIFS(allFYsTable[Code], SummaryTable[[#This Row],[Code]], allFYsTable[year2], DW$3)=0, NotFound, SUMIFS(allFYsTable[RevisedBudget], allFYsTable[Code], SummaryTable[[#This Row],[Code]], allFYsTable[year2], DW$3))</f>
        <v>375</v>
      </c>
      <c r="EA97" s="61">
        <f>IF(COUNTIFS(allFYsTable[Code], SummaryTable[[#This Row],[Code]], allFYsTable[year2], DW$3)=0, NotFound, SUMIFS(allFYsTable[Actual], allFYsTable[Code], SummaryTable[[#This Row],[Code]], allFYsTable[year2], DW$3))</f>
        <v>296</v>
      </c>
      <c r="EB97" s="61">
        <f>IF(COUNTIFS(allFYsTable[Code], SummaryTable[[#This Row],[Code]], allFYsTable[year2], DW$3)=0, NotFound, SUMIFS(allFYsTable[DiffAmount], allFYsTable[Code], SummaryTable[[#This Row],[Code]], allFYsTable[year2], DW$3))</f>
        <v>-79</v>
      </c>
      <c r="EC97" s="63">
        <f>IF(SummaryTable[[#This Row],[OriginalBudget11]]=0, IF(SummaryTable[[#This Row],[DiffAmount11]]=0, ZeroBudgetNoSpending, ZeroBudgetWithSpending), SummaryTable[[#This Row],[DiffAmount11]]/SummaryTable[[#This Row],[OriginalBudget11]])</f>
        <v>-0.21066666666666667</v>
      </c>
      <c r="ED97" s="62" t="e">
        <f>IF(COUNTIFS(allFYsTable[Code], SummaryTable[[#This Row],[Code]], allFYsTable[year2], ED$3)=0, NotFound, SUMIFS(allFYsTable[OriginalBudget], allFYsTable[Code], SummaryTable[[#This Row],[Code]], allFYsTable[year2], ED$3))</f>
        <v>#N/A</v>
      </c>
      <c r="EE97" s="61" t="e">
        <f>SummaryTable[[#This Row],[OriginalBudget10]]-SummaryTable[[#This Row],[OriginalBudget09]]</f>
        <v>#N/A</v>
      </c>
      <c r="EF97" s="54" t="e">
        <f>SummaryTable[[#This Row],[BudgetIncreaseAmount10]]/SummaryTable[[#This Row],[OriginalBudget09]]</f>
        <v>#N/A</v>
      </c>
      <c r="EG97" s="61" t="e">
        <f>IF(COUNTIFS(allFYsTable[Code], SummaryTable[[#This Row],[Code]], allFYsTable[year2], ED$3)=0, NotFound, SUMIFS(allFYsTable[RevisedBudget], allFYsTable[Code], SummaryTable[[#This Row],[Code]], allFYsTable[year2], ED$3))</f>
        <v>#N/A</v>
      </c>
      <c r="EH97" s="61" t="e">
        <f>IF(COUNTIFS(allFYsTable[Code], SummaryTable[[#This Row],[Code]], allFYsTable[year2], ED$3)=0, NotFound, SUMIFS(allFYsTable[Actual], allFYsTable[Code], SummaryTable[[#This Row],[Code]], allFYsTable[year2], ED$3))</f>
        <v>#N/A</v>
      </c>
      <c r="EI97" s="61" t="e">
        <f>IF(COUNTIFS(allFYsTable[Code], SummaryTable[[#This Row],[Code]], allFYsTable[year2], ED$3)=0, NotFound, SUMIFS(allFYsTable[DiffAmount], allFYsTable[Code], SummaryTable[[#This Row],[Code]], allFYsTable[year2], ED$3))</f>
        <v>#N/A</v>
      </c>
      <c r="EJ97" s="63" t="e">
        <f>IF(SummaryTable[[#This Row],[OriginalBudget10]]=0, IF(SummaryTable[[#This Row],[DiffAmount10]]=0, ZeroBudgetNoSpending, ZeroBudgetWithSpending), SummaryTable[[#This Row],[DiffAmount10]]/SummaryTable[[#This Row],[OriginalBudget10]])</f>
        <v>#N/A</v>
      </c>
      <c r="EK97" s="62" t="e">
        <f>IF(COUNTIFS(allFYsTable[Code], SummaryTable[[#This Row],[Code]], allFYsTable[year2], EK$3)=0, NotFound, SUMIFS(allFYsTable[OriginalBudget], allFYsTable[Code], SummaryTable[[#This Row],[Code]], allFYsTable[year2], EK$3))</f>
        <v>#N/A</v>
      </c>
      <c r="EL97" s="61" t="e">
        <f>SummaryTable[[#This Row],[OriginalBudget09]]-SummaryTable[[#This Row],[OriginalBudget08]]</f>
        <v>#N/A</v>
      </c>
      <c r="EM97" s="54" t="e">
        <f>SummaryTable[[#This Row],[BudgetIncreaseAmount09]]/SummaryTable[[#This Row],[OriginalBudget08]]</f>
        <v>#N/A</v>
      </c>
      <c r="EN97" s="61" t="e">
        <f>IF(COUNTIFS(allFYsTable[Code], SummaryTable[[#This Row],[Code]], allFYsTable[year2], EK$3)=0, NotFound, SUMIFS(allFYsTable[RevisedBudget], allFYsTable[Code], SummaryTable[[#This Row],[Code]], allFYsTable[year2], EK$3))</f>
        <v>#N/A</v>
      </c>
      <c r="EO97" s="61" t="e">
        <f>IF(COUNTIFS(allFYsTable[Code], SummaryTable[[#This Row],[Code]], allFYsTable[year2], EK$3)=0, NotFound, SUMIFS(allFYsTable[Actual], allFYsTable[Code], SummaryTable[[#This Row],[Code]], allFYsTable[year2], EK$3))</f>
        <v>#N/A</v>
      </c>
      <c r="EP97" s="61" t="e">
        <f>IF(COUNTIFS(allFYsTable[Code], SummaryTable[[#This Row],[Code]], allFYsTable[year2], EK$3)=0, NotFound, SUMIFS(allFYsTable[DiffAmount], allFYsTable[Code], SummaryTable[[#This Row],[Code]], allFYsTable[year2], EK$3))</f>
        <v>#N/A</v>
      </c>
      <c r="EQ97" s="63" t="e">
        <f>IF(SummaryTable[[#This Row],[OriginalBudget09]]=0, IF(SummaryTable[[#This Row],[DiffAmount09]]=0, ZeroBudgetNoSpending, ZeroBudgetWithSpending), SummaryTable[[#This Row],[DiffAmount09]]/SummaryTable[[#This Row],[OriginalBudget09]])</f>
        <v>#N/A</v>
      </c>
      <c r="ER97" s="62" t="e">
        <f>IF(COUNTIFS(allFYsTable[Code], SummaryTable[[#This Row],[Code]], allFYsTable[year2], ER$3)=0, NotFound, SUMIFS(allFYsTable[OriginalBudget], allFYsTable[Code], SummaryTable[[#This Row],[Code]], allFYsTable[year2], ER$3))</f>
        <v>#N/A</v>
      </c>
      <c r="ES97" s="61" t="e">
        <f>SummaryTable[[#This Row],[OriginalBudget08]]-SummaryTable[[#This Row],[OriginalBudget07]]</f>
        <v>#N/A</v>
      </c>
      <c r="ET97" s="54" t="e">
        <f>SummaryTable[[#This Row],[BudgetIncreaseAmount08]]/SummaryTable[[#This Row],[OriginalBudget07]]</f>
        <v>#N/A</v>
      </c>
      <c r="EU97" s="61" t="e">
        <f>IF(COUNTIFS(allFYsTable[Code], SummaryTable[[#This Row],[Code]], allFYsTable[year2], ER$3)=0, NotFound, SUMIFS(allFYsTable[RevisedBudget], allFYsTable[Code], SummaryTable[[#This Row],[Code]], allFYsTable[year2], ER$3))</f>
        <v>#N/A</v>
      </c>
      <c r="EV97" s="61" t="e">
        <f>IF(COUNTIFS(allFYsTable[Code], SummaryTable[[#This Row],[Code]], allFYsTable[year2], ER$3)=0, NotFound, SUMIFS(allFYsTable[Actual], allFYsTable[Code], SummaryTable[[#This Row],[Code]], allFYsTable[year2], ER$3))</f>
        <v>#N/A</v>
      </c>
      <c r="EW97" s="61" t="e">
        <f>IF(COUNTIFS(allFYsTable[Code], SummaryTable[[#This Row],[Code]], allFYsTable[year2], ER$3)=0, NotFound, SUMIFS(allFYsTable[DiffAmount], allFYsTable[Code], SummaryTable[[#This Row],[Code]], allFYsTable[year2], ER$3))</f>
        <v>#N/A</v>
      </c>
      <c r="EX97" s="63" t="e">
        <f>IF(SummaryTable[[#This Row],[OriginalBudget08]]=0, IF(SummaryTable[[#This Row],[DiffAmount08]]=0, ZeroBudgetNoSpending, ZeroBudgetWithSpending), SummaryTable[[#This Row],[DiffAmount08]]/SummaryTable[[#This Row],[OriginalBudget08]])</f>
        <v>#N/A</v>
      </c>
      <c r="EY97" s="62" t="e">
        <f>IF(COUNTIFS(allFYsTable[Code], SummaryTable[[#This Row],[Code]], allFYsTable[year2], EY$3)=0, NotFound, SUMIFS(allFYsTable[OriginalBudget], allFYsTable[Code], SummaryTable[[#This Row],[Code]], allFYsTable[year2], EY$3))</f>
        <v>#N/A</v>
      </c>
      <c r="EZ97" s="61" t="e">
        <f>SummaryTable[[#This Row],[OriginalBudget07]]-SummaryTable[[#This Row],[OriginalBudget06]]</f>
        <v>#N/A</v>
      </c>
      <c r="FA97" s="54" t="e">
        <f>SummaryTable[[#This Row],[BudgetIncreaseAmount07]]/SummaryTable[[#This Row],[OriginalBudget06]]</f>
        <v>#N/A</v>
      </c>
      <c r="FB97" s="61" t="e">
        <f>IF(COUNTIFS(allFYsTable[Code], SummaryTable[[#This Row],[Code]], allFYsTable[year2], EY$3)=0, NotFound, SUMIFS(allFYsTable[RevisedBudget], allFYsTable[Code], SummaryTable[[#This Row],[Code]], allFYsTable[year2], EY$3))</f>
        <v>#N/A</v>
      </c>
      <c r="FC97" s="61" t="e">
        <f>IF(COUNTIFS(allFYsTable[Code], SummaryTable[[#This Row],[Code]], allFYsTable[year2], EY$3)=0, NotFound, SUMIFS(allFYsTable[Actual], allFYsTable[Code], SummaryTable[[#This Row],[Code]], allFYsTable[year2], EY$3))</f>
        <v>#N/A</v>
      </c>
      <c r="FD97" s="61" t="e">
        <f>IF(COUNTIFS(allFYsTable[Code], SummaryTable[[#This Row],[Code]], allFYsTable[year2], EY$3)=0, NotFound, SUMIFS(allFYsTable[DiffAmount], allFYsTable[Code], SummaryTable[[#This Row],[Code]], allFYsTable[year2], EY$3))</f>
        <v>#N/A</v>
      </c>
      <c r="FE97" s="63" t="e">
        <f>IF(SummaryTable[[#This Row],[OriginalBudget07]]=0, IF(SummaryTable[[#This Row],[DiffAmount07]]=0, ZeroBudgetNoSpending, ZeroBudgetWithSpending), SummaryTable[[#This Row],[DiffAmount07]]/SummaryTable[[#This Row],[OriginalBudget07]])</f>
        <v>#N/A</v>
      </c>
      <c r="FF97" s="62" t="e">
        <f>IF(COUNTIFS(allFYsTable[Code], SummaryTable[[#This Row],[Code]], allFYsTable[year2], FF$3)=0, NotFound, SUMIFS(allFYsTable[OriginalBudget], allFYsTable[Code], SummaryTable[[#This Row],[Code]], allFYsTable[year2], FF$3))</f>
        <v>#N/A</v>
      </c>
      <c r="FI97" s="61" t="e">
        <f>IF(COUNTIFS(allFYsTable[Code], SummaryTable[[#This Row],[Code]], allFYsTable[year2], FF$3)=0, NotFound, SUMIFS(allFYsTable[RevisedBudget], allFYsTable[Code], SummaryTable[[#This Row],[Code]], allFYsTable[year2], FF$3))</f>
        <v>#N/A</v>
      </c>
      <c r="FJ97" s="61" t="e">
        <f>IF(COUNTIFS(allFYsTable[Code], SummaryTable[[#This Row],[Code]], allFYsTable[year2], FF$3)=0, NotFound, SUMIFS(allFYsTable[Actual], allFYsTable[Code], SummaryTable[[#This Row],[Code]], allFYsTable[year2], FF$3))</f>
        <v>#N/A</v>
      </c>
      <c r="FK97" s="61" t="e">
        <f>IF(COUNTIFS(allFYsTable[Code], SummaryTable[[#This Row],[Code]], allFYsTable[year2], FF$3)=0, NotFound, SUMIFS(allFYsTable[DiffAmount], allFYsTable[Code], SummaryTable[[#This Row],[Code]], allFYsTable[year2], FF$3))</f>
        <v>#N/A</v>
      </c>
      <c r="FL97" s="63" t="e">
        <f>IF(SummaryTable[[#This Row],[OriginalBudget06]]=0, IF(SummaryTable[[#This Row],[DiffAmount06]]=0, ZeroBudgetNoSpending, ZeroBudgetWithSpending), SummaryTable[[#This Row],[DiffAmount06]]/SummaryTable[[#This Row],[OriginalBudget06]])</f>
        <v>#N/A</v>
      </c>
    </row>
    <row r="98" spans="1:168" x14ac:dyDescent="0.45">
      <c r="A98" t="s">
        <v>723</v>
      </c>
      <c r="B98">
        <f>_xlfn.MAXIFS(allFYsTable[year2], allFYsTable[Code], SummaryTable[[#This Row],[Code]])</f>
        <v>2025</v>
      </c>
      <c r="C98" t="str">
        <f>_xlfn.XLOOKUP(SummaryTable[[#This Row],[Code]], NameCodingTable[Code], NameCodingTable[Most Recent Category per allFYs])</f>
        <v>Governmental direction and support</v>
      </c>
      <c r="D98" t="str">
        <f>_xlfn.XLOOKUP(SummaryTable[[#This Row],[Code]], NameCodingTable[Code], NameCodingTable[Unit Display Name])</f>
        <v>Office of the District of Columbia Auditor (ODCA)</v>
      </c>
      <c r="E98" t="str">
        <f>_xlfn.XLOOKUP(SummaryTable[[#This Row],[Code]], NameCodingTable[Code], NameCodingTable[Type])</f>
        <v>agency</v>
      </c>
      <c r="F9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9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98" s="54">
        <f>SummaryTable[[#This Row],['# Over]]/SummaryTable[[#This Row],[Count]]</f>
        <v>0.15</v>
      </c>
      <c r="I9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98" s="54">
        <f>SummaryTable[[#This Row],['# Under]]/SummaryTable[[#This Row],[Count]]</f>
        <v>0.85</v>
      </c>
      <c r="K9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8" s="54">
        <f>SummaryTable[[#This Row],['# Equal]]/SummaryTable[[#This Row],[Count]]</f>
        <v>0</v>
      </c>
      <c r="M98" s="61">
        <f>SUMIFS(allFYsTable[OriginalBudget],allFYsTable[Code],SummaryTable[[#This Row],[Code]])/SummaryTable[[#This Row],[Count]]</f>
        <v>4983.1499999999996</v>
      </c>
      <c r="N98" s="61">
        <f>SUMIFS(allFYsTable[Actual],allFYsTable[Code],SummaryTable[[#This Row],[Code]])/SummaryTable[[#This Row],[Count]]</f>
        <v>4543.8500000000004</v>
      </c>
      <c r="O98" s="61">
        <f>SummaryTable[[#This Row],[AvgActAmt]]-SummaryTable[[#This Row],[AvgBudAmt]]</f>
        <v>-439.29999999999927</v>
      </c>
      <c r="P98" s="54">
        <f>IF(SummaryTable[[#This Row],[AvgBudAmt]]=0, IF(SummaryTable[[#This Row],[AvgDiff'#]]=0, 0, NamedFields!$C$3), SummaryTable[[#This Row],[AvgDiff'#]]/SummaryTable[[#This Row],[AvgBudAmt]])</f>
        <v>-8.8157089391248361E-2</v>
      </c>
      <c r="Q98" s="61">
        <f>IFERROR(SUMIFS(allFYsTable[OriginalBudget],allFYsTable[Code],SummaryTable[[#This Row],[Code]],allFYsTable[DiffAmount], "&gt;0")/SummaryTable[[#This Row],['# Over]], 0)</f>
        <v>4684</v>
      </c>
      <c r="R98" s="61">
        <f>IFERROR(SUMIFS(allFYsTable[Actual],allFYsTable[Code],SummaryTable[[#This Row],[Code]],allFYsTable[DiffAmount], "&gt;0")/SummaryTable[[#This Row],['# Over]], 0)</f>
        <v>4841</v>
      </c>
      <c r="S98" s="61">
        <f>SummaryTable[[#This Row],[OverAvgAct]]-SummaryTable[[#This Row],[OverAvgBud]]</f>
        <v>157</v>
      </c>
      <c r="T98" s="54">
        <f>IF(SummaryTable[[#This Row],[OverAvgBud]]=0, IF(SummaryTable[[#This Row],[OverAvgDiff'#]]=0, ZeroBudgetNoSpending, ZeroBudgetWithSpending), SummaryTable[[#This Row],[OverAvgDiff'#]]/SummaryTable[[#This Row],[OverAvgBud]])</f>
        <v>3.3518360375747222E-2</v>
      </c>
      <c r="U98" s="61">
        <f>IFERROR(SUMIFS(allFYsTable[OriginalBudget],allFYsTable[Code],SummaryTable[[#This Row],[Code]],allFYsTable[DiffAmount], "&lt;0")/SummaryTable[[#This Row],['# Under]], 0)</f>
        <v>5035.9411764705883</v>
      </c>
      <c r="V98" s="61">
        <f>IFERROR( SUMIFS(allFYsTable[Actual],allFYsTable[Code],SummaryTable[[#This Row],[Code]],allFYsTable[DiffAmount], "&lt;0")/SummaryTable[[#This Row],['# Under]], 0)</f>
        <v>4491.411764705882</v>
      </c>
      <c r="W98" s="61">
        <f>SummaryTable[[#This Row],[UnderAvgAct]]-SummaryTable[[#This Row],[UnderAvgBud]]</f>
        <v>-544.52941176470631</v>
      </c>
      <c r="X98" s="54">
        <f>IF(SummaryTable[[#This Row],[UnderAvgBud]]=0, IF(SummaryTable[[#This Row],[UnderAvgDiff'#]]=0, ZeroBudgetNoSpending, NamedFields!$C$3), SummaryTable[[#This Row],[UnderAvgDiff'#]]/SummaryTable[[#This Row],[UnderAvgBud]])</f>
        <v>-0.10812862833047164</v>
      </c>
      <c r="Y9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9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98" s="54">
        <f>IF(SummaryTable[[#This Row],[IncreaseYears]]=0, ZeroBudgetNoSpending, SummaryTable[[#This Row],[OSinIncreaseYear'#]]/SummaryTable[[#This Row],[IncreaseYears]])</f>
        <v>0</v>
      </c>
      <c r="AB98" s="58" t="str">
        <f>SummaryTable[[#This Row],[Code]]</f>
        <v>AC0</v>
      </c>
      <c r="AC98" s="62">
        <f>IF(COUNTIFS(allFYsTable[Code], SummaryTable[[#This Row],[Code]], allFYsTable[year2], AC$3)=0, NotFound, SUMIFS(allFYsTable[OriginalBudget], allFYsTable[Code], SummaryTable[[#This Row],[Code]], allFYsTable[year2], AC$3))</f>
        <v>7967</v>
      </c>
      <c r="AD98" s="61">
        <f>SummaryTable[[#This Row],[OriginalBudget25]]-SummaryTable[[#This Row],[OriginalBudget24]]</f>
        <v>619</v>
      </c>
      <c r="AE98" s="54">
        <f>SummaryTable[[#This Row],[BudgetIncreaseAmount25]]/SummaryTable[[#This Row],[OriginalBudget24]]</f>
        <v>8.424060968971149E-2</v>
      </c>
      <c r="AF98" s="61">
        <f>IF(COUNTIFS(allFYsTable[Code], SummaryTable[[#This Row],[Code]], allFYsTable[year2], AC$3)=0, NotFound, SUMIFS(allFYsTable[RevisedBudget], allFYsTable[Code], SummaryTable[[#This Row],[Code]], allFYsTable[year2], AC$3))</f>
        <v>7095</v>
      </c>
      <c r="AG98" s="61">
        <f>IF(COUNTIFS(allFYsTable[Code], SummaryTable[[#This Row],[Code]], allFYsTable[year2], AC$3)=0, NotFound, SUMIFS(allFYsTable[Actual], allFYsTable[Code], SummaryTable[[#This Row],[Code]], allFYsTable[year2], AC$3))</f>
        <v>7095</v>
      </c>
      <c r="AH98" s="61">
        <f>IF(COUNTIFS(allFYsTable[Code], SummaryTable[[#This Row],[Code]], allFYsTable[year2], AC$3)=0, NotFound, SUMIFS(allFYsTable[DiffAmount], allFYsTable[Code], SummaryTable[[#This Row],[Code]], allFYsTable[year2], AC$3))</f>
        <v>-872</v>
      </c>
      <c r="AI98" s="63">
        <f>IF(SummaryTable[[#This Row],[OriginalBudget25]]=0, IF(SummaryTable[[#This Row],[DiffAmount25]]=0, ZeroBudgetNoSpending, ZeroBudgetWithSpending), SummaryTable[[#This Row],[DiffAmount25]]/SummaryTable[[#This Row],[OriginalBudget25]])</f>
        <v>-0.10945148738546505</v>
      </c>
      <c r="AJ98" s="62">
        <f>IF(COUNTIFS(allFYsTable[Code], SummaryTable[[#This Row],[Code]], allFYsTable[year2], AJ$3)=0, NotFound, SUMIFS(allFYsTable[OriginalBudget], allFYsTable[Code], SummaryTable[[#This Row],[Code]], allFYsTable[year2], AJ$3))</f>
        <v>7348</v>
      </c>
      <c r="AK98" s="61">
        <f>SummaryTable[[#This Row],[OriginalBudget24]]-SummaryTable[[#This Row],[OriginalBudget23]]</f>
        <v>-328</v>
      </c>
      <c r="AL98" s="54">
        <f>SummaryTable[[#This Row],[BudgetIncreaseAmount24]]/SummaryTable[[#This Row],[OriginalBudget23]]</f>
        <v>-4.2730588848358522E-2</v>
      </c>
      <c r="AM98" s="61">
        <f>IF(COUNTIFS(allFYsTable[Code], SummaryTable[[#This Row],[Code]], allFYsTable[year2], AK$3)=0, NotFound, SUMIFS(allFYsTable[RevisedBudget], allFYsTable[Code], SummaryTable[[#This Row],[Code]], allFYsTable[year2], AJ$3))</f>
        <v>7348</v>
      </c>
      <c r="AN98" s="61">
        <f>IF(COUNTIFS(allFYsTable[Code], SummaryTable[[#This Row],[Code]], allFYsTable[year2], AJ$3)=0, NotFound, SUMIFS(allFYsTable[Actual], allFYsTable[Code], SummaryTable[[#This Row],[Code]], allFYsTable[year2], AJ$3))</f>
        <v>6985</v>
      </c>
      <c r="AO98" s="61">
        <f>IF(COUNTIFS(allFYsTable[Code], SummaryTable[[#This Row],[Code]], allFYsTable[year2], AJ$3)=0, NotFound, SUMIFS(allFYsTable[DiffAmount], allFYsTable[Code], SummaryTable[[#This Row],[Code]], allFYsTable[year2], AJ$3))</f>
        <v>-363</v>
      </c>
      <c r="AP98" s="63">
        <f>IF(SummaryTable[[#This Row],[OriginalBudget24]]=0, IF(SummaryTable[[#This Row],[DiffAmount24]]=0, ZeroBudgetNoSpending, ZeroBudgetWithSpending), SummaryTable[[#This Row],[DiffAmount24]]/SummaryTable[[#This Row],[OriginalBudget24]])</f>
        <v>-4.940119760479042E-2</v>
      </c>
      <c r="AQ98" s="62">
        <f>IF(COUNTIFS(allFYsTable[Code], SummaryTable[[#This Row],[Code]], allFYsTable[year2], AQ$3)=0, NotFound, SUMIFS(allFYsTable[OriginalBudget], allFYsTable[Code], SummaryTable[[#This Row],[Code]], allFYsTable[year2], AQ$3))</f>
        <v>7676</v>
      </c>
      <c r="AR98" s="61">
        <f>SummaryTable[[#This Row],[OriginalBudget23]]-SummaryTable[[#This Row],[OriginalBudget22]]</f>
        <v>800</v>
      </c>
      <c r="AS98" s="54">
        <f>SummaryTable[[#This Row],[BudgetIncreaseAmount23]]/SummaryTable[[#This Row],[OriginalBudget22]]</f>
        <v>0.11634671320535195</v>
      </c>
      <c r="AT98" s="61">
        <f>IF(COUNTIFS(allFYsTable[Code], SummaryTable[[#This Row],[Code]], allFYsTable[year2], AQ$3)=0, NotFound, SUMIFS(allFYsTable[RevisedBudget], allFYsTable[Code], SummaryTable[[#This Row],[Code]], allFYsTable[year2], AQ$3))</f>
        <v>7258</v>
      </c>
      <c r="AU98" s="61">
        <f>IF(COUNTIFS(allFYsTable[Code], SummaryTable[[#This Row],[Code]], allFYsTable[year2], AQ$3)=0, NotFound, SUMIFS(allFYsTable[Actual], allFYsTable[Code], SummaryTable[[#This Row],[Code]], allFYsTable[year2], AQ$3))</f>
        <v>5903</v>
      </c>
      <c r="AV98" s="61">
        <f>IF(COUNTIFS(allFYsTable[Code], SummaryTable[[#This Row],[Code]], allFYsTable[year2], AQ$3)=0, NotFound, SUMIFS(allFYsTable[DiffAmount], allFYsTable[Code], SummaryTable[[#This Row],[Code]], allFYsTable[year2], AQ$3))</f>
        <v>-1773</v>
      </c>
      <c r="AW98" s="63">
        <f>IF(SummaryTable[[#This Row],[OriginalBudget23]]=0, IF(SummaryTable[[#This Row],[DiffAmount23]]=0, ZeroBudgetNoSpending, ZeroBudgetWithSpending), SummaryTable[[#This Row],[DiffAmount23]]/SummaryTable[[#This Row],[OriginalBudget23]])</f>
        <v>-0.23097967691505994</v>
      </c>
      <c r="AX98" s="62">
        <f>IF(COUNTIFS(allFYsTable[Code], SummaryTable[[#This Row],[Code]], allFYsTable[year2], AX$3)=0, NotFound, SUMIFS(allFYsTable[OriginalBudget], allFYsTable[Code], SummaryTable[[#This Row],[Code]], allFYsTable[year2], AX$3))</f>
        <v>6876</v>
      </c>
      <c r="AY98" s="61">
        <f>SummaryTable[[#This Row],[OriginalBudget22]]-SummaryTable[[#This Row],[OriginalBudget21]]</f>
        <v>1223</v>
      </c>
      <c r="AZ98" s="54">
        <f>SummaryTable[[#This Row],[BudgetIncreaseAmount22]]/SummaryTable[[#This Row],[OriginalBudget21]]</f>
        <v>0.21634530337873695</v>
      </c>
      <c r="BA98" s="61">
        <f>IF(COUNTIFS(allFYsTable[Code], SummaryTable[[#This Row],[Code]], allFYsTable[year2], AX$3)=0, NotFound, SUMIFS(allFYsTable[RevisedBudget], allFYsTable[Code], SummaryTable[[#This Row],[Code]], allFYsTable[year2], AX$3))</f>
        <v>6632</v>
      </c>
      <c r="BB98" s="61">
        <f>IF(COUNTIFS(allFYsTable[Code], SummaryTable[[#This Row],[Code]], allFYsTable[year2], AX$3)=0, NotFound, SUMIFS(allFYsTable[Actual], allFYsTable[Code], SummaryTable[[#This Row],[Code]], allFYsTable[year2], AX$3))</f>
        <v>5257</v>
      </c>
      <c r="BC98" s="61">
        <f>IF(COUNTIFS(allFYsTable[Code], SummaryTable[[#This Row],[Code]], allFYsTable[year2], AX$3)=0, NotFound, SUMIFS(allFYsTable[DiffAmount], allFYsTable[Code], SummaryTable[[#This Row],[Code]], allFYsTable[year2], AX$3))</f>
        <v>-1619</v>
      </c>
      <c r="BD98" s="63">
        <f>IF(SummaryTable[[#This Row],[OriginalBudget22]]=0, IF(SummaryTable[[#This Row],[DiffAmount22]]=0, ZeroBudgetNoSpending, ZeroBudgetWithSpending), SummaryTable[[#This Row],[DiffAmount22]]/SummaryTable[[#This Row],[OriginalBudget22]])</f>
        <v>-0.23545666084933101</v>
      </c>
      <c r="BE98" s="62">
        <f>IF(COUNTIFS(allFYsTable[Code], SummaryTable[[#This Row],[Code]], allFYsTable[year2], BE$3)=0, NotFound, SUMIFS(allFYsTable[OriginalBudget], allFYsTable[Code], SummaryTable[[#This Row],[Code]], allFYsTable[year2], BE$3))</f>
        <v>5653</v>
      </c>
      <c r="BF98" s="61">
        <f>SummaryTable[[#This Row],[OriginalBudget21]]-SummaryTable[[#This Row],[OriginalBudget20]]</f>
        <v>101</v>
      </c>
      <c r="BG98" s="54">
        <f>SummaryTable[[#This Row],[BudgetIncreaseAmount21]]/SummaryTable[[#This Row],[OriginalBudget20]]</f>
        <v>1.819164265129683E-2</v>
      </c>
      <c r="BH98" s="61">
        <f>IF(COUNTIFS(allFYsTable[Code], SummaryTable[[#This Row],[Code]], allFYsTable[year2], BE$3)=0, NotFound, SUMIFS(allFYsTable[RevisedBudget], allFYsTable[Code], SummaryTable[[#This Row],[Code]], allFYsTable[year2], BE$3))</f>
        <v>6004</v>
      </c>
      <c r="BI98" s="61">
        <f>IF(COUNTIFS(allFYsTable[Code], SummaryTable[[#This Row],[Code]], allFYsTable[year2], BE$3)=0, NotFound, SUMIFS(allFYsTable[Actual], allFYsTable[Code], SummaryTable[[#This Row],[Code]], allFYsTable[year2], BE$3))</f>
        <v>5523</v>
      </c>
      <c r="BJ98" s="61">
        <f>IF(COUNTIFS(allFYsTable[Code], SummaryTable[[#This Row],[Code]], allFYsTable[year2], BE$3)=0, NotFound, SUMIFS(allFYsTable[DiffAmount], allFYsTable[Code], SummaryTable[[#This Row],[Code]], allFYsTable[year2], BE$3))</f>
        <v>-130</v>
      </c>
      <c r="BK98" s="63">
        <f>IF(SummaryTable[[#This Row],[OriginalBudget21]]=0, IF(SummaryTable[[#This Row],[DiffAmount21]]=0, ZeroBudgetNoSpending, ZeroBudgetWithSpending), SummaryTable[[#This Row],[DiffAmount21]]/SummaryTable[[#This Row],[OriginalBudget21]])</f>
        <v>-2.299663895276844E-2</v>
      </c>
      <c r="BL98" s="62">
        <f>IF(COUNTIFS(allFYsTable[Code], SummaryTable[[#This Row],[Code]], allFYsTable[year2], BL$3)=0, NotFound, SUMIFS(allFYsTable[OriginalBudget], allFYsTable[Code], SummaryTable[[#This Row],[Code]], allFYsTable[year2], BL$3))</f>
        <v>5552</v>
      </c>
      <c r="BM98" s="61">
        <f>SummaryTable[[#This Row],[OriginalBudget20]]-SummaryTable[[#This Row],[OriginalBudget19]]</f>
        <v>-677</v>
      </c>
      <c r="BN98" s="54">
        <f>SummaryTable[[#This Row],[BudgetIncreaseAmount20]]/SummaryTable[[#This Row],[OriginalBudget19]]</f>
        <v>-0.1086851822122331</v>
      </c>
      <c r="BO98" s="61">
        <f>IF(COUNTIFS(allFYsTable[Code], SummaryTable[[#This Row],[Code]], allFYsTable[year2], BL$3)=0, NotFound, SUMIFS(allFYsTable[RevisedBudget], allFYsTable[Code], SummaryTable[[#This Row],[Code]], allFYsTable[year2], BL$3))</f>
        <v>5552</v>
      </c>
      <c r="BP98" s="61">
        <f>IF(COUNTIFS(allFYsTable[Code], SummaryTable[[#This Row],[Code]], allFYsTable[year2], BL$3)=0, NotFound, SUMIFS(allFYsTable[Actual], allFYsTable[Code], SummaryTable[[#This Row],[Code]], allFYsTable[year2], BL$3))</f>
        <v>5075</v>
      </c>
      <c r="BQ98" s="61">
        <f>IF(COUNTIFS(allFYsTable[Code], SummaryTable[[#This Row],[Code]], allFYsTable[year2], BL$3)=0, NotFound, SUMIFS(allFYsTable[DiffAmount], allFYsTable[Code], SummaryTable[[#This Row],[Code]], allFYsTable[year2], BL$3))</f>
        <v>-477</v>
      </c>
      <c r="BR98" s="63">
        <f>IF(SummaryTable[[#This Row],[OriginalBudget20]]=0, IF(SummaryTable[[#This Row],[DiffAmount20]]=0, ZeroBudgetNoSpending, ZeroBudgetWithSpending), SummaryTable[[#This Row],[DiffAmount20]]/SummaryTable[[#This Row],[OriginalBudget20]])</f>
        <v>-8.5914985590778092E-2</v>
      </c>
      <c r="BS98" s="62">
        <f>IF(COUNTIFS(allFYsTable[Code], SummaryTable[[#This Row],[Code]], allFYsTable[year2], BS$3)=0, NotFound, SUMIFS(allFYsTable[OriginalBudget], allFYsTable[Code], SummaryTable[[#This Row],[Code]], allFYsTable[year2], BS$3))</f>
        <v>6229</v>
      </c>
      <c r="BT98" s="61">
        <f>SummaryTable[[#This Row],[OriginalBudget19]]-SummaryTable[[#This Row],[OriginalBudget18]]</f>
        <v>369</v>
      </c>
      <c r="BU98" s="54">
        <f>SummaryTable[[#This Row],[BudgetIncreaseAmount19]]/SummaryTable[[#This Row],[OriginalBudget18]]</f>
        <v>6.2969283276450516E-2</v>
      </c>
      <c r="BV98" s="61">
        <f>IF(COUNTIFS(allFYsTable[Code], SummaryTable[[#This Row],[Code]], allFYsTable[year2], BS$3)=0, NotFound, SUMIFS(allFYsTable[RevisedBudget], allFYsTable[Code], SummaryTable[[#This Row],[Code]], allFYsTable[year2], BS$3))</f>
        <v>5829</v>
      </c>
      <c r="BW98" s="61">
        <f>IF(COUNTIFS(allFYsTable[Code], SummaryTable[[#This Row],[Code]], allFYsTable[year2], BS$3)=0, NotFound, SUMIFS(allFYsTable[Actual], allFYsTable[Code], SummaryTable[[#This Row],[Code]], allFYsTable[year2], BS$3))</f>
        <v>5415</v>
      </c>
      <c r="BX98" s="61">
        <f>IF(COUNTIFS(allFYsTable[Code], SummaryTable[[#This Row],[Code]], allFYsTable[year2], BS$3)=0, NotFound, SUMIFS(allFYsTable[DiffAmount], allFYsTable[Code], SummaryTable[[#This Row],[Code]], allFYsTable[year2], BS$3))</f>
        <v>-814</v>
      </c>
      <c r="BY98" s="63">
        <f>IF(SummaryTable[[#This Row],[OriginalBudget19]]=0, IF(SummaryTable[[#This Row],[DiffAmount19]]=0, ZeroBudgetNoSpending, ZeroBudgetWithSpending), SummaryTable[[#This Row],[DiffAmount19]]/SummaryTable[[#This Row],[OriginalBudget19]])</f>
        <v>-0.13067908171456091</v>
      </c>
      <c r="BZ98" s="62">
        <f>IF(COUNTIFS(allFYsTable[Code], SummaryTable[[#This Row],[Code]], allFYsTable[year2], BZ$3)=0, NotFound, SUMIFS(allFYsTable[OriginalBudget], allFYsTable[Code], SummaryTable[[#This Row],[Code]], allFYsTable[year2], BZ$3))</f>
        <v>5860</v>
      </c>
      <c r="CA98" s="61">
        <f>SummaryTable[[#This Row],[OriginalBudget18]]-SummaryTable[[#This Row],[OriginalBudget17]]</f>
        <v>658</v>
      </c>
      <c r="CB98" s="54">
        <f>SummaryTable[[#This Row],[BudgetIncreaseAmount18]]/SummaryTable[[#This Row],[OriginalBudget17]]</f>
        <v>0.12648981161091888</v>
      </c>
      <c r="CC98" s="61">
        <f>IF(COUNTIFS(allFYsTable[Code], SummaryTable[[#This Row],[Code]], allFYsTable[year2], BZ$3)=0, NotFound, SUMIFS(allFYsTable[RevisedBudget], allFYsTable[Code], SummaryTable[[#This Row],[Code]], allFYsTable[year2], BZ$3))</f>
        <v>5954</v>
      </c>
      <c r="CD98" s="61">
        <f>IF(COUNTIFS(allFYsTable[Code], SummaryTable[[#This Row],[Code]], allFYsTable[year2], BZ$3)=0, NotFound, SUMIFS(allFYsTable[Actual], allFYsTable[Code], SummaryTable[[#This Row],[Code]], allFYsTable[year2], BZ$3))</f>
        <v>5945</v>
      </c>
      <c r="CE98" s="61">
        <f>IF(COUNTIFS(allFYsTable[Code], SummaryTable[[#This Row],[Code]], allFYsTable[year2], BZ$3)=0, NotFound, SUMIFS(allFYsTable[DiffAmount], allFYsTable[Code], SummaryTable[[#This Row],[Code]], allFYsTable[year2], BZ$3))</f>
        <v>85</v>
      </c>
      <c r="CF98" s="63">
        <f>IF(SummaryTable[[#This Row],[OriginalBudget18]]=0, IF(SummaryTable[[#This Row],[DiffAmount18]]=0, ZeroBudgetNoSpending, ZeroBudgetWithSpending), SummaryTable[[#This Row],[DiffAmount18]]/SummaryTable[[#This Row],[OriginalBudget18]])</f>
        <v>1.4505119453924915E-2</v>
      </c>
      <c r="CG98" s="62">
        <f>IF(COUNTIFS(allFYsTable[Code], SummaryTable[[#This Row],[Code]], allFYsTable[year2], CG$3)=0, NotFound, SUMIFS(allFYsTable[OriginalBudget], allFYsTable[Code], SummaryTable[[#This Row],[Code]], allFYsTable[year2], CG$3))</f>
        <v>5202</v>
      </c>
      <c r="CH98" s="61">
        <f>SummaryTable[[#This Row],[OriginalBudget17]]-SummaryTable[[#This Row],[OriginalBudget16]]</f>
        <v>539</v>
      </c>
      <c r="CI98" s="54">
        <f>SummaryTable[[#This Row],[BudgetIncreaseAmount17]]/SummaryTable[[#This Row],[OriginalBudget16]]</f>
        <v>0.11559082135963972</v>
      </c>
      <c r="CJ98" s="61">
        <f>IF(COUNTIFS(allFYsTable[Code], SummaryTable[[#This Row],[Code]], allFYsTable[year2], CG$3)=0, NotFound, SUMIFS(allFYsTable[RevisedBudget], allFYsTable[Code], SummaryTable[[#This Row],[Code]], allFYsTable[year2], CG$3))</f>
        <v>5156</v>
      </c>
      <c r="CK98" s="61">
        <f>IF(COUNTIFS(allFYsTable[Code], SummaryTable[[#This Row],[Code]], allFYsTable[year2], CG$3)=0, NotFound, SUMIFS(allFYsTable[Actual], allFYsTable[Code], SummaryTable[[#This Row],[Code]], allFYsTable[year2], CG$3))</f>
        <v>4669</v>
      </c>
      <c r="CL98" s="61">
        <f>IF(COUNTIFS(allFYsTable[Code], SummaryTable[[#This Row],[Code]], allFYsTable[year2], CG$3)=0, NotFound, SUMIFS(allFYsTable[DiffAmount], allFYsTable[Code], SummaryTable[[#This Row],[Code]], allFYsTable[year2], CG$3))</f>
        <v>-533</v>
      </c>
      <c r="CM98" s="63">
        <f>IF(SummaryTable[[#This Row],[OriginalBudget17]]=0, IF(SummaryTable[[#This Row],[DiffAmount17]]=0, ZeroBudgetNoSpending, ZeroBudgetWithSpending), SummaryTable[[#This Row],[DiffAmount17]]/SummaryTable[[#This Row],[OriginalBudget17]])</f>
        <v>-0.10246059207996924</v>
      </c>
      <c r="CN98" s="62">
        <f>IF(COUNTIFS(allFYsTable[Code], SummaryTable[[#This Row],[Code]], allFYsTable[year2], CN$3)=0, NotFound, SUMIFS(allFYsTable[OriginalBudget], allFYsTable[Code], SummaryTable[[#This Row],[Code]], allFYsTable[year2], CN$3))</f>
        <v>4663</v>
      </c>
      <c r="CO98" s="61">
        <f>SummaryTable[[#This Row],[OriginalBudget16]]-SummaryTable[[#This Row],[OriginalBudget15]]</f>
        <v>422</v>
      </c>
      <c r="CP98" s="54">
        <f>SummaryTable[[#This Row],[BudgetIncreaseAmount16]]/SummaryTable[[#This Row],[OriginalBudget15]]</f>
        <v>9.9504833765621317E-2</v>
      </c>
      <c r="CQ98" s="61">
        <f>IF(COUNTIFS(allFYsTable[Code], SummaryTable[[#This Row],[Code]], allFYsTable[year2], CN$3)=0, NotFound, SUMIFS(allFYsTable[RevisedBudget], allFYsTable[Code], SummaryTable[[#This Row],[Code]], allFYsTable[year2], CN$3))</f>
        <v>4709</v>
      </c>
      <c r="CR98" s="61">
        <f>IF(COUNTIFS(allFYsTable[Code], SummaryTable[[#This Row],[Code]], allFYsTable[year2], CN$3)=0, NotFound, SUMIFS(allFYsTable[Actual], allFYsTable[Code], SummaryTable[[#This Row],[Code]], allFYsTable[year2], CN$3))</f>
        <v>4549</v>
      </c>
      <c r="CS98" s="61">
        <f>IF(COUNTIFS(allFYsTable[Code], SummaryTable[[#This Row],[Code]], allFYsTable[year2], CN$3)=0, NotFound, SUMIFS(allFYsTable[DiffAmount], allFYsTable[Code], SummaryTable[[#This Row],[Code]], allFYsTable[year2], CN$3))</f>
        <v>-114</v>
      </c>
      <c r="CT98" s="63">
        <f>IF(SummaryTable[[#This Row],[OriginalBudget16]]=0, IF(SummaryTable[[#This Row],[DiffAmount16]]=0, ZeroBudgetNoSpending, ZeroBudgetWithSpending), SummaryTable[[#This Row],[DiffAmount16]]/SummaryTable[[#This Row],[OriginalBudget16]])</f>
        <v>-2.4447780398884837E-2</v>
      </c>
      <c r="CU98" s="62">
        <f>IF(COUNTIFS(allFYsTable[Code], SummaryTable[[#This Row],[Code]], allFYsTable[year2], CU$3)=0, NotFound, SUMIFS(allFYsTable[OriginalBudget], allFYsTable[Code], SummaryTable[[#This Row],[Code]], allFYsTable[year2], CU$3))</f>
        <v>4241</v>
      </c>
      <c r="CV98" s="61">
        <f>SummaryTable[[#This Row],[OriginalBudget15]]-SummaryTable[[#This Row],[OriginalBudget14]]</f>
        <v>-35</v>
      </c>
      <c r="CW98" s="54">
        <f>SummaryTable[[#This Row],[BudgetIncreaseAmount15]]/SummaryTable[[#This Row],[OriginalBudget14]]</f>
        <v>-8.1852198316183355E-3</v>
      </c>
      <c r="CX98" s="61">
        <f>IF(COUNTIFS(allFYsTable[Code], SummaryTable[[#This Row],[Code]], allFYsTable[year2], CU$3)=0, NotFound, SUMIFS(allFYsTable[RevisedBudget], allFYsTable[Code], SummaryTable[[#This Row],[Code]], allFYsTable[year2], CU$3))</f>
        <v>4673</v>
      </c>
      <c r="CY98" s="61">
        <f>IF(COUNTIFS(allFYsTable[Code], SummaryTable[[#This Row],[Code]], allFYsTable[year2], CU$3)=0, NotFound, SUMIFS(allFYsTable[Actual], allFYsTable[Code], SummaryTable[[#This Row],[Code]], allFYsTable[year2], CU$3))</f>
        <v>4460</v>
      </c>
      <c r="CZ98" s="61">
        <f>IF(COUNTIFS(allFYsTable[Code], SummaryTable[[#This Row],[Code]], allFYsTable[year2], CU$3)=0, NotFound, SUMIFS(allFYsTable[DiffAmount], allFYsTable[Code], SummaryTable[[#This Row],[Code]], allFYsTable[year2], CU$3))</f>
        <v>219</v>
      </c>
      <c r="DA98" s="63">
        <f>IF(SummaryTable[[#This Row],[OriginalBudget15]]=0, IF(SummaryTable[[#This Row],[DiffAmount15]]=0, ZeroBudgetNoSpending, ZeroBudgetWithSpending), SummaryTable[[#This Row],[DiffAmount15]]/SummaryTable[[#This Row],[OriginalBudget15]])</f>
        <v>5.1638764442348502E-2</v>
      </c>
      <c r="DB98" s="62">
        <f>IF(COUNTIFS(allFYsTable[Code], SummaryTable[[#This Row],[Code]], allFYsTable[year2], DB$3)=0, NotFound, SUMIFS(allFYsTable[OriginalBudget], allFYsTable[Code], SummaryTable[[#This Row],[Code]], allFYsTable[year2], DB$3))</f>
        <v>4276</v>
      </c>
      <c r="DC98" s="61">
        <f>SummaryTable[[#This Row],[OriginalBudget14]]-SummaryTable[[#This Row],[OriginalBudget13]]</f>
        <v>325</v>
      </c>
      <c r="DD98" s="54">
        <f>SummaryTable[[#This Row],[BudgetIncreaseAmount14]]/SummaryTable[[#This Row],[OriginalBudget13]]</f>
        <v>8.2257656289546954E-2</v>
      </c>
      <c r="DE98" s="61">
        <f>IF(COUNTIFS(allFYsTable[Code], SummaryTable[[#This Row],[Code]], allFYsTable[year2], DB$3)=0, NotFound, SUMIFS(allFYsTable[RevisedBudget], allFYsTable[Code], SummaryTable[[#This Row],[Code]], allFYsTable[year2], DB$3))</f>
        <v>3777</v>
      </c>
      <c r="DF98" s="61">
        <f>IF(COUNTIFS(allFYsTable[Code], SummaryTable[[#This Row],[Code]], allFYsTable[year2], DB$3)=0, NotFound, SUMIFS(allFYsTable[Actual], allFYsTable[Code], SummaryTable[[#This Row],[Code]], allFYsTable[year2], DB$3))</f>
        <v>3763</v>
      </c>
      <c r="DG98" s="61">
        <f>IF(COUNTIFS(allFYsTable[Code], SummaryTable[[#This Row],[Code]], allFYsTable[year2], DB$3)=0, NotFound, SUMIFS(allFYsTable[DiffAmount], allFYsTable[Code], SummaryTable[[#This Row],[Code]], allFYsTable[year2], DB$3))</f>
        <v>-513</v>
      </c>
      <c r="DH98" s="63">
        <f>IF(SummaryTable[[#This Row],[OriginalBudget14]]=0, IF(SummaryTable[[#This Row],[DiffAmount14]]=0, ZeroBudgetNoSpending, ZeroBudgetWithSpending), SummaryTable[[#This Row],[DiffAmount14]]/SummaryTable[[#This Row],[OriginalBudget14]])</f>
        <v>-0.11997193638914874</v>
      </c>
      <c r="DI98" s="62">
        <f>IF(COUNTIFS(allFYsTable[Code], SummaryTable[[#This Row],[Code]], allFYsTable[year2], DI$3)=0, NotFound, SUMIFS(allFYsTable[OriginalBudget], allFYsTable[Code], SummaryTable[[#This Row],[Code]], allFYsTable[year2], DI$3))</f>
        <v>3951</v>
      </c>
      <c r="DJ98" s="61">
        <f>SummaryTable[[#This Row],[OriginalBudget13]]-SummaryTable[[#This Row],[OriginalBudget12]]</f>
        <v>265</v>
      </c>
      <c r="DK98" s="54">
        <f>SummaryTable[[#This Row],[BudgetIncreaseAmount13]]/SummaryTable[[#This Row],[OriginalBudget12]]</f>
        <v>7.1893651654910476E-2</v>
      </c>
      <c r="DL98" s="61">
        <f>IF(COUNTIFS(allFYsTable[Code], SummaryTable[[#This Row],[Code]], allFYsTable[year2], DI$3)=0, NotFound, SUMIFS(allFYsTable[RevisedBudget], allFYsTable[Code], SummaryTable[[#This Row],[Code]], allFYsTable[year2], DI$3))</f>
        <v>4276</v>
      </c>
      <c r="DM98" s="61">
        <f>IF(COUNTIFS(allFYsTable[Code], SummaryTable[[#This Row],[Code]], allFYsTable[year2], DI$3)=0, NotFound, SUMIFS(allFYsTable[Actual], allFYsTable[Code], SummaryTable[[#This Row],[Code]], allFYsTable[year2], DI$3))</f>
        <v>4118</v>
      </c>
      <c r="DN98" s="61">
        <f>IF(COUNTIFS(allFYsTable[Code], SummaryTable[[#This Row],[Code]], allFYsTable[year2], DI$3)=0, NotFound, SUMIFS(allFYsTable[DiffAmount], allFYsTable[Code], SummaryTable[[#This Row],[Code]], allFYsTable[year2], DI$3))</f>
        <v>167</v>
      </c>
      <c r="DO98" s="63">
        <f>IF(SummaryTable[[#This Row],[OriginalBudget13]]=0, IF(SummaryTable[[#This Row],[DiffAmount13]]=0, ZeroBudgetNoSpending, ZeroBudgetWithSpending), SummaryTable[[#This Row],[DiffAmount13]]/SummaryTable[[#This Row],[OriginalBudget13]])</f>
        <v>4.2267780308782588E-2</v>
      </c>
      <c r="DP98" s="62">
        <f>IF(COUNTIFS(allFYsTable[Code], SummaryTable[[#This Row],[Code]], allFYsTable[year2], DP$3)=0, NotFound, SUMIFS(allFYsTable[OriginalBudget], allFYsTable[Code], SummaryTable[[#This Row],[Code]], allFYsTable[year2], DP$3))</f>
        <v>3686</v>
      </c>
      <c r="DQ98" s="61">
        <f>SummaryTable[[#This Row],[OriginalBudget12]]-SummaryTable[[#This Row],[OriginalBudget11]]</f>
        <v>-154</v>
      </c>
      <c r="DR98" s="54">
        <f>SummaryTable[[#This Row],[BudgetIncreaseAmount12]]/SummaryTable[[#This Row],[OriginalBudget11]]</f>
        <v>-4.010416666666667E-2</v>
      </c>
      <c r="DS98" s="61">
        <f>IF(COUNTIFS(allFYsTable[Code], SummaryTable[[#This Row],[Code]], allFYsTable[year2], DP$3)=0, NotFound, SUMIFS(allFYsTable[RevisedBudget], allFYsTable[Code], SummaryTable[[#This Row],[Code]], allFYsTable[year2], DP$3))</f>
        <v>3686</v>
      </c>
      <c r="DT98" s="61">
        <f>IF(COUNTIFS(allFYsTable[Code], SummaryTable[[#This Row],[Code]], allFYsTable[year2], DP$3)=0, NotFound, SUMIFS(allFYsTable[Actual], allFYsTable[Code], SummaryTable[[#This Row],[Code]], allFYsTable[year2], DP$3))</f>
        <v>3361</v>
      </c>
      <c r="DU98" s="61">
        <f>IF(COUNTIFS(allFYsTable[Code], SummaryTable[[#This Row],[Code]], allFYsTable[year2], DP$3)=0, NotFound, SUMIFS(allFYsTable[DiffAmount], allFYsTable[Code], SummaryTable[[#This Row],[Code]], allFYsTable[year2], DP$3))</f>
        <v>-325</v>
      </c>
      <c r="DV98" s="63">
        <f>IF(SummaryTable[[#This Row],[OriginalBudget12]]=0, IF(SummaryTable[[#This Row],[DiffAmount12]]=0, ZeroBudgetNoSpending, ZeroBudgetWithSpending), SummaryTable[[#This Row],[DiffAmount12]]/SummaryTable[[#This Row],[OriginalBudget12]])</f>
        <v>-8.8171459576776995E-2</v>
      </c>
      <c r="DW98" s="62">
        <f>IF(COUNTIFS(allFYsTable[Code], SummaryTable[[#This Row],[Code]], allFYsTable[year2], DW$3)=0, NotFound, SUMIFS(allFYsTable[OriginalBudget], allFYsTable[Code], SummaryTable[[#This Row],[Code]], allFYsTable[year2], DW$3))</f>
        <v>3840</v>
      </c>
      <c r="DX98" s="61">
        <f>SummaryTable[[#This Row],[OriginalBudget11]]-SummaryTable[[#This Row],[OriginalBudget10]]</f>
        <v>-279</v>
      </c>
      <c r="DY98" s="54">
        <f>SummaryTable[[#This Row],[BudgetIncreaseAmount11]]/SummaryTable[[#This Row],[OriginalBudget10]]</f>
        <v>-6.7734887108521491E-2</v>
      </c>
      <c r="DZ98" s="61">
        <f>IF(COUNTIFS(allFYsTable[Code], SummaryTable[[#This Row],[Code]], allFYsTable[year2], DW$3)=0, NotFound, SUMIFS(allFYsTable[RevisedBudget], allFYsTable[Code], SummaryTable[[#This Row],[Code]], allFYsTable[year2], DW$3))</f>
        <v>3840</v>
      </c>
      <c r="EA98" s="61">
        <f>IF(COUNTIFS(allFYsTable[Code], SummaryTable[[#This Row],[Code]], allFYsTable[year2], DW$3)=0, NotFound, SUMIFS(allFYsTable[Actual], allFYsTable[Code], SummaryTable[[#This Row],[Code]], allFYsTable[year2], DW$3))</f>
        <v>3436</v>
      </c>
      <c r="EB98" s="61">
        <f>IF(COUNTIFS(allFYsTable[Code], SummaryTable[[#This Row],[Code]], allFYsTable[year2], DW$3)=0, NotFound, SUMIFS(allFYsTable[DiffAmount], allFYsTable[Code], SummaryTable[[#This Row],[Code]], allFYsTable[year2], DW$3))</f>
        <v>-404</v>
      </c>
      <c r="EC98" s="63">
        <f>IF(SummaryTable[[#This Row],[OriginalBudget11]]=0, IF(SummaryTable[[#This Row],[DiffAmount11]]=0, ZeroBudgetNoSpending, ZeroBudgetWithSpending), SummaryTable[[#This Row],[DiffAmount11]]/SummaryTable[[#This Row],[OriginalBudget11]])</f>
        <v>-0.10520833333333333</v>
      </c>
      <c r="ED98" s="62">
        <f>IF(COUNTIFS(allFYsTable[Code], SummaryTable[[#This Row],[Code]], allFYsTable[year2], ED$3)=0, NotFound, SUMIFS(allFYsTable[OriginalBudget], allFYsTable[Code], SummaryTable[[#This Row],[Code]], allFYsTable[year2], ED$3))</f>
        <v>4119</v>
      </c>
      <c r="EE98" s="61">
        <f>SummaryTable[[#This Row],[OriginalBudget10]]-SummaryTable[[#This Row],[OriginalBudget09]]</f>
        <v>83</v>
      </c>
      <c r="EF98" s="54">
        <f>SummaryTable[[#This Row],[BudgetIncreaseAmount10]]/SummaryTable[[#This Row],[OriginalBudget09]]</f>
        <v>2.0564915758176414E-2</v>
      </c>
      <c r="EG98" s="61">
        <f>IF(COUNTIFS(allFYsTable[Code], SummaryTable[[#This Row],[Code]], allFYsTable[year2], ED$3)=0, NotFound, SUMIFS(allFYsTable[RevisedBudget], allFYsTable[Code], SummaryTable[[#This Row],[Code]], allFYsTable[year2], ED$3))</f>
        <v>4339</v>
      </c>
      <c r="EH98" s="61">
        <f>IF(COUNTIFS(allFYsTable[Code], SummaryTable[[#This Row],[Code]], allFYsTable[year2], ED$3)=0, NotFound, SUMIFS(allFYsTable[Actual], allFYsTable[Code], SummaryTable[[#This Row],[Code]], allFYsTable[year2], ED$3))</f>
        <v>3858</v>
      </c>
      <c r="EI98" s="61">
        <f>IF(COUNTIFS(allFYsTable[Code], SummaryTable[[#This Row],[Code]], allFYsTable[year2], ED$3)=0, NotFound, SUMIFS(allFYsTable[DiffAmount], allFYsTable[Code], SummaryTable[[#This Row],[Code]], allFYsTable[year2], ED$3))</f>
        <v>-261</v>
      </c>
      <c r="EJ98" s="63">
        <f>IF(SummaryTable[[#This Row],[OriginalBudget10]]=0, IF(SummaryTable[[#This Row],[DiffAmount10]]=0, ZeroBudgetNoSpending, ZeroBudgetWithSpending), SummaryTable[[#This Row],[DiffAmount10]]/SummaryTable[[#This Row],[OriginalBudget10]])</f>
        <v>-6.3364894391842674E-2</v>
      </c>
      <c r="EK98" s="62">
        <f>IF(COUNTIFS(allFYsTable[Code], SummaryTable[[#This Row],[Code]], allFYsTable[year2], EK$3)=0, NotFound, SUMIFS(allFYsTable[OriginalBudget], allFYsTable[Code], SummaryTable[[#This Row],[Code]], allFYsTable[year2], EK$3))</f>
        <v>4036</v>
      </c>
      <c r="EL98" s="61">
        <f>SummaryTable[[#This Row],[OriginalBudget09]]-SummaryTable[[#This Row],[OriginalBudget08]]</f>
        <v>1519</v>
      </c>
      <c r="EM98" s="54">
        <f>SummaryTable[[#This Row],[BudgetIncreaseAmount09]]/SummaryTable[[#This Row],[OriginalBudget08]]</f>
        <v>0.60349622566547478</v>
      </c>
      <c r="EN98" s="61">
        <f>IF(COUNTIFS(allFYsTable[Code], SummaryTable[[#This Row],[Code]], allFYsTable[year2], EK$3)=0, NotFound, SUMIFS(allFYsTable[RevisedBudget], allFYsTable[Code], SummaryTable[[#This Row],[Code]], allFYsTable[year2], EK$3))</f>
        <v>4036</v>
      </c>
      <c r="EO98" s="61">
        <f>IF(COUNTIFS(allFYsTable[Code], SummaryTable[[#This Row],[Code]], allFYsTable[year2], EK$3)=0, NotFound, SUMIFS(allFYsTable[Actual], allFYsTable[Code], SummaryTable[[#This Row],[Code]], allFYsTable[year2], EK$3))</f>
        <v>3506</v>
      </c>
      <c r="EP98" s="61">
        <f>IF(COUNTIFS(allFYsTable[Code], SummaryTable[[#This Row],[Code]], allFYsTable[year2], EK$3)=0, NotFound, SUMIFS(allFYsTable[DiffAmount], allFYsTable[Code], SummaryTable[[#This Row],[Code]], allFYsTable[year2], EK$3))</f>
        <v>-530</v>
      </c>
      <c r="EQ98" s="63">
        <f>IF(SummaryTable[[#This Row],[OriginalBudget09]]=0, IF(SummaryTable[[#This Row],[DiffAmount09]]=0, ZeroBudgetNoSpending, ZeroBudgetWithSpending), SummaryTable[[#This Row],[DiffAmount09]]/SummaryTable[[#This Row],[OriginalBudget09]])</f>
        <v>-0.1313181367690783</v>
      </c>
      <c r="ER98" s="62">
        <f>IF(COUNTIFS(allFYsTable[Code], SummaryTable[[#This Row],[Code]], allFYsTable[year2], ER$3)=0, NotFound, SUMIFS(allFYsTable[OriginalBudget], allFYsTable[Code], SummaryTable[[#This Row],[Code]], allFYsTable[year2], ER$3))</f>
        <v>2517</v>
      </c>
      <c r="ES98" s="61">
        <f>SummaryTable[[#This Row],[OriginalBudget08]]-SummaryTable[[#This Row],[OriginalBudget07]]</f>
        <v>339</v>
      </c>
      <c r="ET98" s="54">
        <f>SummaryTable[[#This Row],[BudgetIncreaseAmount08]]/SummaryTable[[#This Row],[OriginalBudget07]]</f>
        <v>0.15564738292011018</v>
      </c>
      <c r="EU98" s="61">
        <f>IF(COUNTIFS(allFYsTable[Code], SummaryTable[[#This Row],[Code]], allFYsTable[year2], ER$3)=0, NotFound, SUMIFS(allFYsTable[RevisedBudget], allFYsTable[Code], SummaryTable[[#This Row],[Code]], allFYsTable[year2], ER$3))</f>
        <v>3267</v>
      </c>
      <c r="EV98" s="61">
        <f>IF(COUNTIFS(allFYsTable[Code], SummaryTable[[#This Row],[Code]], allFYsTable[year2], ER$3)=0, NotFound, SUMIFS(allFYsTable[Actual], allFYsTable[Code], SummaryTable[[#This Row],[Code]], allFYsTable[year2], ER$3))</f>
        <v>2419</v>
      </c>
      <c r="EW98" s="61">
        <f>IF(COUNTIFS(allFYsTable[Code], SummaryTable[[#This Row],[Code]], allFYsTable[year2], ER$3)=0, NotFound, SUMIFS(allFYsTable[DiffAmount], allFYsTable[Code], SummaryTable[[#This Row],[Code]], allFYsTable[year2], ER$3))</f>
        <v>-98</v>
      </c>
      <c r="EX98" s="63">
        <f>IF(SummaryTable[[#This Row],[OriginalBudget08]]=0, IF(SummaryTable[[#This Row],[DiffAmount08]]=0, ZeroBudgetNoSpending, ZeroBudgetWithSpending), SummaryTable[[#This Row],[DiffAmount08]]/SummaryTable[[#This Row],[OriginalBudget08]])</f>
        <v>-3.8935240365514504E-2</v>
      </c>
      <c r="EY98" s="62">
        <f>IF(COUNTIFS(allFYsTable[Code], SummaryTable[[#This Row],[Code]], allFYsTable[year2], EY$3)=0, NotFound, SUMIFS(allFYsTable[OriginalBudget], allFYsTable[Code], SummaryTable[[#This Row],[Code]], allFYsTable[year2], EY$3))</f>
        <v>2178</v>
      </c>
      <c r="EZ98" s="61">
        <f>SummaryTable[[#This Row],[OriginalBudget07]]-SummaryTable[[#This Row],[OriginalBudget06]]</f>
        <v>169</v>
      </c>
      <c r="FA98" s="54">
        <f>SummaryTable[[#This Row],[BudgetIncreaseAmount07]]/SummaryTable[[#This Row],[OriginalBudget06]]</f>
        <v>8.412145345943256E-2</v>
      </c>
      <c r="FB98" s="61">
        <f>IF(COUNTIFS(allFYsTable[Code], SummaryTable[[#This Row],[Code]], allFYsTable[year2], EY$3)=0, NotFound, SUMIFS(allFYsTable[RevisedBudget], allFYsTable[Code], SummaryTable[[#This Row],[Code]], allFYsTable[year2], EY$3))</f>
        <v>2178</v>
      </c>
      <c r="FC98" s="61">
        <f>IF(COUNTIFS(allFYsTable[Code], SummaryTable[[#This Row],[Code]], allFYsTable[year2], EY$3)=0, NotFound, SUMIFS(allFYsTable[Actual], allFYsTable[Code], SummaryTable[[#This Row],[Code]], allFYsTable[year2], EY$3))</f>
        <v>1949</v>
      </c>
      <c r="FD98" s="61">
        <f>IF(COUNTIFS(allFYsTable[Code], SummaryTable[[#This Row],[Code]], allFYsTable[year2], EY$3)=0, NotFound, SUMIFS(allFYsTable[DiffAmount], allFYsTable[Code], SummaryTable[[#This Row],[Code]], allFYsTable[year2], EY$3))</f>
        <v>-229</v>
      </c>
      <c r="FE98" s="63">
        <f>IF(SummaryTable[[#This Row],[OriginalBudget07]]=0, IF(SummaryTable[[#This Row],[DiffAmount07]]=0, ZeroBudgetNoSpending, ZeroBudgetWithSpending), SummaryTable[[#This Row],[DiffAmount07]]/SummaryTable[[#This Row],[OriginalBudget07]])</f>
        <v>-0.10514233241505969</v>
      </c>
      <c r="FF98" s="62">
        <f>IF(COUNTIFS(allFYsTable[Code], SummaryTable[[#This Row],[Code]], allFYsTable[year2], FF$3)=0, NotFound, SUMIFS(allFYsTable[OriginalBudget], allFYsTable[Code], SummaryTable[[#This Row],[Code]], allFYsTable[year2], FF$3))</f>
        <v>2009</v>
      </c>
      <c r="FI98" s="61">
        <f>IF(COUNTIFS(allFYsTable[Code], SummaryTable[[#This Row],[Code]], allFYsTable[year2], FF$3)=0, NotFound, SUMIFS(allFYsTable[RevisedBudget], allFYsTable[Code], SummaryTable[[#This Row],[Code]], allFYsTable[year2], FF$3))</f>
        <v>2008</v>
      </c>
      <c r="FJ98" s="61">
        <f>IF(COUNTIFS(allFYsTable[Code], SummaryTable[[#This Row],[Code]], allFYsTable[year2], FF$3)=0, NotFound, SUMIFS(allFYsTable[Actual], allFYsTable[Code], SummaryTable[[#This Row],[Code]], allFYsTable[year2], FF$3))</f>
        <v>1928</v>
      </c>
      <c r="FK98" s="61">
        <f>IF(COUNTIFS(allFYsTable[Code], SummaryTable[[#This Row],[Code]], allFYsTable[year2], FF$3)=0, NotFound, SUMIFS(allFYsTable[DiffAmount], allFYsTable[Code], SummaryTable[[#This Row],[Code]], allFYsTable[year2], FF$3))</f>
        <v>-81</v>
      </c>
      <c r="FL98" s="63">
        <f>IF(SummaryTable[[#This Row],[OriginalBudget06]]=0, IF(SummaryTable[[#This Row],[DiffAmount06]]=0, ZeroBudgetNoSpending, ZeroBudgetWithSpending), SummaryTable[[#This Row],[DiffAmount06]]/SummaryTable[[#This Row],[OriginalBudget06]])</f>
        <v>-4.0318566450970629E-2</v>
      </c>
    </row>
    <row r="99" spans="1:168" x14ac:dyDescent="0.45">
      <c r="A99" t="s">
        <v>724</v>
      </c>
      <c r="B99">
        <f>_xlfn.MAXIFS(allFYsTable[year2], allFYsTable[Code], SummaryTable[[#This Row],[Code]])</f>
        <v>2025</v>
      </c>
      <c r="C99" t="str">
        <f>_xlfn.XLOOKUP(SummaryTable[[#This Row],[Code]], NameCodingTable[Code], NameCodingTable[Most Recent Category per allFYs])</f>
        <v>Governmental direction and support</v>
      </c>
      <c r="D99" t="str">
        <f>_xlfn.XLOOKUP(SummaryTable[[#This Row],[Code]], NameCodingTable[Code], NameCodingTable[Unit Display Name])</f>
        <v>Office of the Inspector General (OIG)</v>
      </c>
      <c r="E99" t="str">
        <f>_xlfn.XLOOKUP(SummaryTable[[#This Row],[Code]], NameCodingTable[Code], NameCodingTable[Type])</f>
        <v>agency</v>
      </c>
      <c r="F9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9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99" s="54">
        <f>SummaryTable[[#This Row],['# Over]]/SummaryTable[[#This Row],[Count]]</f>
        <v>0.1</v>
      </c>
      <c r="I9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18</v>
      </c>
      <c r="J99" s="54">
        <f>SummaryTable[[#This Row],['# Under]]/SummaryTable[[#This Row],[Count]]</f>
        <v>0.9</v>
      </c>
      <c r="K9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99" s="54">
        <f>SummaryTable[[#This Row],['# Equal]]/SummaryTable[[#This Row],[Count]]</f>
        <v>0</v>
      </c>
      <c r="M99" s="61">
        <f>SUMIFS(allFYsTable[OriginalBudget],allFYsTable[Code],SummaryTable[[#This Row],[Code]])/SummaryTable[[#This Row],[Count]]</f>
        <v>16099.7</v>
      </c>
      <c r="N99" s="61">
        <f>SUMIFS(allFYsTable[Actual],allFYsTable[Code],SummaryTable[[#This Row],[Code]])/SummaryTable[[#This Row],[Count]]</f>
        <v>14311.4</v>
      </c>
      <c r="O99" s="61">
        <f>SummaryTable[[#This Row],[AvgActAmt]]-SummaryTable[[#This Row],[AvgBudAmt]]</f>
        <v>-1788.3000000000011</v>
      </c>
      <c r="P99" s="54">
        <f>IF(SummaryTable[[#This Row],[AvgBudAmt]]=0, IF(SummaryTable[[#This Row],[AvgDiff'#]]=0, 0, NamedFields!$C$3), SummaryTable[[#This Row],[AvgDiff'#]]/SummaryTable[[#This Row],[AvgBudAmt]])</f>
        <v>-0.1110766039118742</v>
      </c>
      <c r="Q99" s="61">
        <f>IFERROR(SUMIFS(allFYsTable[OriginalBudget],allFYsTable[Code],SummaryTable[[#This Row],[Code]],allFYsTable[DiffAmount], "&gt;0")/SummaryTable[[#This Row],['# Over]], 0)</f>
        <v>19049</v>
      </c>
      <c r="R99" s="61">
        <f>IFERROR(SUMIFS(allFYsTable[Actual],allFYsTable[Code],SummaryTable[[#This Row],[Code]],allFYsTable[DiffAmount], "&gt;0")/SummaryTable[[#This Row],['# Over]], 0)</f>
        <v>20100.5</v>
      </c>
      <c r="S99" s="61">
        <f>SummaryTable[[#This Row],[OverAvgAct]]-SummaryTable[[#This Row],[OverAvgBud]]</f>
        <v>1051.5</v>
      </c>
      <c r="T99" s="54">
        <f>IF(SummaryTable[[#This Row],[OverAvgBud]]=0, IF(SummaryTable[[#This Row],[OverAvgDiff'#]]=0, ZeroBudgetNoSpending, ZeroBudgetWithSpending), SummaryTable[[#This Row],[OverAvgDiff'#]]/SummaryTable[[#This Row],[OverAvgBud]])</f>
        <v>5.5199748018268678E-2</v>
      </c>
      <c r="U99" s="61">
        <f>IFERROR(SUMIFS(allFYsTable[OriginalBudget],allFYsTable[Code],SummaryTable[[#This Row],[Code]],allFYsTable[DiffAmount], "&lt;0")/SummaryTable[[#This Row],['# Under]], 0)</f>
        <v>15772</v>
      </c>
      <c r="V99" s="61">
        <f>IFERROR( SUMIFS(allFYsTable[Actual],allFYsTable[Code],SummaryTable[[#This Row],[Code]],allFYsTable[DiffAmount], "&lt;0")/SummaryTable[[#This Row],['# Under]], 0)</f>
        <v>13668.166666666666</v>
      </c>
      <c r="W99" s="61">
        <f>SummaryTable[[#This Row],[UnderAvgAct]]-SummaryTable[[#This Row],[UnderAvgBud]]</f>
        <v>-2103.8333333333339</v>
      </c>
      <c r="X99" s="54">
        <f>IF(SummaryTable[[#This Row],[UnderAvgBud]]=0, IF(SummaryTable[[#This Row],[UnderAvgDiff'#]]=0, ZeroBudgetNoSpending, NamedFields!$C$3), SummaryTable[[#This Row],[UnderAvgDiff'#]]/SummaryTable[[#This Row],[UnderAvgBud]])</f>
        <v>-0.13339039648321924</v>
      </c>
      <c r="Y9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9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99" s="54">
        <f>IF(SummaryTable[[#This Row],[IncreaseYears]]=0, ZeroBudgetNoSpending, SummaryTable[[#This Row],[OSinIncreaseYear'#]]/SummaryTable[[#This Row],[IncreaseYears]])</f>
        <v>0</v>
      </c>
      <c r="AB99" s="58" t="str">
        <f>SummaryTable[[#This Row],[Code]]</f>
        <v>AD0</v>
      </c>
      <c r="AC99" s="62">
        <f>IF(COUNTIFS(allFYsTable[Code], SummaryTable[[#This Row],[Code]], allFYsTable[year2], AC$3)=0, NotFound, SUMIFS(allFYsTable[OriginalBudget], allFYsTable[Code], SummaryTable[[#This Row],[Code]], allFYsTable[year2], AC$3))</f>
        <v>19497</v>
      </c>
      <c r="AD99" s="61">
        <f>SummaryTable[[#This Row],[OriginalBudget25]]-SummaryTable[[#This Row],[OriginalBudget24]]</f>
        <v>-2607</v>
      </c>
      <c r="AE99" s="54">
        <f>SummaryTable[[#This Row],[BudgetIncreaseAmount25]]/SummaryTable[[#This Row],[OriginalBudget24]]</f>
        <v>-0.11794245385450597</v>
      </c>
      <c r="AF99" s="61">
        <f>IF(COUNTIFS(allFYsTable[Code], SummaryTable[[#This Row],[Code]], allFYsTable[year2], AC$3)=0, NotFound, SUMIFS(allFYsTable[RevisedBudget], allFYsTable[Code], SummaryTable[[#This Row],[Code]], allFYsTable[year2], AC$3))</f>
        <v>17638</v>
      </c>
      <c r="AG99" s="61">
        <f>IF(COUNTIFS(allFYsTable[Code], SummaryTable[[#This Row],[Code]], allFYsTable[year2], AC$3)=0, NotFound, SUMIFS(allFYsTable[Actual], allFYsTable[Code], SummaryTable[[#This Row],[Code]], allFYsTable[year2], AC$3))</f>
        <v>17003</v>
      </c>
      <c r="AH99" s="61">
        <f>IF(COUNTIFS(allFYsTable[Code], SummaryTable[[#This Row],[Code]], allFYsTable[year2], AC$3)=0, NotFound, SUMIFS(allFYsTable[DiffAmount], allFYsTable[Code], SummaryTable[[#This Row],[Code]], allFYsTable[year2], AC$3))</f>
        <v>-2494</v>
      </c>
      <c r="AI99" s="63">
        <f>IF(SummaryTable[[#This Row],[OriginalBudget25]]=0, IF(SummaryTable[[#This Row],[DiffAmount25]]=0, ZeroBudgetNoSpending, ZeroBudgetWithSpending), SummaryTable[[#This Row],[DiffAmount25]]/SummaryTable[[#This Row],[OriginalBudget25]])</f>
        <v>-0.12791711545365952</v>
      </c>
      <c r="AJ99" s="62">
        <f>IF(COUNTIFS(allFYsTable[Code], SummaryTable[[#This Row],[Code]], allFYsTable[year2], AJ$3)=0, NotFound, SUMIFS(allFYsTable[OriginalBudget], allFYsTable[Code], SummaryTable[[#This Row],[Code]], allFYsTable[year2], AJ$3))</f>
        <v>22104</v>
      </c>
      <c r="AK99" s="61">
        <f>SummaryTable[[#This Row],[OriginalBudget24]]-SummaryTable[[#This Row],[OriginalBudget23]]</f>
        <v>637</v>
      </c>
      <c r="AL99" s="54">
        <f>SummaryTable[[#This Row],[BudgetIncreaseAmount24]]/SummaryTable[[#This Row],[OriginalBudget23]]</f>
        <v>2.9673452275585783E-2</v>
      </c>
      <c r="AM99" s="61">
        <f>IF(COUNTIFS(allFYsTable[Code], SummaryTable[[#This Row],[Code]], allFYsTable[year2], AK$3)=0, NotFound, SUMIFS(allFYsTable[RevisedBudget], allFYsTable[Code], SummaryTable[[#This Row],[Code]], allFYsTable[year2], AJ$3))</f>
        <v>19969</v>
      </c>
      <c r="AN99" s="61">
        <f>IF(COUNTIFS(allFYsTable[Code], SummaryTable[[#This Row],[Code]], allFYsTable[year2], AJ$3)=0, NotFound, SUMIFS(allFYsTable[Actual], allFYsTable[Code], SummaryTable[[#This Row],[Code]], allFYsTable[year2], AJ$3))</f>
        <v>17555</v>
      </c>
      <c r="AO99" s="61">
        <f>IF(COUNTIFS(allFYsTable[Code], SummaryTable[[#This Row],[Code]], allFYsTable[year2], AJ$3)=0, NotFound, SUMIFS(allFYsTable[DiffAmount], allFYsTable[Code], SummaryTable[[#This Row],[Code]], allFYsTable[year2], AJ$3))</f>
        <v>-4549</v>
      </c>
      <c r="AP99" s="63">
        <f>IF(SummaryTable[[#This Row],[OriginalBudget24]]=0, IF(SummaryTable[[#This Row],[DiffAmount24]]=0, ZeroBudgetNoSpending, ZeroBudgetWithSpending), SummaryTable[[#This Row],[DiffAmount24]]/SummaryTable[[#This Row],[OriginalBudget24]])</f>
        <v>-0.20579985522982266</v>
      </c>
      <c r="AQ99" s="62">
        <f>IF(COUNTIFS(allFYsTable[Code], SummaryTable[[#This Row],[Code]], allFYsTable[year2], AQ$3)=0, NotFound, SUMIFS(allFYsTable[OriginalBudget], allFYsTable[Code], SummaryTable[[#This Row],[Code]], allFYsTable[year2], AQ$3))</f>
        <v>21467</v>
      </c>
      <c r="AR99" s="61">
        <f>SummaryTable[[#This Row],[OriginalBudget23]]-SummaryTable[[#This Row],[OriginalBudget22]]</f>
        <v>1794</v>
      </c>
      <c r="AS99" s="54">
        <f>SummaryTable[[#This Row],[BudgetIncreaseAmount23]]/SummaryTable[[#This Row],[OriginalBudget22]]</f>
        <v>9.1190972398719053E-2</v>
      </c>
      <c r="AT99" s="61">
        <f>IF(COUNTIFS(allFYsTable[Code], SummaryTable[[#This Row],[Code]], allFYsTable[year2], AQ$3)=0, NotFound, SUMIFS(allFYsTable[RevisedBudget], allFYsTable[Code], SummaryTable[[#This Row],[Code]], allFYsTable[year2], AQ$3))</f>
        <v>19727</v>
      </c>
      <c r="AU99" s="61">
        <f>IF(COUNTIFS(allFYsTable[Code], SummaryTable[[#This Row],[Code]], allFYsTable[year2], AQ$3)=0, NotFound, SUMIFS(allFYsTable[Actual], allFYsTable[Code], SummaryTable[[#This Row],[Code]], allFYsTable[year2], AQ$3))</f>
        <v>16547</v>
      </c>
      <c r="AV99" s="61">
        <f>IF(COUNTIFS(allFYsTable[Code], SummaryTable[[#This Row],[Code]], allFYsTable[year2], AQ$3)=0, NotFound, SUMIFS(allFYsTable[DiffAmount], allFYsTable[Code], SummaryTable[[#This Row],[Code]], allFYsTable[year2], AQ$3))</f>
        <v>-4920</v>
      </c>
      <c r="AW99" s="63">
        <f>IF(SummaryTable[[#This Row],[OriginalBudget23]]=0, IF(SummaryTable[[#This Row],[DiffAmount23]]=0, ZeroBudgetNoSpending, ZeroBudgetWithSpending), SummaryTable[[#This Row],[DiffAmount23]]/SummaryTable[[#This Row],[OriginalBudget23]])</f>
        <v>-0.22918898774863744</v>
      </c>
      <c r="AX99" s="62">
        <f>IF(COUNTIFS(allFYsTable[Code], SummaryTable[[#This Row],[Code]], allFYsTable[year2], AX$3)=0, NotFound, SUMIFS(allFYsTable[OriginalBudget], allFYsTable[Code], SummaryTable[[#This Row],[Code]], allFYsTable[year2], AX$3))</f>
        <v>19673</v>
      </c>
      <c r="AY99" s="61">
        <f>SummaryTable[[#This Row],[OriginalBudget22]]-SummaryTable[[#This Row],[OriginalBudget21]]</f>
        <v>3824</v>
      </c>
      <c r="AZ99" s="54">
        <f>SummaryTable[[#This Row],[BudgetIncreaseAmount22]]/SummaryTable[[#This Row],[OriginalBudget21]]</f>
        <v>0.24127705217994827</v>
      </c>
      <c r="BA99" s="61">
        <f>IF(COUNTIFS(allFYsTable[Code], SummaryTable[[#This Row],[Code]], allFYsTable[year2], AX$3)=0, NotFound, SUMIFS(allFYsTable[RevisedBudget], allFYsTable[Code], SummaryTable[[#This Row],[Code]], allFYsTable[year2], AX$3))</f>
        <v>16234</v>
      </c>
      <c r="BB99" s="61">
        <f>IF(COUNTIFS(allFYsTable[Code], SummaryTable[[#This Row],[Code]], allFYsTable[year2], AX$3)=0, NotFound, SUMIFS(allFYsTable[Actual], allFYsTable[Code], SummaryTable[[#This Row],[Code]], allFYsTable[year2], AX$3))</f>
        <v>14967</v>
      </c>
      <c r="BC99" s="61">
        <f>IF(COUNTIFS(allFYsTable[Code], SummaryTable[[#This Row],[Code]], allFYsTable[year2], AX$3)=0, NotFound, SUMIFS(allFYsTable[DiffAmount], allFYsTable[Code], SummaryTable[[#This Row],[Code]], allFYsTable[year2], AX$3))</f>
        <v>-4706</v>
      </c>
      <c r="BD99" s="63">
        <f>IF(SummaryTable[[#This Row],[OriginalBudget22]]=0, IF(SummaryTable[[#This Row],[DiffAmount22]]=0, ZeroBudgetNoSpending, ZeroBudgetWithSpending), SummaryTable[[#This Row],[DiffAmount22]]/SummaryTable[[#This Row],[OriginalBudget22]])</f>
        <v>-0.23921110150968333</v>
      </c>
      <c r="BE99" s="62">
        <f>IF(COUNTIFS(allFYsTable[Code], SummaryTable[[#This Row],[Code]], allFYsTable[year2], BE$3)=0, NotFound, SUMIFS(allFYsTable[OriginalBudget], allFYsTable[Code], SummaryTable[[#This Row],[Code]], allFYsTable[year2], BE$3))</f>
        <v>15849</v>
      </c>
      <c r="BF99" s="61">
        <f>SummaryTable[[#This Row],[OriginalBudget21]]-SummaryTable[[#This Row],[OriginalBudget20]]</f>
        <v>-271</v>
      </c>
      <c r="BG99" s="54">
        <f>SummaryTable[[#This Row],[BudgetIncreaseAmount21]]/SummaryTable[[#This Row],[OriginalBudget20]]</f>
        <v>-1.6811414392059552E-2</v>
      </c>
      <c r="BH99" s="61">
        <f>IF(COUNTIFS(allFYsTable[Code], SummaryTable[[#This Row],[Code]], allFYsTable[year2], BE$3)=0, NotFound, SUMIFS(allFYsTable[RevisedBudget], allFYsTable[Code], SummaryTable[[#This Row],[Code]], allFYsTable[year2], BE$3))</f>
        <v>14562</v>
      </c>
      <c r="BI99" s="61">
        <f>IF(COUNTIFS(allFYsTable[Code], SummaryTable[[#This Row],[Code]], allFYsTable[year2], BE$3)=0, NotFound, SUMIFS(allFYsTable[Actual], allFYsTable[Code], SummaryTable[[#This Row],[Code]], allFYsTable[year2], BE$3))</f>
        <v>13336</v>
      </c>
      <c r="BJ99" s="61">
        <f>IF(COUNTIFS(allFYsTable[Code], SummaryTable[[#This Row],[Code]], allFYsTable[year2], BE$3)=0, NotFound, SUMIFS(allFYsTable[DiffAmount], allFYsTable[Code], SummaryTable[[#This Row],[Code]], allFYsTable[year2], BE$3))</f>
        <v>-2513</v>
      </c>
      <c r="BK99" s="63">
        <f>IF(SummaryTable[[#This Row],[OriginalBudget21]]=0, IF(SummaryTable[[#This Row],[DiffAmount21]]=0, ZeroBudgetNoSpending, ZeroBudgetWithSpending), SummaryTable[[#This Row],[DiffAmount21]]/SummaryTable[[#This Row],[OriginalBudget21]])</f>
        <v>-0.15855889961511768</v>
      </c>
      <c r="BL99" s="62">
        <f>IF(COUNTIFS(allFYsTable[Code], SummaryTable[[#This Row],[Code]], allFYsTable[year2], BL$3)=0, NotFound, SUMIFS(allFYsTable[OriginalBudget], allFYsTable[Code], SummaryTable[[#This Row],[Code]], allFYsTable[year2], BL$3))</f>
        <v>16120</v>
      </c>
      <c r="BM99" s="61">
        <f>SummaryTable[[#This Row],[OriginalBudget20]]-SummaryTable[[#This Row],[OriginalBudget19]]</f>
        <v>177</v>
      </c>
      <c r="BN99" s="54">
        <f>SummaryTable[[#This Row],[BudgetIncreaseAmount20]]/SummaryTable[[#This Row],[OriginalBudget19]]</f>
        <v>1.1102051056890171E-2</v>
      </c>
      <c r="BO99" s="61">
        <f>IF(COUNTIFS(allFYsTable[Code], SummaryTable[[#This Row],[Code]], allFYsTable[year2], BL$3)=0, NotFound, SUMIFS(allFYsTable[RevisedBudget], allFYsTable[Code], SummaryTable[[#This Row],[Code]], allFYsTable[year2], BL$3))</f>
        <v>14820</v>
      </c>
      <c r="BP99" s="61">
        <f>IF(COUNTIFS(allFYsTable[Code], SummaryTable[[#This Row],[Code]], allFYsTable[year2], BL$3)=0, NotFound, SUMIFS(allFYsTable[Actual], allFYsTable[Code], SummaryTable[[#This Row],[Code]], allFYsTable[year2], BL$3))</f>
        <v>12779</v>
      </c>
      <c r="BQ99" s="61">
        <f>IF(COUNTIFS(allFYsTable[Code], SummaryTable[[#This Row],[Code]], allFYsTable[year2], BL$3)=0, NotFound, SUMIFS(allFYsTable[DiffAmount], allFYsTable[Code], SummaryTable[[#This Row],[Code]], allFYsTable[year2], BL$3))</f>
        <v>-3341</v>
      </c>
      <c r="BR99" s="63">
        <f>IF(SummaryTable[[#This Row],[OriginalBudget20]]=0, IF(SummaryTable[[#This Row],[DiffAmount20]]=0, ZeroBudgetNoSpending, ZeroBudgetWithSpending), SummaryTable[[#This Row],[DiffAmount20]]/SummaryTable[[#This Row],[OriginalBudget20]])</f>
        <v>-0.20725806451612902</v>
      </c>
      <c r="BS99" s="62">
        <f>IF(COUNTIFS(allFYsTable[Code], SummaryTable[[#This Row],[Code]], allFYsTable[year2], BS$3)=0, NotFound, SUMIFS(allFYsTable[OriginalBudget], allFYsTable[Code], SummaryTable[[#This Row],[Code]], allFYsTable[year2], BS$3))</f>
        <v>15943</v>
      </c>
      <c r="BT99" s="61">
        <f>SummaryTable[[#This Row],[OriginalBudget19]]-SummaryTable[[#This Row],[OriginalBudget18]]</f>
        <v>422</v>
      </c>
      <c r="BU99" s="54">
        <f>SummaryTable[[#This Row],[BudgetIncreaseAmount19]]/SummaryTable[[#This Row],[OriginalBudget18]]</f>
        <v>2.7188969782874814E-2</v>
      </c>
      <c r="BV99" s="61">
        <f>IF(COUNTIFS(allFYsTable[Code], SummaryTable[[#This Row],[Code]], allFYsTable[year2], BS$3)=0, NotFound, SUMIFS(allFYsTable[RevisedBudget], allFYsTable[Code], SummaryTable[[#This Row],[Code]], allFYsTable[year2], BS$3))</f>
        <v>14284</v>
      </c>
      <c r="BW99" s="61">
        <f>IF(COUNTIFS(allFYsTable[Code], SummaryTable[[#This Row],[Code]], allFYsTable[year2], BS$3)=0, NotFound, SUMIFS(allFYsTable[Actual], allFYsTable[Code], SummaryTable[[#This Row],[Code]], allFYsTable[year2], BS$3))</f>
        <v>13384</v>
      </c>
      <c r="BX99" s="61">
        <f>IF(COUNTIFS(allFYsTable[Code], SummaryTable[[#This Row],[Code]], allFYsTable[year2], BS$3)=0, NotFound, SUMIFS(allFYsTable[DiffAmount], allFYsTable[Code], SummaryTable[[#This Row],[Code]], allFYsTable[year2], BS$3))</f>
        <v>-2559</v>
      </c>
      <c r="BY99" s="63">
        <f>IF(SummaryTable[[#This Row],[OriginalBudget19]]=0, IF(SummaryTable[[#This Row],[DiffAmount19]]=0, ZeroBudgetNoSpending, ZeroBudgetWithSpending), SummaryTable[[#This Row],[DiffAmount19]]/SummaryTable[[#This Row],[OriginalBudget19]])</f>
        <v>-0.16050931443266636</v>
      </c>
      <c r="BZ99" s="62">
        <f>IF(COUNTIFS(allFYsTable[Code], SummaryTable[[#This Row],[Code]], allFYsTable[year2], BZ$3)=0, NotFound, SUMIFS(allFYsTable[OriginalBudget], allFYsTable[Code], SummaryTable[[#This Row],[Code]], allFYsTable[year2], BZ$3))</f>
        <v>15521</v>
      </c>
      <c r="CA99" s="61">
        <f>SummaryTable[[#This Row],[OriginalBudget18]]-SummaryTable[[#This Row],[OriginalBudget17]]</f>
        <v>-633</v>
      </c>
      <c r="CB99" s="54">
        <f>SummaryTable[[#This Row],[BudgetIncreaseAmount18]]/SummaryTable[[#This Row],[OriginalBudget17]]</f>
        <v>-3.9185341091989602E-2</v>
      </c>
      <c r="CC99" s="61">
        <f>IF(COUNTIFS(allFYsTable[Code], SummaryTable[[#This Row],[Code]], allFYsTable[year2], BZ$3)=0, NotFound, SUMIFS(allFYsTable[RevisedBudget], allFYsTable[Code], SummaryTable[[#This Row],[Code]], allFYsTable[year2], BZ$3))</f>
        <v>15521</v>
      </c>
      <c r="CD99" s="61">
        <f>IF(COUNTIFS(allFYsTable[Code], SummaryTable[[#This Row],[Code]], allFYsTable[year2], BZ$3)=0, NotFound, SUMIFS(allFYsTable[Actual], allFYsTable[Code], SummaryTable[[#This Row],[Code]], allFYsTable[year2], BZ$3))</f>
        <v>12288</v>
      </c>
      <c r="CE99" s="61">
        <f>IF(COUNTIFS(allFYsTable[Code], SummaryTable[[#This Row],[Code]], allFYsTable[year2], BZ$3)=0, NotFound, SUMIFS(allFYsTable[DiffAmount], allFYsTable[Code], SummaryTable[[#This Row],[Code]], allFYsTable[year2], BZ$3))</f>
        <v>-3233</v>
      </c>
      <c r="CF99" s="63">
        <f>IF(SummaryTable[[#This Row],[OriginalBudget18]]=0, IF(SummaryTable[[#This Row],[DiffAmount18]]=0, ZeroBudgetNoSpending, ZeroBudgetWithSpending), SummaryTable[[#This Row],[DiffAmount18]]/SummaryTable[[#This Row],[OriginalBudget18]])</f>
        <v>-0.20829843437922815</v>
      </c>
      <c r="CG99" s="62">
        <f>IF(COUNTIFS(allFYsTable[Code], SummaryTable[[#This Row],[Code]], allFYsTable[year2], CG$3)=0, NotFound, SUMIFS(allFYsTable[OriginalBudget], allFYsTable[Code], SummaryTable[[#This Row],[Code]], allFYsTable[year2], CG$3))</f>
        <v>16154</v>
      </c>
      <c r="CH99" s="61">
        <f>SummaryTable[[#This Row],[OriginalBudget17]]-SummaryTable[[#This Row],[OriginalBudget16]]</f>
        <v>1559</v>
      </c>
      <c r="CI99" s="54">
        <f>SummaryTable[[#This Row],[BudgetIncreaseAmount17]]/SummaryTable[[#This Row],[OriginalBudget16]]</f>
        <v>0.10681740322028092</v>
      </c>
      <c r="CJ99" s="61">
        <f>IF(COUNTIFS(allFYsTable[Code], SummaryTable[[#This Row],[Code]], allFYsTable[year2], CG$3)=0, NotFound, SUMIFS(allFYsTable[RevisedBudget], allFYsTable[Code], SummaryTable[[#This Row],[Code]], allFYsTable[year2], CG$3))</f>
        <v>14073</v>
      </c>
      <c r="CK99" s="61">
        <f>IF(COUNTIFS(allFYsTable[Code], SummaryTable[[#This Row],[Code]], allFYsTable[year2], CG$3)=0, NotFound, SUMIFS(allFYsTable[Actual], allFYsTable[Code], SummaryTable[[#This Row],[Code]], allFYsTable[year2], CG$3))</f>
        <v>13807</v>
      </c>
      <c r="CL99" s="61">
        <f>IF(COUNTIFS(allFYsTable[Code], SummaryTable[[#This Row],[Code]], allFYsTable[year2], CG$3)=0, NotFound, SUMIFS(allFYsTable[DiffAmount], allFYsTable[Code], SummaryTable[[#This Row],[Code]], allFYsTable[year2], CG$3))</f>
        <v>-2347</v>
      </c>
      <c r="CM99" s="63">
        <f>IF(SummaryTable[[#This Row],[OriginalBudget17]]=0, IF(SummaryTable[[#This Row],[DiffAmount17]]=0, ZeroBudgetNoSpending, ZeroBudgetWithSpending), SummaryTable[[#This Row],[DiffAmount17]]/SummaryTable[[#This Row],[OriginalBudget17]])</f>
        <v>-0.14528909248483349</v>
      </c>
      <c r="CN99" s="62">
        <f>IF(COUNTIFS(allFYsTable[Code], SummaryTable[[#This Row],[Code]], allFYsTable[year2], CN$3)=0, NotFound, SUMIFS(allFYsTable[OriginalBudget], allFYsTable[Code], SummaryTable[[#This Row],[Code]], allFYsTable[year2], CN$3))</f>
        <v>14595</v>
      </c>
      <c r="CO99" s="61">
        <f>SummaryTable[[#This Row],[OriginalBudget16]]-SummaryTable[[#This Row],[OriginalBudget15]]</f>
        <v>247</v>
      </c>
      <c r="CP99" s="54">
        <f>SummaryTable[[#This Row],[BudgetIncreaseAmount16]]/SummaryTable[[#This Row],[OriginalBudget15]]</f>
        <v>1.7214942849177586E-2</v>
      </c>
      <c r="CQ99" s="61">
        <f>IF(COUNTIFS(allFYsTable[Code], SummaryTable[[#This Row],[Code]], allFYsTable[year2], CN$3)=0, NotFound, SUMIFS(allFYsTable[RevisedBudget], allFYsTable[Code], SummaryTable[[#This Row],[Code]], allFYsTable[year2], CN$3))</f>
        <v>13334</v>
      </c>
      <c r="CR99" s="61">
        <f>IF(COUNTIFS(allFYsTable[Code], SummaryTable[[#This Row],[Code]], allFYsTable[year2], CN$3)=0, NotFound, SUMIFS(allFYsTable[Actual], allFYsTable[Code], SummaryTable[[#This Row],[Code]], allFYsTable[year2], CN$3))</f>
        <v>12591</v>
      </c>
      <c r="CS99" s="61">
        <f>IF(COUNTIFS(allFYsTable[Code], SummaryTable[[#This Row],[Code]], allFYsTable[year2], CN$3)=0, NotFound, SUMIFS(allFYsTable[DiffAmount], allFYsTable[Code], SummaryTable[[#This Row],[Code]], allFYsTable[year2], CN$3))</f>
        <v>-2004</v>
      </c>
      <c r="CT99" s="63">
        <f>IF(SummaryTable[[#This Row],[OriginalBudget16]]=0, IF(SummaryTable[[#This Row],[DiffAmount16]]=0, ZeroBudgetNoSpending, ZeroBudgetWithSpending), SummaryTable[[#This Row],[DiffAmount16]]/SummaryTable[[#This Row],[OriginalBudget16]])</f>
        <v>-0.13730729701952724</v>
      </c>
      <c r="CU99" s="62">
        <f>IF(COUNTIFS(allFYsTable[Code], SummaryTable[[#This Row],[Code]], allFYsTable[year2], CU$3)=0, NotFound, SUMIFS(allFYsTable[OriginalBudget], allFYsTable[Code], SummaryTable[[#This Row],[Code]], allFYsTable[year2], CU$3))</f>
        <v>14348</v>
      </c>
      <c r="CV99" s="61">
        <f>SummaryTable[[#This Row],[OriginalBudget15]]-SummaryTable[[#This Row],[OriginalBudget14]]</f>
        <v>883</v>
      </c>
      <c r="CW99" s="54">
        <f>SummaryTable[[#This Row],[BudgetIncreaseAmount15]]/SummaryTable[[#This Row],[OriginalBudget14]]</f>
        <v>6.55774229483847E-2</v>
      </c>
      <c r="CX99" s="61">
        <f>IF(COUNTIFS(allFYsTable[Code], SummaryTable[[#This Row],[Code]], allFYsTable[year2], CU$3)=0, NotFound, SUMIFS(allFYsTable[RevisedBudget], allFYsTable[Code], SummaryTable[[#This Row],[Code]], allFYsTable[year2], CU$3))</f>
        <v>14348</v>
      </c>
      <c r="CY99" s="61">
        <f>IF(COUNTIFS(allFYsTable[Code], SummaryTable[[#This Row],[Code]], allFYsTable[year2], CU$3)=0, NotFound, SUMIFS(allFYsTable[Actual], allFYsTable[Code], SummaryTable[[#This Row],[Code]], allFYsTable[year2], CU$3))</f>
        <v>14009</v>
      </c>
      <c r="CZ99" s="61">
        <f>IF(COUNTIFS(allFYsTable[Code], SummaryTable[[#This Row],[Code]], allFYsTable[year2], CU$3)=0, NotFound, SUMIFS(allFYsTable[DiffAmount], allFYsTable[Code], SummaryTable[[#This Row],[Code]], allFYsTable[year2], CU$3))</f>
        <v>-339</v>
      </c>
      <c r="DA99" s="63">
        <f>IF(SummaryTable[[#This Row],[OriginalBudget15]]=0, IF(SummaryTable[[#This Row],[DiffAmount15]]=0, ZeroBudgetNoSpending, ZeroBudgetWithSpending), SummaryTable[[#This Row],[DiffAmount15]]/SummaryTable[[#This Row],[OriginalBudget15]])</f>
        <v>-2.3626986339559522E-2</v>
      </c>
      <c r="DB99" s="62">
        <f>IF(COUNTIFS(allFYsTable[Code], SummaryTable[[#This Row],[Code]], allFYsTable[year2], DB$3)=0, NotFound, SUMIFS(allFYsTable[OriginalBudget], allFYsTable[Code], SummaryTable[[#This Row],[Code]], allFYsTable[year2], DB$3))</f>
        <v>13465</v>
      </c>
      <c r="DC99" s="61">
        <f>SummaryTable[[#This Row],[OriginalBudget14]]-SummaryTable[[#This Row],[OriginalBudget13]]</f>
        <v>157</v>
      </c>
      <c r="DD99" s="54">
        <f>SummaryTable[[#This Row],[BudgetIncreaseAmount14]]/SummaryTable[[#This Row],[OriginalBudget13]]</f>
        <v>1.179741508866847E-2</v>
      </c>
      <c r="DE99" s="61">
        <f>IF(COUNTIFS(allFYsTable[Code], SummaryTable[[#This Row],[Code]], allFYsTable[year2], DB$3)=0, NotFound, SUMIFS(allFYsTable[RevisedBudget], allFYsTable[Code], SummaryTable[[#This Row],[Code]], allFYsTable[year2], DB$3))</f>
        <v>13771</v>
      </c>
      <c r="DF99" s="61">
        <f>IF(COUNTIFS(allFYsTable[Code], SummaryTable[[#This Row],[Code]], allFYsTable[year2], DB$3)=0, NotFound, SUMIFS(allFYsTable[Actual], allFYsTable[Code], SummaryTable[[#This Row],[Code]], allFYsTable[year2], DB$3))</f>
        <v>13010</v>
      </c>
      <c r="DG99" s="61">
        <f>IF(COUNTIFS(allFYsTable[Code], SummaryTable[[#This Row],[Code]], allFYsTable[year2], DB$3)=0, NotFound, SUMIFS(allFYsTable[DiffAmount], allFYsTable[Code], SummaryTable[[#This Row],[Code]], allFYsTable[year2], DB$3))</f>
        <v>-455</v>
      </c>
      <c r="DH99" s="63">
        <f>IF(SummaryTable[[#This Row],[OriginalBudget14]]=0, IF(SummaryTable[[#This Row],[DiffAmount14]]=0, ZeroBudgetNoSpending, ZeroBudgetWithSpending), SummaryTable[[#This Row],[DiffAmount14]]/SummaryTable[[#This Row],[OriginalBudget14]])</f>
        <v>-3.3791310805792799E-2</v>
      </c>
      <c r="DI99" s="62">
        <f>IF(COUNTIFS(allFYsTable[Code], SummaryTable[[#This Row],[Code]], allFYsTable[year2], DI$3)=0, NotFound, SUMIFS(allFYsTable[OriginalBudget], allFYsTable[Code], SummaryTable[[#This Row],[Code]], allFYsTable[year2], DI$3))</f>
        <v>13308</v>
      </c>
      <c r="DJ99" s="61">
        <f>SummaryTable[[#This Row],[OriginalBudget13]]-SummaryTable[[#This Row],[OriginalBudget12]]</f>
        <v>260</v>
      </c>
      <c r="DK99" s="54">
        <f>SummaryTable[[#This Row],[BudgetIncreaseAmount13]]/SummaryTable[[#This Row],[OriginalBudget12]]</f>
        <v>1.9926425505824647E-2</v>
      </c>
      <c r="DL99" s="61">
        <f>IF(COUNTIFS(allFYsTable[Code], SummaryTable[[#This Row],[Code]], allFYsTable[year2], DI$3)=0, NotFound, SUMIFS(allFYsTable[RevisedBudget], allFYsTable[Code], SummaryTable[[#This Row],[Code]], allFYsTable[year2], DI$3))</f>
        <v>13308</v>
      </c>
      <c r="DM99" s="61">
        <f>IF(COUNTIFS(allFYsTable[Code], SummaryTable[[#This Row],[Code]], allFYsTable[year2], DI$3)=0, NotFound, SUMIFS(allFYsTable[Actual], allFYsTable[Code], SummaryTable[[#This Row],[Code]], allFYsTable[year2], DI$3))</f>
        <v>11894</v>
      </c>
      <c r="DN99" s="61">
        <f>IF(COUNTIFS(allFYsTable[Code], SummaryTable[[#This Row],[Code]], allFYsTable[year2], DI$3)=0, NotFound, SUMIFS(allFYsTable[DiffAmount], allFYsTable[Code], SummaryTable[[#This Row],[Code]], allFYsTable[year2], DI$3))</f>
        <v>-1414</v>
      </c>
      <c r="DO99" s="63">
        <f>IF(SummaryTable[[#This Row],[OriginalBudget13]]=0, IF(SummaryTable[[#This Row],[DiffAmount13]]=0, ZeroBudgetNoSpending, ZeroBudgetWithSpending), SummaryTable[[#This Row],[DiffAmount13]]/SummaryTable[[#This Row],[OriginalBudget13]])</f>
        <v>-0.10625187856928163</v>
      </c>
      <c r="DP99" s="62">
        <f>IF(COUNTIFS(allFYsTable[Code], SummaryTable[[#This Row],[Code]], allFYsTable[year2], DP$3)=0, NotFound, SUMIFS(allFYsTable[OriginalBudget], allFYsTable[Code], SummaryTable[[#This Row],[Code]], allFYsTable[year2], DP$3))</f>
        <v>13048</v>
      </c>
      <c r="DQ99" s="61">
        <f>SummaryTable[[#This Row],[OriginalBudget12]]-SummaryTable[[#This Row],[OriginalBudget11]]</f>
        <v>-281</v>
      </c>
      <c r="DR99" s="54">
        <f>SummaryTable[[#This Row],[BudgetIncreaseAmount12]]/SummaryTable[[#This Row],[OriginalBudget11]]</f>
        <v>-2.1081851601770576E-2</v>
      </c>
      <c r="DS99" s="61">
        <f>IF(COUNTIFS(allFYsTable[Code], SummaryTable[[#This Row],[Code]], allFYsTable[year2], DP$3)=0, NotFound, SUMIFS(allFYsTable[RevisedBudget], allFYsTable[Code], SummaryTable[[#This Row],[Code]], allFYsTable[year2], DP$3))</f>
        <v>13048</v>
      </c>
      <c r="DT99" s="61">
        <f>IF(COUNTIFS(allFYsTable[Code], SummaryTable[[#This Row],[Code]], allFYsTable[year2], DP$3)=0, NotFound, SUMIFS(allFYsTable[Actual], allFYsTable[Code], SummaryTable[[#This Row],[Code]], allFYsTable[year2], DP$3))</f>
        <v>11932</v>
      </c>
      <c r="DU99" s="61">
        <f>IF(COUNTIFS(allFYsTable[Code], SummaryTable[[#This Row],[Code]], allFYsTable[year2], DP$3)=0, NotFound, SUMIFS(allFYsTable[DiffAmount], allFYsTable[Code], SummaryTable[[#This Row],[Code]], allFYsTable[year2], DP$3))</f>
        <v>-1116</v>
      </c>
      <c r="DV99" s="63">
        <f>IF(SummaryTable[[#This Row],[OriginalBudget12]]=0, IF(SummaryTable[[#This Row],[DiffAmount12]]=0, ZeroBudgetNoSpending, ZeroBudgetWithSpending), SummaryTable[[#This Row],[DiffAmount12]]/SummaryTable[[#This Row],[OriginalBudget12]])</f>
        <v>-8.5530349478847328E-2</v>
      </c>
      <c r="DW99" s="62">
        <f>IF(COUNTIFS(allFYsTable[Code], SummaryTable[[#This Row],[Code]], allFYsTable[year2], DW$3)=0, NotFound, SUMIFS(allFYsTable[OriginalBudget], allFYsTable[Code], SummaryTable[[#This Row],[Code]], allFYsTable[year2], DW$3))</f>
        <v>13329</v>
      </c>
      <c r="DX99" s="61">
        <f>SummaryTable[[#This Row],[OriginalBudget11]]-SummaryTable[[#This Row],[OriginalBudget10]]</f>
        <v>-2128</v>
      </c>
      <c r="DY99" s="54">
        <f>SummaryTable[[#This Row],[BudgetIncreaseAmount11]]/SummaryTable[[#This Row],[OriginalBudget10]]</f>
        <v>-0.13767225205408554</v>
      </c>
      <c r="DZ99" s="61">
        <f>IF(COUNTIFS(allFYsTable[Code], SummaryTable[[#This Row],[Code]], allFYsTable[year2], DW$3)=0, NotFound, SUMIFS(allFYsTable[RevisedBudget], allFYsTable[Code], SummaryTable[[#This Row],[Code]], allFYsTable[year2], DW$3))</f>
        <v>13329</v>
      </c>
      <c r="EA99" s="61">
        <f>IF(COUNTIFS(allFYsTable[Code], SummaryTable[[#This Row],[Code]], allFYsTable[year2], DW$3)=0, NotFound, SUMIFS(allFYsTable[Actual], allFYsTable[Code], SummaryTable[[#This Row],[Code]], allFYsTable[year2], DW$3))</f>
        <v>12401</v>
      </c>
      <c r="EB99" s="61">
        <f>IF(COUNTIFS(allFYsTable[Code], SummaryTable[[#This Row],[Code]], allFYsTable[year2], DW$3)=0, NotFound, SUMIFS(allFYsTable[DiffAmount], allFYsTable[Code], SummaryTable[[#This Row],[Code]], allFYsTable[year2], DW$3))</f>
        <v>-928</v>
      </c>
      <c r="EC99" s="63">
        <f>IF(SummaryTable[[#This Row],[OriginalBudget11]]=0, IF(SummaryTable[[#This Row],[DiffAmount11]]=0, ZeroBudgetNoSpending, ZeroBudgetWithSpending), SummaryTable[[#This Row],[DiffAmount11]]/SummaryTable[[#This Row],[OriginalBudget11]])</f>
        <v>-6.9622627353890021E-2</v>
      </c>
      <c r="ED99" s="62">
        <f>IF(COUNTIFS(allFYsTable[Code], SummaryTable[[#This Row],[Code]], allFYsTable[year2], ED$3)=0, NotFound, SUMIFS(allFYsTable[OriginalBudget], allFYsTable[Code], SummaryTable[[#This Row],[Code]], allFYsTable[year2], ED$3))</f>
        <v>15457</v>
      </c>
      <c r="EE99" s="61">
        <f>SummaryTable[[#This Row],[OriginalBudget10]]-SummaryTable[[#This Row],[OriginalBudget09]]</f>
        <v>599</v>
      </c>
      <c r="EF99" s="54">
        <f>SummaryTable[[#This Row],[BudgetIncreaseAmount10]]/SummaryTable[[#This Row],[OriginalBudget09]]</f>
        <v>4.0314981827971462E-2</v>
      </c>
      <c r="EG99" s="61">
        <f>IF(COUNTIFS(allFYsTable[Code], SummaryTable[[#This Row],[Code]], allFYsTable[year2], ED$3)=0, NotFound, SUMIFS(allFYsTable[RevisedBudget], allFYsTable[Code], SummaryTable[[#This Row],[Code]], allFYsTable[year2], ED$3))</f>
        <v>15527</v>
      </c>
      <c r="EH99" s="61">
        <f>IF(COUNTIFS(allFYsTable[Code], SummaryTable[[#This Row],[Code]], allFYsTable[year2], ED$3)=0, NotFound, SUMIFS(allFYsTable[Actual], allFYsTable[Code], SummaryTable[[#This Row],[Code]], allFYsTable[year2], ED$3))</f>
        <v>14880</v>
      </c>
      <c r="EI99" s="61">
        <f>IF(COUNTIFS(allFYsTable[Code], SummaryTable[[#This Row],[Code]], allFYsTable[year2], ED$3)=0, NotFound, SUMIFS(allFYsTable[DiffAmount], allFYsTable[Code], SummaryTable[[#This Row],[Code]], allFYsTable[year2], ED$3))</f>
        <v>-577</v>
      </c>
      <c r="EJ99" s="63">
        <f>IF(SummaryTable[[#This Row],[OriginalBudget10]]=0, IF(SummaryTable[[#This Row],[DiffAmount10]]=0, ZeroBudgetNoSpending, ZeroBudgetWithSpending), SummaryTable[[#This Row],[DiffAmount10]]/SummaryTable[[#This Row],[OriginalBudget10]])</f>
        <v>-3.7329365336093677E-2</v>
      </c>
      <c r="EK99" s="62">
        <f>IF(COUNTIFS(allFYsTable[Code], SummaryTable[[#This Row],[Code]], allFYsTable[year2], EK$3)=0, NotFound, SUMIFS(allFYsTable[OriginalBudget], allFYsTable[Code], SummaryTable[[#This Row],[Code]], allFYsTable[year2], EK$3))</f>
        <v>14858</v>
      </c>
      <c r="EL99" s="61">
        <f>SummaryTable[[#This Row],[OriginalBudget09]]-SummaryTable[[#This Row],[OriginalBudget08]]</f>
        <v>659</v>
      </c>
      <c r="EM99" s="54">
        <f>SummaryTable[[#This Row],[BudgetIncreaseAmount09]]/SummaryTable[[#This Row],[OriginalBudget08]]</f>
        <v>4.641171913515036E-2</v>
      </c>
      <c r="EN99" s="61">
        <f>IF(COUNTIFS(allFYsTable[Code], SummaryTable[[#This Row],[Code]], allFYsTable[year2], EK$3)=0, NotFound, SUMIFS(allFYsTable[RevisedBudget], allFYsTable[Code], SummaryTable[[#This Row],[Code]], allFYsTable[year2], EK$3))</f>
        <v>15793</v>
      </c>
      <c r="EO99" s="61">
        <f>IF(COUNTIFS(allFYsTable[Code], SummaryTable[[#This Row],[Code]], allFYsTable[year2], EK$3)=0, NotFound, SUMIFS(allFYsTable[Actual], allFYsTable[Code], SummaryTable[[#This Row],[Code]], allFYsTable[year2], EK$3))</f>
        <v>15324</v>
      </c>
      <c r="EP99" s="61">
        <f>IF(COUNTIFS(allFYsTable[Code], SummaryTable[[#This Row],[Code]], allFYsTable[year2], EK$3)=0, NotFound, SUMIFS(allFYsTable[DiffAmount], allFYsTable[Code], SummaryTable[[#This Row],[Code]], allFYsTable[year2], EK$3))</f>
        <v>466</v>
      </c>
      <c r="EQ99" s="63">
        <f>IF(SummaryTable[[#This Row],[OriginalBudget09]]=0, IF(SummaryTable[[#This Row],[DiffAmount09]]=0, ZeroBudgetNoSpending, ZeroBudgetWithSpending), SummaryTable[[#This Row],[DiffAmount09]]/SummaryTable[[#This Row],[OriginalBudget09]])</f>
        <v>3.1363575178355092E-2</v>
      </c>
      <c r="ER99" s="62">
        <f>IF(COUNTIFS(allFYsTable[Code], SummaryTable[[#This Row],[Code]], allFYsTable[year2], ER$3)=0, NotFound, SUMIFS(allFYsTable[OriginalBudget], allFYsTable[Code], SummaryTable[[#This Row],[Code]], allFYsTable[year2], ER$3))</f>
        <v>14199</v>
      </c>
      <c r="ES99" s="61">
        <f>SummaryTable[[#This Row],[OriginalBudget08]]-SummaryTable[[#This Row],[OriginalBudget07]]</f>
        <v>1827</v>
      </c>
      <c r="ET99" s="54">
        <f>SummaryTable[[#This Row],[BudgetIncreaseAmount08]]/SummaryTable[[#This Row],[OriginalBudget07]]</f>
        <v>0.14767216294859359</v>
      </c>
      <c r="EU99" s="61">
        <f>IF(COUNTIFS(allFYsTable[Code], SummaryTable[[#This Row],[Code]], allFYsTable[year2], ER$3)=0, NotFound, SUMIFS(allFYsTable[RevisedBudget], allFYsTable[Code], SummaryTable[[#This Row],[Code]], allFYsTable[year2], ER$3))</f>
        <v>15214</v>
      </c>
      <c r="EV99" s="61">
        <f>IF(COUNTIFS(allFYsTable[Code], SummaryTable[[#This Row],[Code]], allFYsTable[year2], ER$3)=0, NotFound, SUMIFS(allFYsTable[Actual], allFYsTable[Code], SummaryTable[[#This Row],[Code]], allFYsTable[year2], ER$3))</f>
        <v>14886</v>
      </c>
      <c r="EW99" s="61">
        <f>IF(COUNTIFS(allFYsTable[Code], SummaryTable[[#This Row],[Code]], allFYsTable[year2], ER$3)=0, NotFound, SUMIFS(allFYsTable[DiffAmount], allFYsTable[Code], SummaryTable[[#This Row],[Code]], allFYsTable[year2], ER$3))</f>
        <v>687</v>
      </c>
      <c r="EX99" s="63">
        <f>IF(SummaryTable[[#This Row],[OriginalBudget08]]=0, IF(SummaryTable[[#This Row],[DiffAmount08]]=0, ZeroBudgetNoSpending, ZeroBudgetWithSpending), SummaryTable[[#This Row],[DiffAmount08]]/SummaryTable[[#This Row],[OriginalBudget08]])</f>
        <v>4.8383688992182546E-2</v>
      </c>
      <c r="EY99" s="62">
        <f>IF(COUNTIFS(allFYsTable[Code], SummaryTable[[#This Row],[Code]], allFYsTable[year2], EY$3)=0, NotFound, SUMIFS(allFYsTable[OriginalBudget], allFYsTable[Code], SummaryTable[[#This Row],[Code]], allFYsTable[year2], EY$3))</f>
        <v>12372</v>
      </c>
      <c r="EZ99" s="61">
        <f>SummaryTable[[#This Row],[OriginalBudget07]]-SummaryTable[[#This Row],[OriginalBudget06]]</f>
        <v>726</v>
      </c>
      <c r="FA99" s="54">
        <f>SummaryTable[[#This Row],[BudgetIncreaseAmount07]]/SummaryTable[[#This Row],[OriginalBudget06]]</f>
        <v>6.2339000515198355E-2</v>
      </c>
      <c r="FB99" s="61">
        <f>IF(COUNTIFS(allFYsTable[Code], SummaryTable[[#This Row],[Code]], allFYsTable[year2], EY$3)=0, NotFound, SUMIFS(allFYsTable[RevisedBudget], allFYsTable[Code], SummaryTable[[#This Row],[Code]], allFYsTable[year2], EY$3))</f>
        <v>12779</v>
      </c>
      <c r="FC99" s="61">
        <f>IF(COUNTIFS(allFYsTable[Code], SummaryTable[[#This Row],[Code]], allFYsTable[year2], EY$3)=0, NotFound, SUMIFS(allFYsTable[Actual], allFYsTable[Code], SummaryTable[[#This Row],[Code]], allFYsTable[year2], EY$3))</f>
        <v>12365</v>
      </c>
      <c r="FD99" s="61">
        <f>IF(COUNTIFS(allFYsTable[Code], SummaryTable[[#This Row],[Code]], allFYsTable[year2], EY$3)=0, NotFound, SUMIFS(allFYsTable[DiffAmount], allFYsTable[Code], SummaryTable[[#This Row],[Code]], allFYsTable[year2], EY$3))</f>
        <v>-7</v>
      </c>
      <c r="FE99" s="63">
        <f>IF(SummaryTable[[#This Row],[OriginalBudget07]]=0, IF(SummaryTable[[#This Row],[DiffAmount07]]=0, ZeroBudgetNoSpending, ZeroBudgetWithSpending), SummaryTable[[#This Row],[DiffAmount07]]/SummaryTable[[#This Row],[OriginalBudget07]])</f>
        <v>-5.6579372777238932E-4</v>
      </c>
      <c r="FF99" s="62">
        <f>IF(COUNTIFS(allFYsTable[Code], SummaryTable[[#This Row],[Code]], allFYsTable[year2], FF$3)=0, NotFound, SUMIFS(allFYsTable[OriginalBudget], allFYsTable[Code], SummaryTable[[#This Row],[Code]], allFYsTable[year2], FF$3))</f>
        <v>11646</v>
      </c>
      <c r="FI99" s="61">
        <f>IF(COUNTIFS(allFYsTable[Code], SummaryTable[[#This Row],[Code]], allFYsTable[year2], FF$3)=0, NotFound, SUMIFS(allFYsTable[RevisedBudget], allFYsTable[Code], SummaryTable[[#This Row],[Code]], allFYsTable[year2], FF$3))</f>
        <v>11966</v>
      </c>
      <c r="FJ99" s="61">
        <f>IF(COUNTIFS(allFYsTable[Code], SummaryTable[[#This Row],[Code]], allFYsTable[year2], FF$3)=0, NotFound, SUMIFS(allFYsTable[Actual], allFYsTable[Code], SummaryTable[[#This Row],[Code]], allFYsTable[year2], FF$3))</f>
        <v>11279</v>
      </c>
      <c r="FK99" s="61">
        <f>IF(COUNTIFS(allFYsTable[Code], SummaryTable[[#This Row],[Code]], allFYsTable[year2], FF$3)=0, NotFound, SUMIFS(allFYsTable[DiffAmount], allFYsTable[Code], SummaryTable[[#This Row],[Code]], allFYsTable[year2], FF$3))</f>
        <v>-367</v>
      </c>
      <c r="FL99" s="63">
        <f>IF(SummaryTable[[#This Row],[OriginalBudget06]]=0, IF(SummaryTable[[#This Row],[DiffAmount06]]=0, ZeroBudgetNoSpending, ZeroBudgetWithSpending), SummaryTable[[#This Row],[DiffAmount06]]/SummaryTable[[#This Row],[OriginalBudget06]])</f>
        <v>-3.1512965825176029E-2</v>
      </c>
    </row>
    <row r="100" spans="1:168" x14ac:dyDescent="0.45">
      <c r="A100" t="s">
        <v>794</v>
      </c>
      <c r="B100">
        <f>_xlfn.MAXIFS(allFYsTable[year2], allFYsTable[Code], SummaryTable[[#This Row],[Code]])</f>
        <v>2025</v>
      </c>
      <c r="C100" t="str">
        <f>_xlfn.XLOOKUP(SummaryTable[[#This Row],[Code]], NameCodingTable[Code], NameCodingTable[Most Recent Category per allFYs])</f>
        <v>Human support services</v>
      </c>
      <c r="D100" t="str">
        <f>_xlfn.XLOOKUP(SummaryTable[[#This Row],[Code]], NameCodingTable[Code], NameCodingTable[Unit Display Name])</f>
        <v>Office of the Ombudsperson for Children</v>
      </c>
      <c r="E100" t="str">
        <f>_xlfn.XLOOKUP(SummaryTable[[#This Row],[Code]], NameCodingTable[Code], NameCodingTable[Type])</f>
        <v>agency</v>
      </c>
      <c r="F10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4</v>
      </c>
      <c r="G10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00" s="54">
        <f>SummaryTable[[#This Row],['# Over]]/SummaryTable[[#This Row],[Count]]</f>
        <v>0</v>
      </c>
      <c r="I10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4</v>
      </c>
      <c r="J100" s="54">
        <f>SummaryTable[[#This Row],['# Under]]/SummaryTable[[#This Row],[Count]]</f>
        <v>1</v>
      </c>
      <c r="K10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00" s="54">
        <f>SummaryTable[[#This Row],['# Equal]]/SummaryTable[[#This Row],[Count]]</f>
        <v>0</v>
      </c>
      <c r="M100" s="61">
        <f>SUMIFS(allFYsTable[OriginalBudget],allFYsTable[Code],SummaryTable[[#This Row],[Code]])/SummaryTable[[#This Row],[Count]]</f>
        <v>1069.75</v>
      </c>
      <c r="N100" s="61">
        <f>SUMIFS(allFYsTable[Actual],allFYsTable[Code],SummaryTable[[#This Row],[Code]])/SummaryTable[[#This Row],[Count]]</f>
        <v>458.25</v>
      </c>
      <c r="O100" s="61">
        <f>SummaryTable[[#This Row],[AvgActAmt]]-SummaryTable[[#This Row],[AvgBudAmt]]</f>
        <v>-611.5</v>
      </c>
      <c r="P100" s="54">
        <f>IF(SummaryTable[[#This Row],[AvgBudAmt]]=0, IF(SummaryTable[[#This Row],[AvgDiff'#]]=0, 0, NamedFields!$C$3), SummaryTable[[#This Row],[AvgDiff'#]]/SummaryTable[[#This Row],[AvgBudAmt]])</f>
        <v>-0.57162888525356392</v>
      </c>
      <c r="Q100" s="61">
        <f>IFERROR(SUMIFS(allFYsTable[OriginalBudget],allFYsTable[Code],SummaryTable[[#This Row],[Code]],allFYsTable[DiffAmount], "&gt;0")/SummaryTable[[#This Row],['# Over]], 0)</f>
        <v>0</v>
      </c>
      <c r="R100" s="61">
        <f>IFERROR(SUMIFS(allFYsTable[Actual],allFYsTable[Code],SummaryTable[[#This Row],[Code]],allFYsTable[DiffAmount], "&gt;0")/SummaryTable[[#This Row],['# Over]], 0)</f>
        <v>0</v>
      </c>
      <c r="S100" s="61">
        <f>SummaryTable[[#This Row],[OverAvgAct]]-SummaryTable[[#This Row],[OverAvgBud]]</f>
        <v>0</v>
      </c>
      <c r="T100" s="54">
        <f>IF(SummaryTable[[#This Row],[OverAvgBud]]=0, IF(SummaryTable[[#This Row],[OverAvgDiff'#]]=0, ZeroBudgetNoSpending, ZeroBudgetWithSpending), SummaryTable[[#This Row],[OverAvgDiff'#]]/SummaryTable[[#This Row],[OverAvgBud]])</f>
        <v>0</v>
      </c>
      <c r="U100" s="61">
        <f>IFERROR(SUMIFS(allFYsTable[OriginalBudget],allFYsTable[Code],SummaryTable[[#This Row],[Code]],allFYsTable[DiffAmount], "&lt;0")/SummaryTable[[#This Row],['# Under]], 0)</f>
        <v>1069.75</v>
      </c>
      <c r="V100" s="61">
        <f>IFERROR( SUMIFS(allFYsTable[Actual],allFYsTable[Code],SummaryTable[[#This Row],[Code]],allFYsTable[DiffAmount], "&lt;0")/SummaryTable[[#This Row],['# Under]], 0)</f>
        <v>458.25</v>
      </c>
      <c r="W100" s="61">
        <f>SummaryTable[[#This Row],[UnderAvgAct]]-SummaryTable[[#This Row],[UnderAvgBud]]</f>
        <v>-611.5</v>
      </c>
      <c r="X100" s="54">
        <f>IF(SummaryTable[[#This Row],[UnderAvgBud]]=0, IF(SummaryTable[[#This Row],[UnderAvgDiff'#]]=0, ZeroBudgetNoSpending, NamedFields!$C$3), SummaryTable[[#This Row],[UnderAvgDiff'#]]/SummaryTable[[#This Row],[UnderAvgBud]])</f>
        <v>-0.57162888525356392</v>
      </c>
      <c r="Y10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0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0" s="54">
        <f>IF(SummaryTable[[#This Row],[IncreaseYears]]=0, ZeroBudgetNoSpending, SummaryTable[[#This Row],[OSinIncreaseYear'#]]/SummaryTable[[#This Row],[IncreaseYears]])</f>
        <v>0</v>
      </c>
      <c r="AB100" s="58" t="str">
        <f>SummaryTable[[#This Row],[Code]]</f>
        <v>RO0</v>
      </c>
      <c r="AC100" s="62">
        <f>IF(COUNTIFS(allFYsTable[Code], SummaryTable[[#This Row],[Code]], allFYsTable[year2], AC$3)=0, NotFound, SUMIFS(allFYsTable[OriginalBudget], allFYsTable[Code], SummaryTable[[#This Row],[Code]], allFYsTable[year2], AC$3))</f>
        <v>1247</v>
      </c>
      <c r="AD100" s="61">
        <f>SummaryTable[[#This Row],[OriginalBudget25]]-SummaryTable[[#This Row],[OriginalBudget24]]</f>
        <v>85</v>
      </c>
      <c r="AE100" s="54">
        <f>SummaryTable[[#This Row],[BudgetIncreaseAmount25]]/SummaryTable[[#This Row],[OriginalBudget24]]</f>
        <v>7.3149741824440617E-2</v>
      </c>
      <c r="AF100" s="61">
        <f>IF(COUNTIFS(allFYsTable[Code], SummaryTable[[#This Row],[Code]], allFYsTable[year2], AC$3)=0, NotFound, SUMIFS(allFYsTable[RevisedBudget], allFYsTable[Code], SummaryTable[[#This Row],[Code]], allFYsTable[year2], AC$3))</f>
        <v>1247</v>
      </c>
      <c r="AG100" s="61">
        <f>IF(COUNTIFS(allFYsTable[Code], SummaryTable[[#This Row],[Code]], allFYsTable[year2], AC$3)=0, NotFound, SUMIFS(allFYsTable[Actual], allFYsTable[Code], SummaryTable[[#This Row],[Code]], allFYsTable[year2], AC$3))</f>
        <v>849</v>
      </c>
      <c r="AH100" s="61">
        <f>IF(COUNTIFS(allFYsTable[Code], SummaryTable[[#This Row],[Code]], allFYsTable[year2], AC$3)=0, NotFound, SUMIFS(allFYsTable[DiffAmount], allFYsTable[Code], SummaryTable[[#This Row],[Code]], allFYsTable[year2], AC$3))</f>
        <v>-398</v>
      </c>
      <c r="AI100" s="63">
        <f>IF(SummaryTable[[#This Row],[OriginalBudget25]]=0, IF(SummaryTable[[#This Row],[DiffAmount25]]=0, ZeroBudgetNoSpending, ZeroBudgetWithSpending), SummaryTable[[#This Row],[DiffAmount25]]/SummaryTable[[#This Row],[OriginalBudget25]])</f>
        <v>-0.31916599839615079</v>
      </c>
      <c r="AJ100" s="62">
        <f>IF(COUNTIFS(allFYsTable[Code], SummaryTable[[#This Row],[Code]], allFYsTable[year2], AJ$3)=0, NotFound, SUMIFS(allFYsTable[OriginalBudget], allFYsTable[Code], SummaryTable[[#This Row],[Code]], allFYsTable[year2], AJ$3))</f>
        <v>1162</v>
      </c>
      <c r="AK100" s="61">
        <f>SummaryTable[[#This Row],[OriginalBudget24]]-SummaryTable[[#This Row],[OriginalBudget23]]</f>
        <v>227</v>
      </c>
      <c r="AL100" s="54">
        <f>SummaryTable[[#This Row],[BudgetIncreaseAmount24]]/SummaryTable[[#This Row],[OriginalBudget23]]</f>
        <v>0.24278074866310159</v>
      </c>
      <c r="AM100" s="61">
        <f>IF(COUNTIFS(allFYsTable[Code], SummaryTable[[#This Row],[Code]], allFYsTable[year2], AK$3)=0, NotFound, SUMIFS(allFYsTable[RevisedBudget], allFYsTable[Code], SummaryTable[[#This Row],[Code]], allFYsTable[year2], AJ$3))</f>
        <v>717</v>
      </c>
      <c r="AN100" s="61">
        <f>IF(COUNTIFS(allFYsTable[Code], SummaryTable[[#This Row],[Code]], allFYsTable[year2], AJ$3)=0, NotFound, SUMIFS(allFYsTable[Actual], allFYsTable[Code], SummaryTable[[#This Row],[Code]], allFYsTable[year2], AJ$3))</f>
        <v>579</v>
      </c>
      <c r="AO100" s="61">
        <f>IF(COUNTIFS(allFYsTable[Code], SummaryTable[[#This Row],[Code]], allFYsTable[year2], AJ$3)=0, NotFound, SUMIFS(allFYsTable[DiffAmount], allFYsTable[Code], SummaryTable[[#This Row],[Code]], allFYsTable[year2], AJ$3))</f>
        <v>-583</v>
      </c>
      <c r="AP100" s="63">
        <f>IF(SummaryTable[[#This Row],[OriginalBudget24]]=0, IF(SummaryTable[[#This Row],[DiffAmount24]]=0, ZeroBudgetNoSpending, ZeroBudgetWithSpending), SummaryTable[[#This Row],[DiffAmount24]]/SummaryTable[[#This Row],[OriginalBudget24]])</f>
        <v>-0.50172117039586916</v>
      </c>
      <c r="AQ100" s="62">
        <f>IF(COUNTIFS(allFYsTable[Code], SummaryTable[[#This Row],[Code]], allFYsTable[year2], AQ$3)=0, NotFound, SUMIFS(allFYsTable[OriginalBudget], allFYsTable[Code], SummaryTable[[#This Row],[Code]], allFYsTable[year2], AQ$3))</f>
        <v>935</v>
      </c>
      <c r="AR100" s="61">
        <f>SummaryTable[[#This Row],[OriginalBudget23]]-SummaryTable[[#This Row],[OriginalBudget22]]</f>
        <v>0</v>
      </c>
      <c r="AS100" s="54">
        <f>SummaryTable[[#This Row],[BudgetIncreaseAmount23]]/SummaryTable[[#This Row],[OriginalBudget22]]</f>
        <v>0</v>
      </c>
      <c r="AT100" s="61">
        <f>IF(COUNTIFS(allFYsTable[Code], SummaryTable[[#This Row],[Code]], allFYsTable[year2], AQ$3)=0, NotFound, SUMIFS(allFYsTable[RevisedBudget], allFYsTable[Code], SummaryTable[[#This Row],[Code]], allFYsTable[year2], AQ$3))</f>
        <v>478</v>
      </c>
      <c r="AU100" s="61">
        <f>IF(COUNTIFS(allFYsTable[Code], SummaryTable[[#This Row],[Code]], allFYsTable[year2], AQ$3)=0, NotFound, SUMIFS(allFYsTable[Actual], allFYsTable[Code], SummaryTable[[#This Row],[Code]], allFYsTable[year2], AQ$3))</f>
        <v>356</v>
      </c>
      <c r="AV100" s="61">
        <f>IF(COUNTIFS(allFYsTable[Code], SummaryTable[[#This Row],[Code]], allFYsTable[year2], AQ$3)=0, NotFound, SUMIFS(allFYsTable[DiffAmount], allFYsTable[Code], SummaryTable[[#This Row],[Code]], allFYsTable[year2], AQ$3))</f>
        <v>-579</v>
      </c>
      <c r="AW100" s="63">
        <f>IF(SummaryTable[[#This Row],[OriginalBudget23]]=0, IF(SummaryTable[[#This Row],[DiffAmount23]]=0, ZeroBudgetNoSpending, ZeroBudgetWithSpending), SummaryTable[[#This Row],[DiffAmount23]]/SummaryTable[[#This Row],[OriginalBudget23]])</f>
        <v>-0.61925133689839573</v>
      </c>
      <c r="AX100" s="62">
        <f>IF(COUNTIFS(allFYsTable[Code], SummaryTable[[#This Row],[Code]], allFYsTable[year2], AX$3)=0, NotFound, SUMIFS(allFYsTable[OriginalBudget], allFYsTable[Code], SummaryTable[[#This Row],[Code]], allFYsTable[year2], AX$3))</f>
        <v>935</v>
      </c>
      <c r="AY100" s="61" t="e">
        <f>SummaryTable[[#This Row],[OriginalBudget22]]-SummaryTable[[#This Row],[OriginalBudget21]]</f>
        <v>#N/A</v>
      </c>
      <c r="AZ100" s="54" t="e">
        <f>SummaryTable[[#This Row],[BudgetIncreaseAmount22]]/SummaryTable[[#This Row],[OriginalBudget21]]</f>
        <v>#N/A</v>
      </c>
      <c r="BA100" s="61">
        <f>IF(COUNTIFS(allFYsTable[Code], SummaryTable[[#This Row],[Code]], allFYsTable[year2], AX$3)=0, NotFound, SUMIFS(allFYsTable[RevisedBudget], allFYsTable[Code], SummaryTable[[#This Row],[Code]], allFYsTable[year2], AX$3))</f>
        <v>364</v>
      </c>
      <c r="BB100" s="61">
        <f>IF(COUNTIFS(allFYsTable[Code], SummaryTable[[#This Row],[Code]], allFYsTable[year2], AX$3)=0, NotFound, SUMIFS(allFYsTable[Actual], allFYsTable[Code], SummaryTable[[#This Row],[Code]], allFYsTable[year2], AX$3))</f>
        <v>49</v>
      </c>
      <c r="BC100" s="61">
        <f>IF(COUNTIFS(allFYsTable[Code], SummaryTable[[#This Row],[Code]], allFYsTable[year2], AX$3)=0, NotFound, SUMIFS(allFYsTable[DiffAmount], allFYsTable[Code], SummaryTable[[#This Row],[Code]], allFYsTable[year2], AX$3))</f>
        <v>-886</v>
      </c>
      <c r="BD100" s="63">
        <f>IF(SummaryTable[[#This Row],[OriginalBudget22]]=0, IF(SummaryTable[[#This Row],[DiffAmount22]]=0, ZeroBudgetNoSpending, ZeroBudgetWithSpending), SummaryTable[[#This Row],[DiffAmount22]]/SummaryTable[[#This Row],[OriginalBudget22]])</f>
        <v>-0.94759358288770057</v>
      </c>
      <c r="BE100" s="62" t="e">
        <f>IF(COUNTIFS(allFYsTable[Code], SummaryTable[[#This Row],[Code]], allFYsTable[year2], BE$3)=0, NotFound, SUMIFS(allFYsTable[OriginalBudget], allFYsTable[Code], SummaryTable[[#This Row],[Code]], allFYsTable[year2], BE$3))</f>
        <v>#N/A</v>
      </c>
      <c r="BF100" s="61" t="e">
        <f>SummaryTable[[#This Row],[OriginalBudget21]]-SummaryTable[[#This Row],[OriginalBudget20]]</f>
        <v>#N/A</v>
      </c>
      <c r="BG100" s="54" t="e">
        <f>SummaryTable[[#This Row],[BudgetIncreaseAmount21]]/SummaryTable[[#This Row],[OriginalBudget20]]</f>
        <v>#N/A</v>
      </c>
      <c r="BH100" s="61" t="e">
        <f>IF(COUNTIFS(allFYsTable[Code], SummaryTable[[#This Row],[Code]], allFYsTable[year2], BE$3)=0, NotFound, SUMIFS(allFYsTable[RevisedBudget], allFYsTable[Code], SummaryTable[[#This Row],[Code]], allFYsTable[year2], BE$3))</f>
        <v>#N/A</v>
      </c>
      <c r="BI100" s="61" t="e">
        <f>IF(COUNTIFS(allFYsTable[Code], SummaryTable[[#This Row],[Code]], allFYsTable[year2], BE$3)=0, NotFound, SUMIFS(allFYsTable[Actual], allFYsTable[Code], SummaryTable[[#This Row],[Code]], allFYsTable[year2], BE$3))</f>
        <v>#N/A</v>
      </c>
      <c r="BJ100" s="61" t="e">
        <f>IF(COUNTIFS(allFYsTable[Code], SummaryTable[[#This Row],[Code]], allFYsTable[year2], BE$3)=0, NotFound, SUMIFS(allFYsTable[DiffAmount], allFYsTable[Code], SummaryTable[[#This Row],[Code]], allFYsTable[year2], BE$3))</f>
        <v>#N/A</v>
      </c>
      <c r="BK100" s="63" t="e">
        <f>IF(SummaryTable[[#This Row],[OriginalBudget21]]=0, IF(SummaryTable[[#This Row],[DiffAmount21]]=0, ZeroBudgetNoSpending, ZeroBudgetWithSpending), SummaryTable[[#This Row],[DiffAmount21]]/SummaryTable[[#This Row],[OriginalBudget21]])</f>
        <v>#N/A</v>
      </c>
      <c r="BL100" s="62" t="e">
        <f>IF(COUNTIFS(allFYsTable[Code], SummaryTable[[#This Row],[Code]], allFYsTable[year2], BL$3)=0, NotFound, SUMIFS(allFYsTable[OriginalBudget], allFYsTable[Code], SummaryTable[[#This Row],[Code]], allFYsTable[year2], BL$3))</f>
        <v>#N/A</v>
      </c>
      <c r="BM100" s="61" t="e">
        <f>SummaryTable[[#This Row],[OriginalBudget20]]-SummaryTable[[#This Row],[OriginalBudget19]]</f>
        <v>#N/A</v>
      </c>
      <c r="BN100" s="54" t="e">
        <f>SummaryTable[[#This Row],[BudgetIncreaseAmount20]]/SummaryTable[[#This Row],[OriginalBudget19]]</f>
        <v>#N/A</v>
      </c>
      <c r="BO100" s="61" t="e">
        <f>IF(COUNTIFS(allFYsTable[Code], SummaryTable[[#This Row],[Code]], allFYsTable[year2], BL$3)=0, NotFound, SUMIFS(allFYsTable[RevisedBudget], allFYsTable[Code], SummaryTable[[#This Row],[Code]], allFYsTable[year2], BL$3))</f>
        <v>#N/A</v>
      </c>
      <c r="BP100" s="61" t="e">
        <f>IF(COUNTIFS(allFYsTable[Code], SummaryTable[[#This Row],[Code]], allFYsTable[year2], BL$3)=0, NotFound, SUMIFS(allFYsTable[Actual], allFYsTable[Code], SummaryTable[[#This Row],[Code]], allFYsTable[year2], BL$3))</f>
        <v>#N/A</v>
      </c>
      <c r="BQ100" s="61" t="e">
        <f>IF(COUNTIFS(allFYsTable[Code], SummaryTable[[#This Row],[Code]], allFYsTable[year2], BL$3)=0, NotFound, SUMIFS(allFYsTable[DiffAmount], allFYsTable[Code], SummaryTable[[#This Row],[Code]], allFYsTable[year2], BL$3))</f>
        <v>#N/A</v>
      </c>
      <c r="BR100" s="63" t="e">
        <f>IF(SummaryTable[[#This Row],[OriginalBudget20]]=0, IF(SummaryTable[[#This Row],[DiffAmount20]]=0, ZeroBudgetNoSpending, ZeroBudgetWithSpending), SummaryTable[[#This Row],[DiffAmount20]]/SummaryTable[[#This Row],[OriginalBudget20]])</f>
        <v>#N/A</v>
      </c>
      <c r="BS100" s="62" t="e">
        <f>IF(COUNTIFS(allFYsTable[Code], SummaryTable[[#This Row],[Code]], allFYsTable[year2], BS$3)=0, NotFound, SUMIFS(allFYsTable[OriginalBudget], allFYsTable[Code], SummaryTable[[#This Row],[Code]], allFYsTable[year2], BS$3))</f>
        <v>#N/A</v>
      </c>
      <c r="BT100" s="61" t="e">
        <f>SummaryTable[[#This Row],[OriginalBudget19]]-SummaryTable[[#This Row],[OriginalBudget18]]</f>
        <v>#N/A</v>
      </c>
      <c r="BU100" s="54" t="e">
        <f>SummaryTable[[#This Row],[BudgetIncreaseAmount19]]/SummaryTable[[#This Row],[OriginalBudget18]]</f>
        <v>#N/A</v>
      </c>
      <c r="BV100" s="61" t="e">
        <f>IF(COUNTIFS(allFYsTable[Code], SummaryTable[[#This Row],[Code]], allFYsTable[year2], BS$3)=0, NotFound, SUMIFS(allFYsTable[RevisedBudget], allFYsTable[Code], SummaryTable[[#This Row],[Code]], allFYsTable[year2], BS$3))</f>
        <v>#N/A</v>
      </c>
      <c r="BW100" s="61" t="e">
        <f>IF(COUNTIFS(allFYsTable[Code], SummaryTable[[#This Row],[Code]], allFYsTable[year2], BS$3)=0, NotFound, SUMIFS(allFYsTable[Actual], allFYsTable[Code], SummaryTable[[#This Row],[Code]], allFYsTable[year2], BS$3))</f>
        <v>#N/A</v>
      </c>
      <c r="BX100" s="61" t="e">
        <f>IF(COUNTIFS(allFYsTable[Code], SummaryTable[[#This Row],[Code]], allFYsTable[year2], BS$3)=0, NotFound, SUMIFS(allFYsTable[DiffAmount], allFYsTable[Code], SummaryTable[[#This Row],[Code]], allFYsTable[year2], BS$3))</f>
        <v>#N/A</v>
      </c>
      <c r="BY100" s="63" t="e">
        <f>IF(SummaryTable[[#This Row],[OriginalBudget19]]=0, IF(SummaryTable[[#This Row],[DiffAmount19]]=0, ZeroBudgetNoSpending, ZeroBudgetWithSpending), SummaryTable[[#This Row],[DiffAmount19]]/SummaryTable[[#This Row],[OriginalBudget19]])</f>
        <v>#N/A</v>
      </c>
      <c r="BZ100" s="62" t="e">
        <f>IF(COUNTIFS(allFYsTable[Code], SummaryTable[[#This Row],[Code]], allFYsTable[year2], BZ$3)=0, NotFound, SUMIFS(allFYsTable[OriginalBudget], allFYsTable[Code], SummaryTable[[#This Row],[Code]], allFYsTable[year2], BZ$3))</f>
        <v>#N/A</v>
      </c>
      <c r="CA100" s="61" t="e">
        <f>SummaryTable[[#This Row],[OriginalBudget18]]-SummaryTable[[#This Row],[OriginalBudget17]]</f>
        <v>#N/A</v>
      </c>
      <c r="CB100" s="54" t="e">
        <f>SummaryTable[[#This Row],[BudgetIncreaseAmount18]]/SummaryTable[[#This Row],[OriginalBudget17]]</f>
        <v>#N/A</v>
      </c>
      <c r="CC100" s="61" t="e">
        <f>IF(COUNTIFS(allFYsTable[Code], SummaryTable[[#This Row],[Code]], allFYsTable[year2], BZ$3)=0, NotFound, SUMIFS(allFYsTable[RevisedBudget], allFYsTable[Code], SummaryTable[[#This Row],[Code]], allFYsTable[year2], BZ$3))</f>
        <v>#N/A</v>
      </c>
      <c r="CD100" s="61" t="e">
        <f>IF(COUNTIFS(allFYsTable[Code], SummaryTable[[#This Row],[Code]], allFYsTable[year2], BZ$3)=0, NotFound, SUMIFS(allFYsTable[Actual], allFYsTable[Code], SummaryTable[[#This Row],[Code]], allFYsTable[year2], BZ$3))</f>
        <v>#N/A</v>
      </c>
      <c r="CE100" s="61" t="e">
        <f>IF(COUNTIFS(allFYsTable[Code], SummaryTable[[#This Row],[Code]], allFYsTable[year2], BZ$3)=0, NotFound, SUMIFS(allFYsTable[DiffAmount], allFYsTable[Code], SummaryTable[[#This Row],[Code]], allFYsTable[year2], BZ$3))</f>
        <v>#N/A</v>
      </c>
      <c r="CF100" s="63" t="e">
        <f>IF(SummaryTable[[#This Row],[OriginalBudget18]]=0, IF(SummaryTable[[#This Row],[DiffAmount18]]=0, ZeroBudgetNoSpending, ZeroBudgetWithSpending), SummaryTable[[#This Row],[DiffAmount18]]/SummaryTable[[#This Row],[OriginalBudget18]])</f>
        <v>#N/A</v>
      </c>
      <c r="CG100" s="62" t="e">
        <f>IF(COUNTIFS(allFYsTable[Code], SummaryTable[[#This Row],[Code]], allFYsTable[year2], CG$3)=0, NotFound, SUMIFS(allFYsTable[OriginalBudget], allFYsTable[Code], SummaryTable[[#This Row],[Code]], allFYsTable[year2], CG$3))</f>
        <v>#N/A</v>
      </c>
      <c r="CH100" s="61" t="e">
        <f>SummaryTable[[#This Row],[OriginalBudget17]]-SummaryTable[[#This Row],[OriginalBudget16]]</f>
        <v>#N/A</v>
      </c>
      <c r="CI100" s="54" t="e">
        <f>SummaryTable[[#This Row],[BudgetIncreaseAmount17]]/SummaryTable[[#This Row],[OriginalBudget16]]</f>
        <v>#N/A</v>
      </c>
      <c r="CJ100" s="61" t="e">
        <f>IF(COUNTIFS(allFYsTable[Code], SummaryTable[[#This Row],[Code]], allFYsTable[year2], CG$3)=0, NotFound, SUMIFS(allFYsTable[RevisedBudget], allFYsTable[Code], SummaryTable[[#This Row],[Code]], allFYsTable[year2], CG$3))</f>
        <v>#N/A</v>
      </c>
      <c r="CK100" s="61" t="e">
        <f>IF(COUNTIFS(allFYsTable[Code], SummaryTable[[#This Row],[Code]], allFYsTable[year2], CG$3)=0, NotFound, SUMIFS(allFYsTable[Actual], allFYsTable[Code], SummaryTable[[#This Row],[Code]], allFYsTable[year2], CG$3))</f>
        <v>#N/A</v>
      </c>
      <c r="CL100" s="61" t="e">
        <f>IF(COUNTIFS(allFYsTable[Code], SummaryTable[[#This Row],[Code]], allFYsTable[year2], CG$3)=0, NotFound, SUMIFS(allFYsTable[DiffAmount], allFYsTable[Code], SummaryTable[[#This Row],[Code]], allFYsTable[year2], CG$3))</f>
        <v>#N/A</v>
      </c>
      <c r="CM100" s="63" t="e">
        <f>IF(SummaryTable[[#This Row],[OriginalBudget17]]=0, IF(SummaryTable[[#This Row],[DiffAmount17]]=0, ZeroBudgetNoSpending, ZeroBudgetWithSpending), SummaryTable[[#This Row],[DiffAmount17]]/SummaryTable[[#This Row],[OriginalBudget17]])</f>
        <v>#N/A</v>
      </c>
      <c r="CN100" s="62" t="e">
        <f>IF(COUNTIFS(allFYsTable[Code], SummaryTable[[#This Row],[Code]], allFYsTable[year2], CN$3)=0, NotFound, SUMIFS(allFYsTable[OriginalBudget], allFYsTable[Code], SummaryTable[[#This Row],[Code]], allFYsTable[year2], CN$3))</f>
        <v>#N/A</v>
      </c>
      <c r="CO100" s="61" t="e">
        <f>SummaryTable[[#This Row],[OriginalBudget16]]-SummaryTable[[#This Row],[OriginalBudget15]]</f>
        <v>#N/A</v>
      </c>
      <c r="CP100" s="54" t="e">
        <f>SummaryTable[[#This Row],[BudgetIncreaseAmount16]]/SummaryTable[[#This Row],[OriginalBudget15]]</f>
        <v>#N/A</v>
      </c>
      <c r="CQ100" s="61" t="e">
        <f>IF(COUNTIFS(allFYsTable[Code], SummaryTable[[#This Row],[Code]], allFYsTable[year2], CN$3)=0, NotFound, SUMIFS(allFYsTable[RevisedBudget], allFYsTable[Code], SummaryTable[[#This Row],[Code]], allFYsTable[year2], CN$3))</f>
        <v>#N/A</v>
      </c>
      <c r="CR100" s="61" t="e">
        <f>IF(COUNTIFS(allFYsTable[Code], SummaryTable[[#This Row],[Code]], allFYsTable[year2], CN$3)=0, NotFound, SUMIFS(allFYsTable[Actual], allFYsTable[Code], SummaryTable[[#This Row],[Code]], allFYsTable[year2], CN$3))</f>
        <v>#N/A</v>
      </c>
      <c r="CS100" s="61" t="e">
        <f>IF(COUNTIFS(allFYsTable[Code], SummaryTable[[#This Row],[Code]], allFYsTable[year2], CN$3)=0, NotFound, SUMIFS(allFYsTable[DiffAmount], allFYsTable[Code], SummaryTable[[#This Row],[Code]], allFYsTable[year2], CN$3))</f>
        <v>#N/A</v>
      </c>
      <c r="CT100" s="63" t="e">
        <f>IF(SummaryTable[[#This Row],[OriginalBudget16]]=0, IF(SummaryTable[[#This Row],[DiffAmount16]]=0, ZeroBudgetNoSpending, ZeroBudgetWithSpending), SummaryTable[[#This Row],[DiffAmount16]]/SummaryTable[[#This Row],[OriginalBudget16]])</f>
        <v>#N/A</v>
      </c>
      <c r="CU100" s="62" t="e">
        <f>IF(COUNTIFS(allFYsTable[Code], SummaryTable[[#This Row],[Code]], allFYsTable[year2], CU$3)=0, NotFound, SUMIFS(allFYsTable[OriginalBudget], allFYsTable[Code], SummaryTable[[#This Row],[Code]], allFYsTable[year2], CU$3))</f>
        <v>#N/A</v>
      </c>
      <c r="CV100" s="61" t="e">
        <f>SummaryTable[[#This Row],[OriginalBudget15]]-SummaryTable[[#This Row],[OriginalBudget14]]</f>
        <v>#N/A</v>
      </c>
      <c r="CW100" s="54" t="e">
        <f>SummaryTable[[#This Row],[BudgetIncreaseAmount15]]/SummaryTable[[#This Row],[OriginalBudget14]]</f>
        <v>#N/A</v>
      </c>
      <c r="CX100" s="61" t="e">
        <f>IF(COUNTIFS(allFYsTable[Code], SummaryTable[[#This Row],[Code]], allFYsTable[year2], CU$3)=0, NotFound, SUMIFS(allFYsTable[RevisedBudget], allFYsTable[Code], SummaryTable[[#This Row],[Code]], allFYsTable[year2], CU$3))</f>
        <v>#N/A</v>
      </c>
      <c r="CY100" s="61" t="e">
        <f>IF(COUNTIFS(allFYsTable[Code], SummaryTable[[#This Row],[Code]], allFYsTable[year2], CU$3)=0, NotFound, SUMIFS(allFYsTable[Actual], allFYsTable[Code], SummaryTable[[#This Row],[Code]], allFYsTable[year2], CU$3))</f>
        <v>#N/A</v>
      </c>
      <c r="CZ100" s="61" t="e">
        <f>IF(COUNTIFS(allFYsTable[Code], SummaryTable[[#This Row],[Code]], allFYsTable[year2], CU$3)=0, NotFound, SUMIFS(allFYsTable[DiffAmount], allFYsTable[Code], SummaryTable[[#This Row],[Code]], allFYsTable[year2], CU$3))</f>
        <v>#N/A</v>
      </c>
      <c r="DA100" s="63" t="e">
        <f>IF(SummaryTable[[#This Row],[OriginalBudget15]]=0, IF(SummaryTable[[#This Row],[DiffAmount15]]=0, ZeroBudgetNoSpending, ZeroBudgetWithSpending), SummaryTable[[#This Row],[DiffAmount15]]/SummaryTable[[#This Row],[OriginalBudget15]])</f>
        <v>#N/A</v>
      </c>
      <c r="DB100" s="62" t="e">
        <f>IF(COUNTIFS(allFYsTable[Code], SummaryTable[[#This Row],[Code]], allFYsTable[year2], DB$3)=0, NotFound, SUMIFS(allFYsTable[OriginalBudget], allFYsTable[Code], SummaryTable[[#This Row],[Code]], allFYsTable[year2], DB$3))</f>
        <v>#N/A</v>
      </c>
      <c r="DC100" s="61" t="e">
        <f>SummaryTable[[#This Row],[OriginalBudget14]]-SummaryTable[[#This Row],[OriginalBudget13]]</f>
        <v>#N/A</v>
      </c>
      <c r="DD100" s="54" t="e">
        <f>SummaryTable[[#This Row],[BudgetIncreaseAmount14]]/SummaryTable[[#This Row],[OriginalBudget13]]</f>
        <v>#N/A</v>
      </c>
      <c r="DE100" s="61" t="e">
        <f>IF(COUNTIFS(allFYsTable[Code], SummaryTable[[#This Row],[Code]], allFYsTable[year2], DB$3)=0, NotFound, SUMIFS(allFYsTable[RevisedBudget], allFYsTable[Code], SummaryTable[[#This Row],[Code]], allFYsTable[year2], DB$3))</f>
        <v>#N/A</v>
      </c>
      <c r="DF100" s="61" t="e">
        <f>IF(COUNTIFS(allFYsTable[Code], SummaryTable[[#This Row],[Code]], allFYsTable[year2], DB$3)=0, NotFound, SUMIFS(allFYsTable[Actual], allFYsTable[Code], SummaryTable[[#This Row],[Code]], allFYsTable[year2], DB$3))</f>
        <v>#N/A</v>
      </c>
      <c r="DG100" s="61" t="e">
        <f>IF(COUNTIFS(allFYsTable[Code], SummaryTable[[#This Row],[Code]], allFYsTable[year2], DB$3)=0, NotFound, SUMIFS(allFYsTable[DiffAmount], allFYsTable[Code], SummaryTable[[#This Row],[Code]], allFYsTable[year2], DB$3))</f>
        <v>#N/A</v>
      </c>
      <c r="DH100" s="63" t="e">
        <f>IF(SummaryTable[[#This Row],[OriginalBudget14]]=0, IF(SummaryTable[[#This Row],[DiffAmount14]]=0, ZeroBudgetNoSpending, ZeroBudgetWithSpending), SummaryTable[[#This Row],[DiffAmount14]]/SummaryTable[[#This Row],[OriginalBudget14]])</f>
        <v>#N/A</v>
      </c>
      <c r="DI100" s="62" t="e">
        <f>IF(COUNTIFS(allFYsTable[Code], SummaryTable[[#This Row],[Code]], allFYsTable[year2], DI$3)=0, NotFound, SUMIFS(allFYsTable[OriginalBudget], allFYsTable[Code], SummaryTable[[#This Row],[Code]], allFYsTable[year2], DI$3))</f>
        <v>#N/A</v>
      </c>
      <c r="DJ100" s="61" t="e">
        <f>SummaryTable[[#This Row],[OriginalBudget13]]-SummaryTable[[#This Row],[OriginalBudget12]]</f>
        <v>#N/A</v>
      </c>
      <c r="DK100" s="54" t="e">
        <f>SummaryTable[[#This Row],[BudgetIncreaseAmount13]]/SummaryTable[[#This Row],[OriginalBudget12]]</f>
        <v>#N/A</v>
      </c>
      <c r="DL100" s="61" t="e">
        <f>IF(COUNTIFS(allFYsTable[Code], SummaryTable[[#This Row],[Code]], allFYsTable[year2], DI$3)=0, NotFound, SUMIFS(allFYsTable[RevisedBudget], allFYsTable[Code], SummaryTable[[#This Row],[Code]], allFYsTable[year2], DI$3))</f>
        <v>#N/A</v>
      </c>
      <c r="DM100" s="61" t="e">
        <f>IF(COUNTIFS(allFYsTable[Code], SummaryTable[[#This Row],[Code]], allFYsTable[year2], DI$3)=0, NotFound, SUMIFS(allFYsTable[Actual], allFYsTable[Code], SummaryTable[[#This Row],[Code]], allFYsTable[year2], DI$3))</f>
        <v>#N/A</v>
      </c>
      <c r="DN100" s="61" t="e">
        <f>IF(COUNTIFS(allFYsTable[Code], SummaryTable[[#This Row],[Code]], allFYsTable[year2], DI$3)=0, NotFound, SUMIFS(allFYsTable[DiffAmount], allFYsTable[Code], SummaryTable[[#This Row],[Code]], allFYsTable[year2], DI$3))</f>
        <v>#N/A</v>
      </c>
      <c r="DO100" s="63" t="e">
        <f>IF(SummaryTable[[#This Row],[OriginalBudget13]]=0, IF(SummaryTable[[#This Row],[DiffAmount13]]=0, ZeroBudgetNoSpending, ZeroBudgetWithSpending), SummaryTable[[#This Row],[DiffAmount13]]/SummaryTable[[#This Row],[OriginalBudget13]])</f>
        <v>#N/A</v>
      </c>
      <c r="DP100" s="62" t="e">
        <f>IF(COUNTIFS(allFYsTable[Code], SummaryTable[[#This Row],[Code]], allFYsTable[year2], DP$3)=0, NotFound, SUMIFS(allFYsTable[OriginalBudget], allFYsTable[Code], SummaryTable[[#This Row],[Code]], allFYsTable[year2], DP$3))</f>
        <v>#N/A</v>
      </c>
      <c r="DQ100" s="61" t="e">
        <f>SummaryTable[[#This Row],[OriginalBudget12]]-SummaryTable[[#This Row],[OriginalBudget11]]</f>
        <v>#N/A</v>
      </c>
      <c r="DR100" s="54" t="e">
        <f>SummaryTable[[#This Row],[BudgetIncreaseAmount12]]/SummaryTable[[#This Row],[OriginalBudget11]]</f>
        <v>#N/A</v>
      </c>
      <c r="DS100" s="61" t="e">
        <f>IF(COUNTIFS(allFYsTable[Code], SummaryTable[[#This Row],[Code]], allFYsTable[year2], DP$3)=0, NotFound, SUMIFS(allFYsTable[RevisedBudget], allFYsTable[Code], SummaryTable[[#This Row],[Code]], allFYsTable[year2], DP$3))</f>
        <v>#N/A</v>
      </c>
      <c r="DT100" s="61" t="e">
        <f>IF(COUNTIFS(allFYsTable[Code], SummaryTable[[#This Row],[Code]], allFYsTable[year2], DP$3)=0, NotFound, SUMIFS(allFYsTable[Actual], allFYsTable[Code], SummaryTable[[#This Row],[Code]], allFYsTable[year2], DP$3))</f>
        <v>#N/A</v>
      </c>
      <c r="DU100" s="61" t="e">
        <f>IF(COUNTIFS(allFYsTable[Code], SummaryTable[[#This Row],[Code]], allFYsTable[year2], DP$3)=0, NotFound, SUMIFS(allFYsTable[DiffAmount], allFYsTable[Code], SummaryTable[[#This Row],[Code]], allFYsTable[year2], DP$3))</f>
        <v>#N/A</v>
      </c>
      <c r="DV100" s="63" t="e">
        <f>IF(SummaryTable[[#This Row],[OriginalBudget12]]=0, IF(SummaryTable[[#This Row],[DiffAmount12]]=0, ZeroBudgetNoSpending, ZeroBudgetWithSpending), SummaryTable[[#This Row],[DiffAmount12]]/SummaryTable[[#This Row],[OriginalBudget12]])</f>
        <v>#N/A</v>
      </c>
      <c r="DW100" s="62" t="e">
        <f>IF(COUNTIFS(allFYsTable[Code], SummaryTable[[#This Row],[Code]], allFYsTable[year2], DW$3)=0, NotFound, SUMIFS(allFYsTable[OriginalBudget], allFYsTable[Code], SummaryTable[[#This Row],[Code]], allFYsTable[year2], DW$3))</f>
        <v>#N/A</v>
      </c>
      <c r="DX100" s="61" t="e">
        <f>SummaryTable[[#This Row],[OriginalBudget11]]-SummaryTable[[#This Row],[OriginalBudget10]]</f>
        <v>#N/A</v>
      </c>
      <c r="DY100" s="54" t="e">
        <f>SummaryTable[[#This Row],[BudgetIncreaseAmount11]]/SummaryTable[[#This Row],[OriginalBudget10]]</f>
        <v>#N/A</v>
      </c>
      <c r="DZ100" s="61" t="e">
        <f>IF(COUNTIFS(allFYsTable[Code], SummaryTable[[#This Row],[Code]], allFYsTable[year2], DW$3)=0, NotFound, SUMIFS(allFYsTable[RevisedBudget], allFYsTable[Code], SummaryTable[[#This Row],[Code]], allFYsTable[year2], DW$3))</f>
        <v>#N/A</v>
      </c>
      <c r="EA100" s="61" t="e">
        <f>IF(COUNTIFS(allFYsTable[Code], SummaryTable[[#This Row],[Code]], allFYsTable[year2], DW$3)=0, NotFound, SUMIFS(allFYsTable[Actual], allFYsTable[Code], SummaryTable[[#This Row],[Code]], allFYsTable[year2], DW$3))</f>
        <v>#N/A</v>
      </c>
      <c r="EB100" s="61" t="e">
        <f>IF(COUNTIFS(allFYsTable[Code], SummaryTable[[#This Row],[Code]], allFYsTable[year2], DW$3)=0, NotFound, SUMIFS(allFYsTable[DiffAmount], allFYsTable[Code], SummaryTable[[#This Row],[Code]], allFYsTable[year2], DW$3))</f>
        <v>#N/A</v>
      </c>
      <c r="EC100" s="63" t="e">
        <f>IF(SummaryTable[[#This Row],[OriginalBudget11]]=0, IF(SummaryTable[[#This Row],[DiffAmount11]]=0, ZeroBudgetNoSpending, ZeroBudgetWithSpending), SummaryTable[[#This Row],[DiffAmount11]]/SummaryTable[[#This Row],[OriginalBudget11]])</f>
        <v>#N/A</v>
      </c>
      <c r="ED100" s="62" t="e">
        <f>IF(COUNTIFS(allFYsTable[Code], SummaryTable[[#This Row],[Code]], allFYsTable[year2], ED$3)=0, NotFound, SUMIFS(allFYsTable[OriginalBudget], allFYsTable[Code], SummaryTable[[#This Row],[Code]], allFYsTable[year2], ED$3))</f>
        <v>#N/A</v>
      </c>
      <c r="EE100" s="61" t="e">
        <f>SummaryTable[[#This Row],[OriginalBudget10]]-SummaryTable[[#This Row],[OriginalBudget09]]</f>
        <v>#N/A</v>
      </c>
      <c r="EF100" s="54" t="e">
        <f>SummaryTable[[#This Row],[BudgetIncreaseAmount10]]/SummaryTable[[#This Row],[OriginalBudget09]]</f>
        <v>#N/A</v>
      </c>
      <c r="EG100" s="61" t="e">
        <f>IF(COUNTIFS(allFYsTable[Code], SummaryTable[[#This Row],[Code]], allFYsTable[year2], ED$3)=0, NotFound, SUMIFS(allFYsTable[RevisedBudget], allFYsTable[Code], SummaryTable[[#This Row],[Code]], allFYsTable[year2], ED$3))</f>
        <v>#N/A</v>
      </c>
      <c r="EH100" s="61" t="e">
        <f>IF(COUNTIFS(allFYsTable[Code], SummaryTable[[#This Row],[Code]], allFYsTable[year2], ED$3)=0, NotFound, SUMIFS(allFYsTable[Actual], allFYsTable[Code], SummaryTable[[#This Row],[Code]], allFYsTable[year2], ED$3))</f>
        <v>#N/A</v>
      </c>
      <c r="EI100" s="61" t="e">
        <f>IF(COUNTIFS(allFYsTable[Code], SummaryTable[[#This Row],[Code]], allFYsTable[year2], ED$3)=0, NotFound, SUMIFS(allFYsTable[DiffAmount], allFYsTable[Code], SummaryTable[[#This Row],[Code]], allFYsTable[year2], ED$3))</f>
        <v>#N/A</v>
      </c>
      <c r="EJ100" s="63" t="e">
        <f>IF(SummaryTable[[#This Row],[OriginalBudget10]]=0, IF(SummaryTable[[#This Row],[DiffAmount10]]=0, ZeroBudgetNoSpending, ZeroBudgetWithSpending), SummaryTable[[#This Row],[DiffAmount10]]/SummaryTable[[#This Row],[OriginalBudget10]])</f>
        <v>#N/A</v>
      </c>
      <c r="EK100" s="62" t="e">
        <f>IF(COUNTIFS(allFYsTable[Code], SummaryTable[[#This Row],[Code]], allFYsTable[year2], EK$3)=0, NotFound, SUMIFS(allFYsTable[OriginalBudget], allFYsTable[Code], SummaryTable[[#This Row],[Code]], allFYsTable[year2], EK$3))</f>
        <v>#N/A</v>
      </c>
      <c r="EL100" s="61" t="e">
        <f>SummaryTable[[#This Row],[OriginalBudget09]]-SummaryTable[[#This Row],[OriginalBudget08]]</f>
        <v>#N/A</v>
      </c>
      <c r="EM100" s="54" t="e">
        <f>SummaryTable[[#This Row],[BudgetIncreaseAmount09]]/SummaryTable[[#This Row],[OriginalBudget08]]</f>
        <v>#N/A</v>
      </c>
      <c r="EN100" s="61" t="e">
        <f>IF(COUNTIFS(allFYsTable[Code], SummaryTable[[#This Row],[Code]], allFYsTable[year2], EK$3)=0, NotFound, SUMIFS(allFYsTable[RevisedBudget], allFYsTable[Code], SummaryTable[[#This Row],[Code]], allFYsTable[year2], EK$3))</f>
        <v>#N/A</v>
      </c>
      <c r="EO100" s="61" t="e">
        <f>IF(COUNTIFS(allFYsTable[Code], SummaryTable[[#This Row],[Code]], allFYsTable[year2], EK$3)=0, NotFound, SUMIFS(allFYsTable[Actual], allFYsTable[Code], SummaryTable[[#This Row],[Code]], allFYsTable[year2], EK$3))</f>
        <v>#N/A</v>
      </c>
      <c r="EP100" s="61" t="e">
        <f>IF(COUNTIFS(allFYsTable[Code], SummaryTable[[#This Row],[Code]], allFYsTable[year2], EK$3)=0, NotFound, SUMIFS(allFYsTable[DiffAmount], allFYsTable[Code], SummaryTable[[#This Row],[Code]], allFYsTable[year2], EK$3))</f>
        <v>#N/A</v>
      </c>
      <c r="EQ100" s="63" t="e">
        <f>IF(SummaryTable[[#This Row],[OriginalBudget09]]=0, IF(SummaryTable[[#This Row],[DiffAmount09]]=0, ZeroBudgetNoSpending, ZeroBudgetWithSpending), SummaryTable[[#This Row],[DiffAmount09]]/SummaryTable[[#This Row],[OriginalBudget09]])</f>
        <v>#N/A</v>
      </c>
      <c r="ER100" s="62" t="e">
        <f>IF(COUNTIFS(allFYsTable[Code], SummaryTable[[#This Row],[Code]], allFYsTable[year2], ER$3)=0, NotFound, SUMIFS(allFYsTable[OriginalBudget], allFYsTable[Code], SummaryTable[[#This Row],[Code]], allFYsTable[year2], ER$3))</f>
        <v>#N/A</v>
      </c>
      <c r="ES100" s="61" t="e">
        <f>SummaryTable[[#This Row],[OriginalBudget08]]-SummaryTable[[#This Row],[OriginalBudget07]]</f>
        <v>#N/A</v>
      </c>
      <c r="ET100" s="54" t="e">
        <f>SummaryTable[[#This Row],[BudgetIncreaseAmount08]]/SummaryTable[[#This Row],[OriginalBudget07]]</f>
        <v>#N/A</v>
      </c>
      <c r="EU100" s="61" t="e">
        <f>IF(COUNTIFS(allFYsTable[Code], SummaryTable[[#This Row],[Code]], allFYsTable[year2], ER$3)=0, NotFound, SUMIFS(allFYsTable[RevisedBudget], allFYsTable[Code], SummaryTable[[#This Row],[Code]], allFYsTable[year2], ER$3))</f>
        <v>#N/A</v>
      </c>
      <c r="EV100" s="61" t="e">
        <f>IF(COUNTIFS(allFYsTable[Code], SummaryTable[[#This Row],[Code]], allFYsTable[year2], ER$3)=0, NotFound, SUMIFS(allFYsTable[Actual], allFYsTable[Code], SummaryTable[[#This Row],[Code]], allFYsTable[year2], ER$3))</f>
        <v>#N/A</v>
      </c>
      <c r="EW100" s="61" t="e">
        <f>IF(COUNTIFS(allFYsTable[Code], SummaryTable[[#This Row],[Code]], allFYsTable[year2], ER$3)=0, NotFound, SUMIFS(allFYsTable[DiffAmount], allFYsTable[Code], SummaryTable[[#This Row],[Code]], allFYsTable[year2], ER$3))</f>
        <v>#N/A</v>
      </c>
      <c r="EX100" s="63" t="e">
        <f>IF(SummaryTable[[#This Row],[OriginalBudget08]]=0, IF(SummaryTable[[#This Row],[DiffAmount08]]=0, ZeroBudgetNoSpending, ZeroBudgetWithSpending), SummaryTable[[#This Row],[DiffAmount08]]/SummaryTable[[#This Row],[OriginalBudget08]])</f>
        <v>#N/A</v>
      </c>
      <c r="EY100" s="62" t="e">
        <f>IF(COUNTIFS(allFYsTable[Code], SummaryTable[[#This Row],[Code]], allFYsTable[year2], EY$3)=0, NotFound, SUMIFS(allFYsTable[OriginalBudget], allFYsTable[Code], SummaryTable[[#This Row],[Code]], allFYsTable[year2], EY$3))</f>
        <v>#N/A</v>
      </c>
      <c r="EZ100" s="61" t="e">
        <f>SummaryTable[[#This Row],[OriginalBudget07]]-SummaryTable[[#This Row],[OriginalBudget06]]</f>
        <v>#N/A</v>
      </c>
      <c r="FA100" s="54" t="e">
        <f>SummaryTable[[#This Row],[BudgetIncreaseAmount07]]/SummaryTable[[#This Row],[OriginalBudget06]]</f>
        <v>#N/A</v>
      </c>
      <c r="FB100" s="61" t="e">
        <f>IF(COUNTIFS(allFYsTable[Code], SummaryTable[[#This Row],[Code]], allFYsTable[year2], EY$3)=0, NotFound, SUMIFS(allFYsTable[RevisedBudget], allFYsTable[Code], SummaryTable[[#This Row],[Code]], allFYsTable[year2], EY$3))</f>
        <v>#N/A</v>
      </c>
      <c r="FC100" s="61" t="e">
        <f>IF(COUNTIFS(allFYsTable[Code], SummaryTable[[#This Row],[Code]], allFYsTable[year2], EY$3)=0, NotFound, SUMIFS(allFYsTable[Actual], allFYsTable[Code], SummaryTable[[#This Row],[Code]], allFYsTable[year2], EY$3))</f>
        <v>#N/A</v>
      </c>
      <c r="FD100" s="61" t="e">
        <f>IF(COUNTIFS(allFYsTable[Code], SummaryTable[[#This Row],[Code]], allFYsTable[year2], EY$3)=0, NotFound, SUMIFS(allFYsTable[DiffAmount], allFYsTable[Code], SummaryTable[[#This Row],[Code]], allFYsTable[year2], EY$3))</f>
        <v>#N/A</v>
      </c>
      <c r="FE100" s="63" t="e">
        <f>IF(SummaryTable[[#This Row],[OriginalBudget07]]=0, IF(SummaryTable[[#This Row],[DiffAmount07]]=0, ZeroBudgetNoSpending, ZeroBudgetWithSpending), SummaryTable[[#This Row],[DiffAmount07]]/SummaryTable[[#This Row],[OriginalBudget07]])</f>
        <v>#N/A</v>
      </c>
      <c r="FF100" s="62" t="e">
        <f>IF(COUNTIFS(allFYsTable[Code], SummaryTable[[#This Row],[Code]], allFYsTable[year2], FF$3)=0, NotFound, SUMIFS(allFYsTable[OriginalBudget], allFYsTable[Code], SummaryTable[[#This Row],[Code]], allFYsTable[year2], FF$3))</f>
        <v>#N/A</v>
      </c>
      <c r="FI100" s="61" t="e">
        <f>IF(COUNTIFS(allFYsTable[Code], SummaryTable[[#This Row],[Code]], allFYsTable[year2], FF$3)=0, NotFound, SUMIFS(allFYsTable[RevisedBudget], allFYsTable[Code], SummaryTable[[#This Row],[Code]], allFYsTable[year2], FF$3))</f>
        <v>#N/A</v>
      </c>
      <c r="FJ100" s="61" t="e">
        <f>IF(COUNTIFS(allFYsTable[Code], SummaryTable[[#This Row],[Code]], allFYsTable[year2], FF$3)=0, NotFound, SUMIFS(allFYsTable[Actual], allFYsTable[Code], SummaryTable[[#This Row],[Code]], allFYsTable[year2], FF$3))</f>
        <v>#N/A</v>
      </c>
      <c r="FK100" s="61" t="e">
        <f>IF(COUNTIFS(allFYsTable[Code], SummaryTable[[#This Row],[Code]], allFYsTable[year2], FF$3)=0, NotFound, SUMIFS(allFYsTable[DiffAmount], allFYsTable[Code], SummaryTable[[#This Row],[Code]], allFYsTable[year2], FF$3))</f>
        <v>#N/A</v>
      </c>
      <c r="FL100" s="63" t="e">
        <f>IF(SummaryTable[[#This Row],[OriginalBudget06]]=0, IF(SummaryTable[[#This Row],[DiffAmount06]]=0, ZeroBudgetNoSpending, ZeroBudgetWithSpending), SummaryTable[[#This Row],[DiffAmount06]]/SummaryTable[[#This Row],[OriginalBudget06]])</f>
        <v>#N/A</v>
      </c>
    </row>
    <row r="101" spans="1:168" x14ac:dyDescent="0.45">
      <c r="A101" t="s">
        <v>805</v>
      </c>
      <c r="B101">
        <f>_xlfn.MAXIFS(allFYsTable[year2], allFYsTable[Code], SummaryTable[[#This Row],[Code]])</f>
        <v>2025</v>
      </c>
      <c r="C101" t="str">
        <f>_xlfn.XLOOKUP(SummaryTable[[#This Row],[Code]], NameCodingTable[Code], NameCodingTable[Most Recent Category per allFYs])</f>
        <v>Operations and infrastructure</v>
      </c>
      <c r="D101" t="str">
        <f>_xlfn.XLOOKUP(SummaryTable[[#This Row],[Code]], NameCodingTable[Code], NameCodingTable[Unit Display Name])</f>
        <v>Office of the People's Counsel</v>
      </c>
      <c r="E101" t="str">
        <f>_xlfn.XLOOKUP(SummaryTable[[#This Row],[Code]], NameCodingTable[Code], NameCodingTable[Type])</f>
        <v>agency</v>
      </c>
      <c r="F10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0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01" s="54">
        <f>SummaryTable[[#This Row],['# Over]]/SummaryTable[[#This Row],[Count]]</f>
        <v>0.05</v>
      </c>
      <c r="I10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6</v>
      </c>
      <c r="J101" s="54">
        <f>SummaryTable[[#This Row],['# Under]]/SummaryTable[[#This Row],[Count]]</f>
        <v>0.3</v>
      </c>
      <c r="K10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13</v>
      </c>
      <c r="L101" s="54">
        <f>SummaryTable[[#This Row],['# Equal]]/SummaryTable[[#This Row],[Count]]</f>
        <v>0.65</v>
      </c>
      <c r="M101" s="61">
        <f>SUMIFS(allFYsTable[OriginalBudget],allFYsTable[Code],SummaryTable[[#This Row],[Code]])/SummaryTable[[#This Row],[Count]]</f>
        <v>294.64999999999998</v>
      </c>
      <c r="N101" s="61">
        <f>SUMIFS(allFYsTable[Actual],allFYsTable[Code],SummaryTable[[#This Row],[Code]])/SummaryTable[[#This Row],[Count]]</f>
        <v>244.05</v>
      </c>
      <c r="O101" s="61">
        <f>SummaryTable[[#This Row],[AvgActAmt]]-SummaryTable[[#This Row],[AvgBudAmt]]</f>
        <v>-50.599999999999966</v>
      </c>
      <c r="P101" s="54">
        <f>IF(SummaryTable[[#This Row],[AvgBudAmt]]=0, IF(SummaryTable[[#This Row],[AvgDiff'#]]=0, 0, NamedFields!$C$3), SummaryTable[[#This Row],[AvgDiff'#]]/SummaryTable[[#This Row],[AvgBudAmt]])</f>
        <v>-0.1717291702019344</v>
      </c>
      <c r="Q101" s="61">
        <f>IFERROR(SUMIFS(allFYsTable[OriginalBudget],allFYsTable[Code],SummaryTable[[#This Row],[Code]],allFYsTable[DiffAmount], "&gt;0")/SummaryTable[[#This Row],['# Over]], 0)</f>
        <v>689</v>
      </c>
      <c r="R101" s="61">
        <f>IFERROR(SUMIFS(allFYsTable[Actual],allFYsTable[Code],SummaryTable[[#This Row],[Code]],allFYsTable[DiffAmount], "&gt;0")/SummaryTable[[#This Row],['# Over]], 0)</f>
        <v>691</v>
      </c>
      <c r="S101" s="61">
        <f>SummaryTable[[#This Row],[OverAvgAct]]-SummaryTable[[#This Row],[OverAvgBud]]</f>
        <v>2</v>
      </c>
      <c r="T101" s="54">
        <f>IF(SummaryTable[[#This Row],[OverAvgBud]]=0, IF(SummaryTable[[#This Row],[OverAvgDiff'#]]=0, ZeroBudgetNoSpending, ZeroBudgetWithSpending), SummaryTable[[#This Row],[OverAvgDiff'#]]/SummaryTable[[#This Row],[OverAvgBud]])</f>
        <v>2.9027576197387518E-3</v>
      </c>
      <c r="U101" s="61">
        <f>IFERROR(SUMIFS(allFYsTable[OriginalBudget],allFYsTable[Code],SummaryTable[[#This Row],[Code]],allFYsTable[DiffAmount], "&lt;0")/SummaryTable[[#This Row],['# Under]], 0)</f>
        <v>867.33333333333337</v>
      </c>
      <c r="V101" s="61">
        <f>IFERROR( SUMIFS(allFYsTable[Actual],allFYsTable[Code],SummaryTable[[#This Row],[Code]],allFYsTable[DiffAmount], "&lt;0")/SummaryTable[[#This Row],['# Under]], 0)</f>
        <v>698.33333333333337</v>
      </c>
      <c r="W101" s="61">
        <f>SummaryTable[[#This Row],[UnderAvgAct]]-SummaryTable[[#This Row],[UnderAvgBud]]</f>
        <v>-169</v>
      </c>
      <c r="X101" s="54">
        <f>IF(SummaryTable[[#This Row],[UnderAvgBud]]=0, IF(SummaryTable[[#This Row],[UnderAvgDiff'#]]=0, ZeroBudgetNoSpending, NamedFields!$C$3), SummaryTable[[#This Row],[UnderAvgDiff'#]]/SummaryTable[[#This Row],[UnderAvgBud]])</f>
        <v>-0.19485011529592619</v>
      </c>
      <c r="Y10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0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1" s="54">
        <f>IF(SummaryTable[[#This Row],[IncreaseYears]]=0, ZeroBudgetNoSpending, SummaryTable[[#This Row],[OSinIncreaseYear'#]]/SummaryTable[[#This Row],[IncreaseYears]])</f>
        <v>0</v>
      </c>
      <c r="AB101" s="58" t="str">
        <f>SummaryTable[[#This Row],[Code]]</f>
        <v>DJ0</v>
      </c>
      <c r="AC101" s="62">
        <f>IF(COUNTIFS(allFYsTable[Code], SummaryTable[[#This Row],[Code]], allFYsTable[year2], AC$3)=0, NotFound, SUMIFS(allFYsTable[OriginalBudget], allFYsTable[Code], SummaryTable[[#This Row],[Code]], allFYsTable[year2], AC$3))</f>
        <v>1026</v>
      </c>
      <c r="AD101" s="61">
        <f>SummaryTable[[#This Row],[OriginalBudget25]]-SummaryTable[[#This Row],[OriginalBudget24]]</f>
        <v>0</v>
      </c>
      <c r="AE101" s="54">
        <f>SummaryTable[[#This Row],[BudgetIncreaseAmount25]]/SummaryTable[[#This Row],[OriginalBudget24]]</f>
        <v>0</v>
      </c>
      <c r="AF101" s="61">
        <f>IF(COUNTIFS(allFYsTable[Code], SummaryTable[[#This Row],[Code]], allFYsTable[year2], AC$3)=0, NotFound, SUMIFS(allFYsTable[RevisedBudget], allFYsTable[Code], SummaryTable[[#This Row],[Code]], allFYsTable[year2], AC$3))</f>
        <v>909</v>
      </c>
      <c r="AG101" s="61">
        <f>IF(COUNTIFS(allFYsTable[Code], SummaryTable[[#This Row],[Code]], allFYsTable[year2], AC$3)=0, NotFound, SUMIFS(allFYsTable[Actual], allFYsTable[Code], SummaryTable[[#This Row],[Code]], allFYsTable[year2], AC$3))</f>
        <v>882</v>
      </c>
      <c r="AH101" s="61">
        <f>IF(COUNTIFS(allFYsTable[Code], SummaryTable[[#This Row],[Code]], allFYsTable[year2], AC$3)=0, NotFound, SUMIFS(allFYsTable[DiffAmount], allFYsTable[Code], SummaryTable[[#This Row],[Code]], allFYsTable[year2], AC$3))</f>
        <v>-144</v>
      </c>
      <c r="AI101" s="63">
        <f>IF(SummaryTable[[#This Row],[OriginalBudget25]]=0, IF(SummaryTable[[#This Row],[DiffAmount25]]=0, ZeroBudgetNoSpending, ZeroBudgetWithSpending), SummaryTable[[#This Row],[DiffAmount25]]/SummaryTable[[#This Row],[OriginalBudget25]])</f>
        <v>-0.14035087719298245</v>
      </c>
      <c r="AJ101" s="62">
        <f>IF(COUNTIFS(allFYsTable[Code], SummaryTable[[#This Row],[Code]], allFYsTable[year2], AJ$3)=0, NotFound, SUMIFS(allFYsTable[OriginalBudget], allFYsTable[Code], SummaryTable[[#This Row],[Code]], allFYsTable[year2], AJ$3))</f>
        <v>1026</v>
      </c>
      <c r="AK101" s="61">
        <f>SummaryTable[[#This Row],[OriginalBudget24]]-SummaryTable[[#This Row],[OriginalBudget23]]</f>
        <v>13</v>
      </c>
      <c r="AL101" s="54">
        <f>SummaryTable[[#This Row],[BudgetIncreaseAmount24]]/SummaryTable[[#This Row],[OriginalBudget23]]</f>
        <v>1.2833168805528134E-2</v>
      </c>
      <c r="AM101" s="61">
        <f>IF(COUNTIFS(allFYsTable[Code], SummaryTable[[#This Row],[Code]], allFYsTable[year2], AK$3)=0, NotFound, SUMIFS(allFYsTable[RevisedBudget], allFYsTable[Code], SummaryTable[[#This Row],[Code]], allFYsTable[year2], AJ$3))</f>
        <v>893</v>
      </c>
      <c r="AN101" s="61">
        <f>IF(COUNTIFS(allFYsTable[Code], SummaryTable[[#This Row],[Code]], allFYsTable[year2], AJ$3)=0, NotFound, SUMIFS(allFYsTable[Actual], allFYsTable[Code], SummaryTable[[#This Row],[Code]], allFYsTable[year2], AJ$3))</f>
        <v>879</v>
      </c>
      <c r="AO101" s="61">
        <f>IF(COUNTIFS(allFYsTable[Code], SummaryTable[[#This Row],[Code]], allFYsTable[year2], AJ$3)=0, NotFound, SUMIFS(allFYsTable[DiffAmount], allFYsTable[Code], SummaryTable[[#This Row],[Code]], allFYsTable[year2], AJ$3))</f>
        <v>-147</v>
      </c>
      <c r="AP101" s="63">
        <f>IF(SummaryTable[[#This Row],[OriginalBudget24]]=0, IF(SummaryTable[[#This Row],[DiffAmount24]]=0, ZeroBudgetNoSpending, ZeroBudgetWithSpending), SummaryTable[[#This Row],[DiffAmount24]]/SummaryTable[[#This Row],[OriginalBudget24]])</f>
        <v>-0.14327485380116958</v>
      </c>
      <c r="AQ101" s="62">
        <f>IF(COUNTIFS(allFYsTable[Code], SummaryTable[[#This Row],[Code]], allFYsTable[year2], AQ$3)=0, NotFound, SUMIFS(allFYsTable[OriginalBudget], allFYsTable[Code], SummaryTable[[#This Row],[Code]], allFYsTable[year2], AQ$3))</f>
        <v>1013</v>
      </c>
      <c r="AR101" s="61">
        <f>SummaryTable[[#This Row],[OriginalBudget23]]-SummaryTable[[#This Row],[OriginalBudget22]]</f>
        <v>338</v>
      </c>
      <c r="AS101" s="54">
        <f>SummaryTable[[#This Row],[BudgetIncreaseAmount23]]/SummaryTable[[#This Row],[OriginalBudget22]]</f>
        <v>0.50074074074074071</v>
      </c>
      <c r="AT101" s="61">
        <f>IF(COUNTIFS(allFYsTable[Code], SummaryTable[[#This Row],[Code]], allFYsTable[year2], AQ$3)=0, NotFound, SUMIFS(allFYsTable[RevisedBudget], allFYsTable[Code], SummaryTable[[#This Row],[Code]], allFYsTable[year2], AQ$3))</f>
        <v>656</v>
      </c>
      <c r="AU101" s="61">
        <f>IF(COUNTIFS(allFYsTable[Code], SummaryTable[[#This Row],[Code]], allFYsTable[year2], AQ$3)=0, NotFound, SUMIFS(allFYsTable[Actual], allFYsTable[Code], SummaryTable[[#This Row],[Code]], allFYsTable[year2], AQ$3))</f>
        <v>606</v>
      </c>
      <c r="AV101" s="61">
        <f>IF(COUNTIFS(allFYsTable[Code], SummaryTable[[#This Row],[Code]], allFYsTable[year2], AQ$3)=0, NotFound, SUMIFS(allFYsTable[DiffAmount], allFYsTable[Code], SummaryTable[[#This Row],[Code]], allFYsTable[year2], AQ$3))</f>
        <v>-407</v>
      </c>
      <c r="AW101" s="63">
        <f>IF(SummaryTable[[#This Row],[OriginalBudget23]]=0, IF(SummaryTable[[#This Row],[DiffAmount23]]=0, ZeroBudgetNoSpending, ZeroBudgetWithSpending), SummaryTable[[#This Row],[DiffAmount23]]/SummaryTable[[#This Row],[OriginalBudget23]])</f>
        <v>-0.40177690029615004</v>
      </c>
      <c r="AX101" s="62">
        <f>IF(COUNTIFS(allFYsTable[Code], SummaryTable[[#This Row],[Code]], allFYsTable[year2], AX$3)=0, NotFound, SUMIFS(allFYsTable[OriginalBudget], allFYsTable[Code], SummaryTable[[#This Row],[Code]], allFYsTable[year2], AX$3))</f>
        <v>675</v>
      </c>
      <c r="AY101" s="61">
        <f>SummaryTable[[#This Row],[OriginalBudget22]]-SummaryTable[[#This Row],[OriginalBudget21]]</f>
        <v>-14</v>
      </c>
      <c r="AZ101" s="54">
        <f>SummaryTable[[#This Row],[BudgetIncreaseAmount22]]/SummaryTable[[#This Row],[OriginalBudget21]]</f>
        <v>-2.0319303338171262E-2</v>
      </c>
      <c r="BA101" s="61">
        <f>IF(COUNTIFS(allFYsTable[Code], SummaryTable[[#This Row],[Code]], allFYsTable[year2], AX$3)=0, NotFound, SUMIFS(allFYsTable[RevisedBudget], allFYsTable[Code], SummaryTable[[#This Row],[Code]], allFYsTable[year2], AX$3))</f>
        <v>625</v>
      </c>
      <c r="BB101" s="61">
        <f>IF(COUNTIFS(allFYsTable[Code], SummaryTable[[#This Row],[Code]], allFYsTable[year2], AX$3)=0, NotFound, SUMIFS(allFYsTable[Actual], allFYsTable[Code], SummaryTable[[#This Row],[Code]], allFYsTable[year2], AX$3))</f>
        <v>605</v>
      </c>
      <c r="BC101" s="61">
        <f>IF(COUNTIFS(allFYsTable[Code], SummaryTable[[#This Row],[Code]], allFYsTable[year2], AX$3)=0, NotFound, SUMIFS(allFYsTable[DiffAmount], allFYsTable[Code], SummaryTable[[#This Row],[Code]], allFYsTable[year2], AX$3))</f>
        <v>-70</v>
      </c>
      <c r="BD101" s="63">
        <f>IF(SummaryTable[[#This Row],[OriginalBudget22]]=0, IF(SummaryTable[[#This Row],[DiffAmount22]]=0, ZeroBudgetNoSpending, ZeroBudgetWithSpending), SummaryTable[[#This Row],[DiffAmount22]]/SummaryTable[[#This Row],[OriginalBudget22]])</f>
        <v>-0.1037037037037037</v>
      </c>
      <c r="BE101" s="62">
        <f>IF(COUNTIFS(allFYsTable[Code], SummaryTable[[#This Row],[Code]], allFYsTable[year2], BE$3)=0, NotFound, SUMIFS(allFYsTable[OriginalBudget], allFYsTable[Code], SummaryTable[[#This Row],[Code]], allFYsTable[year2], BE$3))</f>
        <v>689</v>
      </c>
      <c r="BF101" s="61">
        <f>SummaryTable[[#This Row],[OriginalBudget21]]-SummaryTable[[#This Row],[OriginalBudget20]]</f>
        <v>0</v>
      </c>
      <c r="BG101" s="54">
        <f>SummaryTable[[#This Row],[BudgetIncreaseAmount21]]/SummaryTable[[#This Row],[OriginalBudget20]]</f>
        <v>0</v>
      </c>
      <c r="BH101" s="61">
        <f>IF(COUNTIFS(allFYsTable[Code], SummaryTable[[#This Row],[Code]], allFYsTable[year2], BE$3)=0, NotFound, SUMIFS(allFYsTable[RevisedBudget], allFYsTable[Code], SummaryTable[[#This Row],[Code]], allFYsTable[year2], BE$3))</f>
        <v>700</v>
      </c>
      <c r="BI101" s="61">
        <f>IF(COUNTIFS(allFYsTable[Code], SummaryTable[[#This Row],[Code]], allFYsTable[year2], BE$3)=0, NotFound, SUMIFS(allFYsTable[Actual], allFYsTable[Code], SummaryTable[[#This Row],[Code]], allFYsTable[year2], BE$3))</f>
        <v>691</v>
      </c>
      <c r="BJ101" s="61">
        <f>IF(COUNTIFS(allFYsTable[Code], SummaryTable[[#This Row],[Code]], allFYsTable[year2], BE$3)=0, NotFound, SUMIFS(allFYsTable[DiffAmount], allFYsTable[Code], SummaryTable[[#This Row],[Code]], allFYsTable[year2], BE$3))</f>
        <v>2</v>
      </c>
      <c r="BK101" s="63">
        <f>IF(SummaryTable[[#This Row],[OriginalBudget21]]=0, IF(SummaryTable[[#This Row],[DiffAmount21]]=0, ZeroBudgetNoSpending, ZeroBudgetWithSpending), SummaryTable[[#This Row],[DiffAmount21]]/SummaryTable[[#This Row],[OriginalBudget21]])</f>
        <v>2.9027576197387518E-3</v>
      </c>
      <c r="BL101" s="62">
        <f>IF(COUNTIFS(allFYsTable[Code], SummaryTable[[#This Row],[Code]], allFYsTable[year2], BL$3)=0, NotFound, SUMIFS(allFYsTable[OriginalBudget], allFYsTable[Code], SummaryTable[[#This Row],[Code]], allFYsTable[year2], BL$3))</f>
        <v>689</v>
      </c>
      <c r="BM101" s="61">
        <f>SummaryTable[[#This Row],[OriginalBudget20]]-SummaryTable[[#This Row],[OriginalBudget19]]</f>
        <v>-86</v>
      </c>
      <c r="BN101" s="54">
        <f>SummaryTable[[#This Row],[BudgetIncreaseAmount20]]/SummaryTable[[#This Row],[OriginalBudget19]]</f>
        <v>-0.11096774193548387</v>
      </c>
      <c r="BO101" s="61">
        <f>IF(COUNTIFS(allFYsTable[Code], SummaryTable[[#This Row],[Code]], allFYsTable[year2], BL$3)=0, NotFound, SUMIFS(allFYsTable[RevisedBudget], allFYsTable[Code], SummaryTable[[#This Row],[Code]], allFYsTable[year2], BL$3))</f>
        <v>615</v>
      </c>
      <c r="BP101" s="61">
        <f>IF(COUNTIFS(allFYsTable[Code], SummaryTable[[#This Row],[Code]], allFYsTable[year2], BL$3)=0, NotFound, SUMIFS(allFYsTable[Actual], allFYsTable[Code], SummaryTable[[#This Row],[Code]], allFYsTable[year2], BL$3))</f>
        <v>607</v>
      </c>
      <c r="BQ101" s="61">
        <f>IF(COUNTIFS(allFYsTable[Code], SummaryTable[[#This Row],[Code]], allFYsTable[year2], BL$3)=0, NotFound, SUMIFS(allFYsTable[DiffAmount], allFYsTable[Code], SummaryTable[[#This Row],[Code]], allFYsTable[year2], BL$3))</f>
        <v>-82</v>
      </c>
      <c r="BR101" s="63">
        <f>IF(SummaryTable[[#This Row],[OriginalBudget20]]=0, IF(SummaryTable[[#This Row],[DiffAmount20]]=0, ZeroBudgetNoSpending, ZeroBudgetWithSpending), SummaryTable[[#This Row],[DiffAmount20]]/SummaryTable[[#This Row],[OriginalBudget20]])</f>
        <v>-0.11901306240928883</v>
      </c>
      <c r="BS101" s="62">
        <f>IF(COUNTIFS(allFYsTable[Code], SummaryTable[[#This Row],[Code]], allFYsTable[year2], BS$3)=0, NotFound, SUMIFS(allFYsTable[OriginalBudget], allFYsTable[Code], SummaryTable[[#This Row],[Code]], allFYsTable[year2], BS$3))</f>
        <v>775</v>
      </c>
      <c r="BT101" s="61">
        <f>SummaryTable[[#This Row],[OriginalBudget19]]-SummaryTable[[#This Row],[OriginalBudget18]]</f>
        <v>775</v>
      </c>
      <c r="BU101" s="54" t="e">
        <f>SummaryTable[[#This Row],[BudgetIncreaseAmount19]]/SummaryTable[[#This Row],[OriginalBudget18]]</f>
        <v>#DIV/0!</v>
      </c>
      <c r="BV101" s="61">
        <f>IF(COUNTIFS(allFYsTable[Code], SummaryTable[[#This Row],[Code]], allFYsTable[year2], BS$3)=0, NotFound, SUMIFS(allFYsTable[RevisedBudget], allFYsTable[Code], SummaryTable[[#This Row],[Code]], allFYsTable[year2], BS$3))</f>
        <v>680</v>
      </c>
      <c r="BW101" s="61">
        <f>IF(COUNTIFS(allFYsTable[Code], SummaryTable[[#This Row],[Code]], allFYsTable[year2], BS$3)=0, NotFound, SUMIFS(allFYsTable[Actual], allFYsTable[Code], SummaryTable[[#This Row],[Code]], allFYsTable[year2], BS$3))</f>
        <v>611</v>
      </c>
      <c r="BX101" s="61">
        <f>IF(COUNTIFS(allFYsTable[Code], SummaryTable[[#This Row],[Code]], allFYsTable[year2], BS$3)=0, NotFound, SUMIFS(allFYsTable[DiffAmount], allFYsTable[Code], SummaryTable[[#This Row],[Code]], allFYsTable[year2], BS$3))</f>
        <v>-164</v>
      </c>
      <c r="BY101" s="63">
        <f>IF(SummaryTable[[#This Row],[OriginalBudget19]]=0, IF(SummaryTable[[#This Row],[DiffAmount19]]=0, ZeroBudgetNoSpending, ZeroBudgetWithSpending), SummaryTable[[#This Row],[DiffAmount19]]/SummaryTable[[#This Row],[OriginalBudget19]])</f>
        <v>-0.21161290322580645</v>
      </c>
      <c r="BZ101" s="62">
        <f>IF(COUNTIFS(allFYsTable[Code], SummaryTable[[#This Row],[Code]], allFYsTable[year2], BZ$3)=0, NotFound, SUMIFS(allFYsTable[OriginalBudget], allFYsTable[Code], SummaryTable[[#This Row],[Code]], allFYsTable[year2], BZ$3))</f>
        <v>0</v>
      </c>
      <c r="CA101" s="61">
        <f>SummaryTable[[#This Row],[OriginalBudget18]]-SummaryTable[[#This Row],[OriginalBudget17]]</f>
        <v>0</v>
      </c>
      <c r="CB101" s="54" t="e">
        <f>SummaryTable[[#This Row],[BudgetIncreaseAmount18]]/SummaryTable[[#This Row],[OriginalBudget17]]</f>
        <v>#DIV/0!</v>
      </c>
      <c r="CC101" s="61">
        <f>IF(COUNTIFS(allFYsTable[Code], SummaryTable[[#This Row],[Code]], allFYsTable[year2], BZ$3)=0, NotFound, SUMIFS(allFYsTable[RevisedBudget], allFYsTable[Code], SummaryTable[[#This Row],[Code]], allFYsTable[year2], BZ$3))</f>
        <v>0</v>
      </c>
      <c r="CD101" s="61">
        <f>IF(COUNTIFS(allFYsTable[Code], SummaryTable[[#This Row],[Code]], allFYsTable[year2], BZ$3)=0, NotFound, SUMIFS(allFYsTable[Actual], allFYsTable[Code], SummaryTable[[#This Row],[Code]], allFYsTable[year2], BZ$3))</f>
        <v>0</v>
      </c>
      <c r="CE101" s="61">
        <f>IF(COUNTIFS(allFYsTable[Code], SummaryTable[[#This Row],[Code]], allFYsTable[year2], BZ$3)=0, NotFound, SUMIFS(allFYsTable[DiffAmount], allFYsTable[Code], SummaryTable[[#This Row],[Code]], allFYsTable[year2], BZ$3))</f>
        <v>0</v>
      </c>
      <c r="CF101" s="63">
        <f>IF(SummaryTable[[#This Row],[OriginalBudget18]]=0, IF(SummaryTable[[#This Row],[DiffAmount18]]=0, ZeroBudgetNoSpending, ZeroBudgetWithSpending), SummaryTable[[#This Row],[DiffAmount18]]/SummaryTable[[#This Row],[OriginalBudget18]])</f>
        <v>0</v>
      </c>
      <c r="CG101" s="62">
        <f>IF(COUNTIFS(allFYsTable[Code], SummaryTable[[#This Row],[Code]], allFYsTable[year2], CG$3)=0, NotFound, SUMIFS(allFYsTable[OriginalBudget], allFYsTable[Code], SummaryTable[[#This Row],[Code]], allFYsTable[year2], CG$3))</f>
        <v>0</v>
      </c>
      <c r="CH101" s="61">
        <f>SummaryTable[[#This Row],[OriginalBudget17]]-SummaryTable[[#This Row],[OriginalBudget16]]</f>
        <v>0</v>
      </c>
      <c r="CI101" s="54" t="e">
        <f>SummaryTable[[#This Row],[BudgetIncreaseAmount17]]/SummaryTable[[#This Row],[OriginalBudget16]]</f>
        <v>#DIV/0!</v>
      </c>
      <c r="CJ101" s="61">
        <f>IF(COUNTIFS(allFYsTable[Code], SummaryTable[[#This Row],[Code]], allFYsTable[year2], CG$3)=0, NotFound, SUMIFS(allFYsTable[RevisedBudget], allFYsTable[Code], SummaryTable[[#This Row],[Code]], allFYsTable[year2], CG$3))</f>
        <v>0</v>
      </c>
      <c r="CK101" s="61">
        <f>IF(COUNTIFS(allFYsTable[Code], SummaryTable[[#This Row],[Code]], allFYsTable[year2], CG$3)=0, NotFound, SUMIFS(allFYsTable[Actual], allFYsTable[Code], SummaryTable[[#This Row],[Code]], allFYsTable[year2], CG$3))</f>
        <v>0</v>
      </c>
      <c r="CL101" s="61">
        <f>IF(COUNTIFS(allFYsTable[Code], SummaryTable[[#This Row],[Code]], allFYsTable[year2], CG$3)=0, NotFound, SUMIFS(allFYsTable[DiffAmount], allFYsTable[Code], SummaryTable[[#This Row],[Code]], allFYsTable[year2], CG$3))</f>
        <v>0</v>
      </c>
      <c r="CM101" s="63">
        <f>IF(SummaryTable[[#This Row],[OriginalBudget17]]=0, IF(SummaryTable[[#This Row],[DiffAmount17]]=0, ZeroBudgetNoSpending, ZeroBudgetWithSpending), SummaryTable[[#This Row],[DiffAmount17]]/SummaryTable[[#This Row],[OriginalBudget17]])</f>
        <v>0</v>
      </c>
      <c r="CN101" s="62">
        <f>IF(COUNTIFS(allFYsTable[Code], SummaryTable[[#This Row],[Code]], allFYsTable[year2], CN$3)=0, NotFound, SUMIFS(allFYsTable[OriginalBudget], allFYsTable[Code], SummaryTable[[#This Row],[Code]], allFYsTable[year2], CN$3))</f>
        <v>0</v>
      </c>
      <c r="CO101" s="61">
        <f>SummaryTable[[#This Row],[OriginalBudget16]]-SummaryTable[[#This Row],[OriginalBudget15]]</f>
        <v>0</v>
      </c>
      <c r="CP101" s="54" t="e">
        <f>SummaryTable[[#This Row],[BudgetIncreaseAmount16]]/SummaryTable[[#This Row],[OriginalBudget15]]</f>
        <v>#DIV/0!</v>
      </c>
      <c r="CQ101" s="61">
        <f>IF(COUNTIFS(allFYsTable[Code], SummaryTable[[#This Row],[Code]], allFYsTable[year2], CN$3)=0, NotFound, SUMIFS(allFYsTable[RevisedBudget], allFYsTable[Code], SummaryTable[[#This Row],[Code]], allFYsTable[year2], CN$3))</f>
        <v>0</v>
      </c>
      <c r="CR101" s="61">
        <f>IF(COUNTIFS(allFYsTable[Code], SummaryTable[[#This Row],[Code]], allFYsTable[year2], CN$3)=0, NotFound, SUMIFS(allFYsTable[Actual], allFYsTable[Code], SummaryTable[[#This Row],[Code]], allFYsTable[year2], CN$3))</f>
        <v>0</v>
      </c>
      <c r="CS101" s="61">
        <f>IF(COUNTIFS(allFYsTable[Code], SummaryTable[[#This Row],[Code]], allFYsTable[year2], CN$3)=0, NotFound, SUMIFS(allFYsTable[DiffAmount], allFYsTable[Code], SummaryTable[[#This Row],[Code]], allFYsTable[year2], CN$3))</f>
        <v>0</v>
      </c>
      <c r="CT101" s="63">
        <f>IF(SummaryTable[[#This Row],[OriginalBudget16]]=0, IF(SummaryTable[[#This Row],[DiffAmount16]]=0, ZeroBudgetNoSpending, ZeroBudgetWithSpending), SummaryTable[[#This Row],[DiffAmount16]]/SummaryTable[[#This Row],[OriginalBudget16]])</f>
        <v>0</v>
      </c>
      <c r="CU101" s="62">
        <f>IF(COUNTIFS(allFYsTable[Code], SummaryTable[[#This Row],[Code]], allFYsTable[year2], CU$3)=0, NotFound, SUMIFS(allFYsTable[OriginalBudget], allFYsTable[Code], SummaryTable[[#This Row],[Code]], allFYsTable[year2], CU$3))</f>
        <v>0</v>
      </c>
      <c r="CV101" s="61">
        <f>SummaryTable[[#This Row],[OriginalBudget15]]-SummaryTable[[#This Row],[OriginalBudget14]]</f>
        <v>0</v>
      </c>
      <c r="CW101" s="54" t="e">
        <f>SummaryTable[[#This Row],[BudgetIncreaseAmount15]]/SummaryTable[[#This Row],[OriginalBudget14]]</f>
        <v>#DIV/0!</v>
      </c>
      <c r="CX101" s="61">
        <f>IF(COUNTIFS(allFYsTable[Code], SummaryTable[[#This Row],[Code]], allFYsTable[year2], CU$3)=0, NotFound, SUMIFS(allFYsTable[RevisedBudget], allFYsTable[Code], SummaryTable[[#This Row],[Code]], allFYsTable[year2], CU$3))</f>
        <v>0</v>
      </c>
      <c r="CY101" s="61">
        <f>IF(COUNTIFS(allFYsTable[Code], SummaryTable[[#This Row],[Code]], allFYsTable[year2], CU$3)=0, NotFound, SUMIFS(allFYsTable[Actual], allFYsTable[Code], SummaryTable[[#This Row],[Code]], allFYsTable[year2], CU$3))</f>
        <v>0</v>
      </c>
      <c r="CZ101" s="61">
        <f>IF(COUNTIFS(allFYsTable[Code], SummaryTable[[#This Row],[Code]], allFYsTable[year2], CU$3)=0, NotFound, SUMIFS(allFYsTable[DiffAmount], allFYsTable[Code], SummaryTable[[#This Row],[Code]], allFYsTable[year2], CU$3))</f>
        <v>0</v>
      </c>
      <c r="DA101" s="63">
        <f>IF(SummaryTable[[#This Row],[OriginalBudget15]]=0, IF(SummaryTable[[#This Row],[DiffAmount15]]=0, ZeroBudgetNoSpending, ZeroBudgetWithSpending), SummaryTable[[#This Row],[DiffAmount15]]/SummaryTable[[#This Row],[OriginalBudget15]])</f>
        <v>0</v>
      </c>
      <c r="DB101" s="62">
        <f>IF(COUNTIFS(allFYsTable[Code], SummaryTable[[#This Row],[Code]], allFYsTable[year2], DB$3)=0, NotFound, SUMIFS(allFYsTable[OriginalBudget], allFYsTable[Code], SummaryTable[[#This Row],[Code]], allFYsTable[year2], DB$3))</f>
        <v>0</v>
      </c>
      <c r="DC101" s="61">
        <f>SummaryTable[[#This Row],[OriginalBudget14]]-SummaryTable[[#This Row],[OriginalBudget13]]</f>
        <v>0</v>
      </c>
      <c r="DD101" s="54" t="e">
        <f>SummaryTable[[#This Row],[BudgetIncreaseAmount14]]/SummaryTable[[#This Row],[OriginalBudget13]]</f>
        <v>#DIV/0!</v>
      </c>
      <c r="DE101" s="61">
        <f>IF(COUNTIFS(allFYsTable[Code], SummaryTable[[#This Row],[Code]], allFYsTable[year2], DB$3)=0, NotFound, SUMIFS(allFYsTable[RevisedBudget], allFYsTable[Code], SummaryTable[[#This Row],[Code]], allFYsTable[year2], DB$3))</f>
        <v>0</v>
      </c>
      <c r="DF101" s="61">
        <f>IF(COUNTIFS(allFYsTable[Code], SummaryTable[[#This Row],[Code]], allFYsTable[year2], DB$3)=0, NotFound, SUMIFS(allFYsTable[Actual], allFYsTable[Code], SummaryTable[[#This Row],[Code]], allFYsTable[year2], DB$3))</f>
        <v>0</v>
      </c>
      <c r="DG101" s="61">
        <f>IF(COUNTIFS(allFYsTable[Code], SummaryTable[[#This Row],[Code]], allFYsTable[year2], DB$3)=0, NotFound, SUMIFS(allFYsTable[DiffAmount], allFYsTable[Code], SummaryTable[[#This Row],[Code]], allFYsTable[year2], DB$3))</f>
        <v>0</v>
      </c>
      <c r="DH101" s="63">
        <f>IF(SummaryTable[[#This Row],[OriginalBudget14]]=0, IF(SummaryTable[[#This Row],[DiffAmount14]]=0, ZeroBudgetNoSpending, ZeroBudgetWithSpending), SummaryTable[[#This Row],[DiffAmount14]]/SummaryTable[[#This Row],[OriginalBudget14]])</f>
        <v>0</v>
      </c>
      <c r="DI101" s="62">
        <f>IF(COUNTIFS(allFYsTable[Code], SummaryTable[[#This Row],[Code]], allFYsTable[year2], DI$3)=0, NotFound, SUMIFS(allFYsTable[OriginalBudget], allFYsTable[Code], SummaryTable[[#This Row],[Code]], allFYsTable[year2], DI$3))</f>
        <v>0</v>
      </c>
      <c r="DJ101" s="61">
        <f>SummaryTable[[#This Row],[OriginalBudget13]]-SummaryTable[[#This Row],[OriginalBudget12]]</f>
        <v>0</v>
      </c>
      <c r="DK101" s="54" t="e">
        <f>SummaryTable[[#This Row],[BudgetIncreaseAmount13]]/SummaryTable[[#This Row],[OriginalBudget12]]</f>
        <v>#DIV/0!</v>
      </c>
      <c r="DL101" s="61">
        <f>IF(COUNTIFS(allFYsTable[Code], SummaryTable[[#This Row],[Code]], allFYsTable[year2], DI$3)=0, NotFound, SUMIFS(allFYsTable[RevisedBudget], allFYsTable[Code], SummaryTable[[#This Row],[Code]], allFYsTable[year2], DI$3))</f>
        <v>0</v>
      </c>
      <c r="DM101" s="61">
        <f>IF(COUNTIFS(allFYsTable[Code], SummaryTable[[#This Row],[Code]], allFYsTable[year2], DI$3)=0, NotFound, SUMIFS(allFYsTable[Actual], allFYsTable[Code], SummaryTable[[#This Row],[Code]], allFYsTable[year2], DI$3))</f>
        <v>0</v>
      </c>
      <c r="DN101" s="61">
        <f>IF(COUNTIFS(allFYsTable[Code], SummaryTable[[#This Row],[Code]], allFYsTable[year2], DI$3)=0, NotFound, SUMIFS(allFYsTable[DiffAmount], allFYsTable[Code], SummaryTable[[#This Row],[Code]], allFYsTable[year2], DI$3))</f>
        <v>0</v>
      </c>
      <c r="DO101" s="63">
        <f>IF(SummaryTable[[#This Row],[OriginalBudget13]]=0, IF(SummaryTable[[#This Row],[DiffAmount13]]=0, ZeroBudgetNoSpending, ZeroBudgetWithSpending), SummaryTable[[#This Row],[DiffAmount13]]/SummaryTable[[#This Row],[OriginalBudget13]])</f>
        <v>0</v>
      </c>
      <c r="DP101" s="62">
        <f>IF(COUNTIFS(allFYsTable[Code], SummaryTable[[#This Row],[Code]], allFYsTable[year2], DP$3)=0, NotFound, SUMIFS(allFYsTable[OriginalBudget], allFYsTable[Code], SummaryTable[[#This Row],[Code]], allFYsTable[year2], DP$3))</f>
        <v>0</v>
      </c>
      <c r="DQ101" s="61">
        <f>SummaryTable[[#This Row],[OriginalBudget12]]-SummaryTable[[#This Row],[OriginalBudget11]]</f>
        <v>0</v>
      </c>
      <c r="DR101" s="54" t="e">
        <f>SummaryTable[[#This Row],[BudgetIncreaseAmount12]]/SummaryTable[[#This Row],[OriginalBudget11]]</f>
        <v>#DIV/0!</v>
      </c>
      <c r="DS101" s="61">
        <f>IF(COUNTIFS(allFYsTable[Code], SummaryTable[[#This Row],[Code]], allFYsTable[year2], DP$3)=0, NotFound, SUMIFS(allFYsTable[RevisedBudget], allFYsTable[Code], SummaryTable[[#This Row],[Code]], allFYsTable[year2], DP$3))</f>
        <v>0</v>
      </c>
      <c r="DT101" s="61">
        <f>IF(COUNTIFS(allFYsTable[Code], SummaryTable[[#This Row],[Code]], allFYsTable[year2], DP$3)=0, NotFound, SUMIFS(allFYsTable[Actual], allFYsTable[Code], SummaryTable[[#This Row],[Code]], allFYsTable[year2], DP$3))</f>
        <v>0</v>
      </c>
      <c r="DU101" s="61">
        <f>IF(COUNTIFS(allFYsTable[Code], SummaryTable[[#This Row],[Code]], allFYsTable[year2], DP$3)=0, NotFound, SUMIFS(allFYsTable[DiffAmount], allFYsTable[Code], SummaryTable[[#This Row],[Code]], allFYsTable[year2], DP$3))</f>
        <v>0</v>
      </c>
      <c r="DV101" s="63">
        <f>IF(SummaryTable[[#This Row],[OriginalBudget12]]=0, IF(SummaryTable[[#This Row],[DiffAmount12]]=0, ZeroBudgetNoSpending, ZeroBudgetWithSpending), SummaryTable[[#This Row],[DiffAmount12]]/SummaryTable[[#This Row],[OriginalBudget12]])</f>
        <v>0</v>
      </c>
      <c r="DW101" s="62">
        <f>IF(COUNTIFS(allFYsTable[Code], SummaryTable[[#This Row],[Code]], allFYsTable[year2], DW$3)=0, NotFound, SUMIFS(allFYsTable[OriginalBudget], allFYsTable[Code], SummaryTable[[#This Row],[Code]], allFYsTable[year2], DW$3))</f>
        <v>0</v>
      </c>
      <c r="DX101" s="61">
        <f>SummaryTable[[#This Row],[OriginalBudget11]]-SummaryTable[[#This Row],[OriginalBudget10]]</f>
        <v>0</v>
      </c>
      <c r="DY101" s="54" t="e">
        <f>SummaryTable[[#This Row],[BudgetIncreaseAmount11]]/SummaryTable[[#This Row],[OriginalBudget10]]</f>
        <v>#DIV/0!</v>
      </c>
      <c r="DZ101" s="61">
        <f>IF(COUNTIFS(allFYsTable[Code], SummaryTable[[#This Row],[Code]], allFYsTable[year2], DW$3)=0, NotFound, SUMIFS(allFYsTable[RevisedBudget], allFYsTable[Code], SummaryTable[[#This Row],[Code]], allFYsTable[year2], DW$3))</f>
        <v>0</v>
      </c>
      <c r="EA101" s="61">
        <f>IF(COUNTIFS(allFYsTable[Code], SummaryTable[[#This Row],[Code]], allFYsTable[year2], DW$3)=0, NotFound, SUMIFS(allFYsTable[Actual], allFYsTable[Code], SummaryTable[[#This Row],[Code]], allFYsTable[year2], DW$3))</f>
        <v>0</v>
      </c>
      <c r="EB101" s="61">
        <f>IF(COUNTIFS(allFYsTable[Code], SummaryTable[[#This Row],[Code]], allFYsTable[year2], DW$3)=0, NotFound, SUMIFS(allFYsTable[DiffAmount], allFYsTable[Code], SummaryTable[[#This Row],[Code]], allFYsTable[year2], DW$3))</f>
        <v>0</v>
      </c>
      <c r="EC101" s="63">
        <f>IF(SummaryTable[[#This Row],[OriginalBudget11]]=0, IF(SummaryTable[[#This Row],[DiffAmount11]]=0, ZeroBudgetNoSpending, ZeroBudgetWithSpending), SummaryTable[[#This Row],[DiffAmount11]]/SummaryTable[[#This Row],[OriginalBudget11]])</f>
        <v>0</v>
      </c>
      <c r="ED101" s="62">
        <f>IF(COUNTIFS(allFYsTable[Code], SummaryTable[[#This Row],[Code]], allFYsTable[year2], ED$3)=0, NotFound, SUMIFS(allFYsTable[OriginalBudget], allFYsTable[Code], SummaryTable[[#This Row],[Code]], allFYsTable[year2], ED$3))</f>
        <v>0</v>
      </c>
      <c r="EE101" s="61">
        <f>SummaryTable[[#This Row],[OriginalBudget10]]-SummaryTable[[#This Row],[OriginalBudget09]]</f>
        <v>0</v>
      </c>
      <c r="EF101" s="54" t="e">
        <f>SummaryTable[[#This Row],[BudgetIncreaseAmount10]]/SummaryTable[[#This Row],[OriginalBudget09]]</f>
        <v>#DIV/0!</v>
      </c>
      <c r="EG101" s="61">
        <f>IF(COUNTIFS(allFYsTable[Code], SummaryTable[[#This Row],[Code]], allFYsTable[year2], ED$3)=0, NotFound, SUMIFS(allFYsTable[RevisedBudget], allFYsTable[Code], SummaryTable[[#This Row],[Code]], allFYsTable[year2], ED$3))</f>
        <v>0</v>
      </c>
      <c r="EH101" s="61">
        <f>IF(COUNTIFS(allFYsTable[Code], SummaryTable[[#This Row],[Code]], allFYsTable[year2], ED$3)=0, NotFound, SUMIFS(allFYsTable[Actual], allFYsTable[Code], SummaryTable[[#This Row],[Code]], allFYsTable[year2], ED$3))</f>
        <v>0</v>
      </c>
      <c r="EI101" s="61">
        <f>IF(COUNTIFS(allFYsTable[Code], SummaryTable[[#This Row],[Code]], allFYsTable[year2], ED$3)=0, NotFound, SUMIFS(allFYsTable[DiffAmount], allFYsTable[Code], SummaryTable[[#This Row],[Code]], allFYsTable[year2], ED$3))</f>
        <v>0</v>
      </c>
      <c r="EJ101" s="63">
        <f>IF(SummaryTable[[#This Row],[OriginalBudget10]]=0, IF(SummaryTable[[#This Row],[DiffAmount10]]=0, ZeroBudgetNoSpending, ZeroBudgetWithSpending), SummaryTable[[#This Row],[DiffAmount10]]/SummaryTable[[#This Row],[OriginalBudget10]])</f>
        <v>0</v>
      </c>
      <c r="EK101" s="62">
        <f>IF(COUNTIFS(allFYsTable[Code], SummaryTable[[#This Row],[Code]], allFYsTable[year2], EK$3)=0, NotFound, SUMIFS(allFYsTable[OriginalBudget], allFYsTable[Code], SummaryTable[[#This Row],[Code]], allFYsTable[year2], EK$3))</f>
        <v>0</v>
      </c>
      <c r="EL101" s="61">
        <f>SummaryTable[[#This Row],[OriginalBudget09]]-SummaryTable[[#This Row],[OriginalBudget08]]</f>
        <v>0</v>
      </c>
      <c r="EM101" s="54" t="e">
        <f>SummaryTable[[#This Row],[BudgetIncreaseAmount09]]/SummaryTable[[#This Row],[OriginalBudget08]]</f>
        <v>#DIV/0!</v>
      </c>
      <c r="EN101" s="61">
        <f>IF(COUNTIFS(allFYsTable[Code], SummaryTable[[#This Row],[Code]], allFYsTable[year2], EK$3)=0, NotFound, SUMIFS(allFYsTable[RevisedBudget], allFYsTable[Code], SummaryTable[[#This Row],[Code]], allFYsTable[year2], EK$3))</f>
        <v>0</v>
      </c>
      <c r="EO101" s="61">
        <f>IF(COUNTIFS(allFYsTable[Code], SummaryTable[[#This Row],[Code]], allFYsTable[year2], EK$3)=0, NotFound, SUMIFS(allFYsTable[Actual], allFYsTable[Code], SummaryTable[[#This Row],[Code]], allFYsTable[year2], EK$3))</f>
        <v>0</v>
      </c>
      <c r="EP101" s="61">
        <f>IF(COUNTIFS(allFYsTable[Code], SummaryTable[[#This Row],[Code]], allFYsTable[year2], EK$3)=0, NotFound, SUMIFS(allFYsTable[DiffAmount], allFYsTable[Code], SummaryTable[[#This Row],[Code]], allFYsTable[year2], EK$3))</f>
        <v>0</v>
      </c>
      <c r="EQ101" s="63">
        <f>IF(SummaryTable[[#This Row],[OriginalBudget09]]=0, IF(SummaryTable[[#This Row],[DiffAmount09]]=0, ZeroBudgetNoSpending, ZeroBudgetWithSpending), SummaryTable[[#This Row],[DiffAmount09]]/SummaryTable[[#This Row],[OriginalBudget09]])</f>
        <v>0</v>
      </c>
      <c r="ER101" s="62">
        <f>IF(COUNTIFS(allFYsTable[Code], SummaryTable[[#This Row],[Code]], allFYsTable[year2], ER$3)=0, NotFound, SUMIFS(allFYsTable[OriginalBudget], allFYsTable[Code], SummaryTable[[#This Row],[Code]], allFYsTable[year2], ER$3))</f>
        <v>0</v>
      </c>
      <c r="ES101" s="61">
        <f>SummaryTable[[#This Row],[OriginalBudget08]]-SummaryTable[[#This Row],[OriginalBudget07]]</f>
        <v>0</v>
      </c>
      <c r="ET101" s="54" t="e">
        <f>SummaryTable[[#This Row],[BudgetIncreaseAmount08]]/SummaryTable[[#This Row],[OriginalBudget07]]</f>
        <v>#DIV/0!</v>
      </c>
      <c r="EU101" s="61">
        <f>IF(COUNTIFS(allFYsTable[Code], SummaryTable[[#This Row],[Code]], allFYsTable[year2], ER$3)=0, NotFound, SUMIFS(allFYsTable[RevisedBudget], allFYsTable[Code], SummaryTable[[#This Row],[Code]], allFYsTable[year2], ER$3))</f>
        <v>0</v>
      </c>
      <c r="EV101" s="61">
        <f>IF(COUNTIFS(allFYsTable[Code], SummaryTable[[#This Row],[Code]], allFYsTable[year2], ER$3)=0, NotFound, SUMIFS(allFYsTable[Actual], allFYsTable[Code], SummaryTable[[#This Row],[Code]], allFYsTable[year2], ER$3))</f>
        <v>0</v>
      </c>
      <c r="EW101" s="61">
        <f>IF(COUNTIFS(allFYsTable[Code], SummaryTable[[#This Row],[Code]], allFYsTable[year2], ER$3)=0, NotFound, SUMIFS(allFYsTable[DiffAmount], allFYsTable[Code], SummaryTable[[#This Row],[Code]], allFYsTable[year2], ER$3))</f>
        <v>0</v>
      </c>
      <c r="EX101" s="63">
        <f>IF(SummaryTable[[#This Row],[OriginalBudget08]]=0, IF(SummaryTable[[#This Row],[DiffAmount08]]=0, ZeroBudgetNoSpending, ZeroBudgetWithSpending), SummaryTable[[#This Row],[DiffAmount08]]/SummaryTable[[#This Row],[OriginalBudget08]])</f>
        <v>0</v>
      </c>
      <c r="EY101" s="62">
        <f>IF(COUNTIFS(allFYsTable[Code], SummaryTable[[#This Row],[Code]], allFYsTable[year2], EY$3)=0, NotFound, SUMIFS(allFYsTable[OriginalBudget], allFYsTable[Code], SummaryTable[[#This Row],[Code]], allFYsTable[year2], EY$3))</f>
        <v>0</v>
      </c>
      <c r="EZ101" s="61">
        <f>SummaryTable[[#This Row],[OriginalBudget07]]-SummaryTable[[#This Row],[OriginalBudget06]]</f>
        <v>0</v>
      </c>
      <c r="FA101" s="54" t="e">
        <f>SummaryTable[[#This Row],[BudgetIncreaseAmount07]]/SummaryTable[[#This Row],[OriginalBudget06]]</f>
        <v>#DIV/0!</v>
      </c>
      <c r="FB101" s="61">
        <f>IF(COUNTIFS(allFYsTable[Code], SummaryTable[[#This Row],[Code]], allFYsTable[year2], EY$3)=0, NotFound, SUMIFS(allFYsTable[RevisedBudget], allFYsTable[Code], SummaryTable[[#This Row],[Code]], allFYsTable[year2], EY$3))</f>
        <v>0</v>
      </c>
      <c r="FC101" s="61">
        <f>IF(COUNTIFS(allFYsTable[Code], SummaryTable[[#This Row],[Code]], allFYsTable[year2], EY$3)=0, NotFound, SUMIFS(allFYsTable[Actual], allFYsTable[Code], SummaryTable[[#This Row],[Code]], allFYsTable[year2], EY$3))</f>
        <v>0</v>
      </c>
      <c r="FD101" s="61">
        <f>IF(COUNTIFS(allFYsTable[Code], SummaryTable[[#This Row],[Code]], allFYsTable[year2], EY$3)=0, NotFound, SUMIFS(allFYsTable[DiffAmount], allFYsTable[Code], SummaryTable[[#This Row],[Code]], allFYsTable[year2], EY$3))</f>
        <v>0</v>
      </c>
      <c r="FE101" s="63">
        <f>IF(SummaryTable[[#This Row],[OriginalBudget07]]=0, IF(SummaryTable[[#This Row],[DiffAmount07]]=0, ZeroBudgetNoSpending, ZeroBudgetWithSpending), SummaryTable[[#This Row],[DiffAmount07]]/SummaryTable[[#This Row],[OriginalBudget07]])</f>
        <v>0</v>
      </c>
      <c r="FF101" s="62">
        <f>IF(COUNTIFS(allFYsTable[Code], SummaryTable[[#This Row],[Code]], allFYsTable[year2], FF$3)=0, NotFound, SUMIFS(allFYsTable[OriginalBudget], allFYsTable[Code], SummaryTable[[#This Row],[Code]], allFYsTable[year2], FF$3))</f>
        <v>0</v>
      </c>
      <c r="FI101" s="61">
        <f>IF(COUNTIFS(allFYsTable[Code], SummaryTable[[#This Row],[Code]], allFYsTable[year2], FF$3)=0, NotFound, SUMIFS(allFYsTable[RevisedBudget], allFYsTable[Code], SummaryTable[[#This Row],[Code]], allFYsTable[year2], FF$3))</f>
        <v>0</v>
      </c>
      <c r="FJ101" s="61">
        <f>IF(COUNTIFS(allFYsTable[Code], SummaryTable[[#This Row],[Code]], allFYsTable[year2], FF$3)=0, NotFound, SUMIFS(allFYsTable[Actual], allFYsTable[Code], SummaryTable[[#This Row],[Code]], allFYsTable[year2], FF$3))</f>
        <v>0</v>
      </c>
      <c r="FK101" s="61">
        <f>IF(COUNTIFS(allFYsTable[Code], SummaryTable[[#This Row],[Code]], allFYsTable[year2], FF$3)=0, NotFound, SUMIFS(allFYsTable[DiffAmount], allFYsTable[Code], SummaryTable[[#This Row],[Code]], allFYsTable[year2], FF$3))</f>
        <v>0</v>
      </c>
      <c r="FL101" s="63">
        <f>IF(SummaryTable[[#This Row],[OriginalBudget06]]=0, IF(SummaryTable[[#This Row],[DiffAmount06]]=0, ZeroBudgetNoSpending, ZeroBudgetWithSpending), SummaryTable[[#This Row],[DiffAmount06]]/SummaryTable[[#This Row],[OriginalBudget06]])</f>
        <v>0</v>
      </c>
    </row>
    <row r="102" spans="1:168" x14ac:dyDescent="0.45">
      <c r="A102" t="s">
        <v>725</v>
      </c>
      <c r="B102">
        <f>_xlfn.MAXIFS(allFYsTable[year2], allFYsTable[Code], SummaryTable[[#This Row],[Code]])</f>
        <v>2025</v>
      </c>
      <c r="C102" t="str">
        <f>_xlfn.XLOOKUP(SummaryTable[[#This Row],[Code]], NameCodingTable[Code], NameCodingTable[Most Recent Category per allFYs])</f>
        <v>Governmental direction and support</v>
      </c>
      <c r="D102" t="str">
        <f>_xlfn.XLOOKUP(SummaryTable[[#This Row],[Code]], NameCodingTable[Code], NameCodingTable[Unit Display Name])</f>
        <v>Office of the Secretary</v>
      </c>
      <c r="E102" t="str">
        <f>_xlfn.XLOOKUP(SummaryTable[[#This Row],[Code]], NameCodingTable[Code], NameCodingTable[Type])</f>
        <v>agency</v>
      </c>
      <c r="F10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0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11</v>
      </c>
      <c r="H102" s="54">
        <f>SummaryTable[[#This Row],['# Over]]/SummaryTable[[#This Row],[Count]]</f>
        <v>0.55000000000000004</v>
      </c>
      <c r="I10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9</v>
      </c>
      <c r="J102" s="54">
        <f>SummaryTable[[#This Row],['# Under]]/SummaryTable[[#This Row],[Count]]</f>
        <v>0.45</v>
      </c>
      <c r="K10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02" s="54">
        <f>SummaryTable[[#This Row],['# Equal]]/SummaryTable[[#This Row],[Count]]</f>
        <v>0</v>
      </c>
      <c r="M102" s="61">
        <f>SUMIFS(allFYsTable[OriginalBudget],allFYsTable[Code],SummaryTable[[#This Row],[Code]])/SummaryTable[[#This Row],[Count]]</f>
        <v>3336.75</v>
      </c>
      <c r="N102" s="61">
        <f>SUMIFS(allFYsTable[Actual],allFYsTable[Code],SummaryTable[[#This Row],[Code]])/SummaryTable[[#This Row],[Count]]</f>
        <v>3270.9</v>
      </c>
      <c r="O102" s="61">
        <f>SummaryTable[[#This Row],[AvgActAmt]]-SummaryTable[[#This Row],[AvgBudAmt]]</f>
        <v>-65.849999999999909</v>
      </c>
      <c r="P102" s="54">
        <f>IF(SummaryTable[[#This Row],[AvgBudAmt]]=0, IF(SummaryTable[[#This Row],[AvgDiff'#]]=0, 0, NamedFields!$C$3), SummaryTable[[#This Row],[AvgDiff'#]]/SummaryTable[[#This Row],[AvgBudAmt]])</f>
        <v>-1.9734771858844657E-2</v>
      </c>
      <c r="Q102" s="61">
        <f>IFERROR(SUMIFS(allFYsTable[OriginalBudget],allFYsTable[Code],SummaryTable[[#This Row],[Code]],allFYsTable[DiffAmount], "&gt;0")/SummaryTable[[#This Row],['# Over]], 0)</f>
        <v>2942.2727272727275</v>
      </c>
      <c r="R102" s="61">
        <f>IFERROR(SUMIFS(allFYsTable[Actual],allFYsTable[Code],SummaryTable[[#This Row],[Code]],allFYsTable[DiffAmount], "&gt;0")/SummaryTable[[#This Row],['# Over]], 0)</f>
        <v>3187.090909090909</v>
      </c>
      <c r="S102" s="61">
        <f>SummaryTable[[#This Row],[OverAvgAct]]-SummaryTable[[#This Row],[OverAvgBud]]</f>
        <v>244.81818181818153</v>
      </c>
      <c r="T102" s="54">
        <f>IF(SummaryTable[[#This Row],[OverAvgBud]]=0, IF(SummaryTable[[#This Row],[OverAvgDiff'#]]=0, ZeroBudgetNoSpending, ZeroBudgetWithSpending), SummaryTable[[#This Row],[OverAvgDiff'#]]/SummaryTable[[#This Row],[OverAvgBud]])</f>
        <v>8.3207168237293266E-2</v>
      </c>
      <c r="U102" s="61">
        <f>IFERROR(SUMIFS(allFYsTable[OriginalBudget],allFYsTable[Code],SummaryTable[[#This Row],[Code]],allFYsTable[DiffAmount], "&lt;0")/SummaryTable[[#This Row],['# Under]], 0)</f>
        <v>3818.8888888888887</v>
      </c>
      <c r="V102" s="61">
        <f>IFERROR( SUMIFS(allFYsTable[Actual],allFYsTable[Code],SummaryTable[[#This Row],[Code]],allFYsTable[DiffAmount], "&lt;0")/SummaryTable[[#This Row],['# Under]], 0)</f>
        <v>3373.3333333333335</v>
      </c>
      <c r="W102" s="61">
        <f>SummaryTable[[#This Row],[UnderAvgAct]]-SummaryTable[[#This Row],[UnderAvgBud]]</f>
        <v>-445.5555555555552</v>
      </c>
      <c r="X102" s="54">
        <f>IF(SummaryTable[[#This Row],[UnderAvgBud]]=0, IF(SummaryTable[[#This Row],[UnderAvgDiff'#]]=0, ZeroBudgetNoSpending, NamedFields!$C$3), SummaryTable[[#This Row],[UnderAvgDiff'#]]/SummaryTable[[#This Row],[UnderAvgBud]])</f>
        <v>-0.11667151585685182</v>
      </c>
      <c r="Y10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10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2" s="54">
        <f>IF(SummaryTable[[#This Row],[IncreaseYears]]=0, ZeroBudgetNoSpending, SummaryTable[[#This Row],[OSinIncreaseYear'#]]/SummaryTable[[#This Row],[IncreaseYears]])</f>
        <v>0</v>
      </c>
      <c r="AB102" s="58" t="str">
        <f>SummaryTable[[#This Row],[Code]]</f>
        <v>BA0</v>
      </c>
      <c r="AC102" s="62">
        <f>IF(COUNTIFS(allFYsTable[Code], SummaryTable[[#This Row],[Code]], allFYsTable[year2], AC$3)=0, NotFound, SUMIFS(allFYsTable[OriginalBudget], allFYsTable[Code], SummaryTable[[#This Row],[Code]], allFYsTable[year2], AC$3))</f>
        <v>4334</v>
      </c>
      <c r="AD102" s="61">
        <f>SummaryTable[[#This Row],[OriginalBudget25]]-SummaryTable[[#This Row],[OriginalBudget24]]</f>
        <v>-98</v>
      </c>
      <c r="AE102" s="54">
        <f>SummaryTable[[#This Row],[BudgetIncreaseAmount25]]/SummaryTable[[#This Row],[OriginalBudget24]]</f>
        <v>-2.2111913357400721E-2</v>
      </c>
      <c r="AF102" s="61">
        <f>IF(COUNTIFS(allFYsTable[Code], SummaryTable[[#This Row],[Code]], allFYsTable[year2], AC$3)=0, NotFound, SUMIFS(allFYsTable[RevisedBudget], allFYsTable[Code], SummaryTable[[#This Row],[Code]], allFYsTable[year2], AC$3))</f>
        <v>4241</v>
      </c>
      <c r="AG102" s="61">
        <f>IF(COUNTIFS(allFYsTable[Code], SummaryTable[[#This Row],[Code]], allFYsTable[year2], AC$3)=0, NotFound, SUMIFS(allFYsTable[Actual], allFYsTable[Code], SummaryTable[[#This Row],[Code]], allFYsTable[year2], AC$3))</f>
        <v>4239</v>
      </c>
      <c r="AH102" s="61">
        <f>IF(COUNTIFS(allFYsTable[Code], SummaryTable[[#This Row],[Code]], allFYsTable[year2], AC$3)=0, NotFound, SUMIFS(allFYsTable[DiffAmount], allFYsTable[Code], SummaryTable[[#This Row],[Code]], allFYsTable[year2], AC$3))</f>
        <v>-95</v>
      </c>
      <c r="AI102" s="63">
        <f>IF(SummaryTable[[#This Row],[OriginalBudget25]]=0, IF(SummaryTable[[#This Row],[DiffAmount25]]=0, ZeroBudgetNoSpending, ZeroBudgetWithSpending), SummaryTable[[#This Row],[DiffAmount25]]/SummaryTable[[#This Row],[OriginalBudget25]])</f>
        <v>-2.1919704660821413E-2</v>
      </c>
      <c r="AJ102" s="62">
        <f>IF(COUNTIFS(allFYsTable[Code], SummaryTable[[#This Row],[Code]], allFYsTable[year2], AJ$3)=0, NotFound, SUMIFS(allFYsTable[OriginalBudget], allFYsTable[Code], SummaryTable[[#This Row],[Code]], allFYsTable[year2], AJ$3))</f>
        <v>4432</v>
      </c>
      <c r="AK102" s="61">
        <f>SummaryTable[[#This Row],[OriginalBudget24]]-SummaryTable[[#This Row],[OriginalBudget23]]</f>
        <v>189</v>
      </c>
      <c r="AL102" s="54">
        <f>SummaryTable[[#This Row],[BudgetIncreaseAmount24]]/SummaryTable[[#This Row],[OriginalBudget23]]</f>
        <v>4.4543954748998353E-2</v>
      </c>
      <c r="AM102" s="61">
        <f>IF(COUNTIFS(allFYsTable[Code], SummaryTable[[#This Row],[Code]], allFYsTable[year2], AK$3)=0, NotFound, SUMIFS(allFYsTable[RevisedBudget], allFYsTable[Code], SummaryTable[[#This Row],[Code]], allFYsTable[year2], AJ$3))</f>
        <v>4657</v>
      </c>
      <c r="AN102" s="61">
        <f>IF(COUNTIFS(allFYsTable[Code], SummaryTable[[#This Row],[Code]], allFYsTable[year2], AJ$3)=0, NotFound, SUMIFS(allFYsTable[Actual], allFYsTable[Code], SummaryTable[[#This Row],[Code]], allFYsTable[year2], AJ$3))</f>
        <v>4599</v>
      </c>
      <c r="AO102" s="61">
        <f>IF(COUNTIFS(allFYsTable[Code], SummaryTable[[#This Row],[Code]], allFYsTable[year2], AJ$3)=0, NotFound, SUMIFS(allFYsTable[DiffAmount], allFYsTable[Code], SummaryTable[[#This Row],[Code]], allFYsTable[year2], AJ$3))</f>
        <v>167</v>
      </c>
      <c r="AP102" s="63">
        <f>IF(SummaryTable[[#This Row],[OriginalBudget24]]=0, IF(SummaryTable[[#This Row],[DiffAmount24]]=0, ZeroBudgetNoSpending, ZeroBudgetWithSpending), SummaryTable[[#This Row],[DiffAmount24]]/SummaryTable[[#This Row],[OriginalBudget24]])</f>
        <v>3.7680505415162456E-2</v>
      </c>
      <c r="AQ102" s="62">
        <f>IF(COUNTIFS(allFYsTable[Code], SummaryTable[[#This Row],[Code]], allFYsTable[year2], AQ$3)=0, NotFound, SUMIFS(allFYsTable[OriginalBudget], allFYsTable[Code], SummaryTable[[#This Row],[Code]], allFYsTable[year2], AQ$3))</f>
        <v>4243</v>
      </c>
      <c r="AR102" s="61">
        <f>SummaryTable[[#This Row],[OriginalBudget23]]-SummaryTable[[#This Row],[OriginalBudget22]]</f>
        <v>808</v>
      </c>
      <c r="AS102" s="54">
        <f>SummaryTable[[#This Row],[BudgetIncreaseAmount23]]/SummaryTable[[#This Row],[OriginalBudget22]]</f>
        <v>0.23522561863173216</v>
      </c>
      <c r="AT102" s="61">
        <f>IF(COUNTIFS(allFYsTable[Code], SummaryTable[[#This Row],[Code]], allFYsTable[year2], AQ$3)=0, NotFound, SUMIFS(allFYsTable[RevisedBudget], allFYsTable[Code], SummaryTable[[#This Row],[Code]], allFYsTable[year2], AQ$3))</f>
        <v>4263</v>
      </c>
      <c r="AU102" s="61">
        <f>IF(COUNTIFS(allFYsTable[Code], SummaryTable[[#This Row],[Code]], allFYsTable[year2], AQ$3)=0, NotFound, SUMIFS(allFYsTable[Actual], allFYsTable[Code], SummaryTable[[#This Row],[Code]], allFYsTable[year2], AQ$3))</f>
        <v>4183</v>
      </c>
      <c r="AV102" s="61">
        <f>IF(COUNTIFS(allFYsTable[Code], SummaryTable[[#This Row],[Code]], allFYsTable[year2], AQ$3)=0, NotFound, SUMIFS(allFYsTable[DiffAmount], allFYsTable[Code], SummaryTable[[#This Row],[Code]], allFYsTable[year2], AQ$3))</f>
        <v>-60</v>
      </c>
      <c r="AW102" s="63">
        <f>IF(SummaryTable[[#This Row],[OriginalBudget23]]=0, IF(SummaryTable[[#This Row],[DiffAmount23]]=0, ZeroBudgetNoSpending, ZeroBudgetWithSpending), SummaryTable[[#This Row],[DiffAmount23]]/SummaryTable[[#This Row],[OriginalBudget23]])</f>
        <v>-1.4140938015555032E-2</v>
      </c>
      <c r="AX102" s="62">
        <f>IF(COUNTIFS(allFYsTable[Code], SummaryTable[[#This Row],[Code]], allFYsTable[year2], AX$3)=0, NotFound, SUMIFS(allFYsTable[OriginalBudget], allFYsTable[Code], SummaryTable[[#This Row],[Code]], allFYsTable[year2], AX$3))</f>
        <v>3435</v>
      </c>
      <c r="AY102" s="61">
        <f>SummaryTable[[#This Row],[OriginalBudget22]]-SummaryTable[[#This Row],[OriginalBudget21]]</f>
        <v>-271</v>
      </c>
      <c r="AZ102" s="54">
        <f>SummaryTable[[#This Row],[BudgetIncreaseAmount22]]/SummaryTable[[#This Row],[OriginalBudget21]]</f>
        <v>-7.3124662709120339E-2</v>
      </c>
      <c r="BA102" s="61">
        <f>IF(COUNTIFS(allFYsTable[Code], SummaryTable[[#This Row],[Code]], allFYsTable[year2], AX$3)=0, NotFound, SUMIFS(allFYsTable[RevisedBudget], allFYsTable[Code], SummaryTable[[#This Row],[Code]], allFYsTable[year2], AX$3))</f>
        <v>3732</v>
      </c>
      <c r="BB102" s="61">
        <f>IF(COUNTIFS(allFYsTable[Code], SummaryTable[[#This Row],[Code]], allFYsTable[year2], AX$3)=0, NotFound, SUMIFS(allFYsTable[Actual], allFYsTable[Code], SummaryTable[[#This Row],[Code]], allFYsTable[year2], AX$3))</f>
        <v>3617</v>
      </c>
      <c r="BC102" s="61">
        <f>IF(COUNTIFS(allFYsTable[Code], SummaryTable[[#This Row],[Code]], allFYsTable[year2], AX$3)=0, NotFound, SUMIFS(allFYsTable[DiffAmount], allFYsTable[Code], SummaryTable[[#This Row],[Code]], allFYsTable[year2], AX$3))</f>
        <v>182</v>
      </c>
      <c r="BD102" s="63">
        <f>IF(SummaryTable[[#This Row],[OriginalBudget22]]=0, IF(SummaryTable[[#This Row],[DiffAmount22]]=0, ZeroBudgetNoSpending, ZeroBudgetWithSpending), SummaryTable[[#This Row],[DiffAmount22]]/SummaryTable[[#This Row],[OriginalBudget22]])</f>
        <v>5.2983988355167391E-2</v>
      </c>
      <c r="BE102" s="62">
        <f>IF(COUNTIFS(allFYsTable[Code], SummaryTable[[#This Row],[Code]], allFYsTable[year2], BE$3)=0, NotFound, SUMIFS(allFYsTable[OriginalBudget], allFYsTable[Code], SummaryTable[[#This Row],[Code]], allFYsTable[year2], BE$3))</f>
        <v>3706</v>
      </c>
      <c r="BF102" s="61">
        <f>SummaryTable[[#This Row],[OriginalBudget21]]-SummaryTable[[#This Row],[OriginalBudget20]]</f>
        <v>216</v>
      </c>
      <c r="BG102" s="54">
        <f>SummaryTable[[#This Row],[BudgetIncreaseAmount21]]/SummaryTable[[#This Row],[OriginalBudget20]]</f>
        <v>6.1891117478510026E-2</v>
      </c>
      <c r="BH102" s="61">
        <f>IF(COUNTIFS(allFYsTable[Code], SummaryTable[[#This Row],[Code]], allFYsTable[year2], BE$3)=0, NotFound, SUMIFS(allFYsTable[RevisedBudget], allFYsTable[Code], SummaryTable[[#This Row],[Code]], allFYsTable[year2], BE$3))</f>
        <v>3806</v>
      </c>
      <c r="BI102" s="61">
        <f>IF(COUNTIFS(allFYsTable[Code], SummaryTable[[#This Row],[Code]], allFYsTable[year2], BE$3)=0, NotFound, SUMIFS(allFYsTable[Actual], allFYsTable[Code], SummaryTable[[#This Row],[Code]], allFYsTable[year2], BE$3))</f>
        <v>3775</v>
      </c>
      <c r="BJ102" s="61">
        <f>IF(COUNTIFS(allFYsTable[Code], SummaryTable[[#This Row],[Code]], allFYsTable[year2], BE$3)=0, NotFound, SUMIFS(allFYsTable[DiffAmount], allFYsTable[Code], SummaryTable[[#This Row],[Code]], allFYsTable[year2], BE$3))</f>
        <v>69</v>
      </c>
      <c r="BK102" s="63">
        <f>IF(SummaryTable[[#This Row],[OriginalBudget21]]=0, IF(SummaryTable[[#This Row],[DiffAmount21]]=0, ZeroBudgetNoSpending, ZeroBudgetWithSpending), SummaryTable[[#This Row],[DiffAmount21]]/SummaryTable[[#This Row],[OriginalBudget21]])</f>
        <v>1.8618456556934702E-2</v>
      </c>
      <c r="BL102" s="62">
        <f>IF(COUNTIFS(allFYsTable[Code], SummaryTable[[#This Row],[Code]], allFYsTable[year2], BL$3)=0, NotFound, SUMIFS(allFYsTable[OriginalBudget], allFYsTable[Code], SummaryTable[[#This Row],[Code]], allFYsTable[year2], BL$3))</f>
        <v>3490</v>
      </c>
      <c r="BM102" s="61">
        <f>SummaryTable[[#This Row],[OriginalBudget20]]-SummaryTable[[#This Row],[OriginalBudget19]]</f>
        <v>433</v>
      </c>
      <c r="BN102" s="54">
        <f>SummaryTable[[#This Row],[BudgetIncreaseAmount20]]/SummaryTable[[#This Row],[OriginalBudget19]]</f>
        <v>0.14164213280994439</v>
      </c>
      <c r="BO102" s="61">
        <f>IF(COUNTIFS(allFYsTable[Code], SummaryTable[[#This Row],[Code]], allFYsTable[year2], BL$3)=0, NotFound, SUMIFS(allFYsTable[RevisedBudget], allFYsTable[Code], SummaryTable[[#This Row],[Code]], allFYsTable[year2], BL$3))</f>
        <v>3604</v>
      </c>
      <c r="BP102" s="61">
        <f>IF(COUNTIFS(allFYsTable[Code], SummaryTable[[#This Row],[Code]], allFYsTable[year2], BL$3)=0, NotFound, SUMIFS(allFYsTable[Actual], allFYsTable[Code], SummaryTable[[#This Row],[Code]], allFYsTable[year2], BL$3))</f>
        <v>3541</v>
      </c>
      <c r="BQ102" s="61">
        <f>IF(COUNTIFS(allFYsTable[Code], SummaryTable[[#This Row],[Code]], allFYsTable[year2], BL$3)=0, NotFound, SUMIFS(allFYsTable[DiffAmount], allFYsTable[Code], SummaryTable[[#This Row],[Code]], allFYsTable[year2], BL$3))</f>
        <v>51</v>
      </c>
      <c r="BR102" s="63">
        <f>IF(SummaryTable[[#This Row],[OriginalBudget20]]=0, IF(SummaryTable[[#This Row],[DiffAmount20]]=0, ZeroBudgetNoSpending, ZeroBudgetWithSpending), SummaryTable[[#This Row],[DiffAmount20]]/SummaryTable[[#This Row],[OriginalBudget20]])</f>
        <v>1.4613180515759312E-2</v>
      </c>
      <c r="BS102" s="62">
        <f>IF(COUNTIFS(allFYsTable[Code], SummaryTable[[#This Row],[Code]], allFYsTable[year2], BS$3)=0, NotFound, SUMIFS(allFYsTable[OriginalBudget], allFYsTable[Code], SummaryTable[[#This Row],[Code]], allFYsTable[year2], BS$3))</f>
        <v>3057</v>
      </c>
      <c r="BT102" s="61">
        <f>SummaryTable[[#This Row],[OriginalBudget19]]-SummaryTable[[#This Row],[OriginalBudget18]]</f>
        <v>99</v>
      </c>
      <c r="BU102" s="54">
        <f>SummaryTable[[#This Row],[BudgetIncreaseAmount19]]/SummaryTable[[#This Row],[OriginalBudget18]]</f>
        <v>3.3468559837728194E-2</v>
      </c>
      <c r="BV102" s="61">
        <f>IF(COUNTIFS(allFYsTable[Code], SummaryTable[[#This Row],[Code]], allFYsTable[year2], BS$3)=0, NotFound, SUMIFS(allFYsTable[RevisedBudget], allFYsTable[Code], SummaryTable[[#This Row],[Code]], allFYsTable[year2], BS$3))</f>
        <v>3248</v>
      </c>
      <c r="BW102" s="61">
        <f>IF(COUNTIFS(allFYsTable[Code], SummaryTable[[#This Row],[Code]], allFYsTable[year2], BS$3)=0, NotFound, SUMIFS(allFYsTable[Actual], allFYsTable[Code], SummaryTable[[#This Row],[Code]], allFYsTable[year2], BS$3))</f>
        <v>3231</v>
      </c>
      <c r="BX102" s="61">
        <f>IF(COUNTIFS(allFYsTable[Code], SummaryTable[[#This Row],[Code]], allFYsTable[year2], BS$3)=0, NotFound, SUMIFS(allFYsTable[DiffAmount], allFYsTable[Code], SummaryTable[[#This Row],[Code]], allFYsTable[year2], BS$3))</f>
        <v>174</v>
      </c>
      <c r="BY102" s="63">
        <f>IF(SummaryTable[[#This Row],[OriginalBudget19]]=0, IF(SummaryTable[[#This Row],[DiffAmount19]]=0, ZeroBudgetNoSpending, ZeroBudgetWithSpending), SummaryTable[[#This Row],[DiffAmount19]]/SummaryTable[[#This Row],[OriginalBudget19]])</f>
        <v>5.6918547595682038E-2</v>
      </c>
      <c r="BZ102" s="62">
        <f>IF(COUNTIFS(allFYsTable[Code], SummaryTable[[#This Row],[Code]], allFYsTable[year2], BZ$3)=0, NotFound, SUMIFS(allFYsTable[OriginalBudget], allFYsTable[Code], SummaryTable[[#This Row],[Code]], allFYsTable[year2], BZ$3))</f>
        <v>2958</v>
      </c>
      <c r="CA102" s="61">
        <f>SummaryTable[[#This Row],[OriginalBudget18]]-SummaryTable[[#This Row],[OriginalBudget17]]</f>
        <v>309</v>
      </c>
      <c r="CB102" s="54">
        <f>SummaryTable[[#This Row],[BudgetIncreaseAmount18]]/SummaryTable[[#This Row],[OriginalBudget17]]</f>
        <v>0.11664779161947905</v>
      </c>
      <c r="CC102" s="61">
        <f>IF(COUNTIFS(allFYsTable[Code], SummaryTable[[#This Row],[Code]], allFYsTable[year2], BZ$3)=0, NotFound, SUMIFS(allFYsTable[RevisedBudget], allFYsTable[Code], SummaryTable[[#This Row],[Code]], allFYsTable[year2], BZ$3))</f>
        <v>3001</v>
      </c>
      <c r="CD102" s="61">
        <f>IF(COUNTIFS(allFYsTable[Code], SummaryTable[[#This Row],[Code]], allFYsTable[year2], BZ$3)=0, NotFound, SUMIFS(allFYsTable[Actual], allFYsTable[Code], SummaryTable[[#This Row],[Code]], allFYsTable[year2], BZ$3))</f>
        <v>2913</v>
      </c>
      <c r="CE102" s="61">
        <f>IF(COUNTIFS(allFYsTable[Code], SummaryTable[[#This Row],[Code]], allFYsTable[year2], BZ$3)=0, NotFound, SUMIFS(allFYsTable[DiffAmount], allFYsTable[Code], SummaryTable[[#This Row],[Code]], allFYsTable[year2], BZ$3))</f>
        <v>-45</v>
      </c>
      <c r="CF102" s="63">
        <f>IF(SummaryTable[[#This Row],[OriginalBudget18]]=0, IF(SummaryTable[[#This Row],[DiffAmount18]]=0, ZeroBudgetNoSpending, ZeroBudgetWithSpending), SummaryTable[[#This Row],[DiffAmount18]]/SummaryTable[[#This Row],[OriginalBudget18]])</f>
        <v>-1.5212981744421906E-2</v>
      </c>
      <c r="CG102" s="62">
        <f>IF(COUNTIFS(allFYsTable[Code], SummaryTable[[#This Row],[Code]], allFYsTable[year2], CG$3)=0, NotFound, SUMIFS(allFYsTable[OriginalBudget], allFYsTable[Code], SummaryTable[[#This Row],[Code]], allFYsTable[year2], CG$3))</f>
        <v>2649</v>
      </c>
      <c r="CH102" s="61">
        <f>SummaryTable[[#This Row],[OriginalBudget17]]-SummaryTable[[#This Row],[OriginalBudget16]]</f>
        <v>686</v>
      </c>
      <c r="CI102" s="54">
        <f>SummaryTable[[#This Row],[BudgetIncreaseAmount17]]/SummaryTable[[#This Row],[OriginalBudget16]]</f>
        <v>0.34946510443199186</v>
      </c>
      <c r="CJ102" s="61">
        <f>IF(COUNTIFS(allFYsTable[Code], SummaryTable[[#This Row],[Code]], allFYsTable[year2], CG$3)=0, NotFound, SUMIFS(allFYsTable[RevisedBudget], allFYsTable[Code], SummaryTable[[#This Row],[Code]], allFYsTable[year2], CG$3))</f>
        <v>2674</v>
      </c>
      <c r="CK102" s="61">
        <f>IF(COUNTIFS(allFYsTable[Code], SummaryTable[[#This Row],[Code]], allFYsTable[year2], CG$3)=0, NotFound, SUMIFS(allFYsTable[Actual], allFYsTable[Code], SummaryTable[[#This Row],[Code]], allFYsTable[year2], CG$3))</f>
        <v>2666</v>
      </c>
      <c r="CL102" s="61">
        <f>IF(COUNTIFS(allFYsTable[Code], SummaryTable[[#This Row],[Code]], allFYsTable[year2], CG$3)=0, NotFound, SUMIFS(allFYsTable[DiffAmount], allFYsTable[Code], SummaryTable[[#This Row],[Code]], allFYsTable[year2], CG$3))</f>
        <v>17</v>
      </c>
      <c r="CM102" s="63">
        <f>IF(SummaryTable[[#This Row],[OriginalBudget17]]=0, IF(SummaryTable[[#This Row],[DiffAmount17]]=0, ZeroBudgetNoSpending, ZeroBudgetWithSpending), SummaryTable[[#This Row],[DiffAmount17]]/SummaryTable[[#This Row],[OriginalBudget17]])</f>
        <v>6.4175160437901094E-3</v>
      </c>
      <c r="CN102" s="62">
        <f>IF(COUNTIFS(allFYsTable[Code], SummaryTable[[#This Row],[Code]], allFYsTable[year2], CN$3)=0, NotFound, SUMIFS(allFYsTable[OriginalBudget], allFYsTable[Code], SummaryTable[[#This Row],[Code]], allFYsTable[year2], CN$3))</f>
        <v>1963</v>
      </c>
      <c r="CO102" s="61">
        <f>SummaryTable[[#This Row],[OriginalBudget16]]-SummaryTable[[#This Row],[OriginalBudget15]]</f>
        <v>-952</v>
      </c>
      <c r="CP102" s="54">
        <f>SummaryTable[[#This Row],[BudgetIncreaseAmount16]]/SummaryTable[[#This Row],[OriginalBudget15]]</f>
        <v>-0.32658662092624358</v>
      </c>
      <c r="CQ102" s="61">
        <f>IF(COUNTIFS(allFYsTable[Code], SummaryTable[[#This Row],[Code]], allFYsTable[year2], CN$3)=0, NotFound, SUMIFS(allFYsTable[RevisedBudget], allFYsTable[Code], SummaryTable[[#This Row],[Code]], allFYsTable[year2], CN$3))</f>
        <v>2565</v>
      </c>
      <c r="CR102" s="61">
        <f>IF(COUNTIFS(allFYsTable[Code], SummaryTable[[#This Row],[Code]], allFYsTable[year2], CN$3)=0, NotFound, SUMIFS(allFYsTable[Actual], allFYsTable[Code], SummaryTable[[#This Row],[Code]], allFYsTable[year2], CN$3))</f>
        <v>2555</v>
      </c>
      <c r="CS102" s="61">
        <f>IF(COUNTIFS(allFYsTable[Code], SummaryTable[[#This Row],[Code]], allFYsTable[year2], CN$3)=0, NotFound, SUMIFS(allFYsTable[DiffAmount], allFYsTable[Code], SummaryTable[[#This Row],[Code]], allFYsTable[year2], CN$3))</f>
        <v>592</v>
      </c>
      <c r="CT102" s="63">
        <f>IF(SummaryTable[[#This Row],[OriginalBudget16]]=0, IF(SummaryTable[[#This Row],[DiffAmount16]]=0, ZeroBudgetNoSpending, ZeroBudgetWithSpending), SummaryTable[[#This Row],[DiffAmount16]]/SummaryTable[[#This Row],[OriginalBudget16]])</f>
        <v>0.30157921548650024</v>
      </c>
      <c r="CU102" s="62">
        <f>IF(COUNTIFS(allFYsTable[Code], SummaryTable[[#This Row],[Code]], allFYsTable[year2], CU$3)=0, NotFound, SUMIFS(allFYsTable[OriginalBudget], allFYsTable[Code], SummaryTable[[#This Row],[Code]], allFYsTable[year2], CU$3))</f>
        <v>2915</v>
      </c>
      <c r="CV102" s="61">
        <f>SummaryTable[[#This Row],[OriginalBudget15]]-SummaryTable[[#This Row],[OriginalBudget14]]</f>
        <v>649</v>
      </c>
      <c r="CW102" s="54">
        <f>SummaryTable[[#This Row],[BudgetIncreaseAmount15]]/SummaryTable[[#This Row],[OriginalBudget14]]</f>
        <v>0.28640776699029125</v>
      </c>
      <c r="CX102" s="61">
        <f>IF(COUNTIFS(allFYsTable[Code], SummaryTable[[#This Row],[Code]], allFYsTable[year2], CU$3)=0, NotFound, SUMIFS(allFYsTable[RevisedBudget], allFYsTable[Code], SummaryTable[[#This Row],[Code]], allFYsTable[year2], CU$3))</f>
        <v>3341</v>
      </c>
      <c r="CY102" s="61">
        <f>IF(COUNTIFS(allFYsTable[Code], SummaryTable[[#This Row],[Code]], allFYsTable[year2], CU$3)=0, NotFound, SUMIFS(allFYsTable[Actual], allFYsTable[Code], SummaryTable[[#This Row],[Code]], allFYsTable[year2], CU$3))</f>
        <v>3151</v>
      </c>
      <c r="CZ102" s="61">
        <f>IF(COUNTIFS(allFYsTable[Code], SummaryTable[[#This Row],[Code]], allFYsTable[year2], CU$3)=0, NotFound, SUMIFS(allFYsTable[DiffAmount], allFYsTable[Code], SummaryTable[[#This Row],[Code]], allFYsTable[year2], CU$3))</f>
        <v>236</v>
      </c>
      <c r="DA102" s="63">
        <f>IF(SummaryTable[[#This Row],[OriginalBudget15]]=0, IF(SummaryTable[[#This Row],[DiffAmount15]]=0, ZeroBudgetNoSpending, ZeroBudgetWithSpending), SummaryTable[[#This Row],[DiffAmount15]]/SummaryTable[[#This Row],[OriginalBudget15]])</f>
        <v>8.0960548885077185E-2</v>
      </c>
      <c r="DB102" s="62">
        <f>IF(COUNTIFS(allFYsTable[Code], SummaryTable[[#This Row],[Code]], allFYsTable[year2], DB$3)=0, NotFound, SUMIFS(allFYsTable[OriginalBudget], allFYsTable[Code], SummaryTable[[#This Row],[Code]], allFYsTable[year2], DB$3))</f>
        <v>2266</v>
      </c>
      <c r="DC102" s="61">
        <f>SummaryTable[[#This Row],[OriginalBudget14]]-SummaryTable[[#This Row],[OriginalBudget13]]</f>
        <v>20</v>
      </c>
      <c r="DD102" s="54">
        <f>SummaryTable[[#This Row],[BudgetIncreaseAmount14]]/SummaryTable[[#This Row],[OriginalBudget13]]</f>
        <v>8.9047195013357075E-3</v>
      </c>
      <c r="DE102" s="61">
        <f>IF(COUNTIFS(allFYsTable[Code], SummaryTable[[#This Row],[Code]], allFYsTable[year2], DB$3)=0, NotFound, SUMIFS(allFYsTable[RevisedBudget], allFYsTable[Code], SummaryTable[[#This Row],[Code]], allFYsTable[year2], DB$3))</f>
        <v>2617</v>
      </c>
      <c r="DF102" s="61">
        <f>IF(COUNTIFS(allFYsTable[Code], SummaryTable[[#This Row],[Code]], allFYsTable[year2], DB$3)=0, NotFound, SUMIFS(allFYsTable[Actual], allFYsTable[Code], SummaryTable[[#This Row],[Code]], allFYsTable[year2], DB$3))</f>
        <v>2487</v>
      </c>
      <c r="DG102" s="61">
        <f>IF(COUNTIFS(allFYsTable[Code], SummaryTable[[#This Row],[Code]], allFYsTable[year2], DB$3)=0, NotFound, SUMIFS(allFYsTable[DiffAmount], allFYsTable[Code], SummaryTable[[#This Row],[Code]], allFYsTable[year2], DB$3))</f>
        <v>221</v>
      </c>
      <c r="DH102" s="63">
        <f>IF(SummaryTable[[#This Row],[OriginalBudget14]]=0, IF(SummaryTable[[#This Row],[DiffAmount14]]=0, ZeroBudgetNoSpending, ZeroBudgetWithSpending), SummaryTable[[#This Row],[DiffAmount14]]/SummaryTable[[#This Row],[OriginalBudget14]])</f>
        <v>9.7528684907325677E-2</v>
      </c>
      <c r="DI102" s="62">
        <f>IF(COUNTIFS(allFYsTable[Code], SummaryTable[[#This Row],[Code]], allFYsTable[year2], DI$3)=0, NotFound, SUMIFS(allFYsTable[OriginalBudget], allFYsTable[Code], SummaryTable[[#This Row],[Code]], allFYsTable[year2], DI$3))</f>
        <v>2246</v>
      </c>
      <c r="DJ102" s="61">
        <f>SummaryTable[[#This Row],[OriginalBudget13]]-SummaryTable[[#This Row],[OriginalBudget12]]</f>
        <v>40</v>
      </c>
      <c r="DK102" s="54">
        <f>SummaryTable[[#This Row],[BudgetIncreaseAmount13]]/SummaryTable[[#This Row],[OriginalBudget12]]</f>
        <v>1.8132366273798731E-2</v>
      </c>
      <c r="DL102" s="61">
        <f>IF(COUNTIFS(allFYsTable[Code], SummaryTable[[#This Row],[Code]], allFYsTable[year2], DI$3)=0, NotFound, SUMIFS(allFYsTable[RevisedBudget], allFYsTable[Code], SummaryTable[[#This Row],[Code]], allFYsTable[year2], DI$3))</f>
        <v>2553</v>
      </c>
      <c r="DM102" s="61">
        <f>IF(COUNTIFS(allFYsTable[Code], SummaryTable[[#This Row],[Code]], allFYsTable[year2], DI$3)=0, NotFound, SUMIFS(allFYsTable[Actual], allFYsTable[Code], SummaryTable[[#This Row],[Code]], allFYsTable[year2], DI$3))</f>
        <v>2546</v>
      </c>
      <c r="DN102" s="61">
        <f>IF(COUNTIFS(allFYsTable[Code], SummaryTable[[#This Row],[Code]], allFYsTable[year2], DI$3)=0, NotFound, SUMIFS(allFYsTable[DiffAmount], allFYsTable[Code], SummaryTable[[#This Row],[Code]], allFYsTable[year2], DI$3))</f>
        <v>300</v>
      </c>
      <c r="DO102" s="63">
        <f>IF(SummaryTable[[#This Row],[OriginalBudget13]]=0, IF(SummaryTable[[#This Row],[DiffAmount13]]=0, ZeroBudgetNoSpending, ZeroBudgetWithSpending), SummaryTable[[#This Row],[DiffAmount13]]/SummaryTable[[#This Row],[OriginalBudget13]])</f>
        <v>0.13357079252003562</v>
      </c>
      <c r="DP102" s="62">
        <f>IF(COUNTIFS(allFYsTable[Code], SummaryTable[[#This Row],[Code]], allFYsTable[year2], DP$3)=0, NotFound, SUMIFS(allFYsTable[OriginalBudget], allFYsTable[Code], SummaryTable[[#This Row],[Code]], allFYsTable[year2], DP$3))</f>
        <v>2206</v>
      </c>
      <c r="DQ102" s="61">
        <f>SummaryTable[[#This Row],[OriginalBudget12]]-SummaryTable[[#This Row],[OriginalBudget11]]</f>
        <v>172</v>
      </c>
      <c r="DR102" s="54">
        <f>SummaryTable[[#This Row],[BudgetIncreaseAmount12]]/SummaryTable[[#This Row],[OriginalBudget11]]</f>
        <v>8.4562438544739424E-2</v>
      </c>
      <c r="DS102" s="61">
        <f>IF(COUNTIFS(allFYsTable[Code], SummaryTable[[#This Row],[Code]], allFYsTable[year2], DP$3)=0, NotFound, SUMIFS(allFYsTable[RevisedBudget], allFYsTable[Code], SummaryTable[[#This Row],[Code]], allFYsTable[year2], DP$3))</f>
        <v>2890</v>
      </c>
      <c r="DT102" s="61">
        <f>IF(COUNTIFS(allFYsTable[Code], SummaryTable[[#This Row],[Code]], allFYsTable[year2], DP$3)=0, NotFound, SUMIFS(allFYsTable[Actual], allFYsTable[Code], SummaryTable[[#This Row],[Code]], allFYsTable[year2], DP$3))</f>
        <v>2890</v>
      </c>
      <c r="DU102" s="61">
        <f>IF(COUNTIFS(allFYsTable[Code], SummaryTable[[#This Row],[Code]], allFYsTable[year2], DP$3)=0, NotFound, SUMIFS(allFYsTable[DiffAmount], allFYsTable[Code], SummaryTable[[#This Row],[Code]], allFYsTable[year2], DP$3))</f>
        <v>684</v>
      </c>
      <c r="DV102" s="63">
        <f>IF(SummaryTable[[#This Row],[OriginalBudget12]]=0, IF(SummaryTable[[#This Row],[DiffAmount12]]=0, ZeroBudgetNoSpending, ZeroBudgetWithSpending), SummaryTable[[#This Row],[DiffAmount12]]/SummaryTable[[#This Row],[OriginalBudget12]])</f>
        <v>0.31006346328195827</v>
      </c>
      <c r="DW102" s="62">
        <f>IF(COUNTIFS(allFYsTable[Code], SummaryTable[[#This Row],[Code]], allFYsTable[year2], DW$3)=0, NotFound, SUMIFS(allFYsTable[OriginalBudget], allFYsTable[Code], SummaryTable[[#This Row],[Code]], allFYsTable[year2], DW$3))</f>
        <v>2034</v>
      </c>
      <c r="DX102" s="61">
        <f>SummaryTable[[#This Row],[OriginalBudget11]]-SummaryTable[[#This Row],[OriginalBudget10]]</f>
        <v>-717</v>
      </c>
      <c r="DY102" s="54">
        <f>SummaryTable[[#This Row],[BudgetIncreaseAmount11]]/SummaryTable[[#This Row],[OriginalBudget10]]</f>
        <v>-0.26063249727371862</v>
      </c>
      <c r="DZ102" s="61">
        <f>IF(COUNTIFS(allFYsTable[Code], SummaryTable[[#This Row],[Code]], allFYsTable[year2], DW$3)=0, NotFound, SUMIFS(allFYsTable[RevisedBudget], allFYsTable[Code], SummaryTable[[#This Row],[Code]], allFYsTable[year2], DW$3))</f>
        <v>2047</v>
      </c>
      <c r="EA102" s="61">
        <f>IF(COUNTIFS(allFYsTable[Code], SummaryTable[[#This Row],[Code]], allFYsTable[year2], DW$3)=0, NotFound, SUMIFS(allFYsTable[Actual], allFYsTable[Code], SummaryTable[[#This Row],[Code]], allFYsTable[year2], DW$3))</f>
        <v>2013</v>
      </c>
      <c r="EB102" s="61">
        <f>IF(COUNTIFS(allFYsTable[Code], SummaryTable[[#This Row],[Code]], allFYsTable[year2], DW$3)=0, NotFound, SUMIFS(allFYsTable[DiffAmount], allFYsTable[Code], SummaryTable[[#This Row],[Code]], allFYsTable[year2], DW$3))</f>
        <v>-21</v>
      </c>
      <c r="EC102" s="63">
        <f>IF(SummaryTable[[#This Row],[OriginalBudget11]]=0, IF(SummaryTable[[#This Row],[DiffAmount11]]=0, ZeroBudgetNoSpending, ZeroBudgetWithSpending), SummaryTable[[#This Row],[DiffAmount11]]/SummaryTable[[#This Row],[OriginalBudget11]])</f>
        <v>-1.0324483775811209E-2</v>
      </c>
      <c r="ED102" s="62">
        <f>IF(COUNTIFS(allFYsTable[Code], SummaryTable[[#This Row],[Code]], allFYsTable[year2], ED$3)=0, NotFound, SUMIFS(allFYsTable[OriginalBudget], allFYsTable[Code], SummaryTable[[#This Row],[Code]], allFYsTable[year2], ED$3))</f>
        <v>2751</v>
      </c>
      <c r="EE102" s="61">
        <f>SummaryTable[[#This Row],[OriginalBudget10]]-SummaryTable[[#This Row],[OriginalBudget09]]</f>
        <v>-991</v>
      </c>
      <c r="EF102" s="54">
        <f>SummaryTable[[#This Row],[BudgetIncreaseAmount10]]/SummaryTable[[#This Row],[OriginalBudget09]]</f>
        <v>-0.26483164083377875</v>
      </c>
      <c r="EG102" s="61">
        <f>IF(COUNTIFS(allFYsTable[Code], SummaryTable[[#This Row],[Code]], allFYsTable[year2], ED$3)=0, NotFound, SUMIFS(allFYsTable[RevisedBudget], allFYsTable[Code], SummaryTable[[#This Row],[Code]], allFYsTable[year2], ED$3))</f>
        <v>2647</v>
      </c>
      <c r="EH102" s="61">
        <f>IF(COUNTIFS(allFYsTable[Code], SummaryTable[[#This Row],[Code]], allFYsTable[year2], ED$3)=0, NotFound, SUMIFS(allFYsTable[Actual], allFYsTable[Code], SummaryTable[[#This Row],[Code]], allFYsTable[year2], ED$3))</f>
        <v>2520</v>
      </c>
      <c r="EI102" s="61">
        <f>IF(COUNTIFS(allFYsTable[Code], SummaryTable[[#This Row],[Code]], allFYsTable[year2], ED$3)=0, NotFound, SUMIFS(allFYsTable[DiffAmount], allFYsTable[Code], SummaryTable[[#This Row],[Code]], allFYsTable[year2], ED$3))</f>
        <v>-231</v>
      </c>
      <c r="EJ102" s="63">
        <f>IF(SummaryTable[[#This Row],[OriginalBudget10]]=0, IF(SummaryTable[[#This Row],[DiffAmount10]]=0, ZeroBudgetNoSpending, ZeroBudgetWithSpending), SummaryTable[[#This Row],[DiffAmount10]]/SummaryTable[[#This Row],[OriginalBudget10]])</f>
        <v>-8.3969465648854963E-2</v>
      </c>
      <c r="EK102" s="62">
        <f>IF(COUNTIFS(allFYsTable[Code], SummaryTable[[#This Row],[Code]], allFYsTable[year2], EK$3)=0, NotFound, SUMIFS(allFYsTable[OriginalBudget], allFYsTable[Code], SummaryTable[[#This Row],[Code]], allFYsTable[year2], EK$3))</f>
        <v>3742</v>
      </c>
      <c r="EL102" s="61">
        <f>SummaryTable[[#This Row],[OriginalBudget09]]-SummaryTable[[#This Row],[OriginalBudget08]]</f>
        <v>401</v>
      </c>
      <c r="EM102" s="54">
        <f>SummaryTable[[#This Row],[BudgetIncreaseAmount09]]/SummaryTable[[#This Row],[OriginalBudget08]]</f>
        <v>0.12002394492666867</v>
      </c>
      <c r="EN102" s="61">
        <f>IF(COUNTIFS(allFYsTable[Code], SummaryTable[[#This Row],[Code]], allFYsTable[year2], EK$3)=0, NotFound, SUMIFS(allFYsTable[RevisedBudget], allFYsTable[Code], SummaryTable[[#This Row],[Code]], allFYsTable[year2], EK$3))</f>
        <v>3341</v>
      </c>
      <c r="EO102" s="61">
        <f>IF(COUNTIFS(allFYsTable[Code], SummaryTable[[#This Row],[Code]], allFYsTable[year2], EK$3)=0, NotFound, SUMIFS(allFYsTable[Actual], allFYsTable[Code], SummaryTable[[#This Row],[Code]], allFYsTable[year2], EK$3))</f>
        <v>3059</v>
      </c>
      <c r="EP102" s="61">
        <f>IF(COUNTIFS(allFYsTable[Code], SummaryTable[[#This Row],[Code]], allFYsTable[year2], EK$3)=0, NotFound, SUMIFS(allFYsTable[DiffAmount], allFYsTable[Code], SummaryTable[[#This Row],[Code]], allFYsTable[year2], EK$3))</f>
        <v>-683</v>
      </c>
      <c r="EQ102" s="63">
        <f>IF(SummaryTable[[#This Row],[OriginalBudget09]]=0, IF(SummaryTable[[#This Row],[DiffAmount09]]=0, ZeroBudgetNoSpending, ZeroBudgetWithSpending), SummaryTable[[#This Row],[DiffAmount09]]/SummaryTable[[#This Row],[OriginalBudget09]])</f>
        <v>-0.18252271512560128</v>
      </c>
      <c r="ER102" s="62">
        <f>IF(COUNTIFS(allFYsTable[Code], SummaryTable[[#This Row],[Code]], allFYsTable[year2], ER$3)=0, NotFound, SUMIFS(allFYsTable[OriginalBudget], allFYsTable[Code], SummaryTable[[#This Row],[Code]], allFYsTable[year2], ER$3))</f>
        <v>3341</v>
      </c>
      <c r="ES102" s="61">
        <f>SummaryTable[[#This Row],[OriginalBudget08]]-SummaryTable[[#This Row],[OriginalBudget07]]</f>
        <v>-537</v>
      </c>
      <c r="ET102" s="54">
        <f>SummaryTable[[#This Row],[BudgetIncreaseAmount08]]/SummaryTable[[#This Row],[OriginalBudget07]]</f>
        <v>-0.13847343991748323</v>
      </c>
      <c r="EU102" s="61">
        <f>IF(COUNTIFS(allFYsTable[Code], SummaryTable[[#This Row],[Code]], allFYsTable[year2], ER$3)=0, NotFound, SUMIFS(allFYsTable[RevisedBudget], allFYsTable[Code], SummaryTable[[#This Row],[Code]], allFYsTable[year2], ER$3))</f>
        <v>3141</v>
      </c>
      <c r="EV102" s="61">
        <f>IF(COUNTIFS(allFYsTable[Code], SummaryTable[[#This Row],[Code]], allFYsTable[year2], ER$3)=0, NotFound, SUMIFS(allFYsTable[Actual], allFYsTable[Code], SummaryTable[[#This Row],[Code]], allFYsTable[year2], ER$3))</f>
        <v>2796</v>
      </c>
      <c r="EW102" s="61">
        <f>IF(COUNTIFS(allFYsTable[Code], SummaryTable[[#This Row],[Code]], allFYsTable[year2], ER$3)=0, NotFound, SUMIFS(allFYsTable[DiffAmount], allFYsTable[Code], SummaryTable[[#This Row],[Code]], allFYsTable[year2], ER$3))</f>
        <v>-545</v>
      </c>
      <c r="EX102" s="63">
        <f>IF(SummaryTable[[#This Row],[OriginalBudget08]]=0, IF(SummaryTable[[#This Row],[DiffAmount08]]=0, ZeroBudgetNoSpending, ZeroBudgetWithSpending), SummaryTable[[#This Row],[DiffAmount08]]/SummaryTable[[#This Row],[OriginalBudget08]])</f>
        <v>-0.1631248129302604</v>
      </c>
      <c r="EY102" s="62">
        <f>IF(COUNTIFS(allFYsTable[Code], SummaryTable[[#This Row],[Code]], allFYsTable[year2], EY$3)=0, NotFound, SUMIFS(allFYsTable[OriginalBudget], allFYsTable[Code], SummaryTable[[#This Row],[Code]], allFYsTable[year2], EY$3))</f>
        <v>3878</v>
      </c>
      <c r="EZ102" s="61">
        <f>SummaryTable[[#This Row],[OriginalBudget07]]-SummaryTable[[#This Row],[OriginalBudget06]]</f>
        <v>53</v>
      </c>
      <c r="FA102" s="54">
        <f>SummaryTable[[#This Row],[BudgetIncreaseAmount07]]/SummaryTable[[#This Row],[OriginalBudget06]]</f>
        <v>1.3856209150326797E-2</v>
      </c>
      <c r="FB102" s="61">
        <f>IF(COUNTIFS(allFYsTable[Code], SummaryTable[[#This Row],[Code]], allFYsTable[year2], EY$3)=0, NotFound, SUMIFS(allFYsTable[RevisedBudget], allFYsTable[Code], SummaryTable[[#This Row],[Code]], allFYsTable[year2], EY$3))</f>
        <v>3592</v>
      </c>
      <c r="FC102" s="61">
        <f>IF(COUNTIFS(allFYsTable[Code], SummaryTable[[#This Row],[Code]], allFYsTable[year2], EY$3)=0, NotFound, SUMIFS(allFYsTable[Actual], allFYsTable[Code], SummaryTable[[#This Row],[Code]], allFYsTable[year2], EY$3))</f>
        <v>3247</v>
      </c>
      <c r="FD102" s="61">
        <f>IF(COUNTIFS(allFYsTable[Code], SummaryTable[[#This Row],[Code]], allFYsTable[year2], EY$3)=0, NotFound, SUMIFS(allFYsTable[DiffAmount], allFYsTable[Code], SummaryTable[[#This Row],[Code]], allFYsTable[year2], EY$3))</f>
        <v>-631</v>
      </c>
      <c r="FE102" s="63">
        <f>IF(SummaryTable[[#This Row],[OriginalBudget07]]=0, IF(SummaryTable[[#This Row],[DiffAmount07]]=0, ZeroBudgetNoSpending, ZeroBudgetWithSpending), SummaryTable[[#This Row],[DiffAmount07]]/SummaryTable[[#This Row],[OriginalBudget07]])</f>
        <v>-0.16271273852501289</v>
      </c>
      <c r="FF102" s="62">
        <f>IF(COUNTIFS(allFYsTable[Code], SummaryTable[[#This Row],[Code]], allFYsTable[year2], FF$3)=0, NotFound, SUMIFS(allFYsTable[OriginalBudget], allFYsTable[Code], SummaryTable[[#This Row],[Code]], allFYsTable[year2], FF$3))</f>
        <v>3825</v>
      </c>
      <c r="FI102" s="61">
        <f>IF(COUNTIFS(allFYsTable[Code], SummaryTable[[#This Row],[Code]], allFYsTable[year2], FF$3)=0, NotFound, SUMIFS(allFYsTable[RevisedBudget], allFYsTable[Code], SummaryTable[[#This Row],[Code]], allFYsTable[year2], FF$3))</f>
        <v>3092</v>
      </c>
      <c r="FJ102" s="61">
        <f>IF(COUNTIFS(allFYsTable[Code], SummaryTable[[#This Row],[Code]], allFYsTable[year2], FF$3)=0, NotFound, SUMIFS(allFYsTable[Actual], allFYsTable[Code], SummaryTable[[#This Row],[Code]], allFYsTable[year2], FF$3))</f>
        <v>2898</v>
      </c>
      <c r="FK102" s="61">
        <f>IF(COUNTIFS(allFYsTable[Code], SummaryTable[[#This Row],[Code]], allFYsTable[year2], FF$3)=0, NotFound, SUMIFS(allFYsTable[DiffAmount], allFYsTable[Code], SummaryTable[[#This Row],[Code]], allFYsTable[year2], FF$3))</f>
        <v>-927</v>
      </c>
      <c r="FL102" s="63">
        <f>IF(SummaryTable[[#This Row],[OriginalBudget06]]=0, IF(SummaryTable[[#This Row],[DiffAmount06]]=0, ZeroBudgetNoSpending, ZeroBudgetWithSpending), SummaryTable[[#This Row],[DiffAmount06]]/SummaryTable[[#This Row],[OriginalBudget06]])</f>
        <v>-0.24235294117647058</v>
      </c>
    </row>
    <row r="103" spans="1:168" x14ac:dyDescent="0.45">
      <c r="A103" t="s">
        <v>726</v>
      </c>
      <c r="B103">
        <f>_xlfn.MAXIFS(allFYsTable[year2], allFYsTable[Code], SummaryTable[[#This Row],[Code]])</f>
        <v>2025</v>
      </c>
      <c r="C103" t="str">
        <f>_xlfn.XLOOKUP(SummaryTable[[#This Row],[Code]], NameCodingTable[Code], NameCodingTable[Most Recent Category per allFYs])</f>
        <v>Governmental direction and support</v>
      </c>
      <c r="D103" t="str">
        <f>_xlfn.XLOOKUP(SummaryTable[[#This Row],[Code]], NameCodingTable[Code], NameCodingTable[Unit Display Name])</f>
        <v>Office of the Senior Advisor</v>
      </c>
      <c r="E103" t="str">
        <f>_xlfn.XLOOKUP(SummaryTable[[#This Row],[Code]], NameCodingTable[Code], NameCodingTable[Type])</f>
        <v>agency</v>
      </c>
      <c r="F10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10</v>
      </c>
      <c r="G10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103" s="54">
        <f>SummaryTable[[#This Row],['# Over]]/SummaryTable[[#This Row],[Count]]</f>
        <v>0.2</v>
      </c>
      <c r="I10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8</v>
      </c>
      <c r="J103" s="54">
        <f>SummaryTable[[#This Row],['# Under]]/SummaryTable[[#This Row],[Count]]</f>
        <v>0.8</v>
      </c>
      <c r="K10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03" s="54">
        <f>SummaryTable[[#This Row],['# Equal]]/SummaryTable[[#This Row],[Count]]</f>
        <v>0</v>
      </c>
      <c r="M103" s="61">
        <f>SUMIFS(allFYsTable[OriginalBudget],allFYsTable[Code],SummaryTable[[#This Row],[Code]])/SummaryTable[[#This Row],[Count]]</f>
        <v>3031.1</v>
      </c>
      <c r="N103" s="61">
        <f>SUMIFS(allFYsTable[Actual],allFYsTable[Code],SummaryTable[[#This Row],[Code]])/SummaryTable[[#This Row],[Count]]</f>
        <v>2831.9</v>
      </c>
      <c r="O103" s="61">
        <f>SummaryTable[[#This Row],[AvgActAmt]]-SummaryTable[[#This Row],[AvgBudAmt]]</f>
        <v>-199.19999999999982</v>
      </c>
      <c r="P103" s="54">
        <f>IF(SummaryTable[[#This Row],[AvgBudAmt]]=0, IF(SummaryTable[[#This Row],[AvgDiff'#]]=0, 0, NamedFields!$C$3), SummaryTable[[#This Row],[AvgDiff'#]]/SummaryTable[[#This Row],[AvgBudAmt]])</f>
        <v>-6.5718715977697809E-2</v>
      </c>
      <c r="Q103" s="61">
        <f>IFERROR(SUMIFS(allFYsTable[OriginalBudget],allFYsTable[Code],SummaryTable[[#This Row],[Code]],allFYsTable[DiffAmount], "&gt;0")/SummaryTable[[#This Row],['# Over]], 0)</f>
        <v>3281.5</v>
      </c>
      <c r="R103" s="61">
        <f>IFERROR(SUMIFS(allFYsTable[Actual],allFYsTable[Code],SummaryTable[[#This Row],[Code]],allFYsTable[DiffAmount], "&gt;0")/SummaryTable[[#This Row],['# Over]], 0)</f>
        <v>3443</v>
      </c>
      <c r="S103" s="61">
        <f>SummaryTable[[#This Row],[OverAvgAct]]-SummaryTable[[#This Row],[OverAvgBud]]</f>
        <v>161.5</v>
      </c>
      <c r="T103" s="54">
        <f>IF(SummaryTable[[#This Row],[OverAvgBud]]=0, IF(SummaryTable[[#This Row],[OverAvgDiff'#]]=0, ZeroBudgetNoSpending, ZeroBudgetWithSpending), SummaryTable[[#This Row],[OverAvgDiff'#]]/SummaryTable[[#This Row],[OverAvgBud]])</f>
        <v>4.9215297882066127E-2</v>
      </c>
      <c r="U103" s="61">
        <f>IFERROR(SUMIFS(allFYsTable[OriginalBudget],allFYsTable[Code],SummaryTable[[#This Row],[Code]],allFYsTable[DiffAmount], "&lt;0")/SummaryTable[[#This Row],['# Under]], 0)</f>
        <v>2968.5</v>
      </c>
      <c r="V103" s="61">
        <f>IFERROR( SUMIFS(allFYsTable[Actual],allFYsTable[Code],SummaryTable[[#This Row],[Code]],allFYsTable[DiffAmount], "&lt;0")/SummaryTable[[#This Row],['# Under]], 0)</f>
        <v>2679.125</v>
      </c>
      <c r="W103" s="61">
        <f>SummaryTable[[#This Row],[UnderAvgAct]]-SummaryTable[[#This Row],[UnderAvgBud]]</f>
        <v>-289.375</v>
      </c>
      <c r="X103" s="54">
        <f>IF(SummaryTable[[#This Row],[UnderAvgBud]]=0, IF(SummaryTable[[#This Row],[UnderAvgDiff'#]]=0, ZeroBudgetNoSpending, NamedFields!$C$3), SummaryTable[[#This Row],[UnderAvgDiff'#]]/SummaryTable[[#This Row],[UnderAvgBud]])</f>
        <v>-9.7481893212059967E-2</v>
      </c>
      <c r="Y10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10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3" s="54">
        <f>IF(SummaryTable[[#This Row],[IncreaseYears]]=0, ZeroBudgetNoSpending, SummaryTable[[#This Row],[OSinIncreaseYear'#]]/SummaryTable[[#This Row],[IncreaseYears]])</f>
        <v>0</v>
      </c>
      <c r="AB103" s="58" t="str">
        <f>SummaryTable[[#This Row],[Code]]</f>
        <v>AI0</v>
      </c>
      <c r="AC103" s="62">
        <f>IF(COUNTIFS(allFYsTable[Code], SummaryTable[[#This Row],[Code]], allFYsTable[year2], AC$3)=0, NotFound, SUMIFS(allFYsTable[OriginalBudget], allFYsTable[Code], SummaryTable[[#This Row],[Code]], allFYsTable[year2], AC$3))</f>
        <v>1394</v>
      </c>
      <c r="AD103" s="61">
        <f>SummaryTable[[#This Row],[OriginalBudget25]]-SummaryTable[[#This Row],[OriginalBudget24]]</f>
        <v>-2298</v>
      </c>
      <c r="AE103" s="54">
        <f>SummaryTable[[#This Row],[BudgetIncreaseAmount25]]/SummaryTable[[#This Row],[OriginalBudget24]]</f>
        <v>-0.62242686890574217</v>
      </c>
      <c r="AF103" s="61">
        <f>IF(COUNTIFS(allFYsTable[Code], SummaryTable[[#This Row],[Code]], allFYsTable[year2], AC$3)=0, NotFound, SUMIFS(allFYsTable[RevisedBudget], allFYsTable[Code], SummaryTable[[#This Row],[Code]], allFYsTable[year2], AC$3))</f>
        <v>1394</v>
      </c>
      <c r="AG103" s="61">
        <f>IF(COUNTIFS(allFYsTable[Code], SummaryTable[[#This Row],[Code]], allFYsTable[year2], AC$3)=0, NotFound, SUMIFS(allFYsTable[Actual], allFYsTable[Code], SummaryTable[[#This Row],[Code]], allFYsTable[year2], AC$3))</f>
        <v>1262</v>
      </c>
      <c r="AH103" s="61">
        <f>IF(COUNTIFS(allFYsTable[Code], SummaryTable[[#This Row],[Code]], allFYsTable[year2], AC$3)=0, NotFound, SUMIFS(allFYsTable[DiffAmount], allFYsTable[Code], SummaryTable[[#This Row],[Code]], allFYsTable[year2], AC$3))</f>
        <v>-132</v>
      </c>
      <c r="AI103" s="63">
        <f>IF(SummaryTable[[#This Row],[OriginalBudget25]]=0, IF(SummaryTable[[#This Row],[DiffAmount25]]=0, ZeroBudgetNoSpending, ZeroBudgetWithSpending), SummaryTable[[#This Row],[DiffAmount25]]/SummaryTable[[#This Row],[OriginalBudget25]])</f>
        <v>-9.4691535150645628E-2</v>
      </c>
      <c r="AJ103" s="62">
        <f>IF(COUNTIFS(allFYsTable[Code], SummaryTable[[#This Row],[Code]], allFYsTable[year2], AJ$3)=0, NotFound, SUMIFS(allFYsTable[OriginalBudget], allFYsTable[Code], SummaryTable[[#This Row],[Code]], allFYsTable[year2], AJ$3))</f>
        <v>3692</v>
      </c>
      <c r="AK103" s="61">
        <f>SummaryTable[[#This Row],[OriginalBudget24]]-SummaryTable[[#This Row],[OriginalBudget23]]</f>
        <v>-854</v>
      </c>
      <c r="AL103" s="54">
        <f>SummaryTable[[#This Row],[BudgetIncreaseAmount24]]/SummaryTable[[#This Row],[OriginalBudget23]]</f>
        <v>-0.18785745710514737</v>
      </c>
      <c r="AM103" s="61">
        <f>IF(COUNTIFS(allFYsTable[Code], SummaryTable[[#This Row],[Code]], allFYsTable[year2], AK$3)=0, NotFound, SUMIFS(allFYsTable[RevisedBudget], allFYsTable[Code], SummaryTable[[#This Row],[Code]], allFYsTable[year2], AJ$3))</f>
        <v>3563</v>
      </c>
      <c r="AN103" s="61">
        <f>IF(COUNTIFS(allFYsTable[Code], SummaryTable[[#This Row],[Code]], allFYsTable[year2], AJ$3)=0, NotFound, SUMIFS(allFYsTable[Actual], allFYsTable[Code], SummaryTable[[#This Row],[Code]], allFYsTable[year2], AJ$3))</f>
        <v>3351</v>
      </c>
      <c r="AO103" s="61">
        <f>IF(COUNTIFS(allFYsTable[Code], SummaryTable[[#This Row],[Code]], allFYsTable[year2], AJ$3)=0, NotFound, SUMIFS(allFYsTable[DiffAmount], allFYsTable[Code], SummaryTable[[#This Row],[Code]], allFYsTable[year2], AJ$3))</f>
        <v>-341</v>
      </c>
      <c r="AP103" s="63">
        <f>IF(SummaryTable[[#This Row],[OriginalBudget24]]=0, IF(SummaryTable[[#This Row],[DiffAmount24]]=0, ZeroBudgetNoSpending, ZeroBudgetWithSpending), SummaryTable[[#This Row],[DiffAmount24]]/SummaryTable[[#This Row],[OriginalBudget24]])</f>
        <v>-9.2361863488624046E-2</v>
      </c>
      <c r="AQ103" s="62">
        <f>IF(COUNTIFS(allFYsTable[Code], SummaryTable[[#This Row],[Code]], allFYsTable[year2], AQ$3)=0, NotFound, SUMIFS(allFYsTable[OriginalBudget], allFYsTable[Code], SummaryTable[[#This Row],[Code]], allFYsTable[year2], AQ$3))</f>
        <v>4546</v>
      </c>
      <c r="AR103" s="61">
        <f>SummaryTable[[#This Row],[OriginalBudget23]]-SummaryTable[[#This Row],[OriginalBudget22]]</f>
        <v>1137</v>
      </c>
      <c r="AS103" s="54">
        <f>SummaryTable[[#This Row],[BudgetIncreaseAmount23]]/SummaryTable[[#This Row],[OriginalBudget22]]</f>
        <v>0.33352889410384279</v>
      </c>
      <c r="AT103" s="61">
        <f>IF(COUNTIFS(allFYsTable[Code], SummaryTable[[#This Row],[Code]], allFYsTable[year2], AQ$3)=0, NotFound, SUMIFS(allFYsTable[RevisedBudget], allFYsTable[Code], SummaryTable[[#This Row],[Code]], allFYsTable[year2], AQ$3))</f>
        <v>4653</v>
      </c>
      <c r="AU103" s="61">
        <f>IF(COUNTIFS(allFYsTable[Code], SummaryTable[[#This Row],[Code]], allFYsTable[year2], AQ$3)=0, NotFound, SUMIFS(allFYsTable[Actual], allFYsTable[Code], SummaryTable[[#This Row],[Code]], allFYsTable[year2], AQ$3))</f>
        <v>3962</v>
      </c>
      <c r="AV103" s="61">
        <f>IF(COUNTIFS(allFYsTable[Code], SummaryTable[[#This Row],[Code]], allFYsTable[year2], AQ$3)=0, NotFound, SUMIFS(allFYsTable[DiffAmount], allFYsTable[Code], SummaryTable[[#This Row],[Code]], allFYsTable[year2], AQ$3))</f>
        <v>-584</v>
      </c>
      <c r="AW103" s="63">
        <f>IF(SummaryTable[[#This Row],[OriginalBudget23]]=0, IF(SummaryTable[[#This Row],[DiffAmount23]]=0, ZeroBudgetNoSpending, ZeroBudgetWithSpending), SummaryTable[[#This Row],[DiffAmount23]]/SummaryTable[[#This Row],[OriginalBudget23]])</f>
        <v>-0.12846458424989002</v>
      </c>
      <c r="AX103" s="62">
        <f>IF(COUNTIFS(allFYsTable[Code], SummaryTable[[#This Row],[Code]], allFYsTable[year2], AX$3)=0, NotFound, SUMIFS(allFYsTable[OriginalBudget], allFYsTable[Code], SummaryTable[[#This Row],[Code]], allFYsTable[year2], AX$3))</f>
        <v>3409</v>
      </c>
      <c r="AY103" s="61">
        <f>SummaryTable[[#This Row],[OriginalBudget22]]-SummaryTable[[#This Row],[OriginalBudget21]]</f>
        <v>65</v>
      </c>
      <c r="AZ103" s="54">
        <f>SummaryTable[[#This Row],[BudgetIncreaseAmount22]]/SummaryTable[[#This Row],[OriginalBudget21]]</f>
        <v>1.9437799043062202E-2</v>
      </c>
      <c r="BA103" s="61">
        <f>IF(COUNTIFS(allFYsTable[Code], SummaryTable[[#This Row],[Code]], allFYsTable[year2], AX$3)=0, NotFound, SUMIFS(allFYsTable[RevisedBudget], allFYsTable[Code], SummaryTable[[#This Row],[Code]], allFYsTable[year2], AX$3))</f>
        <v>3323</v>
      </c>
      <c r="BB103" s="61">
        <f>IF(COUNTIFS(allFYsTable[Code], SummaryTable[[#This Row],[Code]], allFYsTable[year2], AX$3)=0, NotFound, SUMIFS(allFYsTable[Actual], allFYsTable[Code], SummaryTable[[#This Row],[Code]], allFYsTable[year2], AX$3))</f>
        <v>3118</v>
      </c>
      <c r="BC103" s="61">
        <f>IF(COUNTIFS(allFYsTable[Code], SummaryTable[[#This Row],[Code]], allFYsTable[year2], AX$3)=0, NotFound, SUMIFS(allFYsTable[DiffAmount], allFYsTable[Code], SummaryTable[[#This Row],[Code]], allFYsTable[year2], AX$3))</f>
        <v>-291</v>
      </c>
      <c r="BD103" s="63">
        <f>IF(SummaryTable[[#This Row],[OriginalBudget22]]=0, IF(SummaryTable[[#This Row],[DiffAmount22]]=0, ZeroBudgetNoSpending, ZeroBudgetWithSpending), SummaryTable[[#This Row],[DiffAmount22]]/SummaryTable[[#This Row],[OriginalBudget22]])</f>
        <v>-8.536227632736873E-2</v>
      </c>
      <c r="BE103" s="62">
        <f>IF(COUNTIFS(allFYsTable[Code], SummaryTable[[#This Row],[Code]], allFYsTable[year2], BE$3)=0, NotFound, SUMIFS(allFYsTable[OriginalBudget], allFYsTable[Code], SummaryTable[[#This Row],[Code]], allFYsTable[year2], BE$3))</f>
        <v>3344</v>
      </c>
      <c r="BF103" s="61">
        <f>SummaryTable[[#This Row],[OriginalBudget21]]-SummaryTable[[#This Row],[OriginalBudget20]]</f>
        <v>-120</v>
      </c>
      <c r="BG103" s="54">
        <f>SummaryTable[[#This Row],[BudgetIncreaseAmount21]]/SummaryTable[[#This Row],[OriginalBudget20]]</f>
        <v>-3.4642032332563508E-2</v>
      </c>
      <c r="BH103" s="61">
        <f>IF(COUNTIFS(allFYsTable[Code], SummaryTable[[#This Row],[Code]], allFYsTable[year2], BE$3)=0, NotFound, SUMIFS(allFYsTable[RevisedBudget], allFYsTable[Code], SummaryTable[[#This Row],[Code]], allFYsTable[year2], BE$3))</f>
        <v>3386</v>
      </c>
      <c r="BI103" s="61">
        <f>IF(COUNTIFS(allFYsTable[Code], SummaryTable[[#This Row],[Code]], allFYsTable[year2], BE$3)=0, NotFound, SUMIFS(allFYsTable[Actual], allFYsTable[Code], SummaryTable[[#This Row],[Code]], allFYsTable[year2], BE$3))</f>
        <v>3353</v>
      </c>
      <c r="BJ103" s="61">
        <f>IF(COUNTIFS(allFYsTable[Code], SummaryTable[[#This Row],[Code]], allFYsTable[year2], BE$3)=0, NotFound, SUMIFS(allFYsTable[DiffAmount], allFYsTable[Code], SummaryTable[[#This Row],[Code]], allFYsTable[year2], BE$3))</f>
        <v>9</v>
      </c>
      <c r="BK103" s="63">
        <f>IF(SummaryTable[[#This Row],[OriginalBudget21]]=0, IF(SummaryTable[[#This Row],[DiffAmount21]]=0, ZeroBudgetNoSpending, ZeroBudgetWithSpending), SummaryTable[[#This Row],[DiffAmount21]]/SummaryTable[[#This Row],[OriginalBudget21]])</f>
        <v>2.6913875598086126E-3</v>
      </c>
      <c r="BL103" s="62">
        <f>IF(COUNTIFS(allFYsTable[Code], SummaryTable[[#This Row],[Code]], allFYsTable[year2], BL$3)=0, NotFound, SUMIFS(allFYsTable[OriginalBudget], allFYsTable[Code], SummaryTable[[#This Row],[Code]], allFYsTable[year2], BL$3))</f>
        <v>3464</v>
      </c>
      <c r="BM103" s="61">
        <f>SummaryTable[[#This Row],[OriginalBudget20]]-SummaryTable[[#This Row],[OriginalBudget19]]</f>
        <v>245</v>
      </c>
      <c r="BN103" s="54">
        <f>SummaryTable[[#This Row],[BudgetIncreaseAmount20]]/SummaryTable[[#This Row],[OriginalBudget19]]</f>
        <v>7.6110593351972664E-2</v>
      </c>
      <c r="BO103" s="61">
        <f>IF(COUNTIFS(allFYsTable[Code], SummaryTable[[#This Row],[Code]], allFYsTable[year2], BL$3)=0, NotFound, SUMIFS(allFYsTable[RevisedBudget], allFYsTable[Code], SummaryTable[[#This Row],[Code]], allFYsTable[year2], BL$3))</f>
        <v>3282</v>
      </c>
      <c r="BP103" s="61">
        <f>IF(COUNTIFS(allFYsTable[Code], SummaryTable[[#This Row],[Code]], allFYsTable[year2], BL$3)=0, NotFound, SUMIFS(allFYsTable[Actual], allFYsTable[Code], SummaryTable[[#This Row],[Code]], allFYsTable[year2], BL$3))</f>
        <v>3139</v>
      </c>
      <c r="BQ103" s="61">
        <f>IF(COUNTIFS(allFYsTable[Code], SummaryTable[[#This Row],[Code]], allFYsTable[year2], BL$3)=0, NotFound, SUMIFS(allFYsTable[DiffAmount], allFYsTable[Code], SummaryTable[[#This Row],[Code]], allFYsTable[year2], BL$3))</f>
        <v>-325</v>
      </c>
      <c r="BR103" s="63">
        <f>IF(SummaryTable[[#This Row],[OriginalBudget20]]=0, IF(SummaryTable[[#This Row],[DiffAmount20]]=0, ZeroBudgetNoSpending, ZeroBudgetWithSpending), SummaryTable[[#This Row],[DiffAmount20]]/SummaryTable[[#This Row],[OriginalBudget20]])</f>
        <v>-9.3822170900692836E-2</v>
      </c>
      <c r="BS103" s="62">
        <f>IF(COUNTIFS(allFYsTable[Code], SummaryTable[[#This Row],[Code]], allFYsTable[year2], BS$3)=0, NotFound, SUMIFS(allFYsTable[OriginalBudget], allFYsTable[Code], SummaryTable[[#This Row],[Code]], allFYsTable[year2], BS$3))</f>
        <v>3219</v>
      </c>
      <c r="BT103" s="61">
        <f>SummaryTable[[#This Row],[OriginalBudget19]]-SummaryTable[[#This Row],[OriginalBudget18]]</f>
        <v>70</v>
      </c>
      <c r="BU103" s="54">
        <f>SummaryTable[[#This Row],[BudgetIncreaseAmount19]]/SummaryTable[[#This Row],[OriginalBudget18]]</f>
        <v>2.2229279136233723E-2</v>
      </c>
      <c r="BV103" s="61">
        <f>IF(COUNTIFS(allFYsTable[Code], SummaryTable[[#This Row],[Code]], allFYsTable[year2], BS$3)=0, NotFound, SUMIFS(allFYsTable[RevisedBudget], allFYsTable[Code], SummaryTable[[#This Row],[Code]], allFYsTable[year2], BS$3))</f>
        <v>3846</v>
      </c>
      <c r="BW103" s="61">
        <f>IF(COUNTIFS(allFYsTable[Code], SummaryTable[[#This Row],[Code]], allFYsTable[year2], BS$3)=0, NotFound, SUMIFS(allFYsTable[Actual], allFYsTable[Code], SummaryTable[[#This Row],[Code]], allFYsTable[year2], BS$3))</f>
        <v>3533</v>
      </c>
      <c r="BX103" s="61">
        <f>IF(COUNTIFS(allFYsTable[Code], SummaryTable[[#This Row],[Code]], allFYsTable[year2], BS$3)=0, NotFound, SUMIFS(allFYsTable[DiffAmount], allFYsTable[Code], SummaryTable[[#This Row],[Code]], allFYsTable[year2], BS$3))</f>
        <v>314</v>
      </c>
      <c r="BY103" s="63">
        <f>IF(SummaryTable[[#This Row],[OriginalBudget19]]=0, IF(SummaryTable[[#This Row],[DiffAmount19]]=0, ZeroBudgetNoSpending, ZeroBudgetWithSpending), SummaryTable[[#This Row],[DiffAmount19]]/SummaryTable[[#This Row],[OriginalBudget19]])</f>
        <v>9.7545821683752712E-2</v>
      </c>
      <c r="BZ103" s="62">
        <f>IF(COUNTIFS(allFYsTable[Code], SummaryTable[[#This Row],[Code]], allFYsTable[year2], BZ$3)=0, NotFound, SUMIFS(allFYsTable[OriginalBudget], allFYsTable[Code], SummaryTable[[#This Row],[Code]], allFYsTable[year2], BZ$3))</f>
        <v>3149</v>
      </c>
      <c r="CA103" s="61">
        <f>SummaryTable[[#This Row],[OriginalBudget18]]-SummaryTable[[#This Row],[OriginalBudget17]]</f>
        <v>949</v>
      </c>
      <c r="CB103" s="54">
        <f>SummaryTable[[#This Row],[BudgetIncreaseAmount18]]/SummaryTable[[#This Row],[OriginalBudget17]]</f>
        <v>0.43136363636363634</v>
      </c>
      <c r="CC103" s="61">
        <f>IF(COUNTIFS(allFYsTable[Code], SummaryTable[[#This Row],[Code]], allFYsTable[year2], BZ$3)=0, NotFound, SUMIFS(allFYsTable[RevisedBudget], allFYsTable[Code], SummaryTable[[#This Row],[Code]], allFYsTable[year2], BZ$3))</f>
        <v>2884</v>
      </c>
      <c r="CD103" s="61">
        <f>IF(COUNTIFS(allFYsTable[Code], SummaryTable[[#This Row],[Code]], allFYsTable[year2], BZ$3)=0, NotFound, SUMIFS(allFYsTable[Actual], allFYsTable[Code], SummaryTable[[#This Row],[Code]], allFYsTable[year2], BZ$3))</f>
        <v>2601</v>
      </c>
      <c r="CE103" s="61">
        <f>IF(COUNTIFS(allFYsTable[Code], SummaryTable[[#This Row],[Code]], allFYsTable[year2], BZ$3)=0, NotFound, SUMIFS(allFYsTable[DiffAmount], allFYsTable[Code], SummaryTable[[#This Row],[Code]], allFYsTable[year2], BZ$3))</f>
        <v>-548</v>
      </c>
      <c r="CF103" s="63">
        <f>IF(SummaryTable[[#This Row],[OriginalBudget18]]=0, IF(SummaryTable[[#This Row],[DiffAmount18]]=0, ZeroBudgetNoSpending, ZeroBudgetWithSpending), SummaryTable[[#This Row],[DiffAmount18]]/SummaryTable[[#This Row],[OriginalBudget18]])</f>
        <v>-0.17402349952365831</v>
      </c>
      <c r="CG103" s="62">
        <f>IF(COUNTIFS(allFYsTable[Code], SummaryTable[[#This Row],[Code]], allFYsTable[year2], CG$3)=0, NotFound, SUMIFS(allFYsTable[OriginalBudget], allFYsTable[Code], SummaryTable[[#This Row],[Code]], allFYsTable[year2], CG$3))</f>
        <v>2200</v>
      </c>
      <c r="CH103" s="61">
        <f>SummaryTable[[#This Row],[OriginalBudget17]]-SummaryTable[[#This Row],[OriginalBudget16]]</f>
        <v>306</v>
      </c>
      <c r="CI103" s="54">
        <f>SummaryTable[[#This Row],[BudgetIncreaseAmount17]]/SummaryTable[[#This Row],[OriginalBudget16]]</f>
        <v>0.16156282998944033</v>
      </c>
      <c r="CJ103" s="61">
        <f>IF(COUNTIFS(allFYsTable[Code], SummaryTable[[#This Row],[Code]], allFYsTable[year2], CG$3)=0, NotFound, SUMIFS(allFYsTable[RevisedBudget], allFYsTable[Code], SummaryTable[[#This Row],[Code]], allFYsTable[year2], CG$3))</f>
        <v>2200</v>
      </c>
      <c r="CK103" s="61">
        <f>IF(COUNTIFS(allFYsTable[Code], SummaryTable[[#This Row],[Code]], allFYsTable[year2], CG$3)=0, NotFound, SUMIFS(allFYsTable[Actual], allFYsTable[Code], SummaryTable[[#This Row],[Code]], allFYsTable[year2], CG$3))</f>
        <v>2123</v>
      </c>
      <c r="CL103" s="61">
        <f>IF(COUNTIFS(allFYsTable[Code], SummaryTable[[#This Row],[Code]], allFYsTable[year2], CG$3)=0, NotFound, SUMIFS(allFYsTable[DiffAmount], allFYsTable[Code], SummaryTable[[#This Row],[Code]], allFYsTable[year2], CG$3))</f>
        <v>-77</v>
      </c>
      <c r="CM103" s="63">
        <f>IF(SummaryTable[[#This Row],[OriginalBudget17]]=0, IF(SummaryTable[[#This Row],[DiffAmount17]]=0, ZeroBudgetNoSpending, ZeroBudgetWithSpending), SummaryTable[[#This Row],[DiffAmount17]]/SummaryTable[[#This Row],[OriginalBudget17]])</f>
        <v>-3.5000000000000003E-2</v>
      </c>
      <c r="CN103" s="62">
        <f>IF(COUNTIFS(allFYsTable[Code], SummaryTable[[#This Row],[Code]], allFYsTable[year2], CN$3)=0, NotFound, SUMIFS(allFYsTable[OriginalBudget], allFYsTable[Code], SummaryTable[[#This Row],[Code]], allFYsTable[year2], CN$3))</f>
        <v>1894</v>
      </c>
      <c r="CO103" s="61" t="e">
        <f>SummaryTable[[#This Row],[OriginalBudget16]]-SummaryTable[[#This Row],[OriginalBudget15]]</f>
        <v>#N/A</v>
      </c>
      <c r="CP103" s="54" t="e">
        <f>SummaryTable[[#This Row],[BudgetIncreaseAmount16]]/SummaryTable[[#This Row],[OriginalBudget15]]</f>
        <v>#N/A</v>
      </c>
      <c r="CQ103" s="61">
        <f>IF(COUNTIFS(allFYsTable[Code], SummaryTable[[#This Row],[Code]], allFYsTable[year2], CN$3)=0, NotFound, SUMIFS(allFYsTable[RevisedBudget], allFYsTable[Code], SummaryTable[[#This Row],[Code]], allFYsTable[year2], CN$3))</f>
        <v>1894</v>
      </c>
      <c r="CR103" s="61">
        <f>IF(COUNTIFS(allFYsTable[Code], SummaryTable[[#This Row],[Code]], allFYsTable[year2], CN$3)=0, NotFound, SUMIFS(allFYsTable[Actual], allFYsTable[Code], SummaryTable[[#This Row],[Code]], allFYsTable[year2], CN$3))</f>
        <v>1877</v>
      </c>
      <c r="CS103" s="61">
        <f>IF(COUNTIFS(allFYsTable[Code], SummaryTable[[#This Row],[Code]], allFYsTable[year2], CN$3)=0, NotFound, SUMIFS(allFYsTable[DiffAmount], allFYsTable[Code], SummaryTable[[#This Row],[Code]], allFYsTable[year2], CN$3))</f>
        <v>-17</v>
      </c>
      <c r="CT103" s="63">
        <f>IF(SummaryTable[[#This Row],[OriginalBudget16]]=0, IF(SummaryTable[[#This Row],[DiffAmount16]]=0, ZeroBudgetNoSpending, ZeroBudgetWithSpending), SummaryTable[[#This Row],[DiffAmount16]]/SummaryTable[[#This Row],[OriginalBudget16]])</f>
        <v>-8.9757127771911294E-3</v>
      </c>
      <c r="CU103" s="62" t="e">
        <f>IF(COUNTIFS(allFYsTable[Code], SummaryTable[[#This Row],[Code]], allFYsTable[year2], CU$3)=0, NotFound, SUMIFS(allFYsTable[OriginalBudget], allFYsTable[Code], SummaryTable[[#This Row],[Code]], allFYsTable[year2], CU$3))</f>
        <v>#N/A</v>
      </c>
      <c r="CV103" s="61" t="e">
        <f>SummaryTable[[#This Row],[OriginalBudget15]]-SummaryTable[[#This Row],[OriginalBudget14]]</f>
        <v>#N/A</v>
      </c>
      <c r="CW103" s="54" t="e">
        <f>SummaryTable[[#This Row],[BudgetIncreaseAmount15]]/SummaryTable[[#This Row],[OriginalBudget14]]</f>
        <v>#N/A</v>
      </c>
      <c r="CX103" s="61" t="e">
        <f>IF(COUNTIFS(allFYsTable[Code], SummaryTable[[#This Row],[Code]], allFYsTable[year2], CU$3)=0, NotFound, SUMIFS(allFYsTable[RevisedBudget], allFYsTable[Code], SummaryTable[[#This Row],[Code]], allFYsTable[year2], CU$3))</f>
        <v>#N/A</v>
      </c>
      <c r="CY103" s="61" t="e">
        <f>IF(COUNTIFS(allFYsTable[Code], SummaryTable[[#This Row],[Code]], allFYsTable[year2], CU$3)=0, NotFound, SUMIFS(allFYsTable[Actual], allFYsTable[Code], SummaryTable[[#This Row],[Code]], allFYsTable[year2], CU$3))</f>
        <v>#N/A</v>
      </c>
      <c r="CZ103" s="61" t="e">
        <f>IF(COUNTIFS(allFYsTable[Code], SummaryTable[[#This Row],[Code]], allFYsTable[year2], CU$3)=0, NotFound, SUMIFS(allFYsTable[DiffAmount], allFYsTable[Code], SummaryTable[[#This Row],[Code]], allFYsTable[year2], CU$3))</f>
        <v>#N/A</v>
      </c>
      <c r="DA103" s="63" t="e">
        <f>IF(SummaryTable[[#This Row],[OriginalBudget15]]=0, IF(SummaryTable[[#This Row],[DiffAmount15]]=0, ZeroBudgetNoSpending, ZeroBudgetWithSpending), SummaryTable[[#This Row],[DiffAmount15]]/SummaryTable[[#This Row],[OriginalBudget15]])</f>
        <v>#N/A</v>
      </c>
      <c r="DB103" s="62" t="e">
        <f>IF(COUNTIFS(allFYsTable[Code], SummaryTable[[#This Row],[Code]], allFYsTable[year2], DB$3)=0, NotFound, SUMIFS(allFYsTable[OriginalBudget], allFYsTable[Code], SummaryTable[[#This Row],[Code]], allFYsTable[year2], DB$3))</f>
        <v>#N/A</v>
      </c>
      <c r="DC103" s="61" t="e">
        <f>SummaryTable[[#This Row],[OriginalBudget14]]-SummaryTable[[#This Row],[OriginalBudget13]]</f>
        <v>#N/A</v>
      </c>
      <c r="DD103" s="54" t="e">
        <f>SummaryTable[[#This Row],[BudgetIncreaseAmount14]]/SummaryTable[[#This Row],[OriginalBudget13]]</f>
        <v>#N/A</v>
      </c>
      <c r="DE103" s="61" t="e">
        <f>IF(COUNTIFS(allFYsTable[Code], SummaryTable[[#This Row],[Code]], allFYsTable[year2], DB$3)=0, NotFound, SUMIFS(allFYsTable[RevisedBudget], allFYsTable[Code], SummaryTable[[#This Row],[Code]], allFYsTable[year2], DB$3))</f>
        <v>#N/A</v>
      </c>
      <c r="DF103" s="61" t="e">
        <f>IF(COUNTIFS(allFYsTable[Code], SummaryTable[[#This Row],[Code]], allFYsTable[year2], DB$3)=0, NotFound, SUMIFS(allFYsTable[Actual], allFYsTable[Code], SummaryTable[[#This Row],[Code]], allFYsTable[year2], DB$3))</f>
        <v>#N/A</v>
      </c>
      <c r="DG103" s="61" t="e">
        <f>IF(COUNTIFS(allFYsTable[Code], SummaryTable[[#This Row],[Code]], allFYsTable[year2], DB$3)=0, NotFound, SUMIFS(allFYsTable[DiffAmount], allFYsTable[Code], SummaryTable[[#This Row],[Code]], allFYsTable[year2], DB$3))</f>
        <v>#N/A</v>
      </c>
      <c r="DH103" s="63" t="e">
        <f>IF(SummaryTable[[#This Row],[OriginalBudget14]]=0, IF(SummaryTable[[#This Row],[DiffAmount14]]=0, ZeroBudgetNoSpending, ZeroBudgetWithSpending), SummaryTable[[#This Row],[DiffAmount14]]/SummaryTable[[#This Row],[OriginalBudget14]])</f>
        <v>#N/A</v>
      </c>
      <c r="DI103" s="62" t="e">
        <f>IF(COUNTIFS(allFYsTable[Code], SummaryTable[[#This Row],[Code]], allFYsTable[year2], DI$3)=0, NotFound, SUMIFS(allFYsTable[OriginalBudget], allFYsTable[Code], SummaryTable[[#This Row],[Code]], allFYsTable[year2], DI$3))</f>
        <v>#N/A</v>
      </c>
      <c r="DJ103" s="61" t="e">
        <f>SummaryTable[[#This Row],[OriginalBudget13]]-SummaryTable[[#This Row],[OriginalBudget12]]</f>
        <v>#N/A</v>
      </c>
      <c r="DK103" s="54" t="e">
        <f>SummaryTable[[#This Row],[BudgetIncreaseAmount13]]/SummaryTable[[#This Row],[OriginalBudget12]]</f>
        <v>#N/A</v>
      </c>
      <c r="DL103" s="61" t="e">
        <f>IF(COUNTIFS(allFYsTable[Code], SummaryTable[[#This Row],[Code]], allFYsTable[year2], DI$3)=0, NotFound, SUMIFS(allFYsTable[RevisedBudget], allFYsTable[Code], SummaryTable[[#This Row],[Code]], allFYsTable[year2], DI$3))</f>
        <v>#N/A</v>
      </c>
      <c r="DM103" s="61" t="e">
        <f>IF(COUNTIFS(allFYsTable[Code], SummaryTable[[#This Row],[Code]], allFYsTable[year2], DI$3)=0, NotFound, SUMIFS(allFYsTable[Actual], allFYsTable[Code], SummaryTable[[#This Row],[Code]], allFYsTable[year2], DI$3))</f>
        <v>#N/A</v>
      </c>
      <c r="DN103" s="61" t="e">
        <f>IF(COUNTIFS(allFYsTable[Code], SummaryTable[[#This Row],[Code]], allFYsTable[year2], DI$3)=0, NotFound, SUMIFS(allFYsTable[DiffAmount], allFYsTable[Code], SummaryTable[[#This Row],[Code]], allFYsTable[year2], DI$3))</f>
        <v>#N/A</v>
      </c>
      <c r="DO103" s="63" t="e">
        <f>IF(SummaryTable[[#This Row],[OriginalBudget13]]=0, IF(SummaryTable[[#This Row],[DiffAmount13]]=0, ZeroBudgetNoSpending, ZeroBudgetWithSpending), SummaryTable[[#This Row],[DiffAmount13]]/SummaryTable[[#This Row],[OriginalBudget13]])</f>
        <v>#N/A</v>
      </c>
      <c r="DP103" s="62" t="e">
        <f>IF(COUNTIFS(allFYsTable[Code], SummaryTable[[#This Row],[Code]], allFYsTable[year2], DP$3)=0, NotFound, SUMIFS(allFYsTable[OriginalBudget], allFYsTable[Code], SummaryTable[[#This Row],[Code]], allFYsTable[year2], DP$3))</f>
        <v>#N/A</v>
      </c>
      <c r="DQ103" s="61" t="e">
        <f>SummaryTable[[#This Row],[OriginalBudget12]]-SummaryTable[[#This Row],[OriginalBudget11]]</f>
        <v>#N/A</v>
      </c>
      <c r="DR103" s="54" t="e">
        <f>SummaryTable[[#This Row],[BudgetIncreaseAmount12]]/SummaryTable[[#This Row],[OriginalBudget11]]</f>
        <v>#N/A</v>
      </c>
      <c r="DS103" s="61" t="e">
        <f>IF(COUNTIFS(allFYsTable[Code], SummaryTable[[#This Row],[Code]], allFYsTable[year2], DP$3)=0, NotFound, SUMIFS(allFYsTable[RevisedBudget], allFYsTable[Code], SummaryTable[[#This Row],[Code]], allFYsTable[year2], DP$3))</f>
        <v>#N/A</v>
      </c>
      <c r="DT103" s="61" t="e">
        <f>IF(COUNTIFS(allFYsTable[Code], SummaryTable[[#This Row],[Code]], allFYsTable[year2], DP$3)=0, NotFound, SUMIFS(allFYsTable[Actual], allFYsTable[Code], SummaryTable[[#This Row],[Code]], allFYsTable[year2], DP$3))</f>
        <v>#N/A</v>
      </c>
      <c r="DU103" s="61" t="e">
        <f>IF(COUNTIFS(allFYsTable[Code], SummaryTable[[#This Row],[Code]], allFYsTable[year2], DP$3)=0, NotFound, SUMIFS(allFYsTable[DiffAmount], allFYsTable[Code], SummaryTable[[#This Row],[Code]], allFYsTable[year2], DP$3))</f>
        <v>#N/A</v>
      </c>
      <c r="DV103" s="63" t="e">
        <f>IF(SummaryTable[[#This Row],[OriginalBudget12]]=0, IF(SummaryTable[[#This Row],[DiffAmount12]]=0, ZeroBudgetNoSpending, ZeroBudgetWithSpending), SummaryTable[[#This Row],[DiffAmount12]]/SummaryTable[[#This Row],[OriginalBudget12]])</f>
        <v>#N/A</v>
      </c>
      <c r="DW103" s="62" t="e">
        <f>IF(COUNTIFS(allFYsTable[Code], SummaryTable[[#This Row],[Code]], allFYsTable[year2], DW$3)=0, NotFound, SUMIFS(allFYsTable[OriginalBudget], allFYsTable[Code], SummaryTable[[#This Row],[Code]], allFYsTable[year2], DW$3))</f>
        <v>#N/A</v>
      </c>
      <c r="DX103" s="61" t="e">
        <f>SummaryTable[[#This Row],[OriginalBudget11]]-SummaryTable[[#This Row],[OriginalBudget10]]</f>
        <v>#N/A</v>
      </c>
      <c r="DY103" s="54" t="e">
        <f>SummaryTable[[#This Row],[BudgetIncreaseAmount11]]/SummaryTable[[#This Row],[OriginalBudget10]]</f>
        <v>#N/A</v>
      </c>
      <c r="DZ103" s="61" t="e">
        <f>IF(COUNTIFS(allFYsTable[Code], SummaryTable[[#This Row],[Code]], allFYsTable[year2], DW$3)=0, NotFound, SUMIFS(allFYsTable[RevisedBudget], allFYsTable[Code], SummaryTable[[#This Row],[Code]], allFYsTable[year2], DW$3))</f>
        <v>#N/A</v>
      </c>
      <c r="EA103" s="61" t="e">
        <f>IF(COUNTIFS(allFYsTable[Code], SummaryTable[[#This Row],[Code]], allFYsTable[year2], DW$3)=0, NotFound, SUMIFS(allFYsTable[Actual], allFYsTable[Code], SummaryTable[[#This Row],[Code]], allFYsTable[year2], DW$3))</f>
        <v>#N/A</v>
      </c>
      <c r="EB103" s="61" t="e">
        <f>IF(COUNTIFS(allFYsTable[Code], SummaryTable[[#This Row],[Code]], allFYsTable[year2], DW$3)=0, NotFound, SUMIFS(allFYsTable[DiffAmount], allFYsTable[Code], SummaryTable[[#This Row],[Code]], allFYsTable[year2], DW$3))</f>
        <v>#N/A</v>
      </c>
      <c r="EC103" s="63" t="e">
        <f>IF(SummaryTable[[#This Row],[OriginalBudget11]]=0, IF(SummaryTable[[#This Row],[DiffAmount11]]=0, ZeroBudgetNoSpending, ZeroBudgetWithSpending), SummaryTable[[#This Row],[DiffAmount11]]/SummaryTable[[#This Row],[OriginalBudget11]])</f>
        <v>#N/A</v>
      </c>
      <c r="ED103" s="62" t="e">
        <f>IF(COUNTIFS(allFYsTable[Code], SummaryTable[[#This Row],[Code]], allFYsTable[year2], ED$3)=0, NotFound, SUMIFS(allFYsTable[OriginalBudget], allFYsTable[Code], SummaryTable[[#This Row],[Code]], allFYsTable[year2], ED$3))</f>
        <v>#N/A</v>
      </c>
      <c r="EE103" s="61" t="e">
        <f>SummaryTable[[#This Row],[OriginalBudget10]]-SummaryTable[[#This Row],[OriginalBudget09]]</f>
        <v>#N/A</v>
      </c>
      <c r="EF103" s="54" t="e">
        <f>SummaryTable[[#This Row],[BudgetIncreaseAmount10]]/SummaryTable[[#This Row],[OriginalBudget09]]</f>
        <v>#N/A</v>
      </c>
      <c r="EG103" s="61" t="e">
        <f>IF(COUNTIFS(allFYsTable[Code], SummaryTable[[#This Row],[Code]], allFYsTable[year2], ED$3)=0, NotFound, SUMIFS(allFYsTable[RevisedBudget], allFYsTable[Code], SummaryTable[[#This Row],[Code]], allFYsTable[year2], ED$3))</f>
        <v>#N/A</v>
      </c>
      <c r="EH103" s="61" t="e">
        <f>IF(COUNTIFS(allFYsTable[Code], SummaryTable[[#This Row],[Code]], allFYsTable[year2], ED$3)=0, NotFound, SUMIFS(allFYsTable[Actual], allFYsTable[Code], SummaryTable[[#This Row],[Code]], allFYsTable[year2], ED$3))</f>
        <v>#N/A</v>
      </c>
      <c r="EI103" s="61" t="e">
        <f>IF(COUNTIFS(allFYsTable[Code], SummaryTable[[#This Row],[Code]], allFYsTable[year2], ED$3)=0, NotFound, SUMIFS(allFYsTable[DiffAmount], allFYsTable[Code], SummaryTable[[#This Row],[Code]], allFYsTable[year2], ED$3))</f>
        <v>#N/A</v>
      </c>
      <c r="EJ103" s="63" t="e">
        <f>IF(SummaryTable[[#This Row],[OriginalBudget10]]=0, IF(SummaryTable[[#This Row],[DiffAmount10]]=0, ZeroBudgetNoSpending, ZeroBudgetWithSpending), SummaryTable[[#This Row],[DiffAmount10]]/SummaryTable[[#This Row],[OriginalBudget10]])</f>
        <v>#N/A</v>
      </c>
      <c r="EK103" s="62" t="e">
        <f>IF(COUNTIFS(allFYsTable[Code], SummaryTable[[#This Row],[Code]], allFYsTable[year2], EK$3)=0, NotFound, SUMIFS(allFYsTable[OriginalBudget], allFYsTable[Code], SummaryTable[[#This Row],[Code]], allFYsTable[year2], EK$3))</f>
        <v>#N/A</v>
      </c>
      <c r="EL103" s="61" t="e">
        <f>SummaryTable[[#This Row],[OriginalBudget09]]-SummaryTable[[#This Row],[OriginalBudget08]]</f>
        <v>#N/A</v>
      </c>
      <c r="EM103" s="54" t="e">
        <f>SummaryTable[[#This Row],[BudgetIncreaseAmount09]]/SummaryTable[[#This Row],[OriginalBudget08]]</f>
        <v>#N/A</v>
      </c>
      <c r="EN103" s="61" t="e">
        <f>IF(COUNTIFS(allFYsTable[Code], SummaryTable[[#This Row],[Code]], allFYsTable[year2], EK$3)=0, NotFound, SUMIFS(allFYsTable[RevisedBudget], allFYsTable[Code], SummaryTable[[#This Row],[Code]], allFYsTable[year2], EK$3))</f>
        <v>#N/A</v>
      </c>
      <c r="EO103" s="61" t="e">
        <f>IF(COUNTIFS(allFYsTable[Code], SummaryTable[[#This Row],[Code]], allFYsTable[year2], EK$3)=0, NotFound, SUMIFS(allFYsTable[Actual], allFYsTable[Code], SummaryTable[[#This Row],[Code]], allFYsTable[year2], EK$3))</f>
        <v>#N/A</v>
      </c>
      <c r="EP103" s="61" t="e">
        <f>IF(COUNTIFS(allFYsTable[Code], SummaryTable[[#This Row],[Code]], allFYsTable[year2], EK$3)=0, NotFound, SUMIFS(allFYsTable[DiffAmount], allFYsTable[Code], SummaryTable[[#This Row],[Code]], allFYsTable[year2], EK$3))</f>
        <v>#N/A</v>
      </c>
      <c r="EQ103" s="63" t="e">
        <f>IF(SummaryTable[[#This Row],[OriginalBudget09]]=0, IF(SummaryTable[[#This Row],[DiffAmount09]]=0, ZeroBudgetNoSpending, ZeroBudgetWithSpending), SummaryTable[[#This Row],[DiffAmount09]]/SummaryTable[[#This Row],[OriginalBudget09]])</f>
        <v>#N/A</v>
      </c>
      <c r="ER103" s="62" t="e">
        <f>IF(COUNTIFS(allFYsTable[Code], SummaryTable[[#This Row],[Code]], allFYsTable[year2], ER$3)=0, NotFound, SUMIFS(allFYsTable[OriginalBudget], allFYsTable[Code], SummaryTable[[#This Row],[Code]], allFYsTable[year2], ER$3))</f>
        <v>#N/A</v>
      </c>
      <c r="ES103" s="61" t="e">
        <f>SummaryTable[[#This Row],[OriginalBudget08]]-SummaryTable[[#This Row],[OriginalBudget07]]</f>
        <v>#N/A</v>
      </c>
      <c r="ET103" s="54" t="e">
        <f>SummaryTable[[#This Row],[BudgetIncreaseAmount08]]/SummaryTable[[#This Row],[OriginalBudget07]]</f>
        <v>#N/A</v>
      </c>
      <c r="EU103" s="61" t="e">
        <f>IF(COUNTIFS(allFYsTable[Code], SummaryTable[[#This Row],[Code]], allFYsTable[year2], ER$3)=0, NotFound, SUMIFS(allFYsTable[RevisedBudget], allFYsTable[Code], SummaryTable[[#This Row],[Code]], allFYsTable[year2], ER$3))</f>
        <v>#N/A</v>
      </c>
      <c r="EV103" s="61" t="e">
        <f>IF(COUNTIFS(allFYsTable[Code], SummaryTable[[#This Row],[Code]], allFYsTable[year2], ER$3)=0, NotFound, SUMIFS(allFYsTable[Actual], allFYsTable[Code], SummaryTable[[#This Row],[Code]], allFYsTable[year2], ER$3))</f>
        <v>#N/A</v>
      </c>
      <c r="EW103" s="61" t="e">
        <f>IF(COUNTIFS(allFYsTable[Code], SummaryTable[[#This Row],[Code]], allFYsTable[year2], ER$3)=0, NotFound, SUMIFS(allFYsTable[DiffAmount], allFYsTable[Code], SummaryTable[[#This Row],[Code]], allFYsTable[year2], ER$3))</f>
        <v>#N/A</v>
      </c>
      <c r="EX103" s="63" t="e">
        <f>IF(SummaryTable[[#This Row],[OriginalBudget08]]=0, IF(SummaryTable[[#This Row],[DiffAmount08]]=0, ZeroBudgetNoSpending, ZeroBudgetWithSpending), SummaryTable[[#This Row],[DiffAmount08]]/SummaryTable[[#This Row],[OriginalBudget08]])</f>
        <v>#N/A</v>
      </c>
      <c r="EY103" s="62" t="e">
        <f>IF(COUNTIFS(allFYsTable[Code], SummaryTable[[#This Row],[Code]], allFYsTable[year2], EY$3)=0, NotFound, SUMIFS(allFYsTable[OriginalBudget], allFYsTable[Code], SummaryTable[[#This Row],[Code]], allFYsTable[year2], EY$3))</f>
        <v>#N/A</v>
      </c>
      <c r="EZ103" s="61" t="e">
        <f>SummaryTable[[#This Row],[OriginalBudget07]]-SummaryTable[[#This Row],[OriginalBudget06]]</f>
        <v>#N/A</v>
      </c>
      <c r="FA103" s="54" t="e">
        <f>SummaryTable[[#This Row],[BudgetIncreaseAmount07]]/SummaryTable[[#This Row],[OriginalBudget06]]</f>
        <v>#N/A</v>
      </c>
      <c r="FB103" s="61" t="e">
        <f>IF(COUNTIFS(allFYsTable[Code], SummaryTable[[#This Row],[Code]], allFYsTable[year2], EY$3)=0, NotFound, SUMIFS(allFYsTable[RevisedBudget], allFYsTable[Code], SummaryTable[[#This Row],[Code]], allFYsTable[year2], EY$3))</f>
        <v>#N/A</v>
      </c>
      <c r="FC103" s="61" t="e">
        <f>IF(COUNTIFS(allFYsTable[Code], SummaryTable[[#This Row],[Code]], allFYsTable[year2], EY$3)=0, NotFound, SUMIFS(allFYsTable[Actual], allFYsTable[Code], SummaryTable[[#This Row],[Code]], allFYsTable[year2], EY$3))</f>
        <v>#N/A</v>
      </c>
      <c r="FD103" s="61" t="e">
        <f>IF(COUNTIFS(allFYsTable[Code], SummaryTable[[#This Row],[Code]], allFYsTable[year2], EY$3)=0, NotFound, SUMIFS(allFYsTable[DiffAmount], allFYsTable[Code], SummaryTable[[#This Row],[Code]], allFYsTable[year2], EY$3))</f>
        <v>#N/A</v>
      </c>
      <c r="FE103" s="63" t="e">
        <f>IF(SummaryTable[[#This Row],[OriginalBudget07]]=0, IF(SummaryTable[[#This Row],[DiffAmount07]]=0, ZeroBudgetNoSpending, ZeroBudgetWithSpending), SummaryTable[[#This Row],[DiffAmount07]]/SummaryTable[[#This Row],[OriginalBudget07]])</f>
        <v>#N/A</v>
      </c>
      <c r="FF103" s="62" t="e">
        <f>IF(COUNTIFS(allFYsTable[Code], SummaryTable[[#This Row],[Code]], allFYsTable[year2], FF$3)=0, NotFound, SUMIFS(allFYsTable[OriginalBudget], allFYsTable[Code], SummaryTable[[#This Row],[Code]], allFYsTable[year2], FF$3))</f>
        <v>#N/A</v>
      </c>
      <c r="FI103" s="61" t="e">
        <f>IF(COUNTIFS(allFYsTable[Code], SummaryTable[[#This Row],[Code]], allFYsTable[year2], FF$3)=0, NotFound, SUMIFS(allFYsTable[RevisedBudget], allFYsTable[Code], SummaryTable[[#This Row],[Code]], allFYsTable[year2], FF$3))</f>
        <v>#N/A</v>
      </c>
      <c r="FJ103" s="61" t="e">
        <f>IF(COUNTIFS(allFYsTable[Code], SummaryTable[[#This Row],[Code]], allFYsTable[year2], FF$3)=0, NotFound, SUMIFS(allFYsTable[Actual], allFYsTable[Code], SummaryTable[[#This Row],[Code]], allFYsTable[year2], FF$3))</f>
        <v>#N/A</v>
      </c>
      <c r="FK103" s="61" t="e">
        <f>IF(COUNTIFS(allFYsTable[Code], SummaryTable[[#This Row],[Code]], allFYsTable[year2], FF$3)=0, NotFound, SUMIFS(allFYsTable[DiffAmount], allFYsTable[Code], SummaryTable[[#This Row],[Code]], allFYsTable[year2], FF$3))</f>
        <v>#N/A</v>
      </c>
      <c r="FL103" s="63" t="e">
        <f>IF(SummaryTable[[#This Row],[OriginalBudget06]]=0, IF(SummaryTable[[#This Row],[DiffAmount06]]=0, ZeroBudgetNoSpending, ZeroBudgetWithSpending), SummaryTable[[#This Row],[DiffAmount06]]/SummaryTable[[#This Row],[OriginalBudget06]])</f>
        <v>#N/A</v>
      </c>
    </row>
    <row r="104" spans="1:168" x14ac:dyDescent="0.45">
      <c r="A104" t="s">
        <v>779</v>
      </c>
      <c r="B104">
        <f>_xlfn.MAXIFS(allFYsTable[year2], allFYsTable[Code], SummaryTable[[#This Row],[Code]])</f>
        <v>2025</v>
      </c>
      <c r="C104" t="str">
        <f>_xlfn.XLOOKUP(SummaryTable[[#This Row],[Code]], NameCodingTable[Code], NameCodingTable[Most Recent Category per allFYs])</f>
        <v>Public education system</v>
      </c>
      <c r="D104" t="str">
        <f>_xlfn.XLOOKUP(SummaryTable[[#This Row],[Code]], NameCodingTable[Code], NameCodingTable[Unit Display Name])</f>
        <v>Office of the State Superintendent of Education (OSSE)</v>
      </c>
      <c r="E104" t="str">
        <f>_xlfn.XLOOKUP(SummaryTable[[#This Row],[Code]], NameCodingTable[Code], NameCodingTable[Type])</f>
        <v>agency</v>
      </c>
      <c r="F10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0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9</v>
      </c>
      <c r="H104" s="54">
        <f>SummaryTable[[#This Row],['# Over]]/SummaryTable[[#This Row],[Count]]</f>
        <v>0.45</v>
      </c>
      <c r="I10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11</v>
      </c>
      <c r="J104" s="54">
        <f>SummaryTable[[#This Row],['# Under]]/SummaryTable[[#This Row],[Count]]</f>
        <v>0.55000000000000004</v>
      </c>
      <c r="K10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04" s="54">
        <f>SummaryTable[[#This Row],['# Equal]]/SummaryTable[[#This Row],[Count]]</f>
        <v>0</v>
      </c>
      <c r="M104" s="61">
        <f>SUMIFS(allFYsTable[OriginalBudget],allFYsTable[Code],SummaryTable[[#This Row],[Code]])/SummaryTable[[#This Row],[Count]]</f>
        <v>146175.4</v>
      </c>
      <c r="N104" s="61">
        <f>SUMIFS(allFYsTable[Actual],allFYsTable[Code],SummaryTable[[#This Row],[Code]])/SummaryTable[[#This Row],[Count]]</f>
        <v>149156.4</v>
      </c>
      <c r="O104" s="61">
        <f>SummaryTable[[#This Row],[AvgActAmt]]-SummaryTable[[#This Row],[AvgBudAmt]]</f>
        <v>2981</v>
      </c>
      <c r="P104" s="54">
        <f>IF(SummaryTable[[#This Row],[AvgBudAmt]]=0, IF(SummaryTable[[#This Row],[AvgDiff'#]]=0, 0, NamedFields!$C$3), SummaryTable[[#This Row],[AvgDiff'#]]/SummaryTable[[#This Row],[AvgBudAmt]])</f>
        <v>2.0393308313163501E-2</v>
      </c>
      <c r="Q104" s="61">
        <f>IFERROR(SUMIFS(allFYsTable[OriginalBudget],allFYsTable[Code],SummaryTable[[#This Row],[Code]],allFYsTable[DiffAmount], "&gt;0")/SummaryTable[[#This Row],['# Over]], 0)</f>
        <v>157813.33333333334</v>
      </c>
      <c r="R104" s="61">
        <f>IFERROR(SUMIFS(allFYsTable[Actual],allFYsTable[Code],SummaryTable[[#This Row],[Code]],allFYsTable[DiffAmount], "&gt;0")/SummaryTable[[#This Row],['# Over]], 0)</f>
        <v>173657.11111111112</v>
      </c>
      <c r="S104" s="61">
        <f>SummaryTable[[#This Row],[OverAvgAct]]-SummaryTable[[#This Row],[OverAvgBud]]</f>
        <v>15843.777777777781</v>
      </c>
      <c r="T104" s="54">
        <f>IF(SummaryTable[[#This Row],[OverAvgBud]]=0, IF(SummaryTable[[#This Row],[OverAvgDiff'#]]=0, ZeroBudgetNoSpending, ZeroBudgetWithSpending), SummaryTable[[#This Row],[OverAvgDiff'#]]/SummaryTable[[#This Row],[OverAvgBud]])</f>
        <v>0.10039568547932862</v>
      </c>
      <c r="U104" s="61">
        <f>IFERROR(SUMIFS(allFYsTable[OriginalBudget],allFYsTable[Code],SummaryTable[[#This Row],[Code]],allFYsTable[DiffAmount], "&lt;0")/SummaryTable[[#This Row],['# Under]], 0)</f>
        <v>136653.45454545456</v>
      </c>
      <c r="V104" s="61">
        <f>IFERROR( SUMIFS(allFYsTable[Actual],allFYsTable[Code],SummaryTable[[#This Row],[Code]],allFYsTable[DiffAmount], "&lt;0")/SummaryTable[[#This Row],['# Under]], 0)</f>
        <v>129110.36363636363</v>
      </c>
      <c r="W104" s="61">
        <f>SummaryTable[[#This Row],[UnderAvgAct]]-SummaryTable[[#This Row],[UnderAvgBud]]</f>
        <v>-7543.0909090909263</v>
      </c>
      <c r="X104" s="54">
        <f>IF(SummaryTable[[#This Row],[UnderAvgBud]]=0, IF(SummaryTable[[#This Row],[UnderAvgDiff'#]]=0, ZeroBudgetNoSpending, NamedFields!$C$3), SummaryTable[[#This Row],[UnderAvgDiff'#]]/SummaryTable[[#This Row],[UnderAvgBud]])</f>
        <v>-5.5198684396096952E-2</v>
      </c>
      <c r="Y10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8</v>
      </c>
      <c r="Z10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2</v>
      </c>
      <c r="AA104" s="54">
        <f>IF(SummaryTable[[#This Row],[IncreaseYears]]=0, ZeroBudgetNoSpending, SummaryTable[[#This Row],[OSinIncreaseYear'#]]/SummaryTable[[#This Row],[IncreaseYears]])</f>
        <v>0.25</v>
      </c>
      <c r="AB104" s="58" t="str">
        <f>SummaryTable[[#This Row],[Code]]</f>
        <v>GD0</v>
      </c>
      <c r="AC104" s="62">
        <f>IF(COUNTIFS(allFYsTable[Code], SummaryTable[[#This Row],[Code]], allFYsTable[year2], AC$3)=0, NotFound, SUMIFS(allFYsTable[OriginalBudget], allFYsTable[Code], SummaryTable[[#This Row],[Code]], allFYsTable[year2], AC$3))</f>
        <v>260803</v>
      </c>
      <c r="AD104" s="61">
        <f>SummaryTable[[#This Row],[OriginalBudget25]]-SummaryTable[[#This Row],[OriginalBudget24]]</f>
        <v>-3298</v>
      </c>
      <c r="AE104" s="54">
        <f>SummaryTable[[#This Row],[BudgetIncreaseAmount25]]/SummaryTable[[#This Row],[OriginalBudget24]]</f>
        <v>-1.2487646771500297E-2</v>
      </c>
      <c r="AF104" s="61">
        <f>IF(COUNTIFS(allFYsTable[Code], SummaryTable[[#This Row],[Code]], allFYsTable[year2], AC$3)=0, NotFound, SUMIFS(allFYsTable[RevisedBudget], allFYsTable[Code], SummaryTable[[#This Row],[Code]], allFYsTable[year2], AC$3))</f>
        <v>256186</v>
      </c>
      <c r="AG104" s="61">
        <f>IF(COUNTIFS(allFYsTable[Code], SummaryTable[[#This Row],[Code]], allFYsTable[year2], AC$3)=0, NotFound, SUMIFS(allFYsTable[Actual], allFYsTable[Code], SummaryTable[[#This Row],[Code]], allFYsTable[year2], AC$3))</f>
        <v>255607</v>
      </c>
      <c r="AH104" s="61">
        <f>IF(COUNTIFS(allFYsTable[Code], SummaryTable[[#This Row],[Code]], allFYsTable[year2], AC$3)=0, NotFound, SUMIFS(allFYsTable[DiffAmount], allFYsTable[Code], SummaryTable[[#This Row],[Code]], allFYsTable[year2], AC$3))</f>
        <v>-5196</v>
      </c>
      <c r="AI104" s="63">
        <f>IF(SummaryTable[[#This Row],[OriginalBudget25]]=0, IF(SummaryTable[[#This Row],[DiffAmount25]]=0, ZeroBudgetNoSpending, ZeroBudgetWithSpending), SummaryTable[[#This Row],[DiffAmount25]]/SummaryTable[[#This Row],[OriginalBudget25]])</f>
        <v>-1.9923083706859201E-2</v>
      </c>
      <c r="AJ104" s="62">
        <f>IF(COUNTIFS(allFYsTable[Code], SummaryTable[[#This Row],[Code]], allFYsTable[year2], AJ$3)=0, NotFound, SUMIFS(allFYsTable[OriginalBudget], allFYsTable[Code], SummaryTable[[#This Row],[Code]], allFYsTable[year2], AJ$3))</f>
        <v>264101</v>
      </c>
      <c r="AK104" s="61">
        <f>SummaryTable[[#This Row],[OriginalBudget24]]-SummaryTable[[#This Row],[OriginalBudget23]]</f>
        <v>-6095</v>
      </c>
      <c r="AL104" s="54">
        <f>SummaryTable[[#This Row],[BudgetIncreaseAmount24]]/SummaryTable[[#This Row],[OriginalBudget23]]</f>
        <v>-2.2557698855645531E-2</v>
      </c>
      <c r="AM104" s="61">
        <f>IF(COUNTIFS(allFYsTable[Code], SummaryTable[[#This Row],[Code]], allFYsTable[year2], AK$3)=0, NotFound, SUMIFS(allFYsTable[RevisedBudget], allFYsTable[Code], SummaryTable[[#This Row],[Code]], allFYsTable[year2], AJ$3))</f>
        <v>283579</v>
      </c>
      <c r="AN104" s="61">
        <f>IF(COUNTIFS(allFYsTable[Code], SummaryTable[[#This Row],[Code]], allFYsTable[year2], AJ$3)=0, NotFound, SUMIFS(allFYsTable[Actual], allFYsTable[Code], SummaryTable[[#This Row],[Code]], allFYsTable[year2], AJ$3))</f>
        <v>283557</v>
      </c>
      <c r="AO104" s="61">
        <f>IF(COUNTIFS(allFYsTable[Code], SummaryTable[[#This Row],[Code]], allFYsTable[year2], AJ$3)=0, NotFound, SUMIFS(allFYsTable[DiffAmount], allFYsTable[Code], SummaryTable[[#This Row],[Code]], allFYsTable[year2], AJ$3))</f>
        <v>19456</v>
      </c>
      <c r="AP104" s="63">
        <f>IF(SummaryTable[[#This Row],[OriginalBudget24]]=0, IF(SummaryTable[[#This Row],[DiffAmount24]]=0, ZeroBudgetNoSpending, ZeroBudgetWithSpending), SummaryTable[[#This Row],[DiffAmount24]]/SummaryTable[[#This Row],[OriginalBudget24]])</f>
        <v>7.3668785805430501E-2</v>
      </c>
      <c r="AQ104" s="62">
        <f>IF(COUNTIFS(allFYsTable[Code], SummaryTable[[#This Row],[Code]], allFYsTable[year2], AQ$3)=0, NotFound, SUMIFS(allFYsTable[OriginalBudget], allFYsTable[Code], SummaryTable[[#This Row],[Code]], allFYsTable[year2], AQ$3))</f>
        <v>270196</v>
      </c>
      <c r="AR104" s="61">
        <f>SummaryTable[[#This Row],[OriginalBudget23]]-SummaryTable[[#This Row],[OriginalBudget22]]</f>
        <v>35301</v>
      </c>
      <c r="AS104" s="54">
        <f>SummaryTable[[#This Row],[BudgetIncreaseAmount23]]/SummaryTable[[#This Row],[OriginalBudget22]]</f>
        <v>0.15028416952255264</v>
      </c>
      <c r="AT104" s="61">
        <f>IF(COUNTIFS(allFYsTable[Code], SummaryTable[[#This Row],[Code]], allFYsTable[year2], AQ$3)=0, NotFound, SUMIFS(allFYsTable[RevisedBudget], allFYsTable[Code], SummaryTable[[#This Row],[Code]], allFYsTable[year2], AQ$3))</f>
        <v>331614</v>
      </c>
      <c r="AU104" s="61">
        <f>IF(COUNTIFS(allFYsTable[Code], SummaryTable[[#This Row],[Code]], allFYsTable[year2], AQ$3)=0, NotFound, SUMIFS(allFYsTable[Actual], allFYsTable[Code], SummaryTable[[#This Row],[Code]], allFYsTable[year2], AQ$3))</f>
        <v>322445</v>
      </c>
      <c r="AV104" s="61">
        <f>IF(COUNTIFS(allFYsTable[Code], SummaryTable[[#This Row],[Code]], allFYsTable[year2], AQ$3)=0, NotFound, SUMIFS(allFYsTable[DiffAmount], allFYsTable[Code], SummaryTable[[#This Row],[Code]], allFYsTable[year2], AQ$3))</f>
        <v>52249</v>
      </c>
      <c r="AW104" s="63">
        <f>IF(SummaryTable[[#This Row],[OriginalBudget23]]=0, IF(SummaryTable[[#This Row],[DiffAmount23]]=0, ZeroBudgetNoSpending, ZeroBudgetWithSpending), SummaryTable[[#This Row],[DiffAmount23]]/SummaryTable[[#This Row],[OriginalBudget23]])</f>
        <v>0.19337443929591852</v>
      </c>
      <c r="AX104" s="62">
        <f>IF(COUNTIFS(allFYsTable[Code], SummaryTable[[#This Row],[Code]], allFYsTable[year2], AX$3)=0, NotFound, SUMIFS(allFYsTable[OriginalBudget], allFYsTable[Code], SummaryTable[[#This Row],[Code]], allFYsTable[year2], AX$3))</f>
        <v>234895</v>
      </c>
      <c r="AY104" s="61">
        <f>SummaryTable[[#This Row],[OriginalBudget22]]-SummaryTable[[#This Row],[OriginalBudget21]]</f>
        <v>59719</v>
      </c>
      <c r="AZ104" s="54">
        <f>SummaryTable[[#This Row],[BudgetIncreaseAmount22]]/SummaryTable[[#This Row],[OriginalBudget21]]</f>
        <v>0.34090857195049551</v>
      </c>
      <c r="BA104" s="61">
        <f>IF(COUNTIFS(allFYsTable[Code], SummaryTable[[#This Row],[Code]], allFYsTable[year2], AX$3)=0, NotFound, SUMIFS(allFYsTable[RevisedBudget], allFYsTable[Code], SummaryTable[[#This Row],[Code]], allFYsTable[year2], AX$3))</f>
        <v>238755</v>
      </c>
      <c r="BB104" s="61">
        <f>IF(COUNTIFS(allFYsTable[Code], SummaryTable[[#This Row],[Code]], allFYsTable[year2], AX$3)=0, NotFound, SUMIFS(allFYsTable[Actual], allFYsTable[Code], SummaryTable[[#This Row],[Code]], allFYsTable[year2], AX$3))</f>
        <v>217187</v>
      </c>
      <c r="BC104" s="61">
        <f>IF(COUNTIFS(allFYsTable[Code], SummaryTable[[#This Row],[Code]], allFYsTable[year2], AX$3)=0, NotFound, SUMIFS(allFYsTable[DiffAmount], allFYsTable[Code], SummaryTable[[#This Row],[Code]], allFYsTable[year2], AX$3))</f>
        <v>-17708</v>
      </c>
      <c r="BD104" s="63">
        <f>IF(SummaryTable[[#This Row],[OriginalBudget22]]=0, IF(SummaryTable[[#This Row],[DiffAmount22]]=0, ZeroBudgetNoSpending, ZeroBudgetWithSpending), SummaryTable[[#This Row],[DiffAmount22]]/SummaryTable[[#This Row],[OriginalBudget22]])</f>
        <v>-7.538687498669619E-2</v>
      </c>
      <c r="BE104" s="62">
        <f>IF(COUNTIFS(allFYsTable[Code], SummaryTable[[#This Row],[Code]], allFYsTable[year2], BE$3)=0, NotFound, SUMIFS(allFYsTable[OriginalBudget], allFYsTable[Code], SummaryTable[[#This Row],[Code]], allFYsTable[year2], BE$3))</f>
        <v>175176</v>
      </c>
      <c r="BF104" s="61">
        <f>SummaryTable[[#This Row],[OriginalBudget21]]-SummaryTable[[#This Row],[OriginalBudget20]]</f>
        <v>-9222</v>
      </c>
      <c r="BG104" s="54">
        <f>SummaryTable[[#This Row],[BudgetIncreaseAmount21]]/SummaryTable[[#This Row],[OriginalBudget20]]</f>
        <v>-5.00113884098526E-2</v>
      </c>
      <c r="BH104" s="61">
        <f>IF(COUNTIFS(allFYsTable[Code], SummaryTable[[#This Row],[Code]], allFYsTable[year2], BE$3)=0, NotFound, SUMIFS(allFYsTable[RevisedBudget], allFYsTable[Code], SummaryTable[[#This Row],[Code]], allFYsTable[year2], BE$3))</f>
        <v>172299</v>
      </c>
      <c r="BI104" s="61">
        <f>IF(COUNTIFS(allFYsTable[Code], SummaryTable[[#This Row],[Code]], allFYsTable[year2], BE$3)=0, NotFound, SUMIFS(allFYsTable[Actual], allFYsTable[Code], SummaryTable[[#This Row],[Code]], allFYsTable[year2], BE$3))</f>
        <v>167198</v>
      </c>
      <c r="BJ104" s="61">
        <f>IF(COUNTIFS(allFYsTable[Code], SummaryTable[[#This Row],[Code]], allFYsTable[year2], BE$3)=0, NotFound, SUMIFS(allFYsTable[DiffAmount], allFYsTable[Code], SummaryTable[[#This Row],[Code]], allFYsTable[year2], BE$3))</f>
        <v>-7978</v>
      </c>
      <c r="BK104" s="63">
        <f>IF(SummaryTable[[#This Row],[OriginalBudget21]]=0, IF(SummaryTable[[#This Row],[DiffAmount21]]=0, ZeroBudgetNoSpending, ZeroBudgetWithSpending), SummaryTable[[#This Row],[DiffAmount21]]/SummaryTable[[#This Row],[OriginalBudget21]])</f>
        <v>-4.5542768415764719E-2</v>
      </c>
      <c r="BL104" s="62">
        <f>IF(COUNTIFS(allFYsTable[Code], SummaryTable[[#This Row],[Code]], allFYsTable[year2], BL$3)=0, NotFound, SUMIFS(allFYsTable[OriginalBudget], allFYsTable[Code], SummaryTable[[#This Row],[Code]], allFYsTable[year2], BL$3))</f>
        <v>184398</v>
      </c>
      <c r="BM104" s="61">
        <f>SummaryTable[[#This Row],[OriginalBudget20]]-SummaryTable[[#This Row],[OriginalBudget19]]</f>
        <v>14061</v>
      </c>
      <c r="BN104" s="54">
        <f>SummaryTable[[#This Row],[BudgetIncreaseAmount20]]/SummaryTable[[#This Row],[OriginalBudget19]]</f>
        <v>8.2548125187129048E-2</v>
      </c>
      <c r="BO104" s="61">
        <f>IF(COUNTIFS(allFYsTable[Code], SummaryTable[[#This Row],[Code]], allFYsTable[year2], BL$3)=0, NotFound, SUMIFS(allFYsTable[RevisedBudget], allFYsTable[Code], SummaryTable[[#This Row],[Code]], allFYsTable[year2], BL$3))</f>
        <v>189355</v>
      </c>
      <c r="BP104" s="61">
        <f>IF(COUNTIFS(allFYsTable[Code], SummaryTable[[#This Row],[Code]], allFYsTable[year2], BL$3)=0, NotFound, SUMIFS(allFYsTable[Actual], allFYsTable[Code], SummaryTable[[#This Row],[Code]], allFYsTable[year2], BL$3))</f>
        <v>187763</v>
      </c>
      <c r="BQ104" s="61">
        <f>IF(COUNTIFS(allFYsTable[Code], SummaryTable[[#This Row],[Code]], allFYsTable[year2], BL$3)=0, NotFound, SUMIFS(allFYsTable[DiffAmount], allFYsTable[Code], SummaryTable[[#This Row],[Code]], allFYsTable[year2], BL$3))</f>
        <v>3365</v>
      </c>
      <c r="BR104" s="63">
        <f>IF(SummaryTable[[#This Row],[OriginalBudget20]]=0, IF(SummaryTable[[#This Row],[DiffAmount20]]=0, ZeroBudgetNoSpending, ZeroBudgetWithSpending), SummaryTable[[#This Row],[DiffAmount20]]/SummaryTable[[#This Row],[OriginalBudget20]])</f>
        <v>1.8248571025716115E-2</v>
      </c>
      <c r="BS104" s="62">
        <f>IF(COUNTIFS(allFYsTable[Code], SummaryTable[[#This Row],[Code]], allFYsTable[year2], BS$3)=0, NotFound, SUMIFS(allFYsTable[OriginalBudget], allFYsTable[Code], SummaryTable[[#This Row],[Code]], allFYsTable[year2], BS$3))</f>
        <v>170337</v>
      </c>
      <c r="BT104" s="61">
        <f>SummaryTable[[#This Row],[OriginalBudget19]]-SummaryTable[[#This Row],[OriginalBudget18]]</f>
        <v>275</v>
      </c>
      <c r="BU104" s="54">
        <f>SummaryTable[[#This Row],[BudgetIncreaseAmount19]]/SummaryTable[[#This Row],[OriginalBudget18]]</f>
        <v>1.6170573085110137E-3</v>
      </c>
      <c r="BV104" s="61">
        <f>IF(COUNTIFS(allFYsTable[Code], SummaryTable[[#This Row],[Code]], allFYsTable[year2], BS$3)=0, NotFound, SUMIFS(allFYsTable[RevisedBudget], allFYsTable[Code], SummaryTable[[#This Row],[Code]], allFYsTable[year2], BS$3))</f>
        <v>177817</v>
      </c>
      <c r="BW104" s="61">
        <f>IF(COUNTIFS(allFYsTable[Code], SummaryTable[[#This Row],[Code]], allFYsTable[year2], BS$3)=0, NotFound, SUMIFS(allFYsTable[Actual], allFYsTable[Code], SummaryTable[[#This Row],[Code]], allFYsTable[year2], BS$3))</f>
        <v>176658</v>
      </c>
      <c r="BX104" s="61">
        <f>IF(COUNTIFS(allFYsTable[Code], SummaryTable[[#This Row],[Code]], allFYsTable[year2], BS$3)=0, NotFound, SUMIFS(allFYsTable[DiffAmount], allFYsTable[Code], SummaryTable[[#This Row],[Code]], allFYsTable[year2], BS$3))</f>
        <v>6321</v>
      </c>
      <c r="BY104" s="63">
        <f>IF(SummaryTable[[#This Row],[OriginalBudget19]]=0, IF(SummaryTable[[#This Row],[DiffAmount19]]=0, ZeroBudgetNoSpending, ZeroBudgetWithSpending), SummaryTable[[#This Row],[DiffAmount19]]/SummaryTable[[#This Row],[OriginalBudget19]])</f>
        <v>3.7108790221736909E-2</v>
      </c>
      <c r="BZ104" s="62">
        <f>IF(COUNTIFS(allFYsTable[Code], SummaryTable[[#This Row],[Code]], allFYsTable[year2], BZ$3)=0, NotFound, SUMIFS(allFYsTable[OriginalBudget], allFYsTable[Code], SummaryTable[[#This Row],[Code]], allFYsTable[year2], BZ$3))</f>
        <v>170062</v>
      </c>
      <c r="CA104" s="61">
        <f>SummaryTable[[#This Row],[OriginalBudget18]]-SummaryTable[[#This Row],[OriginalBudget17]]</f>
        <v>19575</v>
      </c>
      <c r="CB104" s="54">
        <f>SummaryTable[[#This Row],[BudgetIncreaseAmount18]]/SummaryTable[[#This Row],[OriginalBudget17]]</f>
        <v>0.13007768112860246</v>
      </c>
      <c r="CC104" s="61">
        <f>IF(COUNTIFS(allFYsTable[Code], SummaryTable[[#This Row],[Code]], allFYsTable[year2], BZ$3)=0, NotFound, SUMIFS(allFYsTable[RevisedBudget], allFYsTable[Code], SummaryTable[[#This Row],[Code]], allFYsTable[year2], BZ$3))</f>
        <v>176719</v>
      </c>
      <c r="CD104" s="61">
        <f>IF(COUNTIFS(allFYsTable[Code], SummaryTable[[#This Row],[Code]], allFYsTable[year2], BZ$3)=0, NotFound, SUMIFS(allFYsTable[Actual], allFYsTable[Code], SummaryTable[[#This Row],[Code]], allFYsTable[year2], BZ$3))</f>
        <v>162327</v>
      </c>
      <c r="CE104" s="61">
        <f>IF(COUNTIFS(allFYsTable[Code], SummaryTable[[#This Row],[Code]], allFYsTable[year2], BZ$3)=0, NotFound, SUMIFS(allFYsTable[DiffAmount], allFYsTable[Code], SummaryTable[[#This Row],[Code]], allFYsTable[year2], BZ$3))</f>
        <v>-7735</v>
      </c>
      <c r="CF104" s="63">
        <f>IF(SummaryTable[[#This Row],[OriginalBudget18]]=0, IF(SummaryTable[[#This Row],[DiffAmount18]]=0, ZeroBudgetNoSpending, ZeroBudgetWithSpending), SummaryTable[[#This Row],[DiffAmount18]]/SummaryTable[[#This Row],[OriginalBudget18]])</f>
        <v>-4.5483411932118877E-2</v>
      </c>
      <c r="CG104" s="62">
        <f>IF(COUNTIFS(allFYsTable[Code], SummaryTable[[#This Row],[Code]], allFYsTable[year2], CG$3)=0, NotFound, SUMIFS(allFYsTable[OriginalBudget], allFYsTable[Code], SummaryTable[[#This Row],[Code]], allFYsTable[year2], CG$3))</f>
        <v>150487</v>
      </c>
      <c r="CH104" s="61">
        <f>SummaryTable[[#This Row],[OriginalBudget17]]-SummaryTable[[#This Row],[OriginalBudget16]]</f>
        <v>8222</v>
      </c>
      <c r="CI104" s="54">
        <f>SummaryTable[[#This Row],[BudgetIncreaseAmount17]]/SummaryTable[[#This Row],[OriginalBudget16]]</f>
        <v>5.7793554282500964E-2</v>
      </c>
      <c r="CJ104" s="61">
        <f>IF(COUNTIFS(allFYsTable[Code], SummaryTable[[#This Row],[Code]], allFYsTable[year2], CG$3)=0, NotFound, SUMIFS(allFYsTable[RevisedBudget], allFYsTable[Code], SummaryTable[[#This Row],[Code]], allFYsTable[year2], CG$3))</f>
        <v>148676</v>
      </c>
      <c r="CK104" s="61">
        <f>IF(COUNTIFS(allFYsTable[Code], SummaryTable[[#This Row],[Code]], allFYsTable[year2], CG$3)=0, NotFound, SUMIFS(allFYsTable[Actual], allFYsTable[Code], SummaryTable[[#This Row],[Code]], allFYsTable[year2], CG$3))</f>
        <v>140658</v>
      </c>
      <c r="CL104" s="61">
        <f>IF(COUNTIFS(allFYsTable[Code], SummaryTable[[#This Row],[Code]], allFYsTable[year2], CG$3)=0, NotFound, SUMIFS(allFYsTable[DiffAmount], allFYsTable[Code], SummaryTable[[#This Row],[Code]], allFYsTable[year2], CG$3))</f>
        <v>-9829</v>
      </c>
      <c r="CM104" s="63">
        <f>IF(SummaryTable[[#This Row],[OriginalBudget17]]=0, IF(SummaryTable[[#This Row],[DiffAmount17]]=0, ZeroBudgetNoSpending, ZeroBudgetWithSpending), SummaryTable[[#This Row],[DiffAmount17]]/SummaryTable[[#This Row],[OriginalBudget17]])</f>
        <v>-6.5314611893386137E-2</v>
      </c>
      <c r="CN104" s="62">
        <f>IF(COUNTIFS(allFYsTable[Code], SummaryTable[[#This Row],[Code]], allFYsTable[year2], CN$3)=0, NotFound, SUMIFS(allFYsTable[OriginalBudget], allFYsTable[Code], SummaryTable[[#This Row],[Code]], allFYsTable[year2], CN$3))</f>
        <v>142265</v>
      </c>
      <c r="CO104" s="61">
        <f>SummaryTable[[#This Row],[OriginalBudget16]]-SummaryTable[[#This Row],[OriginalBudget15]]</f>
        <v>168</v>
      </c>
      <c r="CP104" s="54">
        <f>SummaryTable[[#This Row],[BudgetIncreaseAmount16]]/SummaryTable[[#This Row],[OriginalBudget15]]</f>
        <v>1.1822909702527147E-3</v>
      </c>
      <c r="CQ104" s="61">
        <f>IF(COUNTIFS(allFYsTable[Code], SummaryTable[[#This Row],[Code]], allFYsTable[year2], CN$3)=0, NotFound, SUMIFS(allFYsTable[RevisedBudget], allFYsTable[Code], SummaryTable[[#This Row],[Code]], allFYsTable[year2], CN$3))</f>
        <v>134562</v>
      </c>
      <c r="CR104" s="61">
        <f>IF(COUNTIFS(allFYsTable[Code], SummaryTable[[#This Row],[Code]], allFYsTable[year2], CN$3)=0, NotFound, SUMIFS(allFYsTable[Actual], allFYsTable[Code], SummaryTable[[#This Row],[Code]], allFYsTable[year2], CN$3))</f>
        <v>131094</v>
      </c>
      <c r="CS104" s="61">
        <f>IF(COUNTIFS(allFYsTable[Code], SummaryTable[[#This Row],[Code]], allFYsTable[year2], CN$3)=0, NotFound, SUMIFS(allFYsTable[DiffAmount], allFYsTable[Code], SummaryTable[[#This Row],[Code]], allFYsTable[year2], CN$3))</f>
        <v>-11171</v>
      </c>
      <c r="CT104" s="63">
        <f>IF(SummaryTable[[#This Row],[OriginalBudget16]]=0, IF(SummaryTable[[#This Row],[DiffAmount16]]=0, ZeroBudgetNoSpending, ZeroBudgetWithSpending), SummaryTable[[#This Row],[DiffAmount16]]/SummaryTable[[#This Row],[OriginalBudget16]])</f>
        <v>-7.8522475661617408E-2</v>
      </c>
      <c r="CU104" s="62">
        <f>IF(COUNTIFS(allFYsTable[Code], SummaryTable[[#This Row],[Code]], allFYsTable[year2], CU$3)=0, NotFound, SUMIFS(allFYsTable[OriginalBudget], allFYsTable[Code], SummaryTable[[#This Row],[Code]], allFYsTable[year2], CU$3))</f>
        <v>142097</v>
      </c>
      <c r="CV104" s="61">
        <f>SummaryTable[[#This Row],[OriginalBudget15]]-SummaryTable[[#This Row],[OriginalBudget14]]</f>
        <v>19954</v>
      </c>
      <c r="CW104" s="54">
        <f>SummaryTable[[#This Row],[BudgetIncreaseAmount15]]/SummaryTable[[#This Row],[OriginalBudget14]]</f>
        <v>0.16336589080012773</v>
      </c>
      <c r="CX104" s="61">
        <f>IF(COUNTIFS(allFYsTable[Code], SummaryTable[[#This Row],[Code]], allFYsTable[year2], CU$3)=0, NotFound, SUMIFS(allFYsTable[RevisedBudget], allFYsTable[Code], SummaryTable[[#This Row],[Code]], allFYsTable[year2], CU$3))</f>
        <v>146707</v>
      </c>
      <c r="CY104" s="61">
        <f>IF(COUNTIFS(allFYsTable[Code], SummaryTable[[#This Row],[Code]], allFYsTable[year2], CU$3)=0, NotFound, SUMIFS(allFYsTable[Actual], allFYsTable[Code], SummaryTable[[#This Row],[Code]], allFYsTable[year2], CU$3))</f>
        <v>142704</v>
      </c>
      <c r="CZ104" s="61">
        <f>IF(COUNTIFS(allFYsTable[Code], SummaryTable[[#This Row],[Code]], allFYsTable[year2], CU$3)=0, NotFound, SUMIFS(allFYsTable[DiffAmount], allFYsTable[Code], SummaryTable[[#This Row],[Code]], allFYsTable[year2], CU$3))</f>
        <v>607</v>
      </c>
      <c r="DA104" s="63">
        <f>IF(SummaryTable[[#This Row],[OriginalBudget15]]=0, IF(SummaryTable[[#This Row],[DiffAmount15]]=0, ZeroBudgetNoSpending, ZeroBudgetWithSpending), SummaryTable[[#This Row],[DiffAmount15]]/SummaryTable[[#This Row],[OriginalBudget15]])</f>
        <v>4.2717298746630826E-3</v>
      </c>
      <c r="DB104" s="62">
        <f>IF(COUNTIFS(allFYsTable[Code], SummaryTable[[#This Row],[Code]], allFYsTable[year2], DB$3)=0, NotFound, SUMIFS(allFYsTable[OriginalBudget], allFYsTable[Code], SummaryTable[[#This Row],[Code]], allFYsTable[year2], DB$3))</f>
        <v>122143</v>
      </c>
      <c r="DC104" s="61">
        <f>SummaryTable[[#This Row],[OriginalBudget14]]-SummaryTable[[#This Row],[OriginalBudget13]]</f>
        <v>22137</v>
      </c>
      <c r="DD104" s="54">
        <f>SummaryTable[[#This Row],[BudgetIncreaseAmount14]]/SummaryTable[[#This Row],[OriginalBudget13]]</f>
        <v>0.22135671859688419</v>
      </c>
      <c r="DE104" s="61">
        <f>IF(COUNTIFS(allFYsTable[Code], SummaryTable[[#This Row],[Code]], allFYsTable[year2], DB$3)=0, NotFound, SUMIFS(allFYsTable[RevisedBudget], allFYsTable[Code], SummaryTable[[#This Row],[Code]], allFYsTable[year2], DB$3))</f>
        <v>133473</v>
      </c>
      <c r="DF104" s="61">
        <f>IF(COUNTIFS(allFYsTable[Code], SummaryTable[[#This Row],[Code]], allFYsTable[year2], DB$3)=0, NotFound, SUMIFS(allFYsTable[Actual], allFYsTable[Code], SummaryTable[[#This Row],[Code]], allFYsTable[year2], DB$3))</f>
        <v>127661</v>
      </c>
      <c r="DG104" s="61">
        <f>IF(COUNTIFS(allFYsTable[Code], SummaryTable[[#This Row],[Code]], allFYsTable[year2], DB$3)=0, NotFound, SUMIFS(allFYsTable[DiffAmount], allFYsTable[Code], SummaryTable[[#This Row],[Code]], allFYsTable[year2], DB$3))</f>
        <v>5518</v>
      </c>
      <c r="DH104" s="63">
        <f>IF(SummaryTable[[#This Row],[OriginalBudget14]]=0, IF(SummaryTable[[#This Row],[DiffAmount14]]=0, ZeroBudgetNoSpending, ZeroBudgetWithSpending), SummaryTable[[#This Row],[DiffAmount14]]/SummaryTable[[#This Row],[OriginalBudget14]])</f>
        <v>4.5176555349058074E-2</v>
      </c>
      <c r="DI104" s="62">
        <f>IF(COUNTIFS(allFYsTable[Code], SummaryTable[[#This Row],[Code]], allFYsTable[year2], DI$3)=0, NotFound, SUMIFS(allFYsTable[OriginalBudget], allFYsTable[Code], SummaryTable[[#This Row],[Code]], allFYsTable[year2], DI$3))</f>
        <v>100006</v>
      </c>
      <c r="DJ104" s="61">
        <f>SummaryTable[[#This Row],[OriginalBudget13]]-SummaryTable[[#This Row],[OriginalBudget12]]</f>
        <v>4884</v>
      </c>
      <c r="DK104" s="54">
        <f>SummaryTable[[#This Row],[BudgetIncreaseAmount13]]/SummaryTable[[#This Row],[OriginalBudget12]]</f>
        <v>5.1344589054056894E-2</v>
      </c>
      <c r="DL104" s="61">
        <f>IF(COUNTIFS(allFYsTable[Code], SummaryTable[[#This Row],[Code]], allFYsTable[year2], DI$3)=0, NotFound, SUMIFS(allFYsTable[RevisedBudget], allFYsTable[Code], SummaryTable[[#This Row],[Code]], allFYsTable[year2], DI$3))</f>
        <v>114371</v>
      </c>
      <c r="DM104" s="61">
        <f>IF(COUNTIFS(allFYsTable[Code], SummaryTable[[#This Row],[Code]], allFYsTable[year2], DI$3)=0, NotFound, SUMIFS(allFYsTable[Actual], allFYsTable[Code], SummaryTable[[#This Row],[Code]], allFYsTable[year2], DI$3))</f>
        <v>111809</v>
      </c>
      <c r="DN104" s="61">
        <f>IF(COUNTIFS(allFYsTable[Code], SummaryTable[[#This Row],[Code]], allFYsTable[year2], DI$3)=0, NotFound, SUMIFS(allFYsTable[DiffAmount], allFYsTable[Code], SummaryTable[[#This Row],[Code]], allFYsTable[year2], DI$3))</f>
        <v>11803</v>
      </c>
      <c r="DO104" s="63">
        <f>IF(SummaryTable[[#This Row],[OriginalBudget13]]=0, IF(SummaryTable[[#This Row],[DiffAmount13]]=0, ZeroBudgetNoSpending, ZeroBudgetWithSpending), SummaryTable[[#This Row],[DiffAmount13]]/SummaryTable[[#This Row],[OriginalBudget13]])</f>
        <v>0.11802291862488251</v>
      </c>
      <c r="DP104" s="62">
        <f>IF(COUNTIFS(allFYsTable[Code], SummaryTable[[#This Row],[Code]], allFYsTable[year2], DP$3)=0, NotFound, SUMIFS(allFYsTable[OriginalBudget], allFYsTable[Code], SummaryTable[[#This Row],[Code]], allFYsTable[year2], DP$3))</f>
        <v>95122</v>
      </c>
      <c r="DQ104" s="61">
        <f>SummaryTable[[#This Row],[OriginalBudget12]]-SummaryTable[[#This Row],[OriginalBudget11]]</f>
        <v>-17252</v>
      </c>
      <c r="DR104" s="54">
        <f>SummaryTable[[#This Row],[BudgetIncreaseAmount12]]/SummaryTable[[#This Row],[OriginalBudget11]]</f>
        <v>-0.15352305693487817</v>
      </c>
      <c r="DS104" s="61">
        <f>IF(COUNTIFS(allFYsTable[Code], SummaryTable[[#This Row],[Code]], allFYsTable[year2], DP$3)=0, NotFound, SUMIFS(allFYsTable[RevisedBudget], allFYsTable[Code], SummaryTable[[#This Row],[Code]], allFYsTable[year2], DP$3))</f>
        <v>101293</v>
      </c>
      <c r="DT104" s="61">
        <f>IF(COUNTIFS(allFYsTable[Code], SummaryTable[[#This Row],[Code]], allFYsTable[year2], DP$3)=0, NotFound, SUMIFS(allFYsTable[Actual], allFYsTable[Code], SummaryTable[[#This Row],[Code]], allFYsTable[year2], DP$3))</f>
        <v>97263</v>
      </c>
      <c r="DU104" s="61">
        <f>IF(COUNTIFS(allFYsTable[Code], SummaryTable[[#This Row],[Code]], allFYsTable[year2], DP$3)=0, NotFound, SUMIFS(allFYsTable[DiffAmount], allFYsTable[Code], SummaryTable[[#This Row],[Code]], allFYsTable[year2], DP$3))</f>
        <v>2141</v>
      </c>
      <c r="DV104" s="63">
        <f>IF(SummaryTable[[#This Row],[OriginalBudget12]]=0, IF(SummaryTable[[#This Row],[DiffAmount12]]=0, ZeroBudgetNoSpending, ZeroBudgetWithSpending), SummaryTable[[#This Row],[DiffAmount12]]/SummaryTable[[#This Row],[OriginalBudget12]])</f>
        <v>2.2507937175416833E-2</v>
      </c>
      <c r="DW104" s="62">
        <f>IF(COUNTIFS(allFYsTable[Code], SummaryTable[[#This Row],[Code]], allFYsTable[year2], DW$3)=0, NotFound, SUMIFS(allFYsTable[OriginalBudget], allFYsTable[Code], SummaryTable[[#This Row],[Code]], allFYsTable[year2], DW$3))</f>
        <v>112374</v>
      </c>
      <c r="DX104" s="61">
        <f>SummaryTable[[#This Row],[OriginalBudget11]]-SummaryTable[[#This Row],[OriginalBudget10]]</f>
        <v>384</v>
      </c>
      <c r="DY104" s="54">
        <f>SummaryTable[[#This Row],[BudgetIncreaseAmount11]]/SummaryTable[[#This Row],[OriginalBudget10]]</f>
        <v>3.4288775783552104E-3</v>
      </c>
      <c r="DZ104" s="61">
        <f>IF(COUNTIFS(allFYsTable[Code], SummaryTable[[#This Row],[Code]], allFYsTable[year2], DW$3)=0, NotFound, SUMIFS(allFYsTable[RevisedBudget], allFYsTable[Code], SummaryTable[[#This Row],[Code]], allFYsTable[year2], DW$3))</f>
        <v>106605</v>
      </c>
      <c r="EA104" s="61">
        <f>IF(COUNTIFS(allFYsTable[Code], SummaryTable[[#This Row],[Code]], allFYsTable[year2], DW$3)=0, NotFound, SUMIFS(allFYsTable[Actual], allFYsTable[Code], SummaryTable[[#This Row],[Code]], allFYsTable[year2], DW$3))</f>
        <v>100916</v>
      </c>
      <c r="EB104" s="61">
        <f>IF(COUNTIFS(allFYsTable[Code], SummaryTable[[#This Row],[Code]], allFYsTable[year2], DW$3)=0, NotFound, SUMIFS(allFYsTable[DiffAmount], allFYsTable[Code], SummaryTable[[#This Row],[Code]], allFYsTable[year2], DW$3))</f>
        <v>-11458</v>
      </c>
      <c r="EC104" s="63">
        <f>IF(SummaryTable[[#This Row],[OriginalBudget11]]=0, IF(SummaryTable[[#This Row],[DiffAmount11]]=0, ZeroBudgetNoSpending, ZeroBudgetWithSpending), SummaryTable[[#This Row],[DiffAmount11]]/SummaryTable[[#This Row],[OriginalBudget11]])</f>
        <v>-0.10196308754694146</v>
      </c>
      <c r="ED104" s="62">
        <f>IF(COUNTIFS(allFYsTable[Code], SummaryTable[[#This Row],[Code]], allFYsTable[year2], ED$3)=0, NotFound, SUMIFS(allFYsTable[OriginalBudget], allFYsTable[Code], SummaryTable[[#This Row],[Code]], allFYsTable[year2], ED$3))</f>
        <v>111990</v>
      </c>
      <c r="EE104" s="61">
        <f>SummaryTable[[#This Row],[OriginalBudget10]]-SummaryTable[[#This Row],[OriginalBudget09]]</f>
        <v>-5554</v>
      </c>
      <c r="EF104" s="54">
        <f>SummaryTable[[#This Row],[BudgetIncreaseAmount10]]/SummaryTable[[#This Row],[OriginalBudget09]]</f>
        <v>-4.7250391342816306E-2</v>
      </c>
      <c r="EG104" s="61">
        <f>IF(COUNTIFS(allFYsTable[Code], SummaryTable[[#This Row],[Code]], allFYsTable[year2], ED$3)=0, NotFound, SUMIFS(allFYsTable[RevisedBudget], allFYsTable[Code], SummaryTable[[#This Row],[Code]], allFYsTable[year2], ED$3))</f>
        <v>108190</v>
      </c>
      <c r="EH104" s="61">
        <f>IF(COUNTIFS(allFYsTable[Code], SummaryTable[[#This Row],[Code]], allFYsTable[year2], ED$3)=0, NotFound, SUMIFS(allFYsTable[Actual], allFYsTable[Code], SummaryTable[[#This Row],[Code]], allFYsTable[year2], ED$3))</f>
        <v>106370</v>
      </c>
      <c r="EI104" s="61">
        <f>IF(COUNTIFS(allFYsTable[Code], SummaryTable[[#This Row],[Code]], allFYsTable[year2], ED$3)=0, NotFound, SUMIFS(allFYsTable[DiffAmount], allFYsTable[Code], SummaryTable[[#This Row],[Code]], allFYsTable[year2], ED$3))</f>
        <v>-5620</v>
      </c>
      <c r="EJ104" s="63">
        <f>IF(SummaryTable[[#This Row],[OriginalBudget10]]=0, IF(SummaryTable[[#This Row],[DiffAmount10]]=0, ZeroBudgetNoSpending, ZeroBudgetWithSpending), SummaryTable[[#This Row],[DiffAmount10]]/SummaryTable[[#This Row],[OriginalBudget10]])</f>
        <v>-5.0183052058219484E-2</v>
      </c>
      <c r="EK104" s="62">
        <f>IF(COUNTIFS(allFYsTable[Code], SummaryTable[[#This Row],[Code]], allFYsTable[year2], EK$3)=0, NotFound, SUMIFS(allFYsTable[OriginalBudget], allFYsTable[Code], SummaryTable[[#This Row],[Code]], allFYsTable[year2], EK$3))</f>
        <v>117544</v>
      </c>
      <c r="EL104" s="61">
        <f>SummaryTable[[#This Row],[OriginalBudget09]]-SummaryTable[[#This Row],[OriginalBudget08]]</f>
        <v>55639</v>
      </c>
      <c r="EM104" s="54">
        <f>SummaryTable[[#This Row],[BudgetIncreaseAmount09]]/SummaryTable[[#This Row],[OriginalBudget08]]</f>
        <v>0.89878038930619497</v>
      </c>
      <c r="EN104" s="61">
        <f>IF(COUNTIFS(allFYsTable[Code], SummaryTable[[#This Row],[Code]], allFYsTable[year2], EK$3)=0, NotFound, SUMIFS(allFYsTable[RevisedBudget], allFYsTable[Code], SummaryTable[[#This Row],[Code]], allFYsTable[year2], EK$3))</f>
        <v>118562</v>
      </c>
      <c r="EO104" s="61">
        <f>IF(COUNTIFS(allFYsTable[Code], SummaryTable[[#This Row],[Code]], allFYsTable[year2], EK$3)=0, NotFound, SUMIFS(allFYsTable[Actual], allFYsTable[Code], SummaryTable[[#This Row],[Code]], allFYsTable[year2], EK$3))</f>
        <v>111750</v>
      </c>
      <c r="EP104" s="61">
        <f>IF(COUNTIFS(allFYsTable[Code], SummaryTable[[#This Row],[Code]], allFYsTable[year2], EK$3)=0, NotFound, SUMIFS(allFYsTable[DiffAmount], allFYsTable[Code], SummaryTable[[#This Row],[Code]], allFYsTable[year2], EK$3))</f>
        <v>-5794</v>
      </c>
      <c r="EQ104" s="63">
        <f>IF(SummaryTable[[#This Row],[OriginalBudget09]]=0, IF(SummaryTable[[#This Row],[DiffAmount09]]=0, ZeroBudgetNoSpending, ZeroBudgetWithSpending), SummaryTable[[#This Row],[DiffAmount09]]/SummaryTable[[#This Row],[OriginalBudget09]])</f>
        <v>-4.9292179949635882E-2</v>
      </c>
      <c r="ER104" s="62">
        <f>IF(COUNTIFS(allFYsTable[Code], SummaryTable[[#This Row],[Code]], allFYsTable[year2], ER$3)=0, NotFound, SUMIFS(allFYsTable[OriginalBudget], allFYsTable[Code], SummaryTable[[#This Row],[Code]], allFYsTable[year2], ER$3))</f>
        <v>61905</v>
      </c>
      <c r="ES104" s="61">
        <f>SummaryTable[[#This Row],[OriginalBudget08]]-SummaryTable[[#This Row],[OriginalBudget07]]</f>
        <v>47398</v>
      </c>
      <c r="ET104" s="54">
        <f>SummaryTable[[#This Row],[BudgetIncreaseAmount08]]/SummaryTable[[#This Row],[OriginalBudget07]]</f>
        <v>3.2672502929620184</v>
      </c>
      <c r="EU104" s="61">
        <f>IF(COUNTIFS(allFYsTable[Code], SummaryTable[[#This Row],[Code]], allFYsTable[year2], ER$3)=0, NotFound, SUMIFS(allFYsTable[RevisedBudget], allFYsTable[Code], SummaryTable[[#This Row],[Code]], allFYsTable[year2], ER$3))</f>
        <v>108899</v>
      </c>
      <c r="EV104" s="61">
        <f>IF(COUNTIFS(allFYsTable[Code], SummaryTable[[#This Row],[Code]], allFYsTable[year2], ER$3)=0, NotFound, SUMIFS(allFYsTable[Actual], allFYsTable[Code], SummaryTable[[#This Row],[Code]], allFYsTable[year2], ER$3))</f>
        <v>102998</v>
      </c>
      <c r="EW104" s="61">
        <f>IF(COUNTIFS(allFYsTable[Code], SummaryTable[[#This Row],[Code]], allFYsTable[year2], ER$3)=0, NotFound, SUMIFS(allFYsTable[DiffAmount], allFYsTable[Code], SummaryTable[[#This Row],[Code]], allFYsTable[year2], ER$3))</f>
        <v>41093</v>
      </c>
      <c r="EX104" s="63">
        <f>IF(SummaryTable[[#This Row],[OriginalBudget08]]=0, IF(SummaryTable[[#This Row],[DiffAmount08]]=0, ZeroBudgetNoSpending, ZeroBudgetWithSpending), SummaryTable[[#This Row],[DiffAmount08]]/SummaryTable[[#This Row],[OriginalBudget08]])</f>
        <v>0.66380744689443505</v>
      </c>
      <c r="EY104" s="62">
        <f>IF(COUNTIFS(allFYsTable[Code], SummaryTable[[#This Row],[Code]], allFYsTable[year2], EY$3)=0, NotFound, SUMIFS(allFYsTable[OriginalBudget], allFYsTable[Code], SummaryTable[[#This Row],[Code]], allFYsTable[year2], EY$3))</f>
        <v>14507</v>
      </c>
      <c r="EZ104" s="61">
        <f>SummaryTable[[#This Row],[OriginalBudget07]]-SummaryTable[[#This Row],[OriginalBudget06]]</f>
        <v>1422</v>
      </c>
      <c r="FA104" s="54">
        <f>SummaryTable[[#This Row],[BudgetIncreaseAmount07]]/SummaryTable[[#This Row],[OriginalBudget06]]</f>
        <v>0.10867405426060374</v>
      </c>
      <c r="FB104" s="61">
        <f>IF(COUNTIFS(allFYsTable[Code], SummaryTable[[#This Row],[Code]], allFYsTable[year2], EY$3)=0, NotFound, SUMIFS(allFYsTable[RevisedBudget], allFYsTable[Code], SummaryTable[[#This Row],[Code]], allFYsTable[year2], EY$3))</f>
        <v>15072</v>
      </c>
      <c r="FC104" s="61">
        <f>IF(COUNTIFS(allFYsTable[Code], SummaryTable[[#This Row],[Code]], allFYsTable[year2], EY$3)=0, NotFound, SUMIFS(allFYsTable[Actual], allFYsTable[Code], SummaryTable[[#This Row],[Code]], allFYsTable[year2], EY$3))</f>
        <v>14423</v>
      </c>
      <c r="FD104" s="61">
        <f>IF(COUNTIFS(allFYsTable[Code], SummaryTable[[#This Row],[Code]], allFYsTable[year2], EY$3)=0, NotFound, SUMIFS(allFYsTable[DiffAmount], allFYsTable[Code], SummaryTable[[#This Row],[Code]], allFYsTable[year2], EY$3))</f>
        <v>-84</v>
      </c>
      <c r="FE104" s="63">
        <f>IF(SummaryTable[[#This Row],[OriginalBudget07]]=0, IF(SummaryTable[[#This Row],[DiffAmount07]]=0, ZeroBudgetNoSpending, ZeroBudgetWithSpending), SummaryTable[[#This Row],[DiffAmount07]]/SummaryTable[[#This Row],[OriginalBudget07]])</f>
        <v>-5.7903081271110501E-3</v>
      </c>
      <c r="FF104" s="62">
        <f>IF(COUNTIFS(allFYsTable[Code], SummaryTable[[#This Row],[Code]], allFYsTable[year2], FF$3)=0, NotFound, SUMIFS(allFYsTable[OriginalBudget], allFYsTable[Code], SummaryTable[[#This Row],[Code]], allFYsTable[year2], FF$3))</f>
        <v>13085</v>
      </c>
      <c r="FI104" s="61">
        <f>IF(COUNTIFS(allFYsTable[Code], SummaryTable[[#This Row],[Code]], allFYsTable[year2], FF$3)=0, NotFound, SUMIFS(allFYsTable[RevisedBudget], allFYsTable[Code], SummaryTable[[#This Row],[Code]], allFYsTable[year2], FF$3))</f>
        <v>13004</v>
      </c>
      <c r="FJ104" s="61">
        <f>IF(COUNTIFS(allFYsTable[Code], SummaryTable[[#This Row],[Code]], allFYsTable[year2], FF$3)=0, NotFound, SUMIFS(allFYsTable[Actual], allFYsTable[Code], SummaryTable[[#This Row],[Code]], allFYsTable[year2], FF$3))</f>
        <v>12684</v>
      </c>
      <c r="FK104" s="61">
        <f>IF(COUNTIFS(allFYsTable[Code], SummaryTable[[#This Row],[Code]], allFYsTable[year2], FF$3)=0, NotFound, SUMIFS(allFYsTable[DiffAmount], allFYsTable[Code], SummaryTable[[#This Row],[Code]], allFYsTable[year2], FF$3))</f>
        <v>-401</v>
      </c>
      <c r="FL104" s="63">
        <f>IF(SummaryTable[[#This Row],[OriginalBudget06]]=0, IF(SummaryTable[[#This Row],[DiffAmount06]]=0, ZeroBudgetNoSpending, ZeroBudgetWithSpending), SummaryTable[[#This Row],[DiffAmount06]]/SummaryTable[[#This Row],[OriginalBudget06]])</f>
        <v>-3.0645777607948031E-2</v>
      </c>
    </row>
    <row r="105" spans="1:168" x14ac:dyDescent="0.45">
      <c r="A105" t="s">
        <v>839</v>
      </c>
      <c r="B105">
        <f>_xlfn.MAXIFS(allFYsTable[year2], allFYsTable[Code], SummaryTable[[#This Row],[Code]])</f>
        <v>2025</v>
      </c>
      <c r="C105" t="str">
        <f>_xlfn.XLOOKUP(SummaryTable[[#This Row],[Code]], NameCodingTable[Code], NameCodingTable[Most Recent Category per allFYs])</f>
        <v>Economic development and regulation</v>
      </c>
      <c r="D105" t="str">
        <f>_xlfn.XLOOKUP(SummaryTable[[#This Row],[Code]], NameCodingTable[Code], NameCodingTable[Unit Display Name])</f>
        <v>Office of the Tenant Advocate</v>
      </c>
      <c r="E105" t="str">
        <f>_xlfn.XLOOKUP(SummaryTable[[#This Row],[Code]], NameCodingTable[Code], NameCodingTable[Type])</f>
        <v>agency</v>
      </c>
      <c r="F10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18</v>
      </c>
      <c r="G10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105" s="54">
        <f>SummaryTable[[#This Row],['# Over]]/SummaryTable[[#This Row],[Count]]</f>
        <v>0.33333333333333331</v>
      </c>
      <c r="I10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105" s="54">
        <f>SummaryTable[[#This Row],['# Under]]/SummaryTable[[#This Row],[Count]]</f>
        <v>0.66666666666666663</v>
      </c>
      <c r="K10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05" s="54">
        <f>SummaryTable[[#This Row],['# Equal]]/SummaryTable[[#This Row],[Count]]</f>
        <v>0</v>
      </c>
      <c r="M105" s="61">
        <f>SUMIFS(allFYsTable[OriginalBudget],allFYsTable[Code],SummaryTable[[#This Row],[Code]])/SummaryTable[[#This Row],[Count]]</f>
        <v>2519.9444444444443</v>
      </c>
      <c r="N105" s="61">
        <f>SUMIFS(allFYsTable[Actual],allFYsTable[Code],SummaryTable[[#This Row],[Code]])/SummaryTable[[#This Row],[Count]]</f>
        <v>2500.1111111111113</v>
      </c>
      <c r="O105" s="61">
        <f>SummaryTable[[#This Row],[AvgActAmt]]-SummaryTable[[#This Row],[AvgBudAmt]]</f>
        <v>-19.83333333333303</v>
      </c>
      <c r="P105" s="54">
        <f>IF(SummaryTable[[#This Row],[AvgBudAmt]]=0, IF(SummaryTable[[#This Row],[AvgDiff'#]]=0, 0, NamedFields!$C$3), SummaryTable[[#This Row],[AvgDiff'#]]/SummaryTable[[#This Row],[AvgBudAmt]])</f>
        <v>-7.8705438832424555E-3</v>
      </c>
      <c r="Q105" s="61">
        <f>IFERROR(SUMIFS(allFYsTable[OriginalBudget],allFYsTable[Code],SummaryTable[[#This Row],[Code]],allFYsTable[DiffAmount], "&gt;0")/SummaryTable[[#This Row],['# Over]], 0)</f>
        <v>2938.5</v>
      </c>
      <c r="R105" s="61">
        <f>IFERROR(SUMIFS(allFYsTable[Actual],allFYsTable[Code],SummaryTable[[#This Row],[Code]],allFYsTable[DiffAmount], "&gt;0")/SummaryTable[[#This Row],['# Over]], 0)</f>
        <v>3302.1666666666665</v>
      </c>
      <c r="S105" s="61">
        <f>SummaryTable[[#This Row],[OverAvgAct]]-SummaryTable[[#This Row],[OverAvgBud]]</f>
        <v>363.66666666666652</v>
      </c>
      <c r="T105" s="54">
        <f>IF(SummaryTable[[#This Row],[OverAvgBud]]=0, IF(SummaryTable[[#This Row],[OverAvgDiff'#]]=0, ZeroBudgetNoSpending, ZeroBudgetWithSpending), SummaryTable[[#This Row],[OverAvgDiff'#]]/SummaryTable[[#This Row],[OverAvgBud]])</f>
        <v>0.12375928761839936</v>
      </c>
      <c r="U105" s="61">
        <f>IFERROR(SUMIFS(allFYsTable[OriginalBudget],allFYsTable[Code],SummaryTable[[#This Row],[Code]],allFYsTable[DiffAmount], "&lt;0")/SummaryTable[[#This Row],['# Under]], 0)</f>
        <v>2310.6666666666665</v>
      </c>
      <c r="V105" s="61">
        <f>IFERROR( SUMIFS(allFYsTable[Actual],allFYsTable[Code],SummaryTable[[#This Row],[Code]],allFYsTable[DiffAmount], "&lt;0")/SummaryTable[[#This Row],['# Under]], 0)</f>
        <v>2099.0833333333335</v>
      </c>
      <c r="W105" s="61">
        <f>SummaryTable[[#This Row],[UnderAvgAct]]-SummaryTable[[#This Row],[UnderAvgBud]]</f>
        <v>-211.58333333333303</v>
      </c>
      <c r="X105" s="54">
        <f>IF(SummaryTable[[#This Row],[UnderAvgBud]]=0, IF(SummaryTable[[#This Row],[UnderAvgDiff'#]]=0, ZeroBudgetNoSpending, NamedFields!$C$3), SummaryTable[[#This Row],[UnderAvgDiff'#]]/SummaryTable[[#This Row],[UnderAvgBud]])</f>
        <v>-9.1568090017310894E-2</v>
      </c>
      <c r="Y10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10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5" s="54">
        <f>IF(SummaryTable[[#This Row],[IncreaseYears]]=0, ZeroBudgetNoSpending, SummaryTable[[#This Row],[OSinIncreaseYear'#]]/SummaryTable[[#This Row],[IncreaseYears]])</f>
        <v>0</v>
      </c>
      <c r="AB105" s="58" t="str">
        <f>SummaryTable[[#This Row],[Code]]</f>
        <v>CQ0</v>
      </c>
      <c r="AC105" s="62">
        <f>IF(COUNTIFS(allFYsTable[Code], SummaryTable[[#This Row],[Code]], allFYsTable[year2], AC$3)=0, NotFound, SUMIFS(allFYsTable[OriginalBudget], allFYsTable[Code], SummaryTable[[#This Row],[Code]], allFYsTable[year2], AC$3))</f>
        <v>3506</v>
      </c>
      <c r="AD105" s="61">
        <f>SummaryTable[[#This Row],[OriginalBudget25]]-SummaryTable[[#This Row],[OriginalBudget24]]</f>
        <v>165</v>
      </c>
      <c r="AE105" s="54">
        <f>SummaryTable[[#This Row],[BudgetIncreaseAmount25]]/SummaryTable[[#This Row],[OriginalBudget24]]</f>
        <v>4.9386411254115532E-2</v>
      </c>
      <c r="AF105" s="61">
        <f>IF(COUNTIFS(allFYsTable[Code], SummaryTable[[#This Row],[Code]], allFYsTable[year2], AC$3)=0, NotFound, SUMIFS(allFYsTable[RevisedBudget], allFYsTable[Code], SummaryTable[[#This Row],[Code]], allFYsTable[year2], AC$3))</f>
        <v>3937</v>
      </c>
      <c r="AG105" s="61">
        <f>IF(COUNTIFS(allFYsTable[Code], SummaryTable[[#This Row],[Code]], allFYsTable[year2], AC$3)=0, NotFound, SUMIFS(allFYsTable[Actual], allFYsTable[Code], SummaryTable[[#This Row],[Code]], allFYsTable[year2], AC$3))</f>
        <v>3862</v>
      </c>
      <c r="AH105" s="61">
        <f>IF(COUNTIFS(allFYsTable[Code], SummaryTable[[#This Row],[Code]], allFYsTable[year2], AC$3)=0, NotFound, SUMIFS(allFYsTable[DiffAmount], allFYsTable[Code], SummaryTable[[#This Row],[Code]], allFYsTable[year2], AC$3))</f>
        <v>356</v>
      </c>
      <c r="AI105" s="63">
        <f>IF(SummaryTable[[#This Row],[OriginalBudget25]]=0, IF(SummaryTable[[#This Row],[DiffAmount25]]=0, ZeroBudgetNoSpending, ZeroBudgetWithSpending), SummaryTable[[#This Row],[DiffAmount25]]/SummaryTable[[#This Row],[OriginalBudget25]])</f>
        <v>0.10154021677124929</v>
      </c>
      <c r="AJ105" s="62">
        <f>IF(COUNTIFS(allFYsTable[Code], SummaryTable[[#This Row],[Code]], allFYsTable[year2], AJ$3)=0, NotFound, SUMIFS(allFYsTable[OriginalBudget], allFYsTable[Code], SummaryTable[[#This Row],[Code]], allFYsTable[year2], AJ$3))</f>
        <v>3341</v>
      </c>
      <c r="AK105" s="61">
        <f>SummaryTable[[#This Row],[OriginalBudget24]]-SummaryTable[[#This Row],[OriginalBudget23]]</f>
        <v>-189</v>
      </c>
      <c r="AL105" s="54">
        <f>SummaryTable[[#This Row],[BudgetIncreaseAmount24]]/SummaryTable[[#This Row],[OriginalBudget23]]</f>
        <v>-5.3541076487252127E-2</v>
      </c>
      <c r="AM105" s="61">
        <f>IF(COUNTIFS(allFYsTable[Code], SummaryTable[[#This Row],[Code]], allFYsTable[year2], AK$3)=0, NotFound, SUMIFS(allFYsTable[RevisedBudget], allFYsTable[Code], SummaryTable[[#This Row],[Code]], allFYsTable[year2], AJ$3))</f>
        <v>3731</v>
      </c>
      <c r="AN105" s="61">
        <f>IF(COUNTIFS(allFYsTable[Code], SummaryTable[[#This Row],[Code]], allFYsTable[year2], AJ$3)=0, NotFound, SUMIFS(allFYsTable[Actual], allFYsTable[Code], SummaryTable[[#This Row],[Code]], allFYsTable[year2], AJ$3))</f>
        <v>3698</v>
      </c>
      <c r="AO105" s="61">
        <f>IF(COUNTIFS(allFYsTable[Code], SummaryTable[[#This Row],[Code]], allFYsTable[year2], AJ$3)=0, NotFound, SUMIFS(allFYsTable[DiffAmount], allFYsTable[Code], SummaryTable[[#This Row],[Code]], allFYsTable[year2], AJ$3))</f>
        <v>357</v>
      </c>
      <c r="AP105" s="63">
        <f>IF(SummaryTable[[#This Row],[OriginalBudget24]]=0, IF(SummaryTable[[#This Row],[DiffAmount24]]=0, ZeroBudgetNoSpending, ZeroBudgetWithSpending), SummaryTable[[#This Row],[DiffAmount24]]/SummaryTable[[#This Row],[OriginalBudget24]])</f>
        <v>0.10685423525890451</v>
      </c>
      <c r="AQ105" s="62">
        <f>IF(COUNTIFS(allFYsTable[Code], SummaryTable[[#This Row],[Code]], allFYsTable[year2], AQ$3)=0, NotFound, SUMIFS(allFYsTable[OriginalBudget], allFYsTable[Code], SummaryTable[[#This Row],[Code]], allFYsTable[year2], AQ$3))</f>
        <v>3530</v>
      </c>
      <c r="AR105" s="61">
        <f>SummaryTable[[#This Row],[OriginalBudget23]]-SummaryTable[[#This Row],[OriginalBudget22]]</f>
        <v>272</v>
      </c>
      <c r="AS105" s="54">
        <f>SummaryTable[[#This Row],[BudgetIncreaseAmount23]]/SummaryTable[[#This Row],[OriginalBudget22]]</f>
        <v>8.3486801718845913E-2</v>
      </c>
      <c r="AT105" s="61">
        <f>IF(COUNTIFS(allFYsTable[Code], SummaryTable[[#This Row],[Code]], allFYsTable[year2], AQ$3)=0, NotFound, SUMIFS(allFYsTable[RevisedBudget], allFYsTable[Code], SummaryTable[[#This Row],[Code]], allFYsTable[year2], AQ$3))</f>
        <v>3485</v>
      </c>
      <c r="AU105" s="61">
        <f>IF(COUNTIFS(allFYsTable[Code], SummaryTable[[#This Row],[Code]], allFYsTable[year2], AQ$3)=0, NotFound, SUMIFS(allFYsTable[Actual], allFYsTable[Code], SummaryTable[[#This Row],[Code]], allFYsTable[year2], AQ$3))</f>
        <v>3235</v>
      </c>
      <c r="AV105" s="61">
        <f>IF(COUNTIFS(allFYsTable[Code], SummaryTable[[#This Row],[Code]], allFYsTable[year2], AQ$3)=0, NotFound, SUMIFS(allFYsTable[DiffAmount], allFYsTable[Code], SummaryTable[[#This Row],[Code]], allFYsTable[year2], AQ$3))</f>
        <v>-295</v>
      </c>
      <c r="AW105" s="63">
        <f>IF(SummaryTable[[#This Row],[OriginalBudget23]]=0, IF(SummaryTable[[#This Row],[DiffAmount23]]=0, ZeroBudgetNoSpending, ZeroBudgetWithSpending), SummaryTable[[#This Row],[DiffAmount23]]/SummaryTable[[#This Row],[OriginalBudget23]])</f>
        <v>-8.3569405099150146E-2</v>
      </c>
      <c r="AX105" s="62">
        <f>IF(COUNTIFS(allFYsTable[Code], SummaryTable[[#This Row],[Code]], allFYsTable[year2], AX$3)=0, NotFound, SUMIFS(allFYsTable[OriginalBudget], allFYsTable[Code], SummaryTable[[#This Row],[Code]], allFYsTable[year2], AX$3))</f>
        <v>3258</v>
      </c>
      <c r="AY105" s="61">
        <f>SummaryTable[[#This Row],[OriginalBudget22]]-SummaryTable[[#This Row],[OriginalBudget21]]</f>
        <v>-209</v>
      </c>
      <c r="AZ105" s="54">
        <f>SummaryTable[[#This Row],[BudgetIncreaseAmount22]]/SummaryTable[[#This Row],[OriginalBudget21]]</f>
        <v>-6.0282665128353043E-2</v>
      </c>
      <c r="BA105" s="61">
        <f>IF(COUNTIFS(allFYsTable[Code], SummaryTable[[#This Row],[Code]], allFYsTable[year2], AX$3)=0, NotFound, SUMIFS(allFYsTable[RevisedBudget], allFYsTable[Code], SummaryTable[[#This Row],[Code]], allFYsTable[year2], AX$3))</f>
        <v>3155</v>
      </c>
      <c r="BB105" s="61">
        <f>IF(COUNTIFS(allFYsTable[Code], SummaryTable[[#This Row],[Code]], allFYsTable[year2], AX$3)=0, NotFound, SUMIFS(allFYsTable[Actual], allFYsTable[Code], SummaryTable[[#This Row],[Code]], allFYsTable[year2], AX$3))</f>
        <v>3125</v>
      </c>
      <c r="BC105" s="61">
        <f>IF(COUNTIFS(allFYsTable[Code], SummaryTable[[#This Row],[Code]], allFYsTable[year2], AX$3)=0, NotFound, SUMIFS(allFYsTable[DiffAmount], allFYsTable[Code], SummaryTable[[#This Row],[Code]], allFYsTable[year2], AX$3))</f>
        <v>-133</v>
      </c>
      <c r="BD105" s="63">
        <f>IF(SummaryTable[[#This Row],[OriginalBudget22]]=0, IF(SummaryTable[[#This Row],[DiffAmount22]]=0, ZeroBudgetNoSpending, ZeroBudgetWithSpending), SummaryTable[[#This Row],[DiffAmount22]]/SummaryTable[[#This Row],[OriginalBudget22]])</f>
        <v>-4.0822590546347452E-2</v>
      </c>
      <c r="BE105" s="62">
        <f>IF(COUNTIFS(allFYsTable[Code], SummaryTable[[#This Row],[Code]], allFYsTable[year2], BE$3)=0, NotFound, SUMIFS(allFYsTable[OriginalBudget], allFYsTable[Code], SummaryTable[[#This Row],[Code]], allFYsTable[year2], BE$3))</f>
        <v>3467</v>
      </c>
      <c r="BF105" s="61">
        <f>SummaryTable[[#This Row],[OriginalBudget21]]-SummaryTable[[#This Row],[OriginalBudget20]]</f>
        <v>-57</v>
      </c>
      <c r="BG105" s="54">
        <f>SummaryTable[[#This Row],[BudgetIncreaseAmount21]]/SummaryTable[[#This Row],[OriginalBudget20]]</f>
        <v>-1.6174801362088535E-2</v>
      </c>
      <c r="BH105" s="61">
        <f>IF(COUNTIFS(allFYsTable[Code], SummaryTable[[#This Row],[Code]], allFYsTable[year2], BE$3)=0, NotFound, SUMIFS(allFYsTable[RevisedBudget], allFYsTable[Code], SummaryTable[[#This Row],[Code]], allFYsTable[year2], BE$3))</f>
        <v>2924</v>
      </c>
      <c r="BI105" s="61">
        <f>IF(COUNTIFS(allFYsTable[Code], SummaryTable[[#This Row],[Code]], allFYsTable[year2], BE$3)=0, NotFound, SUMIFS(allFYsTable[Actual], allFYsTable[Code], SummaryTable[[#This Row],[Code]], allFYsTable[year2], BE$3))</f>
        <v>2872</v>
      </c>
      <c r="BJ105" s="61">
        <f>IF(COUNTIFS(allFYsTable[Code], SummaryTable[[#This Row],[Code]], allFYsTable[year2], BE$3)=0, NotFound, SUMIFS(allFYsTable[DiffAmount], allFYsTable[Code], SummaryTable[[#This Row],[Code]], allFYsTable[year2], BE$3))</f>
        <v>-595</v>
      </c>
      <c r="BK105" s="63">
        <f>IF(SummaryTable[[#This Row],[OriginalBudget21]]=0, IF(SummaryTable[[#This Row],[DiffAmount21]]=0, ZeroBudgetNoSpending, ZeroBudgetWithSpending), SummaryTable[[#This Row],[DiffAmount21]]/SummaryTable[[#This Row],[OriginalBudget21]])</f>
        <v>-0.17161811364291896</v>
      </c>
      <c r="BL105" s="62">
        <f>IF(COUNTIFS(allFYsTable[Code], SummaryTable[[#This Row],[Code]], allFYsTable[year2], BL$3)=0, NotFound, SUMIFS(allFYsTable[OriginalBudget], allFYsTable[Code], SummaryTable[[#This Row],[Code]], allFYsTable[year2], BL$3))</f>
        <v>3524</v>
      </c>
      <c r="BM105" s="61">
        <f>SummaryTable[[#This Row],[OriginalBudget20]]-SummaryTable[[#This Row],[OriginalBudget19]]</f>
        <v>-221</v>
      </c>
      <c r="BN105" s="54">
        <f>SummaryTable[[#This Row],[BudgetIncreaseAmount20]]/SummaryTable[[#This Row],[OriginalBudget19]]</f>
        <v>-5.9012016021361816E-2</v>
      </c>
      <c r="BO105" s="61">
        <f>IF(COUNTIFS(allFYsTable[Code], SummaryTable[[#This Row],[Code]], allFYsTable[year2], BL$3)=0, NotFound, SUMIFS(allFYsTable[RevisedBudget], allFYsTable[Code], SummaryTable[[#This Row],[Code]], allFYsTable[year2], BL$3))</f>
        <v>3212</v>
      </c>
      <c r="BP105" s="61">
        <f>IF(COUNTIFS(allFYsTable[Code], SummaryTable[[#This Row],[Code]], allFYsTable[year2], BL$3)=0, NotFound, SUMIFS(allFYsTable[Actual], allFYsTable[Code], SummaryTable[[#This Row],[Code]], allFYsTable[year2], BL$3))</f>
        <v>2941</v>
      </c>
      <c r="BQ105" s="61">
        <f>IF(COUNTIFS(allFYsTable[Code], SummaryTable[[#This Row],[Code]], allFYsTable[year2], BL$3)=0, NotFound, SUMIFS(allFYsTable[DiffAmount], allFYsTable[Code], SummaryTable[[#This Row],[Code]], allFYsTable[year2], BL$3))</f>
        <v>-583</v>
      </c>
      <c r="BR105" s="63">
        <f>IF(SummaryTable[[#This Row],[OriginalBudget20]]=0, IF(SummaryTable[[#This Row],[DiffAmount20]]=0, ZeroBudgetNoSpending, ZeroBudgetWithSpending), SummaryTable[[#This Row],[DiffAmount20]]/SummaryTable[[#This Row],[OriginalBudget20]])</f>
        <v>-0.16543700340522133</v>
      </c>
      <c r="BS105" s="62">
        <f>IF(COUNTIFS(allFYsTable[Code], SummaryTable[[#This Row],[Code]], allFYsTable[year2], BS$3)=0, NotFound, SUMIFS(allFYsTable[OriginalBudget], allFYsTable[Code], SummaryTable[[#This Row],[Code]], allFYsTable[year2], BS$3))</f>
        <v>3745</v>
      </c>
      <c r="BT105" s="61">
        <f>SummaryTable[[#This Row],[OriginalBudget19]]-SummaryTable[[#This Row],[OriginalBudget18]]</f>
        <v>207</v>
      </c>
      <c r="BU105" s="54">
        <f>SummaryTable[[#This Row],[BudgetIncreaseAmount19]]/SummaryTable[[#This Row],[OriginalBudget18]]</f>
        <v>5.8507631430186544E-2</v>
      </c>
      <c r="BV105" s="61">
        <f>IF(COUNTIFS(allFYsTable[Code], SummaryTable[[#This Row],[Code]], allFYsTable[year2], BS$3)=0, NotFound, SUMIFS(allFYsTable[RevisedBudget], allFYsTable[Code], SummaryTable[[#This Row],[Code]], allFYsTable[year2], BS$3))</f>
        <v>4971</v>
      </c>
      <c r="BW105" s="61">
        <f>IF(COUNTIFS(allFYsTable[Code], SummaryTable[[#This Row],[Code]], allFYsTable[year2], BS$3)=0, NotFound, SUMIFS(allFYsTable[Actual], allFYsTable[Code], SummaryTable[[#This Row],[Code]], allFYsTable[year2], BS$3))</f>
        <v>4963</v>
      </c>
      <c r="BX105" s="61">
        <f>IF(COUNTIFS(allFYsTable[Code], SummaryTable[[#This Row],[Code]], allFYsTable[year2], BS$3)=0, NotFound, SUMIFS(allFYsTable[DiffAmount], allFYsTable[Code], SummaryTable[[#This Row],[Code]], allFYsTable[year2], BS$3))</f>
        <v>1218</v>
      </c>
      <c r="BY105" s="63">
        <f>IF(SummaryTable[[#This Row],[OriginalBudget19]]=0, IF(SummaryTable[[#This Row],[DiffAmount19]]=0, ZeroBudgetNoSpending, ZeroBudgetWithSpending), SummaryTable[[#This Row],[DiffAmount19]]/SummaryTable[[#This Row],[OriginalBudget19]])</f>
        <v>0.3252336448598131</v>
      </c>
      <c r="BZ105" s="62">
        <f>IF(COUNTIFS(allFYsTable[Code], SummaryTable[[#This Row],[Code]], allFYsTable[year2], BZ$3)=0, NotFound, SUMIFS(allFYsTable[OriginalBudget], allFYsTable[Code], SummaryTable[[#This Row],[Code]], allFYsTable[year2], BZ$3))</f>
        <v>3538</v>
      </c>
      <c r="CA105" s="61">
        <f>SummaryTable[[#This Row],[OriginalBudget18]]-SummaryTable[[#This Row],[OriginalBudget17]]</f>
        <v>555</v>
      </c>
      <c r="CB105" s="54">
        <f>SummaryTable[[#This Row],[BudgetIncreaseAmount18]]/SummaryTable[[#This Row],[OriginalBudget17]]</f>
        <v>0.18605430774388199</v>
      </c>
      <c r="CC105" s="61">
        <f>IF(COUNTIFS(allFYsTable[Code], SummaryTable[[#This Row],[Code]], allFYsTable[year2], BZ$3)=0, NotFound, SUMIFS(allFYsTable[RevisedBudget], allFYsTable[Code], SummaryTable[[#This Row],[Code]], allFYsTable[year2], BZ$3))</f>
        <v>3433</v>
      </c>
      <c r="CD105" s="61">
        <f>IF(COUNTIFS(allFYsTable[Code], SummaryTable[[#This Row],[Code]], allFYsTable[year2], BZ$3)=0, NotFound, SUMIFS(allFYsTable[Actual], allFYsTable[Code], SummaryTable[[#This Row],[Code]], allFYsTable[year2], BZ$3))</f>
        <v>3121</v>
      </c>
      <c r="CE105" s="61">
        <f>IF(COUNTIFS(allFYsTable[Code], SummaryTable[[#This Row],[Code]], allFYsTable[year2], BZ$3)=0, NotFound, SUMIFS(allFYsTable[DiffAmount], allFYsTable[Code], SummaryTable[[#This Row],[Code]], allFYsTable[year2], BZ$3))</f>
        <v>-417</v>
      </c>
      <c r="CF105" s="63">
        <f>IF(SummaryTable[[#This Row],[OriginalBudget18]]=0, IF(SummaryTable[[#This Row],[DiffAmount18]]=0, ZeroBudgetNoSpending, ZeroBudgetWithSpending), SummaryTable[[#This Row],[DiffAmount18]]/SummaryTable[[#This Row],[OriginalBudget18]])</f>
        <v>-0.1178631995477671</v>
      </c>
      <c r="CG105" s="62">
        <f>IF(COUNTIFS(allFYsTable[Code], SummaryTable[[#This Row],[Code]], allFYsTable[year2], CG$3)=0, NotFound, SUMIFS(allFYsTable[OriginalBudget], allFYsTable[Code], SummaryTable[[#This Row],[Code]], allFYsTable[year2], CG$3))</f>
        <v>2983</v>
      </c>
      <c r="CH105" s="61">
        <f>SummaryTable[[#This Row],[OriginalBudget17]]-SummaryTable[[#This Row],[OriginalBudget16]]</f>
        <v>195</v>
      </c>
      <c r="CI105" s="54">
        <f>SummaryTable[[#This Row],[BudgetIncreaseAmount17]]/SummaryTable[[#This Row],[OriginalBudget16]]</f>
        <v>6.9942611190817794E-2</v>
      </c>
      <c r="CJ105" s="61">
        <f>IF(COUNTIFS(allFYsTable[Code], SummaryTable[[#This Row],[Code]], allFYsTable[year2], CG$3)=0, NotFound, SUMIFS(allFYsTable[RevisedBudget], allFYsTable[Code], SummaryTable[[#This Row],[Code]], allFYsTable[year2], CG$3))</f>
        <v>3115</v>
      </c>
      <c r="CK105" s="61">
        <f>IF(COUNTIFS(allFYsTable[Code], SummaryTable[[#This Row],[Code]], allFYsTable[year2], CG$3)=0, NotFound, SUMIFS(allFYsTable[Actual], allFYsTable[Code], SummaryTable[[#This Row],[Code]], allFYsTable[year2], CG$3))</f>
        <v>3075</v>
      </c>
      <c r="CL105" s="61">
        <f>IF(COUNTIFS(allFYsTable[Code], SummaryTable[[#This Row],[Code]], allFYsTable[year2], CG$3)=0, NotFound, SUMIFS(allFYsTable[DiffAmount], allFYsTable[Code], SummaryTable[[#This Row],[Code]], allFYsTable[year2], CG$3))</f>
        <v>92</v>
      </c>
      <c r="CM105" s="63">
        <f>IF(SummaryTable[[#This Row],[OriginalBudget17]]=0, IF(SummaryTable[[#This Row],[DiffAmount17]]=0, ZeroBudgetNoSpending, ZeroBudgetWithSpending), SummaryTable[[#This Row],[DiffAmount17]]/SummaryTable[[#This Row],[OriginalBudget17]])</f>
        <v>3.0841434797184042E-2</v>
      </c>
      <c r="CN105" s="62">
        <f>IF(COUNTIFS(allFYsTable[Code], SummaryTable[[#This Row],[Code]], allFYsTable[year2], CN$3)=0, NotFound, SUMIFS(allFYsTable[OriginalBudget], allFYsTable[Code], SummaryTable[[#This Row],[Code]], allFYsTable[year2], CN$3))</f>
        <v>2788</v>
      </c>
      <c r="CO105" s="61">
        <f>SummaryTable[[#This Row],[OriginalBudget16]]-SummaryTable[[#This Row],[OriginalBudget15]]</f>
        <v>300</v>
      </c>
      <c r="CP105" s="54">
        <f>SummaryTable[[#This Row],[BudgetIncreaseAmount16]]/SummaryTable[[#This Row],[OriginalBudget15]]</f>
        <v>0.12057877813504823</v>
      </c>
      <c r="CQ105" s="61">
        <f>IF(COUNTIFS(allFYsTable[Code], SummaryTable[[#This Row],[Code]], allFYsTable[year2], CN$3)=0, NotFound, SUMIFS(allFYsTable[RevisedBudget], allFYsTable[Code], SummaryTable[[#This Row],[Code]], allFYsTable[year2], CN$3))</f>
        <v>2800</v>
      </c>
      <c r="CR105" s="61">
        <f>IF(COUNTIFS(allFYsTable[Code], SummaryTable[[#This Row],[Code]], allFYsTable[year2], CN$3)=0, NotFound, SUMIFS(allFYsTable[Actual], allFYsTable[Code], SummaryTable[[#This Row],[Code]], allFYsTable[year2], CN$3))</f>
        <v>2738</v>
      </c>
      <c r="CS105" s="61">
        <f>IF(COUNTIFS(allFYsTable[Code], SummaryTable[[#This Row],[Code]], allFYsTable[year2], CN$3)=0, NotFound, SUMIFS(allFYsTable[DiffAmount], allFYsTable[Code], SummaryTable[[#This Row],[Code]], allFYsTable[year2], CN$3))</f>
        <v>-50</v>
      </c>
      <c r="CT105" s="63">
        <f>IF(SummaryTable[[#This Row],[OriginalBudget16]]=0, IF(SummaryTable[[#This Row],[DiffAmount16]]=0, ZeroBudgetNoSpending, ZeroBudgetWithSpending), SummaryTable[[#This Row],[DiffAmount16]]/SummaryTable[[#This Row],[OriginalBudget16]])</f>
        <v>-1.7934002869440458E-2</v>
      </c>
      <c r="CU105" s="62">
        <f>IF(COUNTIFS(allFYsTable[Code], SummaryTable[[#This Row],[Code]], allFYsTable[year2], CU$3)=0, NotFound, SUMIFS(allFYsTable[OriginalBudget], allFYsTable[Code], SummaryTable[[#This Row],[Code]], allFYsTable[year2], CU$3))</f>
        <v>2488</v>
      </c>
      <c r="CV105" s="61">
        <f>SummaryTable[[#This Row],[OriginalBudget15]]-SummaryTable[[#This Row],[OriginalBudget14]]</f>
        <v>356</v>
      </c>
      <c r="CW105" s="54">
        <f>SummaryTable[[#This Row],[BudgetIncreaseAmount15]]/SummaryTable[[#This Row],[OriginalBudget14]]</f>
        <v>0.16697936210131331</v>
      </c>
      <c r="CX105" s="61">
        <f>IF(COUNTIFS(allFYsTable[Code], SummaryTable[[#This Row],[Code]], allFYsTable[year2], CU$3)=0, NotFound, SUMIFS(allFYsTable[RevisedBudget], allFYsTable[Code], SummaryTable[[#This Row],[Code]], allFYsTable[year2], CU$3))</f>
        <v>2291</v>
      </c>
      <c r="CY105" s="61">
        <f>IF(COUNTIFS(allFYsTable[Code], SummaryTable[[#This Row],[Code]], allFYsTable[year2], CU$3)=0, NotFound, SUMIFS(allFYsTable[Actual], allFYsTable[Code], SummaryTable[[#This Row],[Code]], allFYsTable[year2], CU$3))</f>
        <v>2191</v>
      </c>
      <c r="CZ105" s="61">
        <f>IF(COUNTIFS(allFYsTable[Code], SummaryTable[[#This Row],[Code]], allFYsTable[year2], CU$3)=0, NotFound, SUMIFS(allFYsTable[DiffAmount], allFYsTable[Code], SummaryTable[[#This Row],[Code]], allFYsTable[year2], CU$3))</f>
        <v>-297</v>
      </c>
      <c r="DA105" s="63">
        <f>IF(SummaryTable[[#This Row],[OriginalBudget15]]=0, IF(SummaryTable[[#This Row],[DiffAmount15]]=0, ZeroBudgetNoSpending, ZeroBudgetWithSpending), SummaryTable[[#This Row],[DiffAmount15]]/SummaryTable[[#This Row],[OriginalBudget15]])</f>
        <v>-0.11937299035369775</v>
      </c>
      <c r="DB105" s="62">
        <f>IF(COUNTIFS(allFYsTable[Code], SummaryTable[[#This Row],[Code]], allFYsTable[year2], DB$3)=0, NotFound, SUMIFS(allFYsTable[OriginalBudget], allFYsTable[Code], SummaryTable[[#This Row],[Code]], allFYsTable[year2], DB$3))</f>
        <v>2132</v>
      </c>
      <c r="DC105" s="61">
        <f>SummaryTable[[#This Row],[OriginalBudget14]]-SummaryTable[[#This Row],[OriginalBudget13]]</f>
        <v>68</v>
      </c>
      <c r="DD105" s="54">
        <f>SummaryTable[[#This Row],[BudgetIncreaseAmount14]]/SummaryTable[[#This Row],[OriginalBudget13]]</f>
        <v>3.294573643410853E-2</v>
      </c>
      <c r="DE105" s="61">
        <f>IF(COUNTIFS(allFYsTable[Code], SummaryTable[[#This Row],[Code]], allFYsTable[year2], DB$3)=0, NotFound, SUMIFS(allFYsTable[RevisedBudget], allFYsTable[Code], SummaryTable[[#This Row],[Code]], allFYsTable[year2], DB$3))</f>
        <v>2400</v>
      </c>
      <c r="DF105" s="61">
        <f>IF(COUNTIFS(allFYsTable[Code], SummaryTable[[#This Row],[Code]], allFYsTable[year2], DB$3)=0, NotFound, SUMIFS(allFYsTable[Actual], allFYsTable[Code], SummaryTable[[#This Row],[Code]], allFYsTable[year2], DB$3))</f>
        <v>2266</v>
      </c>
      <c r="DG105" s="61">
        <f>IF(COUNTIFS(allFYsTable[Code], SummaryTable[[#This Row],[Code]], allFYsTable[year2], DB$3)=0, NotFound, SUMIFS(allFYsTable[DiffAmount], allFYsTable[Code], SummaryTable[[#This Row],[Code]], allFYsTable[year2], DB$3))</f>
        <v>134</v>
      </c>
      <c r="DH105" s="63">
        <f>IF(SummaryTable[[#This Row],[OriginalBudget14]]=0, IF(SummaryTable[[#This Row],[DiffAmount14]]=0, ZeroBudgetNoSpending, ZeroBudgetWithSpending), SummaryTable[[#This Row],[DiffAmount14]]/SummaryTable[[#This Row],[OriginalBudget14]])</f>
        <v>6.2851782363977482E-2</v>
      </c>
      <c r="DI105" s="62">
        <f>IF(COUNTIFS(allFYsTable[Code], SummaryTable[[#This Row],[Code]], allFYsTable[year2], DI$3)=0, NotFound, SUMIFS(allFYsTable[OriginalBudget], allFYsTable[Code], SummaryTable[[#This Row],[Code]], allFYsTable[year2], DI$3))</f>
        <v>2064</v>
      </c>
      <c r="DJ105" s="61">
        <f>SummaryTable[[#This Row],[OriginalBudget13]]-SummaryTable[[#This Row],[OriginalBudget12]]</f>
        <v>140</v>
      </c>
      <c r="DK105" s="54">
        <f>SummaryTable[[#This Row],[BudgetIncreaseAmount13]]/SummaryTable[[#This Row],[OriginalBudget12]]</f>
        <v>7.2765072765072769E-2</v>
      </c>
      <c r="DL105" s="61">
        <f>IF(COUNTIFS(allFYsTable[Code], SummaryTable[[#This Row],[Code]], allFYsTable[year2], DI$3)=0, NotFound, SUMIFS(allFYsTable[RevisedBudget], allFYsTable[Code], SummaryTable[[#This Row],[Code]], allFYsTable[year2], DI$3))</f>
        <v>2164</v>
      </c>
      <c r="DM105" s="61">
        <f>IF(COUNTIFS(allFYsTable[Code], SummaryTable[[#This Row],[Code]], allFYsTable[year2], DI$3)=0, NotFound, SUMIFS(allFYsTable[Actual], allFYsTable[Code], SummaryTable[[#This Row],[Code]], allFYsTable[year2], DI$3))</f>
        <v>2022</v>
      </c>
      <c r="DN105" s="61">
        <f>IF(COUNTIFS(allFYsTable[Code], SummaryTable[[#This Row],[Code]], allFYsTable[year2], DI$3)=0, NotFound, SUMIFS(allFYsTable[DiffAmount], allFYsTable[Code], SummaryTable[[#This Row],[Code]], allFYsTable[year2], DI$3))</f>
        <v>-42</v>
      </c>
      <c r="DO105" s="63">
        <f>IF(SummaryTable[[#This Row],[OriginalBudget13]]=0, IF(SummaryTable[[#This Row],[DiffAmount13]]=0, ZeroBudgetNoSpending, ZeroBudgetWithSpending), SummaryTable[[#This Row],[DiffAmount13]]/SummaryTable[[#This Row],[OriginalBudget13]])</f>
        <v>-2.0348837209302327E-2</v>
      </c>
      <c r="DP105" s="62">
        <f>IF(COUNTIFS(allFYsTable[Code], SummaryTable[[#This Row],[Code]], allFYsTable[year2], DP$3)=0, NotFound, SUMIFS(allFYsTable[OriginalBudget], allFYsTable[Code], SummaryTable[[#This Row],[Code]], allFYsTable[year2], DP$3))</f>
        <v>1924</v>
      </c>
      <c r="DQ105" s="61">
        <f>SummaryTable[[#This Row],[OriginalBudget12]]-SummaryTable[[#This Row],[OriginalBudget11]]</f>
        <v>1279</v>
      </c>
      <c r="DR105" s="54">
        <f>SummaryTable[[#This Row],[BudgetIncreaseAmount12]]/SummaryTable[[#This Row],[OriginalBudget11]]</f>
        <v>1.9829457364341085</v>
      </c>
      <c r="DS105" s="61">
        <f>IF(COUNTIFS(allFYsTable[Code], SummaryTable[[#This Row],[Code]], allFYsTable[year2], DP$3)=0, NotFound, SUMIFS(allFYsTable[RevisedBudget], allFYsTable[Code], SummaryTable[[#This Row],[Code]], allFYsTable[year2], DP$3))</f>
        <v>2112</v>
      </c>
      <c r="DT105" s="61">
        <f>IF(COUNTIFS(allFYsTable[Code], SummaryTable[[#This Row],[Code]], allFYsTable[year2], DP$3)=0, NotFound, SUMIFS(allFYsTable[Actual], allFYsTable[Code], SummaryTable[[#This Row],[Code]], allFYsTable[year2], DP$3))</f>
        <v>1949</v>
      </c>
      <c r="DU105" s="61">
        <f>IF(COUNTIFS(allFYsTable[Code], SummaryTable[[#This Row],[Code]], allFYsTable[year2], DP$3)=0, NotFound, SUMIFS(allFYsTable[DiffAmount], allFYsTable[Code], SummaryTable[[#This Row],[Code]], allFYsTable[year2], DP$3))</f>
        <v>25</v>
      </c>
      <c r="DV105" s="63">
        <f>IF(SummaryTable[[#This Row],[OriginalBudget12]]=0, IF(SummaryTable[[#This Row],[DiffAmount12]]=0, ZeroBudgetNoSpending, ZeroBudgetWithSpending), SummaryTable[[#This Row],[DiffAmount12]]/SummaryTable[[#This Row],[OriginalBudget12]])</f>
        <v>1.2993762993762994E-2</v>
      </c>
      <c r="DW105" s="62">
        <f>IF(COUNTIFS(allFYsTable[Code], SummaryTable[[#This Row],[Code]], allFYsTable[year2], DW$3)=0, NotFound, SUMIFS(allFYsTable[OriginalBudget], allFYsTable[Code], SummaryTable[[#This Row],[Code]], allFYsTable[year2], DW$3))</f>
        <v>645</v>
      </c>
      <c r="DX105" s="61">
        <f>SummaryTable[[#This Row],[OriginalBudget11]]-SummaryTable[[#This Row],[OriginalBudget10]]</f>
        <v>85</v>
      </c>
      <c r="DY105" s="54">
        <f>SummaryTable[[#This Row],[BudgetIncreaseAmount11]]/SummaryTable[[#This Row],[OriginalBudget10]]</f>
        <v>0.15178571428571427</v>
      </c>
      <c r="DZ105" s="61">
        <f>IF(COUNTIFS(allFYsTable[Code], SummaryTable[[#This Row],[Code]], allFYsTable[year2], DW$3)=0, NotFound, SUMIFS(allFYsTable[RevisedBudget], allFYsTable[Code], SummaryTable[[#This Row],[Code]], allFYsTable[year2], DW$3))</f>
        <v>645</v>
      </c>
      <c r="EA105" s="61">
        <f>IF(COUNTIFS(allFYsTable[Code], SummaryTable[[#This Row],[Code]], allFYsTable[year2], DW$3)=0, NotFound, SUMIFS(allFYsTable[Actual], allFYsTable[Code], SummaryTable[[#This Row],[Code]], allFYsTable[year2], DW$3))</f>
        <v>560</v>
      </c>
      <c r="EB105" s="61">
        <f>IF(COUNTIFS(allFYsTable[Code], SummaryTable[[#This Row],[Code]], allFYsTable[year2], DW$3)=0, NotFound, SUMIFS(allFYsTable[DiffAmount], allFYsTable[Code], SummaryTable[[#This Row],[Code]], allFYsTable[year2], DW$3))</f>
        <v>-85</v>
      </c>
      <c r="EC105" s="63">
        <f>IF(SummaryTable[[#This Row],[OriginalBudget11]]=0, IF(SummaryTable[[#This Row],[DiffAmount11]]=0, ZeroBudgetNoSpending, ZeroBudgetWithSpending), SummaryTable[[#This Row],[DiffAmount11]]/SummaryTable[[#This Row],[OriginalBudget11]])</f>
        <v>-0.13178294573643412</v>
      </c>
      <c r="ED105" s="62">
        <f>IF(COUNTIFS(allFYsTable[Code], SummaryTable[[#This Row],[Code]], allFYsTable[year2], ED$3)=0, NotFound, SUMIFS(allFYsTable[OriginalBudget], allFYsTable[Code], SummaryTable[[#This Row],[Code]], allFYsTable[year2], ED$3))</f>
        <v>560</v>
      </c>
      <c r="EE105" s="61">
        <f>SummaryTable[[#This Row],[OriginalBudget10]]-SummaryTable[[#This Row],[OriginalBudget09]]</f>
        <v>-282</v>
      </c>
      <c r="EF105" s="54">
        <f>SummaryTable[[#This Row],[BudgetIncreaseAmount10]]/SummaryTable[[#This Row],[OriginalBudget09]]</f>
        <v>-0.33491686460807601</v>
      </c>
      <c r="EG105" s="61">
        <f>IF(COUNTIFS(allFYsTable[Code], SummaryTable[[#This Row],[Code]], allFYsTable[year2], ED$3)=0, NotFound, SUMIFS(allFYsTable[RevisedBudget], allFYsTable[Code], SummaryTable[[#This Row],[Code]], allFYsTable[year2], ED$3))</f>
        <v>560</v>
      </c>
      <c r="EH105" s="61">
        <f>IF(COUNTIFS(allFYsTable[Code], SummaryTable[[#This Row],[Code]], allFYsTable[year2], ED$3)=0, NotFound, SUMIFS(allFYsTable[Actual], allFYsTable[Code], SummaryTable[[#This Row],[Code]], allFYsTable[year2], ED$3))</f>
        <v>539</v>
      </c>
      <c r="EI105" s="61">
        <f>IF(COUNTIFS(allFYsTable[Code], SummaryTable[[#This Row],[Code]], allFYsTable[year2], ED$3)=0, NotFound, SUMIFS(allFYsTable[DiffAmount], allFYsTable[Code], SummaryTable[[#This Row],[Code]], allFYsTable[year2], ED$3))</f>
        <v>-21</v>
      </c>
      <c r="EJ105" s="63">
        <f>IF(SummaryTable[[#This Row],[OriginalBudget10]]=0, IF(SummaryTable[[#This Row],[DiffAmount10]]=0, ZeroBudgetNoSpending, ZeroBudgetWithSpending), SummaryTable[[#This Row],[DiffAmount10]]/SummaryTable[[#This Row],[OriginalBudget10]])</f>
        <v>-3.7499999999999999E-2</v>
      </c>
      <c r="EK105" s="62">
        <f>IF(COUNTIFS(allFYsTable[Code], SummaryTable[[#This Row],[Code]], allFYsTable[year2], EK$3)=0, NotFound, SUMIFS(allFYsTable[OriginalBudget], allFYsTable[Code], SummaryTable[[#This Row],[Code]], allFYsTable[year2], EK$3))</f>
        <v>842</v>
      </c>
      <c r="EL105" s="61">
        <f>SummaryTable[[#This Row],[OriginalBudget09]]-SummaryTable[[#This Row],[OriginalBudget08]]</f>
        <v>-182</v>
      </c>
      <c r="EM105" s="54">
        <f>SummaryTable[[#This Row],[BudgetIncreaseAmount09]]/SummaryTable[[#This Row],[OriginalBudget08]]</f>
        <v>-0.177734375</v>
      </c>
      <c r="EN105" s="61">
        <f>IF(COUNTIFS(allFYsTable[Code], SummaryTable[[#This Row],[Code]], allFYsTable[year2], EK$3)=0, NotFound, SUMIFS(allFYsTable[RevisedBudget], allFYsTable[Code], SummaryTable[[#This Row],[Code]], allFYsTable[year2], EK$3))</f>
        <v>842</v>
      </c>
      <c r="EO105" s="61">
        <f>IF(COUNTIFS(allFYsTable[Code], SummaryTable[[#This Row],[Code]], allFYsTable[year2], EK$3)=0, NotFound, SUMIFS(allFYsTable[Actual], allFYsTable[Code], SummaryTable[[#This Row],[Code]], allFYsTable[year2], EK$3))</f>
        <v>840</v>
      </c>
      <c r="EP105" s="61">
        <f>IF(COUNTIFS(allFYsTable[Code], SummaryTable[[#This Row],[Code]], allFYsTable[year2], EK$3)=0, NotFound, SUMIFS(allFYsTable[DiffAmount], allFYsTable[Code], SummaryTable[[#This Row],[Code]], allFYsTable[year2], EK$3))</f>
        <v>-2</v>
      </c>
      <c r="EQ105" s="63">
        <f>IF(SummaryTable[[#This Row],[OriginalBudget09]]=0, IF(SummaryTable[[#This Row],[DiffAmount09]]=0, ZeroBudgetNoSpending, ZeroBudgetWithSpending), SummaryTable[[#This Row],[DiffAmount09]]/SummaryTable[[#This Row],[OriginalBudget09]])</f>
        <v>-2.3752969121140144E-3</v>
      </c>
      <c r="ER105" s="62">
        <f>IF(COUNTIFS(allFYsTable[Code], SummaryTable[[#This Row],[Code]], allFYsTable[year2], ER$3)=0, NotFound, SUMIFS(allFYsTable[OriginalBudget], allFYsTable[Code], SummaryTable[[#This Row],[Code]], allFYsTable[year2], ER$3))</f>
        <v>1024</v>
      </c>
      <c r="ES105" s="61" t="e">
        <f>SummaryTable[[#This Row],[OriginalBudget08]]-SummaryTable[[#This Row],[OriginalBudget07]]</f>
        <v>#N/A</v>
      </c>
      <c r="ET105" s="54" t="e">
        <f>SummaryTable[[#This Row],[BudgetIncreaseAmount08]]/SummaryTable[[#This Row],[OriginalBudget07]]</f>
        <v>#N/A</v>
      </c>
      <c r="EU105" s="61">
        <f>IF(COUNTIFS(allFYsTable[Code], SummaryTable[[#This Row],[Code]], allFYsTable[year2], ER$3)=0, NotFound, SUMIFS(allFYsTable[RevisedBudget], allFYsTable[Code], SummaryTable[[#This Row],[Code]], allFYsTable[year2], ER$3))</f>
        <v>1024</v>
      </c>
      <c r="EV105" s="61">
        <f>IF(COUNTIFS(allFYsTable[Code], SummaryTable[[#This Row],[Code]], allFYsTable[year2], ER$3)=0, NotFound, SUMIFS(allFYsTable[Actual], allFYsTable[Code], SummaryTable[[#This Row],[Code]], allFYsTable[year2], ER$3))</f>
        <v>1005</v>
      </c>
      <c r="EW105" s="61">
        <f>IF(COUNTIFS(allFYsTable[Code], SummaryTable[[#This Row],[Code]], allFYsTable[year2], ER$3)=0, NotFound, SUMIFS(allFYsTable[DiffAmount], allFYsTable[Code], SummaryTable[[#This Row],[Code]], allFYsTable[year2], ER$3))</f>
        <v>-19</v>
      </c>
      <c r="EX105" s="63">
        <f>IF(SummaryTable[[#This Row],[OriginalBudget08]]=0, IF(SummaryTable[[#This Row],[DiffAmount08]]=0, ZeroBudgetNoSpending, ZeroBudgetWithSpending), SummaryTable[[#This Row],[DiffAmount08]]/SummaryTable[[#This Row],[OriginalBudget08]])</f>
        <v>-1.85546875E-2</v>
      </c>
      <c r="EY105" s="62" t="e">
        <f>IF(COUNTIFS(allFYsTable[Code], SummaryTable[[#This Row],[Code]], allFYsTable[year2], EY$3)=0, NotFound, SUMIFS(allFYsTable[OriginalBudget], allFYsTable[Code], SummaryTable[[#This Row],[Code]], allFYsTable[year2], EY$3))</f>
        <v>#N/A</v>
      </c>
      <c r="EZ105" s="61" t="e">
        <f>SummaryTable[[#This Row],[OriginalBudget07]]-SummaryTable[[#This Row],[OriginalBudget06]]</f>
        <v>#N/A</v>
      </c>
      <c r="FA105" s="54" t="e">
        <f>SummaryTable[[#This Row],[BudgetIncreaseAmount07]]/SummaryTable[[#This Row],[OriginalBudget06]]</f>
        <v>#N/A</v>
      </c>
      <c r="FB105" s="61" t="e">
        <f>IF(COUNTIFS(allFYsTable[Code], SummaryTable[[#This Row],[Code]], allFYsTable[year2], EY$3)=0, NotFound, SUMIFS(allFYsTable[RevisedBudget], allFYsTable[Code], SummaryTable[[#This Row],[Code]], allFYsTable[year2], EY$3))</f>
        <v>#N/A</v>
      </c>
      <c r="FC105" s="61" t="e">
        <f>IF(COUNTIFS(allFYsTable[Code], SummaryTable[[#This Row],[Code]], allFYsTable[year2], EY$3)=0, NotFound, SUMIFS(allFYsTable[Actual], allFYsTable[Code], SummaryTable[[#This Row],[Code]], allFYsTable[year2], EY$3))</f>
        <v>#N/A</v>
      </c>
      <c r="FD105" s="61" t="e">
        <f>IF(COUNTIFS(allFYsTable[Code], SummaryTable[[#This Row],[Code]], allFYsTable[year2], EY$3)=0, NotFound, SUMIFS(allFYsTable[DiffAmount], allFYsTable[Code], SummaryTable[[#This Row],[Code]], allFYsTable[year2], EY$3))</f>
        <v>#N/A</v>
      </c>
      <c r="FE105" s="63" t="e">
        <f>IF(SummaryTable[[#This Row],[OriginalBudget07]]=0, IF(SummaryTable[[#This Row],[DiffAmount07]]=0, ZeroBudgetNoSpending, ZeroBudgetWithSpending), SummaryTable[[#This Row],[DiffAmount07]]/SummaryTable[[#This Row],[OriginalBudget07]])</f>
        <v>#N/A</v>
      </c>
      <c r="FF105" s="62" t="e">
        <f>IF(COUNTIFS(allFYsTable[Code], SummaryTable[[#This Row],[Code]], allFYsTable[year2], FF$3)=0, NotFound, SUMIFS(allFYsTable[OriginalBudget], allFYsTable[Code], SummaryTable[[#This Row],[Code]], allFYsTable[year2], FF$3))</f>
        <v>#N/A</v>
      </c>
      <c r="FI105" s="61" t="e">
        <f>IF(COUNTIFS(allFYsTable[Code], SummaryTable[[#This Row],[Code]], allFYsTable[year2], FF$3)=0, NotFound, SUMIFS(allFYsTable[RevisedBudget], allFYsTable[Code], SummaryTable[[#This Row],[Code]], allFYsTable[year2], FF$3))</f>
        <v>#N/A</v>
      </c>
      <c r="FJ105" s="61" t="e">
        <f>IF(COUNTIFS(allFYsTable[Code], SummaryTable[[#This Row],[Code]], allFYsTable[year2], FF$3)=0, NotFound, SUMIFS(allFYsTable[Actual], allFYsTable[Code], SummaryTable[[#This Row],[Code]], allFYsTable[year2], FF$3))</f>
        <v>#N/A</v>
      </c>
      <c r="FK105" s="61" t="e">
        <f>IF(COUNTIFS(allFYsTable[Code], SummaryTable[[#This Row],[Code]], allFYsTable[year2], FF$3)=0, NotFound, SUMIFS(allFYsTable[DiffAmount], allFYsTable[Code], SummaryTable[[#This Row],[Code]], allFYsTable[year2], FF$3))</f>
        <v>#N/A</v>
      </c>
      <c r="FL105" s="63" t="e">
        <f>IF(SummaryTable[[#This Row],[OriginalBudget06]]=0, IF(SummaryTable[[#This Row],[DiffAmount06]]=0, ZeroBudgetNoSpending, ZeroBudgetWithSpending), SummaryTable[[#This Row],[DiffAmount06]]/SummaryTable[[#This Row],[OriginalBudget06]])</f>
        <v>#N/A</v>
      </c>
    </row>
    <row r="106" spans="1:168" x14ac:dyDescent="0.45">
      <c r="A106" t="s">
        <v>766</v>
      </c>
      <c r="B106">
        <f>_xlfn.MAXIFS(allFYsTable[year2], allFYsTable[Code], SummaryTable[[#This Row],[Code]])</f>
        <v>2025</v>
      </c>
      <c r="C106" t="str">
        <f>_xlfn.XLOOKUP(SummaryTable[[#This Row],[Code]], NameCodingTable[Code], NameCodingTable[Most Recent Category per allFYs])</f>
        <v>Public safety and justice</v>
      </c>
      <c r="D106" t="str">
        <f>_xlfn.XLOOKUP(SummaryTable[[#This Row],[Code]], NameCodingTable[Code], NameCodingTable[Unit Display Name])</f>
        <v>Office of Unified Communications (OUC)</v>
      </c>
      <c r="E106" t="str">
        <f>_xlfn.XLOOKUP(SummaryTable[[#This Row],[Code]], NameCodingTable[Code], NameCodingTable[Type])</f>
        <v>agency</v>
      </c>
      <c r="F10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0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106" s="54">
        <f>SummaryTable[[#This Row],['# Over]]/SummaryTable[[#This Row],[Count]]</f>
        <v>0.15</v>
      </c>
      <c r="I10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106" s="54">
        <f>SummaryTable[[#This Row],['# Under]]/SummaryTable[[#This Row],[Count]]</f>
        <v>0.85</v>
      </c>
      <c r="K10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06" s="54">
        <f>SummaryTable[[#This Row],['# Equal]]/SummaryTable[[#This Row],[Count]]</f>
        <v>0</v>
      </c>
      <c r="M106" s="61">
        <f>SUMIFS(allFYsTable[OriginalBudget],allFYsTable[Code],SummaryTable[[#This Row],[Code]])/SummaryTable[[#This Row],[Count]]</f>
        <v>31453.55</v>
      </c>
      <c r="N106" s="61">
        <f>SUMIFS(allFYsTable[Actual],allFYsTable[Code],SummaryTable[[#This Row],[Code]])/SummaryTable[[#This Row],[Count]]</f>
        <v>29671.35</v>
      </c>
      <c r="O106" s="61">
        <f>SummaryTable[[#This Row],[AvgActAmt]]-SummaryTable[[#This Row],[AvgBudAmt]]</f>
        <v>-1782.2000000000007</v>
      </c>
      <c r="P106" s="54">
        <f>IF(SummaryTable[[#This Row],[AvgBudAmt]]=0, IF(SummaryTable[[#This Row],[AvgDiff'#]]=0, 0, NamedFields!$C$3), SummaryTable[[#This Row],[AvgDiff'#]]/SummaryTable[[#This Row],[AvgBudAmt]])</f>
        <v>-5.6661330755987824E-2</v>
      </c>
      <c r="Q106" s="61">
        <f>IFERROR(SUMIFS(allFYsTable[OriginalBudget],allFYsTable[Code],SummaryTable[[#This Row],[Code]],allFYsTable[DiffAmount], "&gt;0")/SummaryTable[[#This Row],['# Over]], 0)</f>
        <v>28592.333333333332</v>
      </c>
      <c r="R106" s="61">
        <f>IFERROR(SUMIFS(allFYsTable[Actual],allFYsTable[Code],SummaryTable[[#This Row],[Code]],allFYsTable[DiffAmount], "&gt;0")/SummaryTable[[#This Row],['# Over]], 0)</f>
        <v>29385.333333333332</v>
      </c>
      <c r="S106" s="61">
        <f>SummaryTable[[#This Row],[OverAvgAct]]-SummaryTable[[#This Row],[OverAvgBud]]</f>
        <v>793</v>
      </c>
      <c r="T106" s="54">
        <f>IF(SummaryTable[[#This Row],[OverAvgBud]]=0, IF(SummaryTable[[#This Row],[OverAvgDiff'#]]=0, ZeroBudgetNoSpending, ZeroBudgetWithSpending), SummaryTable[[#This Row],[OverAvgDiff'#]]/SummaryTable[[#This Row],[OverAvgBud]])</f>
        <v>2.773470743905709E-2</v>
      </c>
      <c r="U106" s="61">
        <f>IFERROR(SUMIFS(allFYsTable[OriginalBudget],allFYsTable[Code],SummaryTable[[#This Row],[Code]],allFYsTable[DiffAmount], "&lt;0")/SummaryTable[[#This Row],['# Under]], 0)</f>
        <v>31958.470588235294</v>
      </c>
      <c r="V106" s="61">
        <f>IFERROR( SUMIFS(allFYsTable[Actual],allFYsTable[Code],SummaryTable[[#This Row],[Code]],allFYsTable[DiffAmount], "&lt;0")/SummaryTable[[#This Row],['# Under]], 0)</f>
        <v>29721.823529411766</v>
      </c>
      <c r="W106" s="61">
        <f>SummaryTable[[#This Row],[UnderAvgAct]]-SummaryTable[[#This Row],[UnderAvgBud]]</f>
        <v>-2236.6470588235279</v>
      </c>
      <c r="X106" s="54">
        <f>IF(SummaryTable[[#This Row],[UnderAvgBud]]=0, IF(SummaryTable[[#This Row],[UnderAvgDiff'#]]=0, ZeroBudgetNoSpending, NamedFields!$C$3), SummaryTable[[#This Row],[UnderAvgDiff'#]]/SummaryTable[[#This Row],[UnderAvgBud]])</f>
        <v>-6.9986048069737516E-2</v>
      </c>
      <c r="Y10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10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6" s="54">
        <f>IF(SummaryTable[[#This Row],[IncreaseYears]]=0, ZeroBudgetNoSpending, SummaryTable[[#This Row],[OSinIncreaseYear'#]]/SummaryTable[[#This Row],[IncreaseYears]])</f>
        <v>0</v>
      </c>
      <c r="AB106" s="58" t="str">
        <f>SummaryTable[[#This Row],[Code]]</f>
        <v>UC0</v>
      </c>
      <c r="AC106" s="62">
        <f>IF(COUNTIFS(allFYsTable[Code], SummaryTable[[#This Row],[Code]], allFYsTable[year2], AC$3)=0, NotFound, SUMIFS(allFYsTable[OriginalBudget], allFYsTable[Code], SummaryTable[[#This Row],[Code]], allFYsTable[year2], AC$3))</f>
        <v>46953</v>
      </c>
      <c r="AD106" s="61">
        <f>SummaryTable[[#This Row],[OriginalBudget25]]-SummaryTable[[#This Row],[OriginalBudget24]]</f>
        <v>1844</v>
      </c>
      <c r="AE106" s="54">
        <f>SummaryTable[[#This Row],[BudgetIncreaseAmount25]]/SummaryTable[[#This Row],[OriginalBudget24]]</f>
        <v>4.0878760336074842E-2</v>
      </c>
      <c r="AF106" s="61">
        <f>IF(COUNTIFS(allFYsTable[Code], SummaryTable[[#This Row],[Code]], allFYsTable[year2], AC$3)=0, NotFound, SUMIFS(allFYsTable[RevisedBudget], allFYsTable[Code], SummaryTable[[#This Row],[Code]], allFYsTable[year2], AC$3))</f>
        <v>35604</v>
      </c>
      <c r="AG106" s="61">
        <f>IF(COUNTIFS(allFYsTable[Code], SummaryTable[[#This Row],[Code]], allFYsTable[year2], AC$3)=0, NotFound, SUMIFS(allFYsTable[Actual], allFYsTable[Code], SummaryTable[[#This Row],[Code]], allFYsTable[year2], AC$3))</f>
        <v>34830</v>
      </c>
      <c r="AH106" s="61">
        <f>IF(COUNTIFS(allFYsTable[Code], SummaryTable[[#This Row],[Code]], allFYsTable[year2], AC$3)=0, NotFound, SUMIFS(allFYsTable[DiffAmount], allFYsTable[Code], SummaryTable[[#This Row],[Code]], allFYsTable[year2], AC$3))</f>
        <v>-12123</v>
      </c>
      <c r="AI106" s="63">
        <f>IF(SummaryTable[[#This Row],[OriginalBudget25]]=0, IF(SummaryTable[[#This Row],[DiffAmount25]]=0, ZeroBudgetNoSpending, ZeroBudgetWithSpending), SummaryTable[[#This Row],[DiffAmount25]]/SummaryTable[[#This Row],[OriginalBudget25]])</f>
        <v>-0.25819436457734329</v>
      </c>
      <c r="AJ106" s="62">
        <f>IF(COUNTIFS(allFYsTable[Code], SummaryTable[[#This Row],[Code]], allFYsTable[year2], AJ$3)=0, NotFound, SUMIFS(allFYsTable[OriginalBudget], allFYsTable[Code], SummaryTable[[#This Row],[Code]], allFYsTable[year2], AJ$3))</f>
        <v>45109</v>
      </c>
      <c r="AK106" s="61">
        <f>SummaryTable[[#This Row],[OriginalBudget24]]-SummaryTable[[#This Row],[OriginalBudget23]]</f>
        <v>-1036</v>
      </c>
      <c r="AL106" s="54">
        <f>SummaryTable[[#This Row],[BudgetIncreaseAmount24]]/SummaryTable[[#This Row],[OriginalBudget23]]</f>
        <v>-2.2450969769205763E-2</v>
      </c>
      <c r="AM106" s="61">
        <f>IF(COUNTIFS(allFYsTable[Code], SummaryTable[[#This Row],[Code]], allFYsTable[year2], AK$3)=0, NotFound, SUMIFS(allFYsTable[RevisedBudget], allFYsTable[Code], SummaryTable[[#This Row],[Code]], allFYsTable[year2], AJ$3))</f>
        <v>40663</v>
      </c>
      <c r="AN106" s="61">
        <f>IF(COUNTIFS(allFYsTable[Code], SummaryTable[[#This Row],[Code]], allFYsTable[year2], AJ$3)=0, NotFound, SUMIFS(allFYsTable[Actual], allFYsTable[Code], SummaryTable[[#This Row],[Code]], allFYsTable[year2], AJ$3))</f>
        <v>40643</v>
      </c>
      <c r="AO106" s="61">
        <f>IF(COUNTIFS(allFYsTable[Code], SummaryTable[[#This Row],[Code]], allFYsTable[year2], AJ$3)=0, NotFound, SUMIFS(allFYsTable[DiffAmount], allFYsTable[Code], SummaryTable[[#This Row],[Code]], allFYsTable[year2], AJ$3))</f>
        <v>-4466</v>
      </c>
      <c r="AP106" s="63">
        <f>IF(SummaryTable[[#This Row],[OriginalBudget24]]=0, IF(SummaryTable[[#This Row],[DiffAmount24]]=0, ZeroBudgetNoSpending, ZeroBudgetWithSpending), SummaryTable[[#This Row],[DiffAmount24]]/SummaryTable[[#This Row],[OriginalBudget24]])</f>
        <v>-9.9004633221751751E-2</v>
      </c>
      <c r="AQ106" s="62">
        <f>IF(COUNTIFS(allFYsTable[Code], SummaryTable[[#This Row],[Code]], allFYsTable[year2], AQ$3)=0, NotFound, SUMIFS(allFYsTable[OriginalBudget], allFYsTable[Code], SummaryTable[[#This Row],[Code]], allFYsTable[year2], AQ$3))</f>
        <v>46145</v>
      </c>
      <c r="AR106" s="61">
        <f>SummaryTable[[#This Row],[OriginalBudget23]]-SummaryTable[[#This Row],[OriginalBudget22]]</f>
        <v>16576</v>
      </c>
      <c r="AS106" s="54">
        <f>SummaryTable[[#This Row],[BudgetIncreaseAmount23]]/SummaryTable[[#This Row],[OriginalBudget22]]</f>
        <v>0.56058710135614997</v>
      </c>
      <c r="AT106" s="61">
        <f>IF(COUNTIFS(allFYsTable[Code], SummaryTable[[#This Row],[Code]], allFYsTable[year2], AQ$3)=0, NotFound, SUMIFS(allFYsTable[RevisedBudget], allFYsTable[Code], SummaryTable[[#This Row],[Code]], allFYsTable[year2], AQ$3))</f>
        <v>43230</v>
      </c>
      <c r="AU106" s="61">
        <f>IF(COUNTIFS(allFYsTable[Code], SummaryTable[[#This Row],[Code]], allFYsTable[year2], AQ$3)=0, NotFound, SUMIFS(allFYsTable[Actual], allFYsTable[Code], SummaryTable[[#This Row],[Code]], allFYsTable[year2], AQ$3))</f>
        <v>39917</v>
      </c>
      <c r="AV106" s="61">
        <f>IF(COUNTIFS(allFYsTable[Code], SummaryTable[[#This Row],[Code]], allFYsTable[year2], AQ$3)=0, NotFound, SUMIFS(allFYsTable[DiffAmount], allFYsTable[Code], SummaryTable[[#This Row],[Code]], allFYsTable[year2], AQ$3))</f>
        <v>-6228</v>
      </c>
      <c r="AW106" s="63">
        <f>IF(SummaryTable[[#This Row],[OriginalBudget23]]=0, IF(SummaryTable[[#This Row],[DiffAmount23]]=0, ZeroBudgetNoSpending, ZeroBudgetWithSpending), SummaryTable[[#This Row],[DiffAmount23]]/SummaryTable[[#This Row],[OriginalBudget23]])</f>
        <v>-0.13496586845812114</v>
      </c>
      <c r="AX106" s="62">
        <f>IF(COUNTIFS(allFYsTable[Code], SummaryTable[[#This Row],[Code]], allFYsTable[year2], AX$3)=0, NotFound, SUMIFS(allFYsTable[OriginalBudget], allFYsTable[Code], SummaryTable[[#This Row],[Code]], allFYsTable[year2], AX$3))</f>
        <v>29569</v>
      </c>
      <c r="AY106" s="61">
        <f>SummaryTable[[#This Row],[OriginalBudget22]]-SummaryTable[[#This Row],[OriginalBudget21]]</f>
        <v>-804</v>
      </c>
      <c r="AZ106" s="54">
        <f>SummaryTable[[#This Row],[BudgetIncreaseAmount22]]/SummaryTable[[#This Row],[OriginalBudget21]]</f>
        <v>-2.647087874098706E-2</v>
      </c>
      <c r="BA106" s="61">
        <f>IF(COUNTIFS(allFYsTable[Code], SummaryTable[[#This Row],[Code]], allFYsTable[year2], AX$3)=0, NotFound, SUMIFS(allFYsTable[RevisedBudget], allFYsTable[Code], SummaryTable[[#This Row],[Code]], allFYsTable[year2], AX$3))</f>
        <v>27730</v>
      </c>
      <c r="BB106" s="61">
        <f>IF(COUNTIFS(allFYsTable[Code], SummaryTable[[#This Row],[Code]], allFYsTable[year2], AX$3)=0, NotFound, SUMIFS(allFYsTable[Actual], allFYsTable[Code], SummaryTable[[#This Row],[Code]], allFYsTable[year2], AX$3))</f>
        <v>27704</v>
      </c>
      <c r="BC106" s="61">
        <f>IF(COUNTIFS(allFYsTable[Code], SummaryTable[[#This Row],[Code]], allFYsTable[year2], AX$3)=0, NotFound, SUMIFS(allFYsTable[DiffAmount], allFYsTable[Code], SummaryTable[[#This Row],[Code]], allFYsTable[year2], AX$3))</f>
        <v>-1865</v>
      </c>
      <c r="BD106" s="63">
        <f>IF(SummaryTable[[#This Row],[OriginalBudget22]]=0, IF(SummaryTable[[#This Row],[DiffAmount22]]=0, ZeroBudgetNoSpending, ZeroBudgetWithSpending), SummaryTable[[#This Row],[DiffAmount22]]/SummaryTable[[#This Row],[OriginalBudget22]])</f>
        <v>-6.3072812743075524E-2</v>
      </c>
      <c r="BE106" s="62">
        <f>IF(COUNTIFS(allFYsTable[Code], SummaryTable[[#This Row],[Code]], allFYsTable[year2], BE$3)=0, NotFound, SUMIFS(allFYsTable[OriginalBudget], allFYsTable[Code], SummaryTable[[#This Row],[Code]], allFYsTable[year2], BE$3))</f>
        <v>30373</v>
      </c>
      <c r="BF106" s="61">
        <f>SummaryTable[[#This Row],[OriginalBudget21]]-SummaryTable[[#This Row],[OriginalBudget20]]</f>
        <v>-1887</v>
      </c>
      <c r="BG106" s="54">
        <f>SummaryTable[[#This Row],[BudgetIncreaseAmount21]]/SummaryTable[[#This Row],[OriginalBudget20]]</f>
        <v>-5.8493490390576566E-2</v>
      </c>
      <c r="BH106" s="61">
        <f>IF(COUNTIFS(allFYsTable[Code], SummaryTable[[#This Row],[Code]], allFYsTable[year2], BE$3)=0, NotFound, SUMIFS(allFYsTable[RevisedBudget], allFYsTable[Code], SummaryTable[[#This Row],[Code]], allFYsTable[year2], BE$3))</f>
        <v>29110</v>
      </c>
      <c r="BI106" s="61">
        <f>IF(COUNTIFS(allFYsTable[Code], SummaryTable[[#This Row],[Code]], allFYsTable[year2], BE$3)=0, NotFound, SUMIFS(allFYsTable[Actual], allFYsTable[Code], SummaryTable[[#This Row],[Code]], allFYsTable[year2], BE$3))</f>
        <v>28933</v>
      </c>
      <c r="BJ106" s="61">
        <f>IF(COUNTIFS(allFYsTable[Code], SummaryTable[[#This Row],[Code]], allFYsTable[year2], BE$3)=0, NotFound, SUMIFS(allFYsTable[DiffAmount], allFYsTable[Code], SummaryTable[[#This Row],[Code]], allFYsTable[year2], BE$3))</f>
        <v>-1440</v>
      </c>
      <c r="BK106" s="63">
        <f>IF(SummaryTable[[#This Row],[OriginalBudget21]]=0, IF(SummaryTable[[#This Row],[DiffAmount21]]=0, ZeroBudgetNoSpending, ZeroBudgetWithSpending), SummaryTable[[#This Row],[DiffAmount21]]/SummaryTable[[#This Row],[OriginalBudget21]])</f>
        <v>-4.7410529088335034E-2</v>
      </c>
      <c r="BL106" s="62">
        <f>IF(COUNTIFS(allFYsTable[Code], SummaryTable[[#This Row],[Code]], allFYsTable[year2], BL$3)=0, NotFound, SUMIFS(allFYsTable[OriginalBudget], allFYsTable[Code], SummaryTable[[#This Row],[Code]], allFYsTable[year2], BL$3))</f>
        <v>32260</v>
      </c>
      <c r="BM106" s="61">
        <f>SummaryTable[[#This Row],[OriginalBudget20]]-SummaryTable[[#This Row],[OriginalBudget19]]</f>
        <v>-1853</v>
      </c>
      <c r="BN106" s="54">
        <f>SummaryTable[[#This Row],[BudgetIncreaseAmount20]]/SummaryTable[[#This Row],[OriginalBudget19]]</f>
        <v>-5.4319467651628414E-2</v>
      </c>
      <c r="BO106" s="61">
        <f>IF(COUNTIFS(allFYsTable[Code], SummaryTable[[#This Row],[Code]], allFYsTable[year2], BL$3)=0, NotFound, SUMIFS(allFYsTable[RevisedBudget], allFYsTable[Code], SummaryTable[[#This Row],[Code]], allFYsTable[year2], BL$3))</f>
        <v>30325</v>
      </c>
      <c r="BP106" s="61">
        <f>IF(COUNTIFS(allFYsTable[Code], SummaryTable[[#This Row],[Code]], allFYsTable[year2], BL$3)=0, NotFound, SUMIFS(allFYsTable[Actual], allFYsTable[Code], SummaryTable[[#This Row],[Code]], allFYsTable[year2], BL$3))</f>
        <v>30306</v>
      </c>
      <c r="BQ106" s="61">
        <f>IF(COUNTIFS(allFYsTable[Code], SummaryTable[[#This Row],[Code]], allFYsTable[year2], BL$3)=0, NotFound, SUMIFS(allFYsTable[DiffAmount], allFYsTable[Code], SummaryTable[[#This Row],[Code]], allFYsTable[year2], BL$3))</f>
        <v>-1954</v>
      </c>
      <c r="BR106" s="63">
        <f>IF(SummaryTable[[#This Row],[OriginalBudget20]]=0, IF(SummaryTable[[#This Row],[DiffAmount20]]=0, ZeroBudgetNoSpending, ZeroBudgetWithSpending), SummaryTable[[#This Row],[DiffAmount20]]/SummaryTable[[#This Row],[OriginalBudget20]])</f>
        <v>-6.0570365778053317E-2</v>
      </c>
      <c r="BS106" s="62">
        <f>IF(COUNTIFS(allFYsTable[Code], SummaryTable[[#This Row],[Code]], allFYsTable[year2], BS$3)=0, NotFound, SUMIFS(allFYsTable[OriginalBudget], allFYsTable[Code], SummaryTable[[#This Row],[Code]], allFYsTable[year2], BS$3))</f>
        <v>34113</v>
      </c>
      <c r="BT106" s="61">
        <f>SummaryTable[[#This Row],[OriginalBudget19]]-SummaryTable[[#This Row],[OriginalBudget18]]</f>
        <v>1377</v>
      </c>
      <c r="BU106" s="54">
        <f>SummaryTable[[#This Row],[BudgetIncreaseAmount19]]/SummaryTable[[#This Row],[OriginalBudget18]]</f>
        <v>4.2063782991202343E-2</v>
      </c>
      <c r="BV106" s="61">
        <f>IF(COUNTIFS(allFYsTable[Code], SummaryTable[[#This Row],[Code]], allFYsTable[year2], BS$3)=0, NotFound, SUMIFS(allFYsTable[RevisedBudget], allFYsTable[Code], SummaryTable[[#This Row],[Code]], allFYsTable[year2], BS$3))</f>
        <v>33281</v>
      </c>
      <c r="BW106" s="61">
        <f>IF(COUNTIFS(allFYsTable[Code], SummaryTable[[#This Row],[Code]], allFYsTable[year2], BS$3)=0, NotFound, SUMIFS(allFYsTable[Actual], allFYsTable[Code], SummaryTable[[#This Row],[Code]], allFYsTable[year2], BS$3))</f>
        <v>33281</v>
      </c>
      <c r="BX106" s="61">
        <f>IF(COUNTIFS(allFYsTable[Code], SummaryTable[[#This Row],[Code]], allFYsTable[year2], BS$3)=0, NotFound, SUMIFS(allFYsTable[DiffAmount], allFYsTable[Code], SummaryTable[[#This Row],[Code]], allFYsTable[year2], BS$3))</f>
        <v>-832</v>
      </c>
      <c r="BY106" s="63">
        <f>IF(SummaryTable[[#This Row],[OriginalBudget19]]=0, IF(SummaryTable[[#This Row],[DiffAmount19]]=0, ZeroBudgetNoSpending, ZeroBudgetWithSpending), SummaryTable[[#This Row],[DiffAmount19]]/SummaryTable[[#This Row],[OriginalBudget19]])</f>
        <v>-2.4389528918594083E-2</v>
      </c>
      <c r="BZ106" s="62">
        <f>IF(COUNTIFS(allFYsTable[Code], SummaryTable[[#This Row],[Code]], allFYsTable[year2], BZ$3)=0, NotFound, SUMIFS(allFYsTable[OriginalBudget], allFYsTable[Code], SummaryTable[[#This Row],[Code]], allFYsTable[year2], BZ$3))</f>
        <v>32736</v>
      </c>
      <c r="CA106" s="61">
        <f>SummaryTable[[#This Row],[OriginalBudget18]]-SummaryTable[[#This Row],[OriginalBudget17]]</f>
        <v>811</v>
      </c>
      <c r="CB106" s="54">
        <f>SummaryTable[[#This Row],[BudgetIncreaseAmount18]]/SummaryTable[[#This Row],[OriginalBudget17]]</f>
        <v>2.5403288958496476E-2</v>
      </c>
      <c r="CC106" s="61">
        <f>IF(COUNTIFS(allFYsTable[Code], SummaryTable[[#This Row],[Code]], allFYsTable[year2], BZ$3)=0, NotFound, SUMIFS(allFYsTable[RevisedBudget], allFYsTable[Code], SummaryTable[[#This Row],[Code]], allFYsTable[year2], BZ$3))</f>
        <v>32387</v>
      </c>
      <c r="CD106" s="61">
        <f>IF(COUNTIFS(allFYsTable[Code], SummaryTable[[#This Row],[Code]], allFYsTable[year2], BZ$3)=0, NotFound, SUMIFS(allFYsTable[Actual], allFYsTable[Code], SummaryTable[[#This Row],[Code]], allFYsTable[year2], BZ$3))</f>
        <v>32352</v>
      </c>
      <c r="CE106" s="61">
        <f>IF(COUNTIFS(allFYsTable[Code], SummaryTable[[#This Row],[Code]], allFYsTable[year2], BZ$3)=0, NotFound, SUMIFS(allFYsTable[DiffAmount], allFYsTable[Code], SummaryTable[[#This Row],[Code]], allFYsTable[year2], BZ$3))</f>
        <v>-384</v>
      </c>
      <c r="CF106" s="63">
        <f>IF(SummaryTable[[#This Row],[OriginalBudget18]]=0, IF(SummaryTable[[#This Row],[DiffAmount18]]=0, ZeroBudgetNoSpending, ZeroBudgetWithSpending), SummaryTable[[#This Row],[DiffAmount18]]/SummaryTable[[#This Row],[OriginalBudget18]])</f>
        <v>-1.1730205278592375E-2</v>
      </c>
      <c r="CG106" s="62">
        <f>IF(COUNTIFS(allFYsTable[Code], SummaryTable[[#This Row],[Code]], allFYsTable[year2], CG$3)=0, NotFound, SUMIFS(allFYsTable[OriginalBudget], allFYsTable[Code], SummaryTable[[#This Row],[Code]], allFYsTable[year2], CG$3))</f>
        <v>31925</v>
      </c>
      <c r="CH106" s="61">
        <f>SummaryTable[[#This Row],[OriginalBudget17]]-SummaryTable[[#This Row],[OriginalBudget16]]</f>
        <v>3728</v>
      </c>
      <c r="CI106" s="54">
        <f>SummaryTable[[#This Row],[BudgetIncreaseAmount17]]/SummaryTable[[#This Row],[OriginalBudget16]]</f>
        <v>0.13221264673546831</v>
      </c>
      <c r="CJ106" s="61">
        <f>IF(COUNTIFS(allFYsTable[Code], SummaryTable[[#This Row],[Code]], allFYsTable[year2], CG$3)=0, NotFound, SUMIFS(allFYsTable[RevisedBudget], allFYsTable[Code], SummaryTable[[#This Row],[Code]], allFYsTable[year2], CG$3))</f>
        <v>31420</v>
      </c>
      <c r="CK106" s="61">
        <f>IF(COUNTIFS(allFYsTable[Code], SummaryTable[[#This Row],[Code]], allFYsTable[year2], CG$3)=0, NotFound, SUMIFS(allFYsTable[Actual], allFYsTable[Code], SummaryTable[[#This Row],[Code]], allFYsTable[year2], CG$3))</f>
        <v>31399</v>
      </c>
      <c r="CL106" s="61">
        <f>IF(COUNTIFS(allFYsTable[Code], SummaryTable[[#This Row],[Code]], allFYsTable[year2], CG$3)=0, NotFound, SUMIFS(allFYsTable[DiffAmount], allFYsTable[Code], SummaryTable[[#This Row],[Code]], allFYsTable[year2], CG$3))</f>
        <v>-526</v>
      </c>
      <c r="CM106" s="63">
        <f>IF(SummaryTable[[#This Row],[OriginalBudget17]]=0, IF(SummaryTable[[#This Row],[DiffAmount17]]=0, ZeroBudgetNoSpending, ZeroBudgetWithSpending), SummaryTable[[#This Row],[DiffAmount17]]/SummaryTable[[#This Row],[OriginalBudget17]])</f>
        <v>-1.6476115896632733E-2</v>
      </c>
      <c r="CN106" s="62">
        <f>IF(COUNTIFS(allFYsTable[Code], SummaryTable[[#This Row],[Code]], allFYsTable[year2], CN$3)=0, NotFound, SUMIFS(allFYsTable[OriginalBudget], allFYsTable[Code], SummaryTable[[#This Row],[Code]], allFYsTable[year2], CN$3))</f>
        <v>28197</v>
      </c>
      <c r="CO106" s="61">
        <f>SummaryTable[[#This Row],[OriginalBudget16]]-SummaryTable[[#This Row],[OriginalBudget15]]</f>
        <v>-53</v>
      </c>
      <c r="CP106" s="54">
        <f>SummaryTable[[#This Row],[BudgetIncreaseAmount16]]/SummaryTable[[#This Row],[OriginalBudget15]]</f>
        <v>-1.8761061946902654E-3</v>
      </c>
      <c r="CQ106" s="61">
        <f>IF(COUNTIFS(allFYsTable[Code], SummaryTable[[#This Row],[Code]], allFYsTable[year2], CN$3)=0, NotFound, SUMIFS(allFYsTable[RevisedBudget], allFYsTable[Code], SummaryTable[[#This Row],[Code]], allFYsTable[year2], CN$3))</f>
        <v>29097</v>
      </c>
      <c r="CR106" s="61">
        <f>IF(COUNTIFS(allFYsTable[Code], SummaryTable[[#This Row],[Code]], allFYsTable[year2], CN$3)=0, NotFound, SUMIFS(allFYsTable[Actual], allFYsTable[Code], SummaryTable[[#This Row],[Code]], allFYsTable[year2], CN$3))</f>
        <v>28750</v>
      </c>
      <c r="CS106" s="61">
        <f>IF(COUNTIFS(allFYsTable[Code], SummaryTable[[#This Row],[Code]], allFYsTable[year2], CN$3)=0, NotFound, SUMIFS(allFYsTable[DiffAmount], allFYsTable[Code], SummaryTable[[#This Row],[Code]], allFYsTable[year2], CN$3))</f>
        <v>553</v>
      </c>
      <c r="CT106" s="63">
        <f>IF(SummaryTable[[#This Row],[OriginalBudget16]]=0, IF(SummaryTable[[#This Row],[DiffAmount16]]=0, ZeroBudgetNoSpending, ZeroBudgetWithSpending), SummaryTable[[#This Row],[DiffAmount16]]/SummaryTable[[#This Row],[OriginalBudget16]])</f>
        <v>1.9612015462637869E-2</v>
      </c>
      <c r="CU106" s="62">
        <f>IF(COUNTIFS(allFYsTable[Code], SummaryTable[[#This Row],[Code]], allFYsTable[year2], CU$3)=0, NotFound, SUMIFS(allFYsTable[OriginalBudget], allFYsTable[Code], SummaryTable[[#This Row],[Code]], allFYsTable[year2], CU$3))</f>
        <v>28250</v>
      </c>
      <c r="CV106" s="61">
        <f>SummaryTable[[#This Row],[OriginalBudget15]]-SummaryTable[[#This Row],[OriginalBudget14]]</f>
        <v>900</v>
      </c>
      <c r="CW106" s="54">
        <f>SummaryTable[[#This Row],[BudgetIncreaseAmount15]]/SummaryTable[[#This Row],[OriginalBudget14]]</f>
        <v>3.2906764168190127E-2</v>
      </c>
      <c r="CX106" s="61">
        <f>IF(COUNTIFS(allFYsTable[Code], SummaryTable[[#This Row],[Code]], allFYsTable[year2], CU$3)=0, NotFound, SUMIFS(allFYsTable[RevisedBudget], allFYsTable[Code], SummaryTable[[#This Row],[Code]], allFYsTable[year2], CU$3))</f>
        <v>27353</v>
      </c>
      <c r="CY106" s="61">
        <f>IF(COUNTIFS(allFYsTable[Code], SummaryTable[[#This Row],[Code]], allFYsTable[year2], CU$3)=0, NotFound, SUMIFS(allFYsTable[Actual], allFYsTable[Code], SummaryTable[[#This Row],[Code]], allFYsTable[year2], CU$3))</f>
        <v>27090</v>
      </c>
      <c r="CZ106" s="61">
        <f>IF(COUNTIFS(allFYsTable[Code], SummaryTable[[#This Row],[Code]], allFYsTable[year2], CU$3)=0, NotFound, SUMIFS(allFYsTable[DiffAmount], allFYsTable[Code], SummaryTable[[#This Row],[Code]], allFYsTable[year2], CU$3))</f>
        <v>-1160</v>
      </c>
      <c r="DA106" s="63">
        <f>IF(SummaryTable[[#This Row],[OriginalBudget15]]=0, IF(SummaryTable[[#This Row],[DiffAmount15]]=0, ZeroBudgetNoSpending, ZeroBudgetWithSpending), SummaryTable[[#This Row],[DiffAmount15]]/SummaryTable[[#This Row],[OriginalBudget15]])</f>
        <v>-4.1061946902654869E-2</v>
      </c>
      <c r="DB106" s="62">
        <f>IF(COUNTIFS(allFYsTable[Code], SummaryTable[[#This Row],[Code]], allFYsTable[year2], DB$3)=0, NotFound, SUMIFS(allFYsTable[OriginalBudget], allFYsTable[Code], SummaryTable[[#This Row],[Code]], allFYsTable[year2], DB$3))</f>
        <v>27350</v>
      </c>
      <c r="DC106" s="61">
        <f>SummaryTable[[#This Row],[OriginalBudget14]]-SummaryTable[[#This Row],[OriginalBudget13]]</f>
        <v>635</v>
      </c>
      <c r="DD106" s="54">
        <f>SummaryTable[[#This Row],[BudgetIncreaseAmount14]]/SummaryTable[[#This Row],[OriginalBudget13]]</f>
        <v>2.3769417930001872E-2</v>
      </c>
      <c r="DE106" s="61">
        <f>IF(COUNTIFS(allFYsTable[Code], SummaryTable[[#This Row],[Code]], allFYsTable[year2], DB$3)=0, NotFound, SUMIFS(allFYsTable[RevisedBudget], allFYsTable[Code], SummaryTable[[#This Row],[Code]], allFYsTable[year2], DB$3))</f>
        <v>28097</v>
      </c>
      <c r="DF106" s="61">
        <f>IF(COUNTIFS(allFYsTable[Code], SummaryTable[[#This Row],[Code]], allFYsTable[year2], DB$3)=0, NotFound, SUMIFS(allFYsTable[Actual], allFYsTable[Code], SummaryTable[[#This Row],[Code]], allFYsTable[year2], DB$3))</f>
        <v>28042</v>
      </c>
      <c r="DG106" s="61">
        <f>IF(COUNTIFS(allFYsTable[Code], SummaryTable[[#This Row],[Code]], allFYsTable[year2], DB$3)=0, NotFound, SUMIFS(allFYsTable[DiffAmount], allFYsTable[Code], SummaryTable[[#This Row],[Code]], allFYsTable[year2], DB$3))</f>
        <v>692</v>
      </c>
      <c r="DH106" s="63">
        <f>IF(SummaryTable[[#This Row],[OriginalBudget14]]=0, IF(SummaryTable[[#This Row],[DiffAmount14]]=0, ZeroBudgetNoSpending, ZeroBudgetWithSpending), SummaryTable[[#This Row],[DiffAmount14]]/SummaryTable[[#This Row],[OriginalBudget14]])</f>
        <v>2.530164533820841E-2</v>
      </c>
      <c r="DI106" s="62">
        <f>IF(COUNTIFS(allFYsTable[Code], SummaryTable[[#This Row],[Code]], allFYsTable[year2], DI$3)=0, NotFound, SUMIFS(allFYsTable[OriginalBudget], allFYsTable[Code], SummaryTable[[#This Row],[Code]], allFYsTable[year2], DI$3))</f>
        <v>26715</v>
      </c>
      <c r="DJ106" s="61">
        <f>SummaryTable[[#This Row],[OriginalBudget13]]-SummaryTable[[#This Row],[OriginalBudget12]]</f>
        <v>179</v>
      </c>
      <c r="DK106" s="54">
        <f>SummaryTable[[#This Row],[BudgetIncreaseAmount13]]/SummaryTable[[#This Row],[OriginalBudget12]]</f>
        <v>6.7455532107325899E-3</v>
      </c>
      <c r="DL106" s="61">
        <f>IF(COUNTIFS(allFYsTable[Code], SummaryTable[[#This Row],[Code]], allFYsTable[year2], DI$3)=0, NotFound, SUMIFS(allFYsTable[RevisedBudget], allFYsTable[Code], SummaryTable[[#This Row],[Code]], allFYsTable[year2], DI$3))</f>
        <v>26715</v>
      </c>
      <c r="DM106" s="61">
        <f>IF(COUNTIFS(allFYsTable[Code], SummaryTable[[#This Row],[Code]], allFYsTable[year2], DI$3)=0, NotFound, SUMIFS(allFYsTable[Actual], allFYsTable[Code], SummaryTable[[#This Row],[Code]], allFYsTable[year2], DI$3))</f>
        <v>26465</v>
      </c>
      <c r="DN106" s="61">
        <f>IF(COUNTIFS(allFYsTable[Code], SummaryTable[[#This Row],[Code]], allFYsTable[year2], DI$3)=0, NotFound, SUMIFS(allFYsTable[DiffAmount], allFYsTable[Code], SummaryTable[[#This Row],[Code]], allFYsTable[year2], DI$3))</f>
        <v>-250</v>
      </c>
      <c r="DO106" s="63">
        <f>IF(SummaryTable[[#This Row],[OriginalBudget13]]=0, IF(SummaryTable[[#This Row],[DiffAmount13]]=0, ZeroBudgetNoSpending, ZeroBudgetWithSpending), SummaryTable[[#This Row],[DiffAmount13]]/SummaryTable[[#This Row],[OriginalBudget13]])</f>
        <v>-9.3580385551188475E-3</v>
      </c>
      <c r="DP106" s="62">
        <f>IF(COUNTIFS(allFYsTable[Code], SummaryTable[[#This Row],[Code]], allFYsTable[year2], DP$3)=0, NotFound, SUMIFS(allFYsTable[OriginalBudget], allFYsTable[Code], SummaryTable[[#This Row],[Code]], allFYsTable[year2], DP$3))</f>
        <v>26536</v>
      </c>
      <c r="DQ106" s="61">
        <f>SummaryTable[[#This Row],[OriginalBudget12]]-SummaryTable[[#This Row],[OriginalBudget11]]</f>
        <v>-150</v>
      </c>
      <c r="DR106" s="54">
        <f>SummaryTable[[#This Row],[BudgetIncreaseAmount12]]/SummaryTable[[#This Row],[OriginalBudget11]]</f>
        <v>-5.6209248294986133E-3</v>
      </c>
      <c r="DS106" s="61">
        <f>IF(COUNTIFS(allFYsTable[Code], SummaryTable[[#This Row],[Code]], allFYsTable[year2], DP$3)=0, NotFound, SUMIFS(allFYsTable[RevisedBudget], allFYsTable[Code], SummaryTable[[#This Row],[Code]], allFYsTable[year2], DP$3))</f>
        <v>26586</v>
      </c>
      <c r="DT106" s="61">
        <f>IF(COUNTIFS(allFYsTable[Code], SummaryTable[[#This Row],[Code]], allFYsTable[year2], DP$3)=0, NotFound, SUMIFS(allFYsTable[Actual], allFYsTable[Code], SummaryTable[[#This Row],[Code]], allFYsTable[year2], DP$3))</f>
        <v>26195</v>
      </c>
      <c r="DU106" s="61">
        <f>IF(COUNTIFS(allFYsTable[Code], SummaryTable[[#This Row],[Code]], allFYsTable[year2], DP$3)=0, NotFound, SUMIFS(allFYsTable[DiffAmount], allFYsTable[Code], SummaryTable[[#This Row],[Code]], allFYsTable[year2], DP$3))</f>
        <v>-341</v>
      </c>
      <c r="DV106" s="63">
        <f>IF(SummaryTable[[#This Row],[OriginalBudget12]]=0, IF(SummaryTable[[#This Row],[DiffAmount12]]=0, ZeroBudgetNoSpending, ZeroBudgetWithSpending), SummaryTable[[#This Row],[DiffAmount12]]/SummaryTable[[#This Row],[OriginalBudget12]])</f>
        <v>-1.2850467289719626E-2</v>
      </c>
      <c r="DW106" s="62">
        <f>IF(COUNTIFS(allFYsTable[Code], SummaryTable[[#This Row],[Code]], allFYsTable[year2], DW$3)=0, NotFound, SUMIFS(allFYsTable[OriginalBudget], allFYsTable[Code], SummaryTable[[#This Row],[Code]], allFYsTable[year2], DW$3))</f>
        <v>26686</v>
      </c>
      <c r="DX106" s="61">
        <f>SummaryTable[[#This Row],[OriginalBudget11]]-SummaryTable[[#This Row],[OriginalBudget10]]</f>
        <v>-3187</v>
      </c>
      <c r="DY106" s="54">
        <f>SummaryTable[[#This Row],[BudgetIncreaseAmount11]]/SummaryTable[[#This Row],[OriginalBudget10]]</f>
        <v>-0.10668496635758043</v>
      </c>
      <c r="DZ106" s="61">
        <f>IF(COUNTIFS(allFYsTable[Code], SummaryTable[[#This Row],[Code]], allFYsTable[year2], DW$3)=0, NotFound, SUMIFS(allFYsTable[RevisedBudget], allFYsTable[Code], SummaryTable[[#This Row],[Code]], allFYsTable[year2], DW$3))</f>
        <v>26686</v>
      </c>
      <c r="EA106" s="61">
        <f>IF(COUNTIFS(allFYsTable[Code], SummaryTable[[#This Row],[Code]], allFYsTable[year2], DW$3)=0, NotFound, SUMIFS(allFYsTable[Actual], allFYsTable[Code], SummaryTable[[#This Row],[Code]], allFYsTable[year2], DW$3))</f>
        <v>26685</v>
      </c>
      <c r="EB106" s="61">
        <f>IF(COUNTIFS(allFYsTable[Code], SummaryTable[[#This Row],[Code]], allFYsTable[year2], DW$3)=0, NotFound, SUMIFS(allFYsTable[DiffAmount], allFYsTable[Code], SummaryTable[[#This Row],[Code]], allFYsTable[year2], DW$3))</f>
        <v>-1</v>
      </c>
      <c r="EC106" s="63">
        <f>IF(SummaryTable[[#This Row],[OriginalBudget11]]=0, IF(SummaryTable[[#This Row],[DiffAmount11]]=0, ZeroBudgetNoSpending, ZeroBudgetWithSpending), SummaryTable[[#This Row],[DiffAmount11]]/SummaryTable[[#This Row],[OriginalBudget11]])</f>
        <v>-3.747283219665742E-5</v>
      </c>
      <c r="ED106" s="62">
        <f>IF(COUNTIFS(allFYsTable[Code], SummaryTable[[#This Row],[Code]], allFYsTable[year2], ED$3)=0, NotFound, SUMIFS(allFYsTable[OriginalBudget], allFYsTable[Code], SummaryTable[[#This Row],[Code]], allFYsTable[year2], ED$3))</f>
        <v>29873</v>
      </c>
      <c r="EE106" s="61">
        <f>SummaryTable[[#This Row],[OriginalBudget10]]-SummaryTable[[#This Row],[OriginalBudget09]]</f>
        <v>-4062</v>
      </c>
      <c r="EF106" s="54">
        <f>SummaryTable[[#This Row],[BudgetIncreaseAmount10]]/SummaryTable[[#This Row],[OriginalBudget09]]</f>
        <v>-0.11969942537203478</v>
      </c>
      <c r="EG106" s="61">
        <f>IF(COUNTIFS(allFYsTable[Code], SummaryTable[[#This Row],[Code]], allFYsTable[year2], ED$3)=0, NotFound, SUMIFS(allFYsTable[RevisedBudget], allFYsTable[Code], SummaryTable[[#This Row],[Code]], allFYsTable[year2], ED$3))</f>
        <v>31161</v>
      </c>
      <c r="EH106" s="61">
        <f>IF(COUNTIFS(allFYsTable[Code], SummaryTable[[#This Row],[Code]], allFYsTable[year2], ED$3)=0, NotFound, SUMIFS(allFYsTable[Actual], allFYsTable[Code], SummaryTable[[#This Row],[Code]], allFYsTable[year2], ED$3))</f>
        <v>31003</v>
      </c>
      <c r="EI106" s="61">
        <f>IF(COUNTIFS(allFYsTable[Code], SummaryTable[[#This Row],[Code]], allFYsTable[year2], ED$3)=0, NotFound, SUMIFS(allFYsTable[DiffAmount], allFYsTable[Code], SummaryTable[[#This Row],[Code]], allFYsTable[year2], ED$3))</f>
        <v>1130</v>
      </c>
      <c r="EJ106" s="63">
        <f>IF(SummaryTable[[#This Row],[OriginalBudget10]]=0, IF(SummaryTable[[#This Row],[DiffAmount10]]=0, ZeroBudgetNoSpending, ZeroBudgetWithSpending), SummaryTable[[#This Row],[DiffAmount10]]/SummaryTable[[#This Row],[OriginalBudget10]])</f>
        <v>3.7826800120510158E-2</v>
      </c>
      <c r="EK106" s="62">
        <f>IF(COUNTIFS(allFYsTable[Code], SummaryTable[[#This Row],[Code]], allFYsTable[year2], EK$3)=0, NotFound, SUMIFS(allFYsTable[OriginalBudget], allFYsTable[Code], SummaryTable[[#This Row],[Code]], allFYsTable[year2], EK$3))</f>
        <v>33935</v>
      </c>
      <c r="EL106" s="61">
        <f>SummaryTable[[#This Row],[OriginalBudget09]]-SummaryTable[[#This Row],[OriginalBudget08]]</f>
        <v>5303</v>
      </c>
      <c r="EM106" s="54">
        <f>SummaryTable[[#This Row],[BudgetIncreaseAmount09]]/SummaryTable[[#This Row],[OriginalBudget08]]</f>
        <v>0.18521234981838502</v>
      </c>
      <c r="EN106" s="61">
        <f>IF(COUNTIFS(allFYsTable[Code], SummaryTable[[#This Row],[Code]], allFYsTable[year2], EK$3)=0, NotFound, SUMIFS(allFYsTable[RevisedBudget], allFYsTable[Code], SummaryTable[[#This Row],[Code]], allFYsTable[year2], EK$3))</f>
        <v>32720</v>
      </c>
      <c r="EO106" s="61">
        <f>IF(COUNTIFS(allFYsTable[Code], SummaryTable[[#This Row],[Code]], allFYsTable[year2], EK$3)=0, NotFound, SUMIFS(allFYsTable[Actual], allFYsTable[Code], SummaryTable[[#This Row],[Code]], allFYsTable[year2], EK$3))</f>
        <v>31656</v>
      </c>
      <c r="EP106" s="61">
        <f>IF(COUNTIFS(allFYsTable[Code], SummaryTable[[#This Row],[Code]], allFYsTable[year2], EK$3)=0, NotFound, SUMIFS(allFYsTable[DiffAmount], allFYsTable[Code], SummaryTable[[#This Row],[Code]], allFYsTable[year2], EK$3))</f>
        <v>-2279</v>
      </c>
      <c r="EQ106" s="63">
        <f>IF(SummaryTable[[#This Row],[OriginalBudget09]]=0, IF(SummaryTable[[#This Row],[DiffAmount09]]=0, ZeroBudgetNoSpending, ZeroBudgetWithSpending), SummaryTable[[#This Row],[DiffAmount09]]/SummaryTable[[#This Row],[OriginalBudget09]])</f>
        <v>-6.7157801679681745E-2</v>
      </c>
      <c r="ER106" s="62">
        <f>IF(COUNTIFS(allFYsTable[Code], SummaryTable[[#This Row],[Code]], allFYsTable[year2], ER$3)=0, NotFound, SUMIFS(allFYsTable[OriginalBudget], allFYsTable[Code], SummaryTable[[#This Row],[Code]], allFYsTable[year2], ER$3))</f>
        <v>28632</v>
      </c>
      <c r="ES106" s="61">
        <f>SummaryTable[[#This Row],[OriginalBudget08]]-SummaryTable[[#This Row],[OriginalBudget07]]</f>
        <v>8311</v>
      </c>
      <c r="ET106" s="54">
        <f>SummaryTable[[#This Row],[BudgetIncreaseAmount08]]/SummaryTable[[#This Row],[OriginalBudget07]]</f>
        <v>0.40898577825894394</v>
      </c>
      <c r="EU106" s="61">
        <f>IF(COUNTIFS(allFYsTable[Code], SummaryTable[[#This Row],[Code]], allFYsTable[year2], ER$3)=0, NotFound, SUMIFS(allFYsTable[RevisedBudget], allFYsTable[Code], SummaryTable[[#This Row],[Code]], allFYsTable[year2], ER$3))</f>
        <v>28236</v>
      </c>
      <c r="EV106" s="61">
        <f>IF(COUNTIFS(allFYsTable[Code], SummaryTable[[#This Row],[Code]], allFYsTable[year2], ER$3)=0, NotFound, SUMIFS(allFYsTable[Actual], allFYsTable[Code], SummaryTable[[#This Row],[Code]], allFYsTable[year2], ER$3))</f>
        <v>28224</v>
      </c>
      <c r="EW106" s="61">
        <f>IF(COUNTIFS(allFYsTable[Code], SummaryTable[[#This Row],[Code]], allFYsTable[year2], ER$3)=0, NotFound, SUMIFS(allFYsTable[DiffAmount], allFYsTable[Code], SummaryTable[[#This Row],[Code]], allFYsTable[year2], ER$3))</f>
        <v>-408</v>
      </c>
      <c r="EX106" s="63">
        <f>IF(SummaryTable[[#This Row],[OriginalBudget08]]=0, IF(SummaryTable[[#This Row],[DiffAmount08]]=0, ZeroBudgetNoSpending, ZeroBudgetWithSpending), SummaryTable[[#This Row],[DiffAmount08]]/SummaryTable[[#This Row],[OriginalBudget08]])</f>
        <v>-1.4249790444258172E-2</v>
      </c>
      <c r="EY106" s="62">
        <f>IF(COUNTIFS(allFYsTable[Code], SummaryTable[[#This Row],[Code]], allFYsTable[year2], EY$3)=0, NotFound, SUMIFS(allFYsTable[OriginalBudget], allFYsTable[Code], SummaryTable[[#This Row],[Code]], allFYsTable[year2], EY$3))</f>
        <v>20321</v>
      </c>
      <c r="EZ106" s="61">
        <f>SummaryTable[[#This Row],[OriginalBudget07]]-SummaryTable[[#This Row],[OriginalBudget06]]</f>
        <v>7321</v>
      </c>
      <c r="FA106" s="54">
        <f>SummaryTable[[#This Row],[BudgetIncreaseAmount07]]/SummaryTable[[#This Row],[OriginalBudget06]]</f>
        <v>0.56315384615384612</v>
      </c>
      <c r="FB106" s="61">
        <f>IF(COUNTIFS(allFYsTable[Code], SummaryTable[[#This Row],[Code]], allFYsTable[year2], EY$3)=0, NotFound, SUMIFS(allFYsTable[RevisedBudget], allFYsTable[Code], SummaryTable[[#This Row],[Code]], allFYsTable[year2], EY$3))</f>
        <v>21115</v>
      </c>
      <c r="FC106" s="61">
        <f>IF(COUNTIFS(allFYsTable[Code], SummaryTable[[#This Row],[Code]], allFYsTable[year2], EY$3)=0, NotFound, SUMIFS(allFYsTable[Actual], allFYsTable[Code], SummaryTable[[#This Row],[Code]], allFYsTable[year2], EY$3))</f>
        <v>18710</v>
      </c>
      <c r="FD106" s="61">
        <f>IF(COUNTIFS(allFYsTable[Code], SummaryTable[[#This Row],[Code]], allFYsTable[year2], EY$3)=0, NotFound, SUMIFS(allFYsTable[DiffAmount], allFYsTable[Code], SummaryTable[[#This Row],[Code]], allFYsTable[year2], EY$3))</f>
        <v>-1611</v>
      </c>
      <c r="FE106" s="63">
        <f>IF(SummaryTable[[#This Row],[OriginalBudget07]]=0, IF(SummaryTable[[#This Row],[DiffAmount07]]=0, ZeroBudgetNoSpending, ZeroBudgetWithSpending), SummaryTable[[#This Row],[DiffAmount07]]/SummaryTable[[#This Row],[OriginalBudget07]])</f>
        <v>-7.9277594606564639E-2</v>
      </c>
      <c r="FF106" s="62">
        <f>IF(COUNTIFS(allFYsTable[Code], SummaryTable[[#This Row],[Code]], allFYsTable[year2], FF$3)=0, NotFound, SUMIFS(allFYsTable[OriginalBudget], allFYsTable[Code], SummaryTable[[#This Row],[Code]], allFYsTable[year2], FF$3))</f>
        <v>13000</v>
      </c>
      <c r="FI106" s="61">
        <f>IF(COUNTIFS(allFYsTable[Code], SummaryTable[[#This Row],[Code]], allFYsTable[year2], FF$3)=0, NotFound, SUMIFS(allFYsTable[RevisedBudget], allFYsTable[Code], SummaryTable[[#This Row],[Code]], allFYsTable[year2], FF$3))</f>
        <v>13623</v>
      </c>
      <c r="FJ106" s="61">
        <f>IF(COUNTIFS(allFYsTable[Code], SummaryTable[[#This Row],[Code]], allFYsTable[year2], FF$3)=0, NotFound, SUMIFS(allFYsTable[Actual], allFYsTable[Code], SummaryTable[[#This Row],[Code]], allFYsTable[year2], FF$3))</f>
        <v>12556</v>
      </c>
      <c r="FK106" s="61">
        <f>IF(COUNTIFS(allFYsTable[Code], SummaryTable[[#This Row],[Code]], allFYsTable[year2], FF$3)=0, NotFound, SUMIFS(allFYsTable[DiffAmount], allFYsTable[Code], SummaryTable[[#This Row],[Code]], allFYsTable[year2], FF$3))</f>
        <v>-444</v>
      </c>
      <c r="FL106" s="63">
        <f>IF(SummaryTable[[#This Row],[OriginalBudget06]]=0, IF(SummaryTable[[#This Row],[DiffAmount06]]=0, ZeroBudgetNoSpending, ZeroBudgetWithSpending), SummaryTable[[#This Row],[DiffAmount06]]/SummaryTable[[#This Row],[OriginalBudget06]])</f>
        <v>-3.4153846153846153E-2</v>
      </c>
    </row>
    <row r="107" spans="1:168" x14ac:dyDescent="0.45">
      <c r="A107" t="s">
        <v>727</v>
      </c>
      <c r="B107">
        <f>_xlfn.MAXIFS(allFYsTable[year2], allFYsTable[Code], SummaryTable[[#This Row],[Code]])</f>
        <v>2025</v>
      </c>
      <c r="C107" t="str">
        <f>_xlfn.XLOOKUP(SummaryTable[[#This Row],[Code]], NameCodingTable[Code], NameCodingTable[Most Recent Category per allFYs])</f>
        <v>Governmental direction and support</v>
      </c>
      <c r="D107" t="str">
        <f>_xlfn.XLOOKUP(SummaryTable[[#This Row],[Code]], NameCodingTable[Code], NameCodingTable[Unit Display Name])</f>
        <v>Office of Veterans' Affairs</v>
      </c>
      <c r="E107" t="str">
        <f>_xlfn.XLOOKUP(SummaryTable[[#This Row],[Code]], NameCodingTable[Code], NameCodingTable[Type])</f>
        <v>agency</v>
      </c>
      <c r="F10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0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107" s="54">
        <f>SummaryTable[[#This Row],['# Over]]/SummaryTable[[#This Row],[Count]]</f>
        <v>0.15</v>
      </c>
      <c r="I10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107" s="54">
        <f>SummaryTable[[#This Row],['# Under]]/SummaryTable[[#This Row],[Count]]</f>
        <v>0.85</v>
      </c>
      <c r="K10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07" s="54">
        <f>SummaryTable[[#This Row],['# Equal]]/SummaryTable[[#This Row],[Count]]</f>
        <v>0</v>
      </c>
      <c r="M107" s="61">
        <f>SUMIFS(allFYsTable[OriginalBudget],allFYsTable[Code],SummaryTable[[#This Row],[Code]])/SummaryTable[[#This Row],[Count]]</f>
        <v>611</v>
      </c>
      <c r="N107" s="61">
        <f>SUMIFS(allFYsTable[Actual],allFYsTable[Code],SummaryTable[[#This Row],[Code]])/SummaryTable[[#This Row],[Count]]</f>
        <v>528.75</v>
      </c>
      <c r="O107" s="61">
        <f>SummaryTable[[#This Row],[AvgActAmt]]-SummaryTable[[#This Row],[AvgBudAmt]]</f>
        <v>-82.25</v>
      </c>
      <c r="P107" s="54">
        <f>IF(SummaryTable[[#This Row],[AvgBudAmt]]=0, IF(SummaryTable[[#This Row],[AvgDiff'#]]=0, 0, NamedFields!$C$3), SummaryTable[[#This Row],[AvgDiff'#]]/SummaryTable[[#This Row],[AvgBudAmt]])</f>
        <v>-0.13461538461538461</v>
      </c>
      <c r="Q107" s="61">
        <f>IFERROR(SUMIFS(allFYsTable[OriginalBudget],allFYsTable[Code],SummaryTable[[#This Row],[Code]],allFYsTable[DiffAmount], "&gt;0")/SummaryTable[[#This Row],['# Over]], 0)</f>
        <v>313</v>
      </c>
      <c r="R107" s="61">
        <f>IFERROR(SUMIFS(allFYsTable[Actual],allFYsTable[Code],SummaryTable[[#This Row],[Code]],allFYsTable[DiffAmount], "&gt;0")/SummaryTable[[#This Row],['# Over]], 0)</f>
        <v>326</v>
      </c>
      <c r="S107" s="61">
        <f>SummaryTable[[#This Row],[OverAvgAct]]-SummaryTable[[#This Row],[OverAvgBud]]</f>
        <v>13</v>
      </c>
      <c r="T107" s="54">
        <f>IF(SummaryTable[[#This Row],[OverAvgBud]]=0, IF(SummaryTable[[#This Row],[OverAvgDiff'#]]=0, ZeroBudgetNoSpending, ZeroBudgetWithSpending), SummaryTable[[#This Row],[OverAvgDiff'#]]/SummaryTable[[#This Row],[OverAvgBud]])</f>
        <v>4.1533546325878593E-2</v>
      </c>
      <c r="U107" s="61">
        <f>IFERROR(SUMIFS(allFYsTable[OriginalBudget],allFYsTable[Code],SummaryTable[[#This Row],[Code]],allFYsTable[DiffAmount], "&lt;0")/SummaryTable[[#This Row],['# Under]], 0)</f>
        <v>663.58823529411768</v>
      </c>
      <c r="V107" s="61">
        <f>IFERROR( SUMIFS(allFYsTable[Actual],allFYsTable[Code],SummaryTable[[#This Row],[Code]],allFYsTable[DiffAmount], "&lt;0")/SummaryTable[[#This Row],['# Under]], 0)</f>
        <v>564.52941176470586</v>
      </c>
      <c r="W107" s="61">
        <f>SummaryTable[[#This Row],[UnderAvgAct]]-SummaryTable[[#This Row],[UnderAvgBud]]</f>
        <v>-99.058823529411825</v>
      </c>
      <c r="X107" s="54">
        <f>IF(SummaryTable[[#This Row],[UnderAvgBud]]=0, IF(SummaryTable[[#This Row],[UnderAvgDiff'#]]=0, ZeroBudgetNoSpending, NamedFields!$C$3), SummaryTable[[#This Row],[UnderAvgDiff'#]]/SummaryTable[[#This Row],[UnderAvgBud]])</f>
        <v>-0.14927754631681597</v>
      </c>
      <c r="Y10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7</v>
      </c>
      <c r="Z10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7" s="54">
        <f>IF(SummaryTable[[#This Row],[IncreaseYears]]=0, ZeroBudgetNoSpending, SummaryTable[[#This Row],[OSinIncreaseYear'#]]/SummaryTable[[#This Row],[IncreaseYears]])</f>
        <v>0</v>
      </c>
      <c r="AB107" s="58" t="str">
        <f>SummaryTable[[#This Row],[Code]]</f>
        <v>VA0</v>
      </c>
      <c r="AC107" s="62">
        <f>IF(COUNTIFS(allFYsTable[Code], SummaryTable[[#This Row],[Code]], allFYsTable[year2], AC$3)=0, NotFound, SUMIFS(allFYsTable[OriginalBudget], allFYsTable[Code], SummaryTable[[#This Row],[Code]], allFYsTable[year2], AC$3))</f>
        <v>1180</v>
      </c>
      <c r="AD107" s="61">
        <f>SummaryTable[[#This Row],[OriginalBudget25]]-SummaryTable[[#This Row],[OriginalBudget24]]</f>
        <v>1</v>
      </c>
      <c r="AE107" s="54">
        <f>SummaryTable[[#This Row],[BudgetIncreaseAmount25]]/SummaryTable[[#This Row],[OriginalBudget24]]</f>
        <v>8.4817642069550466E-4</v>
      </c>
      <c r="AF107" s="61">
        <f>IF(COUNTIFS(allFYsTable[Code], SummaryTable[[#This Row],[Code]], allFYsTable[year2], AC$3)=0, NotFound, SUMIFS(allFYsTable[RevisedBudget], allFYsTable[Code], SummaryTable[[#This Row],[Code]], allFYsTable[year2], AC$3))</f>
        <v>1180</v>
      </c>
      <c r="AG107" s="61">
        <f>IF(COUNTIFS(allFYsTable[Code], SummaryTable[[#This Row],[Code]], allFYsTable[year2], AC$3)=0, NotFound, SUMIFS(allFYsTable[Actual], allFYsTable[Code], SummaryTable[[#This Row],[Code]], allFYsTable[year2], AC$3))</f>
        <v>952</v>
      </c>
      <c r="AH107" s="61">
        <f>IF(COUNTIFS(allFYsTable[Code], SummaryTable[[#This Row],[Code]], allFYsTable[year2], AC$3)=0, NotFound, SUMIFS(allFYsTable[DiffAmount], allFYsTable[Code], SummaryTable[[#This Row],[Code]], allFYsTable[year2], AC$3))</f>
        <v>-228</v>
      </c>
      <c r="AI107" s="63">
        <f>IF(SummaryTable[[#This Row],[OriginalBudget25]]=0, IF(SummaryTable[[#This Row],[DiffAmount25]]=0, ZeroBudgetNoSpending, ZeroBudgetWithSpending), SummaryTable[[#This Row],[DiffAmount25]]/SummaryTable[[#This Row],[OriginalBudget25]])</f>
        <v>-0.19322033898305085</v>
      </c>
      <c r="AJ107" s="62">
        <f>IF(COUNTIFS(allFYsTable[Code], SummaryTable[[#This Row],[Code]], allFYsTable[year2], AJ$3)=0, NotFound, SUMIFS(allFYsTable[OriginalBudget], allFYsTable[Code], SummaryTable[[#This Row],[Code]], allFYsTable[year2], AJ$3))</f>
        <v>1179</v>
      </c>
      <c r="AK107" s="61">
        <f>SummaryTable[[#This Row],[OriginalBudget24]]-SummaryTable[[#This Row],[OriginalBudget23]]</f>
        <v>23</v>
      </c>
      <c r="AL107" s="54">
        <f>SummaryTable[[#This Row],[BudgetIncreaseAmount24]]/SummaryTable[[#This Row],[OriginalBudget23]]</f>
        <v>1.9896193771626297E-2</v>
      </c>
      <c r="AM107" s="61">
        <f>IF(COUNTIFS(allFYsTable[Code], SummaryTable[[#This Row],[Code]], allFYsTable[year2], AK$3)=0, NotFound, SUMIFS(allFYsTable[RevisedBudget], allFYsTable[Code], SummaryTable[[#This Row],[Code]], allFYsTable[year2], AJ$3))</f>
        <v>1179</v>
      </c>
      <c r="AN107" s="61">
        <f>IF(COUNTIFS(allFYsTable[Code], SummaryTable[[#This Row],[Code]], allFYsTable[year2], AJ$3)=0, NotFound, SUMIFS(allFYsTable[Actual], allFYsTable[Code], SummaryTable[[#This Row],[Code]], allFYsTable[year2], AJ$3))</f>
        <v>997</v>
      </c>
      <c r="AO107" s="61">
        <f>IF(COUNTIFS(allFYsTable[Code], SummaryTable[[#This Row],[Code]], allFYsTable[year2], AJ$3)=0, NotFound, SUMIFS(allFYsTable[DiffAmount], allFYsTable[Code], SummaryTable[[#This Row],[Code]], allFYsTable[year2], AJ$3))</f>
        <v>-182</v>
      </c>
      <c r="AP107" s="63">
        <f>IF(SummaryTable[[#This Row],[OriginalBudget24]]=0, IF(SummaryTable[[#This Row],[DiffAmount24]]=0, ZeroBudgetNoSpending, ZeroBudgetWithSpending), SummaryTable[[#This Row],[DiffAmount24]]/SummaryTable[[#This Row],[OriginalBudget24]])</f>
        <v>-0.15436810856658184</v>
      </c>
      <c r="AQ107" s="62">
        <f>IF(COUNTIFS(allFYsTable[Code], SummaryTable[[#This Row],[Code]], allFYsTable[year2], AQ$3)=0, NotFound, SUMIFS(allFYsTable[OriginalBudget], allFYsTable[Code], SummaryTable[[#This Row],[Code]], allFYsTable[year2], AQ$3))</f>
        <v>1156</v>
      </c>
      <c r="AR107" s="61">
        <f>SummaryTable[[#This Row],[OriginalBudget23]]-SummaryTable[[#This Row],[OriginalBudget22]]</f>
        <v>31</v>
      </c>
      <c r="AS107" s="54">
        <f>SummaryTable[[#This Row],[BudgetIncreaseAmount23]]/SummaryTable[[#This Row],[OriginalBudget22]]</f>
        <v>2.7555555555555555E-2</v>
      </c>
      <c r="AT107" s="61">
        <f>IF(COUNTIFS(allFYsTable[Code], SummaryTable[[#This Row],[Code]], allFYsTable[year2], AQ$3)=0, NotFound, SUMIFS(allFYsTable[RevisedBudget], allFYsTable[Code], SummaryTable[[#This Row],[Code]], allFYsTable[year2], AQ$3))</f>
        <v>1156</v>
      </c>
      <c r="AU107" s="61">
        <f>IF(COUNTIFS(allFYsTable[Code], SummaryTable[[#This Row],[Code]], allFYsTable[year2], AQ$3)=0, NotFound, SUMIFS(allFYsTable[Actual], allFYsTable[Code], SummaryTable[[#This Row],[Code]], allFYsTable[year2], AQ$3))</f>
        <v>992</v>
      </c>
      <c r="AV107" s="61">
        <f>IF(COUNTIFS(allFYsTable[Code], SummaryTable[[#This Row],[Code]], allFYsTable[year2], AQ$3)=0, NotFound, SUMIFS(allFYsTable[DiffAmount], allFYsTable[Code], SummaryTable[[#This Row],[Code]], allFYsTable[year2], AQ$3))</f>
        <v>-164</v>
      </c>
      <c r="AW107" s="63">
        <f>IF(SummaryTable[[#This Row],[OriginalBudget23]]=0, IF(SummaryTable[[#This Row],[DiffAmount23]]=0, ZeroBudgetNoSpending, ZeroBudgetWithSpending), SummaryTable[[#This Row],[DiffAmount23]]/SummaryTable[[#This Row],[OriginalBudget23]])</f>
        <v>-0.14186851211072665</v>
      </c>
      <c r="AX107" s="62">
        <f>IF(COUNTIFS(allFYsTable[Code], SummaryTable[[#This Row],[Code]], allFYsTable[year2], AX$3)=0, NotFound, SUMIFS(allFYsTable[OriginalBudget], allFYsTable[Code], SummaryTable[[#This Row],[Code]], allFYsTable[year2], AX$3))</f>
        <v>1125</v>
      </c>
      <c r="AY107" s="61">
        <f>SummaryTable[[#This Row],[OriginalBudget22]]-SummaryTable[[#This Row],[OriginalBudget21]]</f>
        <v>287</v>
      </c>
      <c r="AZ107" s="54">
        <f>SummaryTable[[#This Row],[BudgetIncreaseAmount22]]/SummaryTable[[#This Row],[OriginalBudget21]]</f>
        <v>0.34248210023866349</v>
      </c>
      <c r="BA107" s="61">
        <f>IF(COUNTIFS(allFYsTable[Code], SummaryTable[[#This Row],[Code]], allFYsTable[year2], AX$3)=0, NotFound, SUMIFS(allFYsTable[RevisedBudget], allFYsTable[Code], SummaryTable[[#This Row],[Code]], allFYsTable[year2], AX$3))</f>
        <v>1125</v>
      </c>
      <c r="BB107" s="61">
        <f>IF(COUNTIFS(allFYsTable[Code], SummaryTable[[#This Row],[Code]], allFYsTable[year2], AX$3)=0, NotFound, SUMIFS(allFYsTable[Actual], allFYsTable[Code], SummaryTable[[#This Row],[Code]], allFYsTable[year2], AX$3))</f>
        <v>957</v>
      </c>
      <c r="BC107" s="61">
        <f>IF(COUNTIFS(allFYsTable[Code], SummaryTable[[#This Row],[Code]], allFYsTable[year2], AX$3)=0, NotFound, SUMIFS(allFYsTable[DiffAmount], allFYsTable[Code], SummaryTable[[#This Row],[Code]], allFYsTable[year2], AX$3))</f>
        <v>-168</v>
      </c>
      <c r="BD107" s="63">
        <f>IF(SummaryTable[[#This Row],[OriginalBudget22]]=0, IF(SummaryTable[[#This Row],[DiffAmount22]]=0, ZeroBudgetNoSpending, ZeroBudgetWithSpending), SummaryTable[[#This Row],[DiffAmount22]]/SummaryTable[[#This Row],[OriginalBudget22]])</f>
        <v>-0.14933333333333335</v>
      </c>
      <c r="BE107" s="62">
        <f>IF(COUNTIFS(allFYsTable[Code], SummaryTable[[#This Row],[Code]], allFYsTable[year2], BE$3)=0, NotFound, SUMIFS(allFYsTable[OriginalBudget], allFYsTable[Code], SummaryTable[[#This Row],[Code]], allFYsTable[year2], BE$3))</f>
        <v>838</v>
      </c>
      <c r="BF107" s="61">
        <f>SummaryTable[[#This Row],[OriginalBudget21]]-SummaryTable[[#This Row],[OriginalBudget20]]</f>
        <v>0</v>
      </c>
      <c r="BG107" s="54">
        <f>SummaryTable[[#This Row],[BudgetIncreaseAmount21]]/SummaryTable[[#This Row],[OriginalBudget20]]</f>
        <v>0</v>
      </c>
      <c r="BH107" s="61">
        <f>IF(COUNTIFS(allFYsTable[Code], SummaryTable[[#This Row],[Code]], allFYsTable[year2], BE$3)=0, NotFound, SUMIFS(allFYsTable[RevisedBudget], allFYsTable[Code], SummaryTable[[#This Row],[Code]], allFYsTable[year2], BE$3))</f>
        <v>808</v>
      </c>
      <c r="BI107" s="61">
        <f>IF(COUNTIFS(allFYsTable[Code], SummaryTable[[#This Row],[Code]], allFYsTable[year2], BE$3)=0, NotFound, SUMIFS(allFYsTable[Actual], allFYsTable[Code], SummaryTable[[#This Row],[Code]], allFYsTable[year2], BE$3))</f>
        <v>635</v>
      </c>
      <c r="BJ107" s="61">
        <f>IF(COUNTIFS(allFYsTable[Code], SummaryTable[[#This Row],[Code]], allFYsTable[year2], BE$3)=0, NotFound, SUMIFS(allFYsTable[DiffAmount], allFYsTable[Code], SummaryTable[[#This Row],[Code]], allFYsTable[year2], BE$3))</f>
        <v>-203</v>
      </c>
      <c r="BK107" s="63">
        <f>IF(SummaryTable[[#This Row],[OriginalBudget21]]=0, IF(SummaryTable[[#This Row],[DiffAmount21]]=0, ZeroBudgetNoSpending, ZeroBudgetWithSpending), SummaryTable[[#This Row],[DiffAmount21]]/SummaryTable[[#This Row],[OriginalBudget21]])</f>
        <v>-0.24224343675417662</v>
      </c>
      <c r="BL107" s="62">
        <f>IF(COUNTIFS(allFYsTable[Code], SummaryTable[[#This Row],[Code]], allFYsTable[year2], BL$3)=0, NotFound, SUMIFS(allFYsTable[OriginalBudget], allFYsTable[Code], SummaryTable[[#This Row],[Code]], allFYsTable[year2], BL$3))</f>
        <v>838</v>
      </c>
      <c r="BM107" s="61">
        <f>SummaryTable[[#This Row],[OriginalBudget20]]-SummaryTable[[#This Row],[OriginalBudget19]]</f>
        <v>221</v>
      </c>
      <c r="BN107" s="54">
        <f>SummaryTable[[#This Row],[BudgetIncreaseAmount20]]/SummaryTable[[#This Row],[OriginalBudget19]]</f>
        <v>0.35818476499189628</v>
      </c>
      <c r="BO107" s="61">
        <f>IF(COUNTIFS(allFYsTable[Code], SummaryTable[[#This Row],[Code]], allFYsTable[year2], BL$3)=0, NotFound, SUMIFS(allFYsTable[RevisedBudget], allFYsTable[Code], SummaryTable[[#This Row],[Code]], allFYsTable[year2], BL$3))</f>
        <v>830</v>
      </c>
      <c r="BP107" s="61">
        <f>IF(COUNTIFS(allFYsTable[Code], SummaryTable[[#This Row],[Code]], allFYsTable[year2], BL$3)=0, NotFound, SUMIFS(allFYsTable[Actual], allFYsTable[Code], SummaryTable[[#This Row],[Code]], allFYsTable[year2], BL$3))</f>
        <v>569</v>
      </c>
      <c r="BQ107" s="61">
        <f>IF(COUNTIFS(allFYsTable[Code], SummaryTable[[#This Row],[Code]], allFYsTable[year2], BL$3)=0, NotFound, SUMIFS(allFYsTable[DiffAmount], allFYsTable[Code], SummaryTable[[#This Row],[Code]], allFYsTable[year2], BL$3))</f>
        <v>-269</v>
      </c>
      <c r="BR107" s="63">
        <f>IF(SummaryTable[[#This Row],[OriginalBudget20]]=0, IF(SummaryTable[[#This Row],[DiffAmount20]]=0, ZeroBudgetNoSpending, ZeroBudgetWithSpending), SummaryTable[[#This Row],[DiffAmount20]]/SummaryTable[[#This Row],[OriginalBudget20]])</f>
        <v>-0.32100238663484487</v>
      </c>
      <c r="BS107" s="62">
        <f>IF(COUNTIFS(allFYsTable[Code], SummaryTable[[#This Row],[Code]], allFYsTable[year2], BS$3)=0, NotFound, SUMIFS(allFYsTable[OriginalBudget], allFYsTable[Code], SummaryTable[[#This Row],[Code]], allFYsTable[year2], BS$3))</f>
        <v>617</v>
      </c>
      <c r="BT107" s="61">
        <f>SummaryTable[[#This Row],[OriginalBudget19]]-SummaryTable[[#This Row],[OriginalBudget18]]</f>
        <v>150</v>
      </c>
      <c r="BU107" s="54">
        <f>SummaryTable[[#This Row],[BudgetIncreaseAmount19]]/SummaryTable[[#This Row],[OriginalBudget18]]</f>
        <v>0.32119914346895073</v>
      </c>
      <c r="BV107" s="61">
        <f>IF(COUNTIFS(allFYsTable[Code], SummaryTable[[#This Row],[Code]], allFYsTable[year2], BS$3)=0, NotFound, SUMIFS(allFYsTable[RevisedBudget], allFYsTable[Code], SummaryTable[[#This Row],[Code]], allFYsTable[year2], BS$3))</f>
        <v>617</v>
      </c>
      <c r="BW107" s="61">
        <f>IF(COUNTIFS(allFYsTable[Code], SummaryTable[[#This Row],[Code]], allFYsTable[year2], BS$3)=0, NotFound, SUMIFS(allFYsTable[Actual], allFYsTable[Code], SummaryTable[[#This Row],[Code]], allFYsTable[year2], BS$3))</f>
        <v>607</v>
      </c>
      <c r="BX107" s="61">
        <f>IF(COUNTIFS(allFYsTable[Code], SummaryTable[[#This Row],[Code]], allFYsTable[year2], BS$3)=0, NotFound, SUMIFS(allFYsTable[DiffAmount], allFYsTable[Code], SummaryTable[[#This Row],[Code]], allFYsTable[year2], BS$3))</f>
        <v>-10</v>
      </c>
      <c r="BY107" s="63">
        <f>IF(SummaryTable[[#This Row],[OriginalBudget19]]=0, IF(SummaryTable[[#This Row],[DiffAmount19]]=0, ZeroBudgetNoSpending, ZeroBudgetWithSpending), SummaryTable[[#This Row],[DiffAmount19]]/SummaryTable[[#This Row],[OriginalBudget19]])</f>
        <v>-1.6207455429497569E-2</v>
      </c>
      <c r="BZ107" s="62">
        <f>IF(COUNTIFS(allFYsTable[Code], SummaryTable[[#This Row],[Code]], allFYsTable[year2], BZ$3)=0, NotFound, SUMIFS(allFYsTable[OriginalBudget], allFYsTable[Code], SummaryTable[[#This Row],[Code]], allFYsTable[year2], BZ$3))</f>
        <v>467</v>
      </c>
      <c r="CA107" s="61">
        <f>SummaryTable[[#This Row],[OriginalBudget18]]-SummaryTable[[#This Row],[OriginalBudget17]]</f>
        <v>59</v>
      </c>
      <c r="CB107" s="54">
        <f>SummaryTable[[#This Row],[BudgetIncreaseAmount18]]/SummaryTable[[#This Row],[OriginalBudget17]]</f>
        <v>0.14460784313725492</v>
      </c>
      <c r="CC107" s="61">
        <f>IF(COUNTIFS(allFYsTable[Code], SummaryTable[[#This Row],[Code]], allFYsTable[year2], BZ$3)=0, NotFound, SUMIFS(allFYsTable[RevisedBudget], allFYsTable[Code], SummaryTable[[#This Row],[Code]], allFYsTable[year2], BZ$3))</f>
        <v>476</v>
      </c>
      <c r="CD107" s="61">
        <f>IF(COUNTIFS(allFYsTable[Code], SummaryTable[[#This Row],[Code]], allFYsTable[year2], BZ$3)=0, NotFound, SUMIFS(allFYsTable[Actual], allFYsTable[Code], SummaryTable[[#This Row],[Code]], allFYsTable[year2], BZ$3))</f>
        <v>465</v>
      </c>
      <c r="CE107" s="61">
        <f>IF(COUNTIFS(allFYsTable[Code], SummaryTable[[#This Row],[Code]], allFYsTable[year2], BZ$3)=0, NotFound, SUMIFS(allFYsTable[DiffAmount], allFYsTable[Code], SummaryTable[[#This Row],[Code]], allFYsTable[year2], BZ$3))</f>
        <v>-2</v>
      </c>
      <c r="CF107" s="63">
        <f>IF(SummaryTable[[#This Row],[OriginalBudget18]]=0, IF(SummaryTable[[#This Row],[DiffAmount18]]=0, ZeroBudgetNoSpending, ZeroBudgetWithSpending), SummaryTable[[#This Row],[DiffAmount18]]/SummaryTable[[#This Row],[OriginalBudget18]])</f>
        <v>-4.2826552462526769E-3</v>
      </c>
      <c r="CG107" s="62">
        <f>IF(COUNTIFS(allFYsTable[Code], SummaryTable[[#This Row],[Code]], allFYsTable[year2], CG$3)=0, NotFound, SUMIFS(allFYsTable[OriginalBudget], allFYsTable[Code], SummaryTable[[#This Row],[Code]], allFYsTable[year2], CG$3))</f>
        <v>408</v>
      </c>
      <c r="CH107" s="61">
        <f>SummaryTable[[#This Row],[OriginalBudget17]]-SummaryTable[[#This Row],[OriginalBudget16]]</f>
        <v>-6</v>
      </c>
      <c r="CI107" s="54">
        <f>SummaryTable[[#This Row],[BudgetIncreaseAmount17]]/SummaryTable[[#This Row],[OriginalBudget16]]</f>
        <v>-1.4492753623188406E-2</v>
      </c>
      <c r="CJ107" s="61">
        <f>IF(COUNTIFS(allFYsTable[Code], SummaryTable[[#This Row],[Code]], allFYsTable[year2], CG$3)=0, NotFound, SUMIFS(allFYsTable[RevisedBudget], allFYsTable[Code], SummaryTable[[#This Row],[Code]], allFYsTable[year2], CG$3))</f>
        <v>395</v>
      </c>
      <c r="CK107" s="61">
        <f>IF(COUNTIFS(allFYsTable[Code], SummaryTable[[#This Row],[Code]], allFYsTable[year2], CG$3)=0, NotFound, SUMIFS(allFYsTable[Actual], allFYsTable[Code], SummaryTable[[#This Row],[Code]], allFYsTable[year2], CG$3))</f>
        <v>394</v>
      </c>
      <c r="CL107" s="61">
        <f>IF(COUNTIFS(allFYsTable[Code], SummaryTable[[#This Row],[Code]], allFYsTable[year2], CG$3)=0, NotFound, SUMIFS(allFYsTable[DiffAmount], allFYsTable[Code], SummaryTable[[#This Row],[Code]], allFYsTable[year2], CG$3))</f>
        <v>-14</v>
      </c>
      <c r="CM107" s="63">
        <f>IF(SummaryTable[[#This Row],[OriginalBudget17]]=0, IF(SummaryTable[[#This Row],[DiffAmount17]]=0, ZeroBudgetNoSpending, ZeroBudgetWithSpending), SummaryTable[[#This Row],[DiffAmount17]]/SummaryTable[[#This Row],[OriginalBudget17]])</f>
        <v>-3.4313725490196081E-2</v>
      </c>
      <c r="CN107" s="62">
        <f>IF(COUNTIFS(allFYsTable[Code], SummaryTable[[#This Row],[Code]], allFYsTable[year2], CN$3)=0, NotFound, SUMIFS(allFYsTable[OriginalBudget], allFYsTable[Code], SummaryTable[[#This Row],[Code]], allFYsTable[year2], CN$3))</f>
        <v>414</v>
      </c>
      <c r="CO107" s="61">
        <f>SummaryTable[[#This Row],[OriginalBudget16]]-SummaryTable[[#This Row],[OriginalBudget15]]</f>
        <v>3</v>
      </c>
      <c r="CP107" s="54">
        <f>SummaryTable[[#This Row],[BudgetIncreaseAmount16]]/SummaryTable[[#This Row],[OriginalBudget15]]</f>
        <v>7.2992700729927005E-3</v>
      </c>
      <c r="CQ107" s="61">
        <f>IF(COUNTIFS(allFYsTable[Code], SummaryTable[[#This Row],[Code]], allFYsTable[year2], CN$3)=0, NotFound, SUMIFS(allFYsTable[RevisedBudget], allFYsTable[Code], SummaryTable[[#This Row],[Code]], allFYsTable[year2], CN$3))</f>
        <v>374</v>
      </c>
      <c r="CR107" s="61">
        <f>IF(COUNTIFS(allFYsTable[Code], SummaryTable[[#This Row],[Code]], allFYsTable[year2], CN$3)=0, NotFound, SUMIFS(allFYsTable[Actual], allFYsTable[Code], SummaryTable[[#This Row],[Code]], allFYsTable[year2], CN$3))</f>
        <v>353</v>
      </c>
      <c r="CS107" s="61">
        <f>IF(COUNTIFS(allFYsTable[Code], SummaryTable[[#This Row],[Code]], allFYsTable[year2], CN$3)=0, NotFound, SUMIFS(allFYsTable[DiffAmount], allFYsTable[Code], SummaryTable[[#This Row],[Code]], allFYsTable[year2], CN$3))</f>
        <v>-61</v>
      </c>
      <c r="CT107" s="63">
        <f>IF(SummaryTable[[#This Row],[OriginalBudget16]]=0, IF(SummaryTable[[#This Row],[DiffAmount16]]=0, ZeroBudgetNoSpending, ZeroBudgetWithSpending), SummaryTable[[#This Row],[DiffAmount16]]/SummaryTable[[#This Row],[OriginalBudget16]])</f>
        <v>-0.14734299516908211</v>
      </c>
      <c r="CU107" s="62">
        <f>IF(COUNTIFS(allFYsTable[Code], SummaryTable[[#This Row],[Code]], allFYsTable[year2], CU$3)=0, NotFound, SUMIFS(allFYsTable[OriginalBudget], allFYsTable[Code], SummaryTable[[#This Row],[Code]], allFYsTable[year2], CU$3))</f>
        <v>411</v>
      </c>
      <c r="CV107" s="61">
        <f>SummaryTable[[#This Row],[OriginalBudget15]]-SummaryTable[[#This Row],[OriginalBudget14]]</f>
        <v>25</v>
      </c>
      <c r="CW107" s="54">
        <f>SummaryTable[[#This Row],[BudgetIncreaseAmount15]]/SummaryTable[[#This Row],[OriginalBudget14]]</f>
        <v>6.4766839378238336E-2</v>
      </c>
      <c r="CX107" s="61">
        <f>IF(COUNTIFS(allFYsTable[Code], SummaryTable[[#This Row],[Code]], allFYsTable[year2], CU$3)=0, NotFound, SUMIFS(allFYsTable[RevisedBudget], allFYsTable[Code], SummaryTable[[#This Row],[Code]], allFYsTable[year2], CU$3))</f>
        <v>429</v>
      </c>
      <c r="CY107" s="61">
        <f>IF(COUNTIFS(allFYsTable[Code], SummaryTable[[#This Row],[Code]], allFYsTable[year2], CU$3)=0, NotFound, SUMIFS(allFYsTable[Actual], allFYsTable[Code], SummaryTable[[#This Row],[Code]], allFYsTable[year2], CU$3))</f>
        <v>323</v>
      </c>
      <c r="CZ107" s="61">
        <f>IF(COUNTIFS(allFYsTable[Code], SummaryTable[[#This Row],[Code]], allFYsTable[year2], CU$3)=0, NotFound, SUMIFS(allFYsTable[DiffAmount], allFYsTable[Code], SummaryTable[[#This Row],[Code]], allFYsTable[year2], CU$3))</f>
        <v>-88</v>
      </c>
      <c r="DA107" s="63">
        <f>IF(SummaryTable[[#This Row],[OriginalBudget15]]=0, IF(SummaryTable[[#This Row],[DiffAmount15]]=0, ZeroBudgetNoSpending, ZeroBudgetWithSpending), SummaryTable[[#This Row],[DiffAmount15]]/SummaryTable[[#This Row],[OriginalBudget15]])</f>
        <v>-0.21411192214111921</v>
      </c>
      <c r="DB107" s="62">
        <f>IF(COUNTIFS(allFYsTable[Code], SummaryTable[[#This Row],[Code]], allFYsTable[year2], DB$3)=0, NotFound, SUMIFS(allFYsTable[OriginalBudget], allFYsTable[Code], SummaryTable[[#This Row],[Code]], allFYsTable[year2], DB$3))</f>
        <v>386</v>
      </c>
      <c r="DC107" s="61">
        <f>SummaryTable[[#This Row],[OriginalBudget14]]-SummaryTable[[#This Row],[OriginalBudget13]]</f>
        <v>4</v>
      </c>
      <c r="DD107" s="54">
        <f>SummaryTable[[#This Row],[BudgetIncreaseAmount14]]/SummaryTable[[#This Row],[OriginalBudget13]]</f>
        <v>1.0471204188481676E-2</v>
      </c>
      <c r="DE107" s="61">
        <f>IF(COUNTIFS(allFYsTable[Code], SummaryTable[[#This Row],[Code]], allFYsTable[year2], DB$3)=0, NotFound, SUMIFS(allFYsTable[RevisedBudget], allFYsTable[Code], SummaryTable[[#This Row],[Code]], allFYsTable[year2], DB$3))</f>
        <v>446</v>
      </c>
      <c r="DF107" s="61">
        <f>IF(COUNTIFS(allFYsTable[Code], SummaryTable[[#This Row],[Code]], allFYsTable[year2], DB$3)=0, NotFound, SUMIFS(allFYsTable[Actual], allFYsTable[Code], SummaryTable[[#This Row],[Code]], allFYsTable[year2], DB$3))</f>
        <v>406</v>
      </c>
      <c r="DG107" s="61">
        <f>IF(COUNTIFS(allFYsTable[Code], SummaryTable[[#This Row],[Code]], allFYsTable[year2], DB$3)=0, NotFound, SUMIFS(allFYsTable[DiffAmount], allFYsTable[Code], SummaryTable[[#This Row],[Code]], allFYsTable[year2], DB$3))</f>
        <v>20</v>
      </c>
      <c r="DH107" s="63">
        <f>IF(SummaryTable[[#This Row],[OriginalBudget14]]=0, IF(SummaryTable[[#This Row],[DiffAmount14]]=0, ZeroBudgetNoSpending, ZeroBudgetWithSpending), SummaryTable[[#This Row],[DiffAmount14]]/SummaryTable[[#This Row],[OriginalBudget14]])</f>
        <v>5.181347150259067E-2</v>
      </c>
      <c r="DI107" s="62">
        <f>IF(COUNTIFS(allFYsTable[Code], SummaryTable[[#This Row],[Code]], allFYsTable[year2], DI$3)=0, NotFound, SUMIFS(allFYsTable[OriginalBudget], allFYsTable[Code], SummaryTable[[#This Row],[Code]], allFYsTable[year2], DI$3))</f>
        <v>382</v>
      </c>
      <c r="DJ107" s="61">
        <f>SummaryTable[[#This Row],[OriginalBudget13]]-SummaryTable[[#This Row],[OriginalBudget12]]</f>
        <v>9</v>
      </c>
      <c r="DK107" s="54">
        <f>SummaryTable[[#This Row],[BudgetIncreaseAmount13]]/SummaryTable[[#This Row],[OriginalBudget12]]</f>
        <v>2.4128686327077747E-2</v>
      </c>
      <c r="DL107" s="61">
        <f>IF(COUNTIFS(allFYsTable[Code], SummaryTable[[#This Row],[Code]], allFYsTable[year2], DI$3)=0, NotFound, SUMIFS(allFYsTable[RevisedBudget], allFYsTable[Code], SummaryTable[[#This Row],[Code]], allFYsTable[year2], DI$3))</f>
        <v>387</v>
      </c>
      <c r="DM107" s="61">
        <f>IF(COUNTIFS(allFYsTable[Code], SummaryTable[[#This Row],[Code]], allFYsTable[year2], DI$3)=0, NotFound, SUMIFS(allFYsTable[Actual], allFYsTable[Code], SummaryTable[[#This Row],[Code]], allFYsTable[year2], DI$3))</f>
        <v>366</v>
      </c>
      <c r="DN107" s="61">
        <f>IF(COUNTIFS(allFYsTable[Code], SummaryTable[[#This Row],[Code]], allFYsTable[year2], DI$3)=0, NotFound, SUMIFS(allFYsTable[DiffAmount], allFYsTable[Code], SummaryTable[[#This Row],[Code]], allFYsTable[year2], DI$3))</f>
        <v>-16</v>
      </c>
      <c r="DO107" s="63">
        <f>IF(SummaryTable[[#This Row],[OriginalBudget13]]=0, IF(SummaryTable[[#This Row],[DiffAmount13]]=0, ZeroBudgetNoSpending, ZeroBudgetWithSpending), SummaryTable[[#This Row],[DiffAmount13]]/SummaryTable[[#This Row],[OriginalBudget13]])</f>
        <v>-4.1884816753926704E-2</v>
      </c>
      <c r="DP107" s="62">
        <f>IF(COUNTIFS(allFYsTable[Code], SummaryTable[[#This Row],[Code]], allFYsTable[year2], DP$3)=0, NotFound, SUMIFS(allFYsTable[OriginalBudget], allFYsTable[Code], SummaryTable[[#This Row],[Code]], allFYsTable[year2], DP$3))</f>
        <v>373</v>
      </c>
      <c r="DQ107" s="61">
        <f>SummaryTable[[#This Row],[OriginalBudget12]]-SummaryTable[[#This Row],[OriginalBudget11]]</f>
        <v>-6</v>
      </c>
      <c r="DR107" s="54">
        <f>SummaryTable[[#This Row],[BudgetIncreaseAmount12]]/SummaryTable[[#This Row],[OriginalBudget11]]</f>
        <v>-1.5831134564643801E-2</v>
      </c>
      <c r="DS107" s="61">
        <f>IF(COUNTIFS(allFYsTable[Code], SummaryTable[[#This Row],[Code]], allFYsTable[year2], DP$3)=0, NotFound, SUMIFS(allFYsTable[RevisedBudget], allFYsTable[Code], SummaryTable[[#This Row],[Code]], allFYsTable[year2], DP$3))</f>
        <v>373</v>
      </c>
      <c r="DT107" s="61">
        <f>IF(COUNTIFS(allFYsTable[Code], SummaryTable[[#This Row],[Code]], allFYsTable[year2], DP$3)=0, NotFound, SUMIFS(allFYsTable[Actual], allFYsTable[Code], SummaryTable[[#This Row],[Code]], allFYsTable[year2], DP$3))</f>
        <v>347</v>
      </c>
      <c r="DU107" s="61">
        <f>IF(COUNTIFS(allFYsTable[Code], SummaryTable[[#This Row],[Code]], allFYsTable[year2], DP$3)=0, NotFound, SUMIFS(allFYsTable[DiffAmount], allFYsTable[Code], SummaryTable[[#This Row],[Code]], allFYsTable[year2], DP$3))</f>
        <v>-26</v>
      </c>
      <c r="DV107" s="63">
        <f>IF(SummaryTable[[#This Row],[OriginalBudget12]]=0, IF(SummaryTable[[#This Row],[DiffAmount12]]=0, ZeroBudgetNoSpending, ZeroBudgetWithSpending), SummaryTable[[#This Row],[DiffAmount12]]/SummaryTable[[#This Row],[OriginalBudget12]])</f>
        <v>-6.9705093833780166E-2</v>
      </c>
      <c r="DW107" s="62">
        <f>IF(COUNTIFS(allFYsTable[Code], SummaryTable[[#This Row],[Code]], allFYsTable[year2], DW$3)=0, NotFound, SUMIFS(allFYsTable[OriginalBudget], allFYsTable[Code], SummaryTable[[#This Row],[Code]], allFYsTable[year2], DW$3))</f>
        <v>379</v>
      </c>
      <c r="DX107" s="61">
        <f>SummaryTable[[#This Row],[OriginalBudget11]]-SummaryTable[[#This Row],[OriginalBudget10]]</f>
        <v>-84</v>
      </c>
      <c r="DY107" s="54">
        <f>SummaryTable[[#This Row],[BudgetIncreaseAmount11]]/SummaryTable[[#This Row],[OriginalBudget10]]</f>
        <v>-0.18142548596112312</v>
      </c>
      <c r="DZ107" s="61">
        <f>IF(COUNTIFS(allFYsTable[Code], SummaryTable[[#This Row],[Code]], allFYsTable[year2], DW$3)=0, NotFound, SUMIFS(allFYsTable[RevisedBudget], allFYsTable[Code], SummaryTable[[#This Row],[Code]], allFYsTable[year2], DW$3))</f>
        <v>379</v>
      </c>
      <c r="EA107" s="61">
        <f>IF(COUNTIFS(allFYsTable[Code], SummaryTable[[#This Row],[Code]], allFYsTable[year2], DW$3)=0, NotFound, SUMIFS(allFYsTable[Actual], allFYsTable[Code], SummaryTable[[#This Row],[Code]], allFYsTable[year2], DW$3))</f>
        <v>366</v>
      </c>
      <c r="EB107" s="61">
        <f>IF(COUNTIFS(allFYsTable[Code], SummaryTable[[#This Row],[Code]], allFYsTable[year2], DW$3)=0, NotFound, SUMIFS(allFYsTable[DiffAmount], allFYsTable[Code], SummaryTable[[#This Row],[Code]], allFYsTable[year2], DW$3))</f>
        <v>-13</v>
      </c>
      <c r="EC107" s="63">
        <f>IF(SummaryTable[[#This Row],[OriginalBudget11]]=0, IF(SummaryTable[[#This Row],[DiffAmount11]]=0, ZeroBudgetNoSpending, ZeroBudgetWithSpending), SummaryTable[[#This Row],[DiffAmount11]]/SummaryTable[[#This Row],[OriginalBudget11]])</f>
        <v>-3.430079155672823E-2</v>
      </c>
      <c r="ED107" s="62">
        <f>IF(COUNTIFS(allFYsTable[Code], SummaryTable[[#This Row],[Code]], allFYsTable[year2], ED$3)=0, NotFound, SUMIFS(allFYsTable[OriginalBudget], allFYsTable[Code], SummaryTable[[#This Row],[Code]], allFYsTable[year2], ED$3))</f>
        <v>463</v>
      </c>
      <c r="EE107" s="61">
        <f>SummaryTable[[#This Row],[OriginalBudget10]]-SummaryTable[[#This Row],[OriginalBudget09]]</f>
        <v>1</v>
      </c>
      <c r="EF107" s="54">
        <f>SummaryTable[[#This Row],[BudgetIncreaseAmount10]]/SummaryTable[[#This Row],[OriginalBudget09]]</f>
        <v>2.1645021645021645E-3</v>
      </c>
      <c r="EG107" s="61">
        <f>IF(COUNTIFS(allFYsTable[Code], SummaryTable[[#This Row],[Code]], allFYsTable[year2], ED$3)=0, NotFound, SUMIFS(allFYsTable[RevisedBudget], allFYsTable[Code], SummaryTable[[#This Row],[Code]], allFYsTable[year2], ED$3))</f>
        <v>463</v>
      </c>
      <c r="EH107" s="61">
        <f>IF(COUNTIFS(allFYsTable[Code], SummaryTable[[#This Row],[Code]], allFYsTable[year2], ED$3)=0, NotFound, SUMIFS(allFYsTable[Actual], allFYsTable[Code], SummaryTable[[#This Row],[Code]], allFYsTable[year2], ED$3))</f>
        <v>423</v>
      </c>
      <c r="EI107" s="61">
        <f>IF(COUNTIFS(allFYsTable[Code], SummaryTable[[#This Row],[Code]], allFYsTable[year2], ED$3)=0, NotFound, SUMIFS(allFYsTable[DiffAmount], allFYsTable[Code], SummaryTable[[#This Row],[Code]], allFYsTable[year2], ED$3))</f>
        <v>-40</v>
      </c>
      <c r="EJ107" s="63">
        <f>IF(SummaryTable[[#This Row],[OriginalBudget10]]=0, IF(SummaryTable[[#This Row],[DiffAmount10]]=0, ZeroBudgetNoSpending, ZeroBudgetWithSpending), SummaryTable[[#This Row],[DiffAmount10]]/SummaryTable[[#This Row],[OriginalBudget10]])</f>
        <v>-8.6393088552915762E-2</v>
      </c>
      <c r="EK107" s="62">
        <f>IF(COUNTIFS(allFYsTable[Code], SummaryTable[[#This Row],[Code]], allFYsTable[year2], EK$3)=0, NotFound, SUMIFS(allFYsTable[OriginalBudget], allFYsTable[Code], SummaryTable[[#This Row],[Code]], allFYsTable[year2], EK$3))</f>
        <v>462</v>
      </c>
      <c r="EL107" s="61">
        <f>SummaryTable[[#This Row],[OriginalBudget09]]-SummaryTable[[#This Row],[OriginalBudget08]]</f>
        <v>112</v>
      </c>
      <c r="EM107" s="54">
        <f>SummaryTable[[#This Row],[BudgetIncreaseAmount09]]/SummaryTable[[#This Row],[OriginalBudget08]]</f>
        <v>0.32</v>
      </c>
      <c r="EN107" s="61">
        <f>IF(COUNTIFS(allFYsTable[Code], SummaryTable[[#This Row],[Code]], allFYsTable[year2], EK$3)=0, NotFound, SUMIFS(allFYsTable[RevisedBudget], allFYsTable[Code], SummaryTable[[#This Row],[Code]], allFYsTable[year2], EK$3))</f>
        <v>375</v>
      </c>
      <c r="EO107" s="61">
        <f>IF(COUNTIFS(allFYsTable[Code], SummaryTable[[#This Row],[Code]], allFYsTable[year2], EK$3)=0, NotFound, SUMIFS(allFYsTable[Actual], allFYsTable[Code], SummaryTable[[#This Row],[Code]], allFYsTable[year2], EK$3))</f>
        <v>322</v>
      </c>
      <c r="EP107" s="61">
        <f>IF(COUNTIFS(allFYsTable[Code], SummaryTable[[#This Row],[Code]], allFYsTable[year2], EK$3)=0, NotFound, SUMIFS(allFYsTable[DiffAmount], allFYsTable[Code], SummaryTable[[#This Row],[Code]], allFYsTable[year2], EK$3))</f>
        <v>-140</v>
      </c>
      <c r="EQ107" s="63">
        <f>IF(SummaryTable[[#This Row],[OriginalBudget09]]=0, IF(SummaryTable[[#This Row],[DiffAmount09]]=0, ZeroBudgetNoSpending, ZeroBudgetWithSpending), SummaryTable[[#This Row],[DiffAmount09]]/SummaryTable[[#This Row],[OriginalBudget09]])</f>
        <v>-0.30303030303030304</v>
      </c>
      <c r="ER107" s="62">
        <f>IF(COUNTIFS(allFYsTable[Code], SummaryTable[[#This Row],[Code]], allFYsTable[year2], ER$3)=0, NotFound, SUMIFS(allFYsTable[OriginalBudget], allFYsTable[Code], SummaryTable[[#This Row],[Code]], allFYsTable[year2], ER$3))</f>
        <v>350</v>
      </c>
      <c r="ES107" s="61">
        <f>SummaryTable[[#This Row],[OriginalBudget08]]-SummaryTable[[#This Row],[OriginalBudget07]]</f>
        <v>48</v>
      </c>
      <c r="ET107" s="54">
        <f>SummaryTable[[#This Row],[BudgetIncreaseAmount08]]/SummaryTable[[#This Row],[OriginalBudget07]]</f>
        <v>0.15894039735099338</v>
      </c>
      <c r="EU107" s="61">
        <f>IF(COUNTIFS(allFYsTable[Code], SummaryTable[[#This Row],[Code]], allFYsTable[year2], ER$3)=0, NotFound, SUMIFS(allFYsTable[RevisedBudget], allFYsTable[Code], SummaryTable[[#This Row],[Code]], allFYsTable[year2], ER$3))</f>
        <v>350</v>
      </c>
      <c r="EV107" s="61">
        <f>IF(COUNTIFS(allFYsTable[Code], SummaryTable[[#This Row],[Code]], allFYsTable[year2], ER$3)=0, NotFound, SUMIFS(allFYsTable[Actual], allFYsTable[Code], SummaryTable[[#This Row],[Code]], allFYsTable[year2], ER$3))</f>
        <v>295</v>
      </c>
      <c r="EW107" s="61">
        <f>IF(COUNTIFS(allFYsTable[Code], SummaryTable[[#This Row],[Code]], allFYsTable[year2], ER$3)=0, NotFound, SUMIFS(allFYsTable[DiffAmount], allFYsTable[Code], SummaryTable[[#This Row],[Code]], allFYsTable[year2], ER$3))</f>
        <v>-55</v>
      </c>
      <c r="EX107" s="63">
        <f>IF(SummaryTable[[#This Row],[OriginalBudget08]]=0, IF(SummaryTable[[#This Row],[DiffAmount08]]=0, ZeroBudgetNoSpending, ZeroBudgetWithSpending), SummaryTable[[#This Row],[DiffAmount08]]/SummaryTable[[#This Row],[OriginalBudget08]])</f>
        <v>-0.15714285714285714</v>
      </c>
      <c r="EY107" s="62">
        <f>IF(COUNTIFS(allFYsTable[Code], SummaryTable[[#This Row],[Code]], allFYsTable[year2], EY$3)=0, NotFound, SUMIFS(allFYsTable[OriginalBudget], allFYsTable[Code], SummaryTable[[#This Row],[Code]], allFYsTable[year2], EY$3))</f>
        <v>302</v>
      </c>
      <c r="EZ107" s="61">
        <f>SummaryTable[[#This Row],[OriginalBudget07]]-SummaryTable[[#This Row],[OriginalBudget06]]</f>
        <v>51</v>
      </c>
      <c r="FA107" s="54">
        <f>SummaryTable[[#This Row],[BudgetIncreaseAmount07]]/SummaryTable[[#This Row],[OriginalBudget06]]</f>
        <v>0.20318725099601595</v>
      </c>
      <c r="FB107" s="61">
        <f>IF(COUNTIFS(allFYsTable[Code], SummaryTable[[#This Row],[Code]], allFYsTable[year2], EY$3)=0, NotFound, SUMIFS(allFYsTable[RevisedBudget], allFYsTable[Code], SummaryTable[[#This Row],[Code]], allFYsTable[year2], EY$3))</f>
        <v>326</v>
      </c>
      <c r="FC107" s="61">
        <f>IF(COUNTIFS(allFYsTable[Code], SummaryTable[[#This Row],[Code]], allFYsTable[year2], EY$3)=0, NotFound, SUMIFS(allFYsTable[Actual], allFYsTable[Code], SummaryTable[[#This Row],[Code]], allFYsTable[year2], EY$3))</f>
        <v>306</v>
      </c>
      <c r="FD107" s="61">
        <f>IF(COUNTIFS(allFYsTable[Code], SummaryTable[[#This Row],[Code]], allFYsTable[year2], EY$3)=0, NotFound, SUMIFS(allFYsTable[DiffAmount], allFYsTable[Code], SummaryTable[[#This Row],[Code]], allFYsTable[year2], EY$3))</f>
        <v>4</v>
      </c>
      <c r="FE107" s="63">
        <f>IF(SummaryTable[[#This Row],[OriginalBudget07]]=0, IF(SummaryTable[[#This Row],[DiffAmount07]]=0, ZeroBudgetNoSpending, ZeroBudgetWithSpending), SummaryTable[[#This Row],[DiffAmount07]]/SummaryTable[[#This Row],[OriginalBudget07]])</f>
        <v>1.3245033112582781E-2</v>
      </c>
      <c r="FF107" s="62">
        <f>IF(COUNTIFS(allFYsTable[Code], SummaryTable[[#This Row],[Code]], allFYsTable[year2], FF$3)=0, NotFound, SUMIFS(allFYsTable[OriginalBudget], allFYsTable[Code], SummaryTable[[#This Row],[Code]], allFYsTable[year2], FF$3))</f>
        <v>251</v>
      </c>
      <c r="FI107" s="61">
        <f>IF(COUNTIFS(allFYsTable[Code], SummaryTable[[#This Row],[Code]], allFYsTable[year2], FF$3)=0, NotFound, SUMIFS(allFYsTable[RevisedBudget], allFYsTable[Code], SummaryTable[[#This Row],[Code]], allFYsTable[year2], FF$3))</f>
        <v>292</v>
      </c>
      <c r="FJ107" s="61">
        <f>IF(COUNTIFS(allFYsTable[Code], SummaryTable[[#This Row],[Code]], allFYsTable[year2], FF$3)=0, NotFound, SUMIFS(allFYsTable[Actual], allFYsTable[Code], SummaryTable[[#This Row],[Code]], allFYsTable[year2], FF$3))</f>
        <v>266</v>
      </c>
      <c r="FK107" s="61">
        <f>IF(COUNTIFS(allFYsTable[Code], SummaryTable[[#This Row],[Code]], allFYsTable[year2], FF$3)=0, NotFound, SUMIFS(allFYsTable[DiffAmount], allFYsTable[Code], SummaryTable[[#This Row],[Code]], allFYsTable[year2], FF$3))</f>
        <v>15</v>
      </c>
      <c r="FL107" s="63">
        <f>IF(SummaryTable[[#This Row],[OriginalBudget06]]=0, IF(SummaryTable[[#This Row],[DiffAmount06]]=0, ZeroBudgetNoSpending, ZeroBudgetWithSpending), SummaryTable[[#This Row],[DiffAmount06]]/SummaryTable[[#This Row],[OriginalBudget06]])</f>
        <v>5.9760956175298807E-2</v>
      </c>
    </row>
    <row r="108" spans="1:168" x14ac:dyDescent="0.45">
      <c r="A108" t="s">
        <v>767</v>
      </c>
      <c r="B108">
        <f>_xlfn.MAXIFS(allFYsTable[year2], allFYsTable[Code], SummaryTable[[#This Row],[Code]])</f>
        <v>2025</v>
      </c>
      <c r="C108" t="str">
        <f>_xlfn.XLOOKUP(SummaryTable[[#This Row],[Code]], NameCodingTable[Code], NameCodingTable[Most Recent Category per allFYs])</f>
        <v>Public safety and justice</v>
      </c>
      <c r="D108" t="str">
        <f>_xlfn.XLOOKUP(SummaryTable[[#This Row],[Code]], NameCodingTable[Code], NameCodingTable[Unit Display Name])</f>
        <v>Office of Victim Services and Justice Grants</v>
      </c>
      <c r="E108" t="str">
        <f>_xlfn.XLOOKUP(SummaryTable[[#This Row],[Code]], NameCodingTable[Code], NameCodingTable[Type])</f>
        <v>agency</v>
      </c>
      <c r="F10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7</v>
      </c>
      <c r="G10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08" s="54">
        <f>SummaryTable[[#This Row],['# Over]]/SummaryTable[[#This Row],[Count]]</f>
        <v>0</v>
      </c>
      <c r="I10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7</v>
      </c>
      <c r="J108" s="54">
        <f>SummaryTable[[#This Row],['# Under]]/SummaryTable[[#This Row],[Count]]</f>
        <v>1</v>
      </c>
      <c r="K10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08" s="54">
        <f>SummaryTable[[#This Row],['# Equal]]/SummaryTable[[#This Row],[Count]]</f>
        <v>0</v>
      </c>
      <c r="M108" s="61">
        <f>SUMIFS(allFYsTable[OriginalBudget],allFYsTable[Code],SummaryTable[[#This Row],[Code]])/SummaryTable[[#This Row],[Count]]</f>
        <v>61581.857142857145</v>
      </c>
      <c r="N108" s="61">
        <f>SUMIFS(allFYsTable[Actual],allFYsTable[Code],SummaryTable[[#This Row],[Code]])/SummaryTable[[#This Row],[Count]]</f>
        <v>59092</v>
      </c>
      <c r="O108" s="61">
        <f>SummaryTable[[#This Row],[AvgActAmt]]-SummaryTable[[#This Row],[AvgBudAmt]]</f>
        <v>-2489.8571428571449</v>
      </c>
      <c r="P108" s="54">
        <f>IF(SummaryTable[[#This Row],[AvgBudAmt]]=0, IF(SummaryTable[[#This Row],[AvgDiff'#]]=0, 0, NamedFields!$C$3), SummaryTable[[#This Row],[AvgDiff'#]]/SummaryTable[[#This Row],[AvgBudAmt]])</f>
        <v>-4.0431667026234568E-2</v>
      </c>
      <c r="Q108" s="61">
        <f>IFERROR(SUMIFS(allFYsTable[OriginalBudget],allFYsTable[Code],SummaryTable[[#This Row],[Code]],allFYsTable[DiffAmount], "&gt;0")/SummaryTable[[#This Row],['# Over]], 0)</f>
        <v>0</v>
      </c>
      <c r="R108" s="61">
        <f>IFERROR(SUMIFS(allFYsTable[Actual],allFYsTable[Code],SummaryTable[[#This Row],[Code]],allFYsTable[DiffAmount], "&gt;0")/SummaryTable[[#This Row],['# Over]], 0)</f>
        <v>0</v>
      </c>
      <c r="S108" s="61">
        <f>SummaryTable[[#This Row],[OverAvgAct]]-SummaryTable[[#This Row],[OverAvgBud]]</f>
        <v>0</v>
      </c>
      <c r="T108" s="54">
        <f>IF(SummaryTable[[#This Row],[OverAvgBud]]=0, IF(SummaryTable[[#This Row],[OverAvgDiff'#]]=0, ZeroBudgetNoSpending, ZeroBudgetWithSpending), SummaryTable[[#This Row],[OverAvgDiff'#]]/SummaryTable[[#This Row],[OverAvgBud]])</f>
        <v>0</v>
      </c>
      <c r="U108" s="61">
        <f>IFERROR(SUMIFS(allFYsTable[OriginalBudget],allFYsTable[Code],SummaryTable[[#This Row],[Code]],allFYsTable[DiffAmount], "&lt;0")/SummaryTable[[#This Row],['# Under]], 0)</f>
        <v>61581.857142857145</v>
      </c>
      <c r="V108" s="61">
        <f>IFERROR( SUMIFS(allFYsTable[Actual],allFYsTable[Code],SummaryTable[[#This Row],[Code]],allFYsTable[DiffAmount], "&lt;0")/SummaryTable[[#This Row],['# Under]], 0)</f>
        <v>59092</v>
      </c>
      <c r="W108" s="61">
        <f>SummaryTable[[#This Row],[UnderAvgAct]]-SummaryTable[[#This Row],[UnderAvgBud]]</f>
        <v>-2489.8571428571449</v>
      </c>
      <c r="X108" s="54">
        <f>IF(SummaryTable[[#This Row],[UnderAvgBud]]=0, IF(SummaryTable[[#This Row],[UnderAvgDiff'#]]=0, ZeroBudgetNoSpending, NamedFields!$C$3), SummaryTable[[#This Row],[UnderAvgDiff'#]]/SummaryTable[[#This Row],[UnderAvgBud]])</f>
        <v>-4.0431667026234568E-2</v>
      </c>
      <c r="Y10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10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8" s="54">
        <f>IF(SummaryTable[[#This Row],[IncreaseYears]]=0, ZeroBudgetNoSpending, SummaryTable[[#This Row],[OSinIncreaseYear'#]]/SummaryTable[[#This Row],[IncreaseYears]])</f>
        <v>0</v>
      </c>
      <c r="AB108" s="58" t="str">
        <f>SummaryTable[[#This Row],[Code]]</f>
        <v>FC0</v>
      </c>
      <c r="AC108" s="62">
        <f>IF(COUNTIFS(allFYsTable[Code], SummaryTable[[#This Row],[Code]], allFYsTable[year2], AC$3)=0, NotFound, SUMIFS(allFYsTable[OriginalBudget], allFYsTable[Code], SummaryTable[[#This Row],[Code]], allFYsTable[year2], AC$3))</f>
        <v>92378</v>
      </c>
      <c r="AD108" s="61">
        <f>SummaryTable[[#This Row],[OriginalBudget25]]-SummaryTable[[#This Row],[OriginalBudget24]]</f>
        <v>4616</v>
      </c>
      <c r="AE108" s="54">
        <f>SummaryTable[[#This Row],[BudgetIncreaseAmount25]]/SummaryTable[[#This Row],[OriginalBudget24]]</f>
        <v>5.2596795879765727E-2</v>
      </c>
      <c r="AF108" s="61">
        <f>IF(COUNTIFS(allFYsTable[Code], SummaryTable[[#This Row],[Code]], allFYsTable[year2], AC$3)=0, NotFound, SUMIFS(allFYsTable[RevisedBudget], allFYsTable[Code], SummaryTable[[#This Row],[Code]], allFYsTable[year2], AC$3))</f>
        <v>89933</v>
      </c>
      <c r="AG108" s="61">
        <f>IF(COUNTIFS(allFYsTable[Code], SummaryTable[[#This Row],[Code]], allFYsTable[year2], AC$3)=0, NotFound, SUMIFS(allFYsTable[Actual], allFYsTable[Code], SummaryTable[[#This Row],[Code]], allFYsTable[year2], AC$3))</f>
        <v>87592</v>
      </c>
      <c r="AH108" s="61">
        <f>IF(COUNTIFS(allFYsTable[Code], SummaryTable[[#This Row],[Code]], allFYsTable[year2], AC$3)=0, NotFound, SUMIFS(allFYsTable[DiffAmount], allFYsTable[Code], SummaryTable[[#This Row],[Code]], allFYsTable[year2], AC$3))</f>
        <v>-4786</v>
      </c>
      <c r="AI108" s="63">
        <f>IF(SummaryTable[[#This Row],[OriginalBudget25]]=0, IF(SummaryTable[[#This Row],[DiffAmount25]]=0, ZeroBudgetNoSpending, ZeroBudgetWithSpending), SummaryTable[[#This Row],[DiffAmount25]]/SummaryTable[[#This Row],[OriginalBudget25]])</f>
        <v>-5.1808872242308776E-2</v>
      </c>
      <c r="AJ108" s="62">
        <f>IF(COUNTIFS(allFYsTable[Code], SummaryTable[[#This Row],[Code]], allFYsTable[year2], AJ$3)=0, NotFound, SUMIFS(allFYsTable[OriginalBudget], allFYsTable[Code], SummaryTable[[#This Row],[Code]], allFYsTable[year2], AJ$3))</f>
        <v>87762</v>
      </c>
      <c r="AK108" s="61">
        <f>SummaryTable[[#This Row],[OriginalBudget24]]-SummaryTable[[#This Row],[OriginalBudget23]]</f>
        <v>5564</v>
      </c>
      <c r="AL108" s="54">
        <f>SummaryTable[[#This Row],[BudgetIncreaseAmount24]]/SummaryTable[[#This Row],[OriginalBudget23]]</f>
        <v>6.7690211440667655E-2</v>
      </c>
      <c r="AM108" s="61">
        <f>IF(COUNTIFS(allFYsTable[Code], SummaryTable[[#This Row],[Code]], allFYsTable[year2], AK$3)=0, NotFound, SUMIFS(allFYsTable[RevisedBudget], allFYsTable[Code], SummaryTable[[#This Row],[Code]], allFYsTable[year2], AJ$3))</f>
        <v>86898</v>
      </c>
      <c r="AN108" s="61">
        <f>IF(COUNTIFS(allFYsTable[Code], SummaryTable[[#This Row],[Code]], allFYsTable[year2], AJ$3)=0, NotFound, SUMIFS(allFYsTable[Actual], allFYsTable[Code], SummaryTable[[#This Row],[Code]], allFYsTable[year2], AJ$3))</f>
        <v>84090</v>
      </c>
      <c r="AO108" s="61">
        <f>IF(COUNTIFS(allFYsTable[Code], SummaryTable[[#This Row],[Code]], allFYsTable[year2], AJ$3)=0, NotFound, SUMIFS(allFYsTable[DiffAmount], allFYsTable[Code], SummaryTable[[#This Row],[Code]], allFYsTable[year2], AJ$3))</f>
        <v>-3672</v>
      </c>
      <c r="AP108" s="63">
        <f>IF(SummaryTable[[#This Row],[OriginalBudget24]]=0, IF(SummaryTable[[#This Row],[DiffAmount24]]=0, ZeroBudgetNoSpending, ZeroBudgetWithSpending), SummaryTable[[#This Row],[DiffAmount24]]/SummaryTable[[#This Row],[OriginalBudget24]])</f>
        <v>-4.1840432077664594E-2</v>
      </c>
      <c r="AQ108" s="62">
        <f>IF(COUNTIFS(allFYsTable[Code], SummaryTable[[#This Row],[Code]], allFYsTable[year2], AQ$3)=0, NotFound, SUMIFS(allFYsTable[OriginalBudget], allFYsTable[Code], SummaryTable[[#This Row],[Code]], allFYsTable[year2], AQ$3))</f>
        <v>82198</v>
      </c>
      <c r="AR108" s="61">
        <f>SummaryTable[[#This Row],[OriginalBudget23]]-SummaryTable[[#This Row],[OriginalBudget22]]</f>
        <v>29148</v>
      </c>
      <c r="AS108" s="54">
        <f>SummaryTable[[#This Row],[BudgetIncreaseAmount23]]/SummaryTable[[#This Row],[OriginalBudget22]]</f>
        <v>0.54944392082940618</v>
      </c>
      <c r="AT108" s="61">
        <f>IF(COUNTIFS(allFYsTable[Code], SummaryTable[[#This Row],[Code]], allFYsTable[year2], AQ$3)=0, NotFound, SUMIFS(allFYsTable[RevisedBudget], allFYsTable[Code], SummaryTable[[#This Row],[Code]], allFYsTable[year2], AQ$3))</f>
        <v>84860</v>
      </c>
      <c r="AU108" s="61">
        <f>IF(COUNTIFS(allFYsTable[Code], SummaryTable[[#This Row],[Code]], allFYsTable[year2], AQ$3)=0, NotFound, SUMIFS(allFYsTable[Actual], allFYsTable[Code], SummaryTable[[#This Row],[Code]], allFYsTable[year2], AQ$3))</f>
        <v>81212</v>
      </c>
      <c r="AV108" s="61">
        <f>IF(COUNTIFS(allFYsTable[Code], SummaryTable[[#This Row],[Code]], allFYsTable[year2], AQ$3)=0, NotFound, SUMIFS(allFYsTable[DiffAmount], allFYsTable[Code], SummaryTable[[#This Row],[Code]], allFYsTable[year2], AQ$3))</f>
        <v>-986</v>
      </c>
      <c r="AW108" s="63">
        <f>IF(SummaryTable[[#This Row],[OriginalBudget23]]=0, IF(SummaryTable[[#This Row],[DiffAmount23]]=0, ZeroBudgetNoSpending, ZeroBudgetWithSpending), SummaryTable[[#This Row],[DiffAmount23]]/SummaryTable[[#This Row],[OriginalBudget23]])</f>
        <v>-1.1995425679456922E-2</v>
      </c>
      <c r="AX108" s="62">
        <f>IF(COUNTIFS(allFYsTable[Code], SummaryTable[[#This Row],[Code]], allFYsTable[year2], AX$3)=0, NotFound, SUMIFS(allFYsTable[OriginalBudget], allFYsTable[Code], SummaryTable[[#This Row],[Code]], allFYsTable[year2], AX$3))</f>
        <v>53050</v>
      </c>
      <c r="AY108" s="61">
        <f>SummaryTable[[#This Row],[OriginalBudget22]]-SummaryTable[[#This Row],[OriginalBudget21]]</f>
        <v>9434</v>
      </c>
      <c r="AZ108" s="54">
        <f>SummaryTable[[#This Row],[BudgetIncreaseAmount22]]/SummaryTable[[#This Row],[OriginalBudget21]]</f>
        <v>0.21629677182685253</v>
      </c>
      <c r="BA108" s="61">
        <f>IF(COUNTIFS(allFYsTable[Code], SummaryTable[[#This Row],[Code]], allFYsTable[year2], AX$3)=0, NotFound, SUMIFS(allFYsTable[RevisedBudget], allFYsTable[Code], SummaryTable[[#This Row],[Code]], allFYsTable[year2], AX$3))</f>
        <v>52947</v>
      </c>
      <c r="BB108" s="61">
        <f>IF(COUNTIFS(allFYsTable[Code], SummaryTable[[#This Row],[Code]], allFYsTable[year2], AX$3)=0, NotFound, SUMIFS(allFYsTable[Actual], allFYsTable[Code], SummaryTable[[#This Row],[Code]], allFYsTable[year2], AX$3))</f>
        <v>50741</v>
      </c>
      <c r="BC108" s="61">
        <f>IF(COUNTIFS(allFYsTable[Code], SummaryTable[[#This Row],[Code]], allFYsTable[year2], AX$3)=0, NotFound, SUMIFS(allFYsTable[DiffAmount], allFYsTable[Code], SummaryTable[[#This Row],[Code]], allFYsTable[year2], AX$3))</f>
        <v>-2309</v>
      </c>
      <c r="BD108" s="63">
        <f>IF(SummaryTable[[#This Row],[OriginalBudget22]]=0, IF(SummaryTable[[#This Row],[DiffAmount22]]=0, ZeroBudgetNoSpending, ZeroBudgetWithSpending), SummaryTable[[#This Row],[DiffAmount22]]/SummaryTable[[#This Row],[OriginalBudget22]])</f>
        <v>-4.3524976437323282E-2</v>
      </c>
      <c r="BE108" s="62">
        <f>IF(COUNTIFS(allFYsTable[Code], SummaryTable[[#This Row],[Code]], allFYsTable[year2], BE$3)=0, NotFound, SUMIFS(allFYsTable[OriginalBudget], allFYsTable[Code], SummaryTable[[#This Row],[Code]], allFYsTable[year2], BE$3))</f>
        <v>43616</v>
      </c>
      <c r="BF108" s="61">
        <f>SummaryTable[[#This Row],[OriginalBudget21]]-SummaryTable[[#This Row],[OriginalBudget20]]</f>
        <v>5564</v>
      </c>
      <c r="BG108" s="54">
        <f>SummaryTable[[#This Row],[BudgetIncreaseAmount21]]/SummaryTable[[#This Row],[OriginalBudget20]]</f>
        <v>0.14622096079049721</v>
      </c>
      <c r="BH108" s="61">
        <f>IF(COUNTIFS(allFYsTable[Code], SummaryTable[[#This Row],[Code]], allFYsTable[year2], BE$3)=0, NotFound, SUMIFS(allFYsTable[RevisedBudget], allFYsTable[Code], SummaryTable[[#This Row],[Code]], allFYsTable[year2], BE$3))</f>
        <v>42564</v>
      </c>
      <c r="BI108" s="61">
        <f>IF(COUNTIFS(allFYsTable[Code], SummaryTable[[#This Row],[Code]], allFYsTable[year2], BE$3)=0, NotFound, SUMIFS(allFYsTable[Actual], allFYsTable[Code], SummaryTable[[#This Row],[Code]], allFYsTable[year2], BE$3))</f>
        <v>41561</v>
      </c>
      <c r="BJ108" s="61">
        <f>IF(COUNTIFS(allFYsTable[Code], SummaryTable[[#This Row],[Code]], allFYsTable[year2], BE$3)=0, NotFound, SUMIFS(allFYsTable[DiffAmount], allFYsTable[Code], SummaryTable[[#This Row],[Code]], allFYsTable[year2], BE$3))</f>
        <v>-2055</v>
      </c>
      <c r="BK108" s="63">
        <f>IF(SummaryTable[[#This Row],[OriginalBudget21]]=0, IF(SummaryTable[[#This Row],[DiffAmount21]]=0, ZeroBudgetNoSpending, ZeroBudgetWithSpending), SummaryTable[[#This Row],[DiffAmount21]]/SummaryTable[[#This Row],[OriginalBudget21]])</f>
        <v>-4.7115737344093911E-2</v>
      </c>
      <c r="BL108" s="62">
        <f>IF(COUNTIFS(allFYsTable[Code], SummaryTable[[#This Row],[Code]], allFYsTable[year2], BL$3)=0, NotFound, SUMIFS(allFYsTable[OriginalBudget], allFYsTable[Code], SummaryTable[[#This Row],[Code]], allFYsTable[year2], BL$3))</f>
        <v>38052</v>
      </c>
      <c r="BM108" s="61">
        <f>SummaryTable[[#This Row],[OriginalBudget20]]-SummaryTable[[#This Row],[OriginalBudget19]]</f>
        <v>4035</v>
      </c>
      <c r="BN108" s="54">
        <f>SummaryTable[[#This Row],[BudgetIncreaseAmount20]]/SummaryTable[[#This Row],[OriginalBudget19]]</f>
        <v>0.11861716200723167</v>
      </c>
      <c r="BO108" s="61">
        <f>IF(COUNTIFS(allFYsTable[Code], SummaryTable[[#This Row],[Code]], allFYsTable[year2], BL$3)=0, NotFound, SUMIFS(allFYsTable[RevisedBudget], allFYsTable[Code], SummaryTable[[#This Row],[Code]], allFYsTable[year2], BL$3))</f>
        <v>35989</v>
      </c>
      <c r="BP108" s="61">
        <f>IF(COUNTIFS(allFYsTable[Code], SummaryTable[[#This Row],[Code]], allFYsTable[year2], BL$3)=0, NotFound, SUMIFS(allFYsTable[Actual], allFYsTable[Code], SummaryTable[[#This Row],[Code]], allFYsTable[year2], BL$3))</f>
        <v>35416</v>
      </c>
      <c r="BQ108" s="61">
        <f>IF(COUNTIFS(allFYsTable[Code], SummaryTable[[#This Row],[Code]], allFYsTable[year2], BL$3)=0, NotFound, SUMIFS(allFYsTable[DiffAmount], allFYsTable[Code], SummaryTable[[#This Row],[Code]], allFYsTable[year2], BL$3))</f>
        <v>-2636</v>
      </c>
      <c r="BR108" s="63">
        <f>IF(SummaryTable[[#This Row],[OriginalBudget20]]=0, IF(SummaryTable[[#This Row],[DiffAmount20]]=0, ZeroBudgetNoSpending, ZeroBudgetWithSpending), SummaryTable[[#This Row],[DiffAmount20]]/SummaryTable[[#This Row],[OriginalBudget20]])</f>
        <v>-6.9273625565016289E-2</v>
      </c>
      <c r="BS108" s="62">
        <f>IF(COUNTIFS(allFYsTable[Code], SummaryTable[[#This Row],[Code]], allFYsTable[year2], BS$3)=0, NotFound, SUMIFS(allFYsTable[OriginalBudget], allFYsTable[Code], SummaryTable[[#This Row],[Code]], allFYsTable[year2], BS$3))</f>
        <v>34017</v>
      </c>
      <c r="BT108" s="61" t="e">
        <f>SummaryTable[[#This Row],[OriginalBudget19]]-SummaryTable[[#This Row],[OriginalBudget18]]</f>
        <v>#N/A</v>
      </c>
      <c r="BU108" s="54" t="e">
        <f>SummaryTable[[#This Row],[BudgetIncreaseAmount19]]/SummaryTable[[#This Row],[OriginalBudget18]]</f>
        <v>#N/A</v>
      </c>
      <c r="BV108" s="61">
        <f>IF(COUNTIFS(allFYsTable[Code], SummaryTable[[#This Row],[Code]], allFYsTable[year2], BS$3)=0, NotFound, SUMIFS(allFYsTable[RevisedBudget], allFYsTable[Code], SummaryTable[[#This Row],[Code]], allFYsTable[year2], BS$3))</f>
        <v>33916</v>
      </c>
      <c r="BW108" s="61">
        <f>IF(COUNTIFS(allFYsTable[Code], SummaryTable[[#This Row],[Code]], allFYsTable[year2], BS$3)=0, NotFound, SUMIFS(allFYsTable[Actual], allFYsTable[Code], SummaryTable[[#This Row],[Code]], allFYsTable[year2], BS$3))</f>
        <v>33032</v>
      </c>
      <c r="BX108" s="61">
        <f>IF(COUNTIFS(allFYsTable[Code], SummaryTable[[#This Row],[Code]], allFYsTable[year2], BS$3)=0, NotFound, SUMIFS(allFYsTable[DiffAmount], allFYsTable[Code], SummaryTable[[#This Row],[Code]], allFYsTable[year2], BS$3))</f>
        <v>-985</v>
      </c>
      <c r="BY108" s="63">
        <f>IF(SummaryTable[[#This Row],[OriginalBudget19]]=0, IF(SummaryTable[[#This Row],[DiffAmount19]]=0, ZeroBudgetNoSpending, ZeroBudgetWithSpending), SummaryTable[[#This Row],[DiffAmount19]]/SummaryTable[[#This Row],[OriginalBudget19]])</f>
        <v>-2.8956110180204015E-2</v>
      </c>
      <c r="BZ108" s="62" t="e">
        <f>IF(COUNTIFS(allFYsTable[Code], SummaryTable[[#This Row],[Code]], allFYsTable[year2], BZ$3)=0, NotFound, SUMIFS(allFYsTable[OriginalBudget], allFYsTable[Code], SummaryTable[[#This Row],[Code]], allFYsTable[year2], BZ$3))</f>
        <v>#N/A</v>
      </c>
      <c r="CA108" s="61" t="e">
        <f>SummaryTable[[#This Row],[OriginalBudget18]]-SummaryTable[[#This Row],[OriginalBudget17]]</f>
        <v>#N/A</v>
      </c>
      <c r="CB108" s="54" t="e">
        <f>SummaryTable[[#This Row],[BudgetIncreaseAmount18]]/SummaryTable[[#This Row],[OriginalBudget17]]</f>
        <v>#N/A</v>
      </c>
      <c r="CC108" s="61" t="e">
        <f>IF(COUNTIFS(allFYsTable[Code], SummaryTable[[#This Row],[Code]], allFYsTable[year2], BZ$3)=0, NotFound, SUMIFS(allFYsTable[RevisedBudget], allFYsTable[Code], SummaryTable[[#This Row],[Code]], allFYsTable[year2], BZ$3))</f>
        <v>#N/A</v>
      </c>
      <c r="CD108" s="61" t="e">
        <f>IF(COUNTIFS(allFYsTable[Code], SummaryTable[[#This Row],[Code]], allFYsTable[year2], BZ$3)=0, NotFound, SUMIFS(allFYsTable[Actual], allFYsTable[Code], SummaryTable[[#This Row],[Code]], allFYsTable[year2], BZ$3))</f>
        <v>#N/A</v>
      </c>
      <c r="CE108" s="61" t="e">
        <f>IF(COUNTIFS(allFYsTable[Code], SummaryTable[[#This Row],[Code]], allFYsTable[year2], BZ$3)=0, NotFound, SUMIFS(allFYsTable[DiffAmount], allFYsTable[Code], SummaryTable[[#This Row],[Code]], allFYsTable[year2], BZ$3))</f>
        <v>#N/A</v>
      </c>
      <c r="CF108" s="63" t="e">
        <f>IF(SummaryTable[[#This Row],[OriginalBudget18]]=0, IF(SummaryTable[[#This Row],[DiffAmount18]]=0, ZeroBudgetNoSpending, ZeroBudgetWithSpending), SummaryTable[[#This Row],[DiffAmount18]]/SummaryTable[[#This Row],[OriginalBudget18]])</f>
        <v>#N/A</v>
      </c>
      <c r="CG108" s="62" t="e">
        <f>IF(COUNTIFS(allFYsTable[Code], SummaryTable[[#This Row],[Code]], allFYsTable[year2], CG$3)=0, NotFound, SUMIFS(allFYsTable[OriginalBudget], allFYsTable[Code], SummaryTable[[#This Row],[Code]], allFYsTable[year2], CG$3))</f>
        <v>#N/A</v>
      </c>
      <c r="CH108" s="61" t="e">
        <f>SummaryTable[[#This Row],[OriginalBudget17]]-SummaryTable[[#This Row],[OriginalBudget16]]</f>
        <v>#N/A</v>
      </c>
      <c r="CI108" s="54" t="e">
        <f>SummaryTable[[#This Row],[BudgetIncreaseAmount17]]/SummaryTable[[#This Row],[OriginalBudget16]]</f>
        <v>#N/A</v>
      </c>
      <c r="CJ108" s="61" t="e">
        <f>IF(COUNTIFS(allFYsTable[Code], SummaryTable[[#This Row],[Code]], allFYsTable[year2], CG$3)=0, NotFound, SUMIFS(allFYsTable[RevisedBudget], allFYsTable[Code], SummaryTable[[#This Row],[Code]], allFYsTable[year2], CG$3))</f>
        <v>#N/A</v>
      </c>
      <c r="CK108" s="61" t="e">
        <f>IF(COUNTIFS(allFYsTable[Code], SummaryTable[[#This Row],[Code]], allFYsTable[year2], CG$3)=0, NotFound, SUMIFS(allFYsTable[Actual], allFYsTable[Code], SummaryTable[[#This Row],[Code]], allFYsTable[year2], CG$3))</f>
        <v>#N/A</v>
      </c>
      <c r="CL108" s="61" t="e">
        <f>IF(COUNTIFS(allFYsTable[Code], SummaryTable[[#This Row],[Code]], allFYsTable[year2], CG$3)=0, NotFound, SUMIFS(allFYsTable[DiffAmount], allFYsTable[Code], SummaryTable[[#This Row],[Code]], allFYsTable[year2], CG$3))</f>
        <v>#N/A</v>
      </c>
      <c r="CM108" s="63" t="e">
        <f>IF(SummaryTable[[#This Row],[OriginalBudget17]]=0, IF(SummaryTable[[#This Row],[DiffAmount17]]=0, ZeroBudgetNoSpending, ZeroBudgetWithSpending), SummaryTable[[#This Row],[DiffAmount17]]/SummaryTable[[#This Row],[OriginalBudget17]])</f>
        <v>#N/A</v>
      </c>
      <c r="CN108" s="62" t="e">
        <f>IF(COUNTIFS(allFYsTable[Code], SummaryTable[[#This Row],[Code]], allFYsTable[year2], CN$3)=0, NotFound, SUMIFS(allFYsTable[OriginalBudget], allFYsTable[Code], SummaryTable[[#This Row],[Code]], allFYsTable[year2], CN$3))</f>
        <v>#N/A</v>
      </c>
      <c r="CO108" s="61" t="e">
        <f>SummaryTable[[#This Row],[OriginalBudget16]]-SummaryTable[[#This Row],[OriginalBudget15]]</f>
        <v>#N/A</v>
      </c>
      <c r="CP108" s="54" t="e">
        <f>SummaryTable[[#This Row],[BudgetIncreaseAmount16]]/SummaryTable[[#This Row],[OriginalBudget15]]</f>
        <v>#N/A</v>
      </c>
      <c r="CQ108" s="61" t="e">
        <f>IF(COUNTIFS(allFYsTable[Code], SummaryTable[[#This Row],[Code]], allFYsTable[year2], CN$3)=0, NotFound, SUMIFS(allFYsTable[RevisedBudget], allFYsTable[Code], SummaryTable[[#This Row],[Code]], allFYsTable[year2], CN$3))</f>
        <v>#N/A</v>
      </c>
      <c r="CR108" s="61" t="e">
        <f>IF(COUNTIFS(allFYsTable[Code], SummaryTable[[#This Row],[Code]], allFYsTable[year2], CN$3)=0, NotFound, SUMIFS(allFYsTable[Actual], allFYsTable[Code], SummaryTable[[#This Row],[Code]], allFYsTable[year2], CN$3))</f>
        <v>#N/A</v>
      </c>
      <c r="CS108" s="61" t="e">
        <f>IF(COUNTIFS(allFYsTable[Code], SummaryTable[[#This Row],[Code]], allFYsTable[year2], CN$3)=0, NotFound, SUMIFS(allFYsTable[DiffAmount], allFYsTable[Code], SummaryTable[[#This Row],[Code]], allFYsTable[year2], CN$3))</f>
        <v>#N/A</v>
      </c>
      <c r="CT108" s="63" t="e">
        <f>IF(SummaryTable[[#This Row],[OriginalBudget16]]=0, IF(SummaryTable[[#This Row],[DiffAmount16]]=0, ZeroBudgetNoSpending, ZeroBudgetWithSpending), SummaryTable[[#This Row],[DiffAmount16]]/SummaryTable[[#This Row],[OriginalBudget16]])</f>
        <v>#N/A</v>
      </c>
      <c r="CU108" s="62" t="e">
        <f>IF(COUNTIFS(allFYsTable[Code], SummaryTable[[#This Row],[Code]], allFYsTable[year2], CU$3)=0, NotFound, SUMIFS(allFYsTable[OriginalBudget], allFYsTable[Code], SummaryTable[[#This Row],[Code]], allFYsTable[year2], CU$3))</f>
        <v>#N/A</v>
      </c>
      <c r="CV108" s="61" t="e">
        <f>SummaryTable[[#This Row],[OriginalBudget15]]-SummaryTable[[#This Row],[OriginalBudget14]]</f>
        <v>#N/A</v>
      </c>
      <c r="CW108" s="54" t="e">
        <f>SummaryTable[[#This Row],[BudgetIncreaseAmount15]]/SummaryTable[[#This Row],[OriginalBudget14]]</f>
        <v>#N/A</v>
      </c>
      <c r="CX108" s="61" t="e">
        <f>IF(COUNTIFS(allFYsTable[Code], SummaryTable[[#This Row],[Code]], allFYsTable[year2], CU$3)=0, NotFound, SUMIFS(allFYsTable[RevisedBudget], allFYsTable[Code], SummaryTable[[#This Row],[Code]], allFYsTable[year2], CU$3))</f>
        <v>#N/A</v>
      </c>
      <c r="CY108" s="61" t="e">
        <f>IF(COUNTIFS(allFYsTable[Code], SummaryTable[[#This Row],[Code]], allFYsTable[year2], CU$3)=0, NotFound, SUMIFS(allFYsTable[Actual], allFYsTable[Code], SummaryTable[[#This Row],[Code]], allFYsTable[year2], CU$3))</f>
        <v>#N/A</v>
      </c>
      <c r="CZ108" s="61" t="e">
        <f>IF(COUNTIFS(allFYsTable[Code], SummaryTable[[#This Row],[Code]], allFYsTable[year2], CU$3)=0, NotFound, SUMIFS(allFYsTable[DiffAmount], allFYsTable[Code], SummaryTable[[#This Row],[Code]], allFYsTable[year2], CU$3))</f>
        <v>#N/A</v>
      </c>
      <c r="DA108" s="63" t="e">
        <f>IF(SummaryTable[[#This Row],[OriginalBudget15]]=0, IF(SummaryTable[[#This Row],[DiffAmount15]]=0, ZeroBudgetNoSpending, ZeroBudgetWithSpending), SummaryTable[[#This Row],[DiffAmount15]]/SummaryTable[[#This Row],[OriginalBudget15]])</f>
        <v>#N/A</v>
      </c>
      <c r="DB108" s="62" t="e">
        <f>IF(COUNTIFS(allFYsTable[Code], SummaryTable[[#This Row],[Code]], allFYsTable[year2], DB$3)=0, NotFound, SUMIFS(allFYsTable[OriginalBudget], allFYsTable[Code], SummaryTable[[#This Row],[Code]], allFYsTable[year2], DB$3))</f>
        <v>#N/A</v>
      </c>
      <c r="DC108" s="61" t="e">
        <f>SummaryTable[[#This Row],[OriginalBudget14]]-SummaryTable[[#This Row],[OriginalBudget13]]</f>
        <v>#N/A</v>
      </c>
      <c r="DD108" s="54" t="e">
        <f>SummaryTable[[#This Row],[BudgetIncreaseAmount14]]/SummaryTable[[#This Row],[OriginalBudget13]]</f>
        <v>#N/A</v>
      </c>
      <c r="DE108" s="61" t="e">
        <f>IF(COUNTIFS(allFYsTable[Code], SummaryTable[[#This Row],[Code]], allFYsTable[year2], DB$3)=0, NotFound, SUMIFS(allFYsTable[RevisedBudget], allFYsTable[Code], SummaryTable[[#This Row],[Code]], allFYsTable[year2], DB$3))</f>
        <v>#N/A</v>
      </c>
      <c r="DF108" s="61" t="e">
        <f>IF(COUNTIFS(allFYsTable[Code], SummaryTable[[#This Row],[Code]], allFYsTable[year2], DB$3)=0, NotFound, SUMIFS(allFYsTable[Actual], allFYsTable[Code], SummaryTable[[#This Row],[Code]], allFYsTable[year2], DB$3))</f>
        <v>#N/A</v>
      </c>
      <c r="DG108" s="61" t="e">
        <f>IF(COUNTIFS(allFYsTable[Code], SummaryTable[[#This Row],[Code]], allFYsTable[year2], DB$3)=0, NotFound, SUMIFS(allFYsTable[DiffAmount], allFYsTable[Code], SummaryTable[[#This Row],[Code]], allFYsTable[year2], DB$3))</f>
        <v>#N/A</v>
      </c>
      <c r="DH108" s="63" t="e">
        <f>IF(SummaryTable[[#This Row],[OriginalBudget14]]=0, IF(SummaryTable[[#This Row],[DiffAmount14]]=0, ZeroBudgetNoSpending, ZeroBudgetWithSpending), SummaryTable[[#This Row],[DiffAmount14]]/SummaryTable[[#This Row],[OriginalBudget14]])</f>
        <v>#N/A</v>
      </c>
      <c r="DI108" s="62" t="e">
        <f>IF(COUNTIFS(allFYsTable[Code], SummaryTable[[#This Row],[Code]], allFYsTable[year2], DI$3)=0, NotFound, SUMIFS(allFYsTable[OriginalBudget], allFYsTable[Code], SummaryTable[[#This Row],[Code]], allFYsTable[year2], DI$3))</f>
        <v>#N/A</v>
      </c>
      <c r="DJ108" s="61" t="e">
        <f>SummaryTable[[#This Row],[OriginalBudget13]]-SummaryTable[[#This Row],[OriginalBudget12]]</f>
        <v>#N/A</v>
      </c>
      <c r="DK108" s="54" t="e">
        <f>SummaryTable[[#This Row],[BudgetIncreaseAmount13]]/SummaryTable[[#This Row],[OriginalBudget12]]</f>
        <v>#N/A</v>
      </c>
      <c r="DL108" s="61" t="e">
        <f>IF(COUNTIFS(allFYsTable[Code], SummaryTable[[#This Row],[Code]], allFYsTable[year2], DI$3)=0, NotFound, SUMIFS(allFYsTable[RevisedBudget], allFYsTable[Code], SummaryTable[[#This Row],[Code]], allFYsTable[year2], DI$3))</f>
        <v>#N/A</v>
      </c>
      <c r="DM108" s="61" t="e">
        <f>IF(COUNTIFS(allFYsTable[Code], SummaryTable[[#This Row],[Code]], allFYsTable[year2], DI$3)=0, NotFound, SUMIFS(allFYsTable[Actual], allFYsTable[Code], SummaryTable[[#This Row],[Code]], allFYsTable[year2], DI$3))</f>
        <v>#N/A</v>
      </c>
      <c r="DN108" s="61" t="e">
        <f>IF(COUNTIFS(allFYsTable[Code], SummaryTable[[#This Row],[Code]], allFYsTable[year2], DI$3)=0, NotFound, SUMIFS(allFYsTable[DiffAmount], allFYsTable[Code], SummaryTable[[#This Row],[Code]], allFYsTable[year2], DI$3))</f>
        <v>#N/A</v>
      </c>
      <c r="DO108" s="63" t="e">
        <f>IF(SummaryTable[[#This Row],[OriginalBudget13]]=0, IF(SummaryTable[[#This Row],[DiffAmount13]]=0, ZeroBudgetNoSpending, ZeroBudgetWithSpending), SummaryTable[[#This Row],[DiffAmount13]]/SummaryTable[[#This Row],[OriginalBudget13]])</f>
        <v>#N/A</v>
      </c>
      <c r="DP108" s="62" t="e">
        <f>IF(COUNTIFS(allFYsTable[Code], SummaryTable[[#This Row],[Code]], allFYsTable[year2], DP$3)=0, NotFound, SUMIFS(allFYsTable[OriginalBudget], allFYsTable[Code], SummaryTable[[#This Row],[Code]], allFYsTable[year2], DP$3))</f>
        <v>#N/A</v>
      </c>
      <c r="DQ108" s="61" t="e">
        <f>SummaryTable[[#This Row],[OriginalBudget12]]-SummaryTable[[#This Row],[OriginalBudget11]]</f>
        <v>#N/A</v>
      </c>
      <c r="DR108" s="54" t="e">
        <f>SummaryTable[[#This Row],[BudgetIncreaseAmount12]]/SummaryTable[[#This Row],[OriginalBudget11]]</f>
        <v>#N/A</v>
      </c>
      <c r="DS108" s="61" t="e">
        <f>IF(COUNTIFS(allFYsTable[Code], SummaryTable[[#This Row],[Code]], allFYsTable[year2], DP$3)=0, NotFound, SUMIFS(allFYsTable[RevisedBudget], allFYsTable[Code], SummaryTable[[#This Row],[Code]], allFYsTable[year2], DP$3))</f>
        <v>#N/A</v>
      </c>
      <c r="DT108" s="61" t="e">
        <f>IF(COUNTIFS(allFYsTable[Code], SummaryTable[[#This Row],[Code]], allFYsTable[year2], DP$3)=0, NotFound, SUMIFS(allFYsTable[Actual], allFYsTable[Code], SummaryTable[[#This Row],[Code]], allFYsTable[year2], DP$3))</f>
        <v>#N/A</v>
      </c>
      <c r="DU108" s="61" t="e">
        <f>IF(COUNTIFS(allFYsTable[Code], SummaryTable[[#This Row],[Code]], allFYsTable[year2], DP$3)=0, NotFound, SUMIFS(allFYsTable[DiffAmount], allFYsTable[Code], SummaryTable[[#This Row],[Code]], allFYsTable[year2], DP$3))</f>
        <v>#N/A</v>
      </c>
      <c r="DV108" s="63" t="e">
        <f>IF(SummaryTable[[#This Row],[OriginalBudget12]]=0, IF(SummaryTable[[#This Row],[DiffAmount12]]=0, ZeroBudgetNoSpending, ZeroBudgetWithSpending), SummaryTable[[#This Row],[DiffAmount12]]/SummaryTable[[#This Row],[OriginalBudget12]])</f>
        <v>#N/A</v>
      </c>
      <c r="DW108" s="62" t="e">
        <f>IF(COUNTIFS(allFYsTable[Code], SummaryTable[[#This Row],[Code]], allFYsTable[year2], DW$3)=0, NotFound, SUMIFS(allFYsTable[OriginalBudget], allFYsTable[Code], SummaryTable[[#This Row],[Code]], allFYsTable[year2], DW$3))</f>
        <v>#N/A</v>
      </c>
      <c r="DX108" s="61" t="e">
        <f>SummaryTable[[#This Row],[OriginalBudget11]]-SummaryTable[[#This Row],[OriginalBudget10]]</f>
        <v>#N/A</v>
      </c>
      <c r="DY108" s="54" t="e">
        <f>SummaryTable[[#This Row],[BudgetIncreaseAmount11]]/SummaryTable[[#This Row],[OriginalBudget10]]</f>
        <v>#N/A</v>
      </c>
      <c r="DZ108" s="61" t="e">
        <f>IF(COUNTIFS(allFYsTable[Code], SummaryTable[[#This Row],[Code]], allFYsTable[year2], DW$3)=0, NotFound, SUMIFS(allFYsTable[RevisedBudget], allFYsTable[Code], SummaryTable[[#This Row],[Code]], allFYsTable[year2], DW$3))</f>
        <v>#N/A</v>
      </c>
      <c r="EA108" s="61" t="e">
        <f>IF(COUNTIFS(allFYsTable[Code], SummaryTable[[#This Row],[Code]], allFYsTable[year2], DW$3)=0, NotFound, SUMIFS(allFYsTable[Actual], allFYsTable[Code], SummaryTable[[#This Row],[Code]], allFYsTable[year2], DW$3))</f>
        <v>#N/A</v>
      </c>
      <c r="EB108" s="61" t="e">
        <f>IF(COUNTIFS(allFYsTable[Code], SummaryTable[[#This Row],[Code]], allFYsTable[year2], DW$3)=0, NotFound, SUMIFS(allFYsTable[DiffAmount], allFYsTable[Code], SummaryTable[[#This Row],[Code]], allFYsTable[year2], DW$3))</f>
        <v>#N/A</v>
      </c>
      <c r="EC108" s="63" t="e">
        <f>IF(SummaryTable[[#This Row],[OriginalBudget11]]=0, IF(SummaryTable[[#This Row],[DiffAmount11]]=0, ZeroBudgetNoSpending, ZeroBudgetWithSpending), SummaryTable[[#This Row],[DiffAmount11]]/SummaryTable[[#This Row],[OriginalBudget11]])</f>
        <v>#N/A</v>
      </c>
      <c r="ED108" s="62" t="e">
        <f>IF(COUNTIFS(allFYsTable[Code], SummaryTable[[#This Row],[Code]], allFYsTable[year2], ED$3)=0, NotFound, SUMIFS(allFYsTable[OriginalBudget], allFYsTable[Code], SummaryTable[[#This Row],[Code]], allFYsTable[year2], ED$3))</f>
        <v>#N/A</v>
      </c>
      <c r="EE108" s="61" t="e">
        <f>SummaryTable[[#This Row],[OriginalBudget10]]-SummaryTable[[#This Row],[OriginalBudget09]]</f>
        <v>#N/A</v>
      </c>
      <c r="EF108" s="54" t="e">
        <f>SummaryTable[[#This Row],[BudgetIncreaseAmount10]]/SummaryTable[[#This Row],[OriginalBudget09]]</f>
        <v>#N/A</v>
      </c>
      <c r="EG108" s="61" t="e">
        <f>IF(COUNTIFS(allFYsTable[Code], SummaryTable[[#This Row],[Code]], allFYsTable[year2], ED$3)=0, NotFound, SUMIFS(allFYsTable[RevisedBudget], allFYsTable[Code], SummaryTable[[#This Row],[Code]], allFYsTable[year2], ED$3))</f>
        <v>#N/A</v>
      </c>
      <c r="EH108" s="61" t="e">
        <f>IF(COUNTIFS(allFYsTable[Code], SummaryTable[[#This Row],[Code]], allFYsTable[year2], ED$3)=0, NotFound, SUMIFS(allFYsTable[Actual], allFYsTable[Code], SummaryTable[[#This Row],[Code]], allFYsTable[year2], ED$3))</f>
        <v>#N/A</v>
      </c>
      <c r="EI108" s="61" t="e">
        <f>IF(COUNTIFS(allFYsTable[Code], SummaryTable[[#This Row],[Code]], allFYsTable[year2], ED$3)=0, NotFound, SUMIFS(allFYsTable[DiffAmount], allFYsTable[Code], SummaryTable[[#This Row],[Code]], allFYsTable[year2], ED$3))</f>
        <v>#N/A</v>
      </c>
      <c r="EJ108" s="63" t="e">
        <f>IF(SummaryTable[[#This Row],[OriginalBudget10]]=0, IF(SummaryTable[[#This Row],[DiffAmount10]]=0, ZeroBudgetNoSpending, ZeroBudgetWithSpending), SummaryTable[[#This Row],[DiffAmount10]]/SummaryTable[[#This Row],[OriginalBudget10]])</f>
        <v>#N/A</v>
      </c>
      <c r="EK108" s="62" t="e">
        <f>IF(COUNTIFS(allFYsTable[Code], SummaryTable[[#This Row],[Code]], allFYsTable[year2], EK$3)=0, NotFound, SUMIFS(allFYsTable[OriginalBudget], allFYsTable[Code], SummaryTable[[#This Row],[Code]], allFYsTable[year2], EK$3))</f>
        <v>#N/A</v>
      </c>
      <c r="EL108" s="61" t="e">
        <f>SummaryTable[[#This Row],[OriginalBudget09]]-SummaryTable[[#This Row],[OriginalBudget08]]</f>
        <v>#N/A</v>
      </c>
      <c r="EM108" s="54" t="e">
        <f>SummaryTable[[#This Row],[BudgetIncreaseAmount09]]/SummaryTable[[#This Row],[OriginalBudget08]]</f>
        <v>#N/A</v>
      </c>
      <c r="EN108" s="61" t="e">
        <f>IF(COUNTIFS(allFYsTable[Code], SummaryTable[[#This Row],[Code]], allFYsTable[year2], EK$3)=0, NotFound, SUMIFS(allFYsTable[RevisedBudget], allFYsTable[Code], SummaryTable[[#This Row],[Code]], allFYsTable[year2], EK$3))</f>
        <v>#N/A</v>
      </c>
      <c r="EO108" s="61" t="e">
        <f>IF(COUNTIFS(allFYsTable[Code], SummaryTable[[#This Row],[Code]], allFYsTable[year2], EK$3)=0, NotFound, SUMIFS(allFYsTable[Actual], allFYsTable[Code], SummaryTable[[#This Row],[Code]], allFYsTable[year2], EK$3))</f>
        <v>#N/A</v>
      </c>
      <c r="EP108" s="61" t="e">
        <f>IF(COUNTIFS(allFYsTable[Code], SummaryTable[[#This Row],[Code]], allFYsTable[year2], EK$3)=0, NotFound, SUMIFS(allFYsTable[DiffAmount], allFYsTable[Code], SummaryTable[[#This Row],[Code]], allFYsTable[year2], EK$3))</f>
        <v>#N/A</v>
      </c>
      <c r="EQ108" s="63" t="e">
        <f>IF(SummaryTable[[#This Row],[OriginalBudget09]]=0, IF(SummaryTable[[#This Row],[DiffAmount09]]=0, ZeroBudgetNoSpending, ZeroBudgetWithSpending), SummaryTable[[#This Row],[DiffAmount09]]/SummaryTable[[#This Row],[OriginalBudget09]])</f>
        <v>#N/A</v>
      </c>
      <c r="ER108" s="62" t="e">
        <f>IF(COUNTIFS(allFYsTable[Code], SummaryTable[[#This Row],[Code]], allFYsTable[year2], ER$3)=0, NotFound, SUMIFS(allFYsTable[OriginalBudget], allFYsTable[Code], SummaryTable[[#This Row],[Code]], allFYsTable[year2], ER$3))</f>
        <v>#N/A</v>
      </c>
      <c r="ES108" s="61" t="e">
        <f>SummaryTable[[#This Row],[OriginalBudget08]]-SummaryTable[[#This Row],[OriginalBudget07]]</f>
        <v>#N/A</v>
      </c>
      <c r="ET108" s="54" t="e">
        <f>SummaryTable[[#This Row],[BudgetIncreaseAmount08]]/SummaryTable[[#This Row],[OriginalBudget07]]</f>
        <v>#N/A</v>
      </c>
      <c r="EU108" s="61" t="e">
        <f>IF(COUNTIFS(allFYsTable[Code], SummaryTable[[#This Row],[Code]], allFYsTable[year2], ER$3)=0, NotFound, SUMIFS(allFYsTable[RevisedBudget], allFYsTable[Code], SummaryTable[[#This Row],[Code]], allFYsTable[year2], ER$3))</f>
        <v>#N/A</v>
      </c>
      <c r="EV108" s="61" t="e">
        <f>IF(COUNTIFS(allFYsTable[Code], SummaryTable[[#This Row],[Code]], allFYsTable[year2], ER$3)=0, NotFound, SUMIFS(allFYsTable[Actual], allFYsTable[Code], SummaryTable[[#This Row],[Code]], allFYsTable[year2], ER$3))</f>
        <v>#N/A</v>
      </c>
      <c r="EW108" s="61" t="e">
        <f>IF(COUNTIFS(allFYsTable[Code], SummaryTable[[#This Row],[Code]], allFYsTable[year2], ER$3)=0, NotFound, SUMIFS(allFYsTable[DiffAmount], allFYsTable[Code], SummaryTable[[#This Row],[Code]], allFYsTable[year2], ER$3))</f>
        <v>#N/A</v>
      </c>
      <c r="EX108" s="63" t="e">
        <f>IF(SummaryTable[[#This Row],[OriginalBudget08]]=0, IF(SummaryTable[[#This Row],[DiffAmount08]]=0, ZeroBudgetNoSpending, ZeroBudgetWithSpending), SummaryTable[[#This Row],[DiffAmount08]]/SummaryTable[[#This Row],[OriginalBudget08]])</f>
        <v>#N/A</v>
      </c>
      <c r="EY108" s="62" t="e">
        <f>IF(COUNTIFS(allFYsTable[Code], SummaryTable[[#This Row],[Code]], allFYsTable[year2], EY$3)=0, NotFound, SUMIFS(allFYsTable[OriginalBudget], allFYsTable[Code], SummaryTable[[#This Row],[Code]], allFYsTable[year2], EY$3))</f>
        <v>#N/A</v>
      </c>
      <c r="EZ108" s="61" t="e">
        <f>SummaryTable[[#This Row],[OriginalBudget07]]-SummaryTable[[#This Row],[OriginalBudget06]]</f>
        <v>#N/A</v>
      </c>
      <c r="FA108" s="54" t="e">
        <f>SummaryTable[[#This Row],[BudgetIncreaseAmount07]]/SummaryTable[[#This Row],[OriginalBudget06]]</f>
        <v>#N/A</v>
      </c>
      <c r="FB108" s="61" t="e">
        <f>IF(COUNTIFS(allFYsTable[Code], SummaryTable[[#This Row],[Code]], allFYsTable[year2], EY$3)=0, NotFound, SUMIFS(allFYsTable[RevisedBudget], allFYsTable[Code], SummaryTable[[#This Row],[Code]], allFYsTable[year2], EY$3))</f>
        <v>#N/A</v>
      </c>
      <c r="FC108" s="61" t="e">
        <f>IF(COUNTIFS(allFYsTable[Code], SummaryTable[[#This Row],[Code]], allFYsTable[year2], EY$3)=0, NotFound, SUMIFS(allFYsTable[Actual], allFYsTable[Code], SummaryTable[[#This Row],[Code]], allFYsTable[year2], EY$3))</f>
        <v>#N/A</v>
      </c>
      <c r="FD108" s="61" t="e">
        <f>IF(COUNTIFS(allFYsTable[Code], SummaryTable[[#This Row],[Code]], allFYsTable[year2], EY$3)=0, NotFound, SUMIFS(allFYsTable[DiffAmount], allFYsTable[Code], SummaryTable[[#This Row],[Code]], allFYsTable[year2], EY$3))</f>
        <v>#N/A</v>
      </c>
      <c r="FE108" s="63" t="e">
        <f>IF(SummaryTable[[#This Row],[OriginalBudget07]]=0, IF(SummaryTable[[#This Row],[DiffAmount07]]=0, ZeroBudgetNoSpending, ZeroBudgetWithSpending), SummaryTable[[#This Row],[DiffAmount07]]/SummaryTable[[#This Row],[OriginalBudget07]])</f>
        <v>#N/A</v>
      </c>
      <c r="FF108" s="62" t="e">
        <f>IF(COUNTIFS(allFYsTable[Code], SummaryTable[[#This Row],[Code]], allFYsTable[year2], FF$3)=0, NotFound, SUMIFS(allFYsTable[OriginalBudget], allFYsTable[Code], SummaryTable[[#This Row],[Code]], allFYsTable[year2], FF$3))</f>
        <v>#N/A</v>
      </c>
      <c r="FI108" s="61" t="e">
        <f>IF(COUNTIFS(allFYsTable[Code], SummaryTable[[#This Row],[Code]], allFYsTable[year2], FF$3)=0, NotFound, SUMIFS(allFYsTable[RevisedBudget], allFYsTable[Code], SummaryTable[[#This Row],[Code]], allFYsTable[year2], FF$3))</f>
        <v>#N/A</v>
      </c>
      <c r="FJ108" s="61" t="e">
        <f>IF(COUNTIFS(allFYsTable[Code], SummaryTable[[#This Row],[Code]], allFYsTable[year2], FF$3)=0, NotFound, SUMIFS(allFYsTable[Actual], allFYsTable[Code], SummaryTable[[#This Row],[Code]], allFYsTable[year2], FF$3))</f>
        <v>#N/A</v>
      </c>
      <c r="FK108" s="61" t="e">
        <f>IF(COUNTIFS(allFYsTable[Code], SummaryTable[[#This Row],[Code]], allFYsTable[year2], FF$3)=0, NotFound, SUMIFS(allFYsTable[DiffAmount], allFYsTable[Code], SummaryTable[[#This Row],[Code]], allFYsTable[year2], FF$3))</f>
        <v>#N/A</v>
      </c>
      <c r="FL108" s="63" t="e">
        <f>IF(SummaryTable[[#This Row],[OriginalBudget06]]=0, IF(SummaryTable[[#This Row],[DiffAmount06]]=0, ZeroBudgetNoSpending, ZeroBudgetWithSpending), SummaryTable[[#This Row],[DiffAmount06]]/SummaryTable[[#This Row],[OriginalBudget06]])</f>
        <v>#N/A</v>
      </c>
    </row>
    <row r="109" spans="1:168" x14ac:dyDescent="0.45">
      <c r="A109" t="s">
        <v>744</v>
      </c>
      <c r="B109">
        <f>_xlfn.MAXIFS(allFYsTable[year2], allFYsTable[Code], SummaryTable[[#This Row],[Code]])</f>
        <v>2025</v>
      </c>
      <c r="C109" t="str">
        <f>_xlfn.XLOOKUP(SummaryTable[[#This Row],[Code]], NameCodingTable[Code], NameCodingTable[Most Recent Category per allFYs])</f>
        <v>Economic development and regulation</v>
      </c>
      <c r="D109" t="str">
        <f>_xlfn.XLOOKUP(SummaryTable[[#This Row],[Code]], NameCodingTable[Code], NameCodingTable[Unit Display Name])</f>
        <v>Office of Zoning</v>
      </c>
      <c r="E109" t="str">
        <f>_xlfn.XLOOKUP(SummaryTable[[#This Row],[Code]], NameCodingTable[Code], NameCodingTable[Type])</f>
        <v>agency</v>
      </c>
      <c r="F10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0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5</v>
      </c>
      <c r="H109" s="54">
        <f>SummaryTable[[#This Row],['# Over]]/SummaryTable[[#This Row],[Count]]</f>
        <v>0.25</v>
      </c>
      <c r="I10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15</v>
      </c>
      <c r="J109" s="54">
        <f>SummaryTable[[#This Row],['# Under]]/SummaryTable[[#This Row],[Count]]</f>
        <v>0.75</v>
      </c>
      <c r="K10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09" s="54">
        <f>SummaryTable[[#This Row],['# Equal]]/SummaryTable[[#This Row],[Count]]</f>
        <v>0</v>
      </c>
      <c r="M109" s="61">
        <f>SUMIFS(allFYsTable[OriginalBudget],allFYsTable[Code],SummaryTable[[#This Row],[Code]])/SummaryTable[[#This Row],[Count]]</f>
        <v>3277.55</v>
      </c>
      <c r="N109" s="61">
        <f>SUMIFS(allFYsTable[Actual],allFYsTable[Code],SummaryTable[[#This Row],[Code]])/SummaryTable[[#This Row],[Count]]</f>
        <v>3173.75</v>
      </c>
      <c r="O109" s="61">
        <f>SummaryTable[[#This Row],[AvgActAmt]]-SummaryTable[[#This Row],[AvgBudAmt]]</f>
        <v>-103.80000000000018</v>
      </c>
      <c r="P109" s="54">
        <f>IF(SummaryTable[[#This Row],[AvgBudAmt]]=0, IF(SummaryTable[[#This Row],[AvgDiff'#]]=0, 0, NamedFields!$C$3), SummaryTable[[#This Row],[AvgDiff'#]]/SummaryTable[[#This Row],[AvgBudAmt]])</f>
        <v>-3.1669997406599495E-2</v>
      </c>
      <c r="Q109" s="61">
        <f>IFERROR(SUMIFS(allFYsTable[OriginalBudget],allFYsTable[Code],SummaryTable[[#This Row],[Code]],allFYsTable[DiffAmount], "&gt;0")/SummaryTable[[#This Row],['# Over]], 0)</f>
        <v>3001</v>
      </c>
      <c r="R109" s="61">
        <f>IFERROR(SUMIFS(allFYsTable[Actual],allFYsTable[Code],SummaryTable[[#This Row],[Code]],allFYsTable[DiffAmount], "&gt;0")/SummaryTable[[#This Row],['# Over]], 0)</f>
        <v>3095.8</v>
      </c>
      <c r="S109" s="61">
        <f>SummaryTable[[#This Row],[OverAvgAct]]-SummaryTable[[#This Row],[OverAvgBud]]</f>
        <v>94.800000000000182</v>
      </c>
      <c r="T109" s="54">
        <f>IF(SummaryTable[[#This Row],[OverAvgBud]]=0, IF(SummaryTable[[#This Row],[OverAvgDiff'#]]=0, ZeroBudgetNoSpending, ZeroBudgetWithSpending), SummaryTable[[#This Row],[OverAvgDiff'#]]/SummaryTable[[#This Row],[OverAvgBud]])</f>
        <v>3.1589470176607855E-2</v>
      </c>
      <c r="U109" s="61">
        <f>IFERROR(SUMIFS(allFYsTable[OriginalBudget],allFYsTable[Code],SummaryTable[[#This Row],[Code]],allFYsTable[DiffAmount], "&lt;0")/SummaryTable[[#This Row],['# Under]], 0)</f>
        <v>3369.7333333333331</v>
      </c>
      <c r="V109" s="61">
        <f>IFERROR( SUMIFS(allFYsTable[Actual],allFYsTable[Code],SummaryTable[[#This Row],[Code]],allFYsTable[DiffAmount], "&lt;0")/SummaryTable[[#This Row],['# Under]], 0)</f>
        <v>3199.7333333333331</v>
      </c>
      <c r="W109" s="61">
        <f>SummaryTable[[#This Row],[UnderAvgAct]]-SummaryTable[[#This Row],[UnderAvgBud]]</f>
        <v>-170</v>
      </c>
      <c r="X109" s="54">
        <f>IF(SummaryTable[[#This Row],[UnderAvgBud]]=0, IF(SummaryTable[[#This Row],[UnderAvgDiff'#]]=0, ZeroBudgetNoSpending, NamedFields!$C$3), SummaryTable[[#This Row],[UnderAvgDiff'#]]/SummaryTable[[#This Row],[UnderAvgBud]])</f>
        <v>-5.0449095873066119E-2</v>
      </c>
      <c r="Y10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10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09" s="54">
        <f>IF(SummaryTable[[#This Row],[IncreaseYears]]=0, ZeroBudgetNoSpending, SummaryTable[[#This Row],[OSinIncreaseYear'#]]/SummaryTable[[#This Row],[IncreaseYears]])</f>
        <v>0</v>
      </c>
      <c r="AB109" s="58" t="str">
        <f>SummaryTable[[#This Row],[Code]]</f>
        <v>BJ0</v>
      </c>
      <c r="AC109" s="62">
        <f>IF(COUNTIFS(allFYsTable[Code], SummaryTable[[#This Row],[Code]], allFYsTable[year2], AC$3)=0, NotFound, SUMIFS(allFYsTable[OriginalBudget], allFYsTable[Code], SummaryTable[[#This Row],[Code]], allFYsTable[year2], AC$3))</f>
        <v>4286</v>
      </c>
      <c r="AD109" s="61">
        <f>SummaryTable[[#This Row],[OriginalBudget25]]-SummaryTable[[#This Row],[OriginalBudget24]]</f>
        <v>201</v>
      </c>
      <c r="AE109" s="54">
        <f>SummaryTable[[#This Row],[BudgetIncreaseAmount25]]/SummaryTable[[#This Row],[OriginalBudget24]]</f>
        <v>4.9204406364749084E-2</v>
      </c>
      <c r="AF109" s="61">
        <f>IF(COUNTIFS(allFYsTable[Code], SummaryTable[[#This Row],[Code]], allFYsTable[year2], AC$3)=0, NotFound, SUMIFS(allFYsTable[RevisedBudget], allFYsTable[Code], SummaryTable[[#This Row],[Code]], allFYsTable[year2], AC$3))</f>
        <v>4069</v>
      </c>
      <c r="AG109" s="61">
        <f>IF(COUNTIFS(allFYsTable[Code], SummaryTable[[#This Row],[Code]], allFYsTable[year2], AC$3)=0, NotFound, SUMIFS(allFYsTable[Actual], allFYsTable[Code], SummaryTable[[#This Row],[Code]], allFYsTable[year2], AC$3))</f>
        <v>3982</v>
      </c>
      <c r="AH109" s="61">
        <f>IF(COUNTIFS(allFYsTable[Code], SummaryTable[[#This Row],[Code]], allFYsTable[year2], AC$3)=0, NotFound, SUMIFS(allFYsTable[DiffAmount], allFYsTable[Code], SummaryTable[[#This Row],[Code]], allFYsTable[year2], AC$3))</f>
        <v>-304</v>
      </c>
      <c r="AI109" s="63">
        <f>IF(SummaryTable[[#This Row],[OriginalBudget25]]=0, IF(SummaryTable[[#This Row],[DiffAmount25]]=0, ZeroBudgetNoSpending, ZeroBudgetWithSpending), SummaryTable[[#This Row],[DiffAmount25]]/SummaryTable[[#This Row],[OriginalBudget25]])</f>
        <v>-7.0928604759682684E-2</v>
      </c>
      <c r="AJ109" s="62">
        <f>IF(COUNTIFS(allFYsTable[Code], SummaryTable[[#This Row],[Code]], allFYsTable[year2], AJ$3)=0, NotFound, SUMIFS(allFYsTable[OriginalBudget], allFYsTable[Code], SummaryTable[[#This Row],[Code]], allFYsTable[year2], AJ$3))</f>
        <v>4085</v>
      </c>
      <c r="AK109" s="61">
        <f>SummaryTable[[#This Row],[OriginalBudget24]]-SummaryTable[[#This Row],[OriginalBudget23]]</f>
        <v>-57</v>
      </c>
      <c r="AL109" s="54">
        <f>SummaryTable[[#This Row],[BudgetIncreaseAmount24]]/SummaryTable[[#This Row],[OriginalBudget23]]</f>
        <v>-1.3761467889908258E-2</v>
      </c>
      <c r="AM109" s="61">
        <f>IF(COUNTIFS(allFYsTable[Code], SummaryTable[[#This Row],[Code]], allFYsTable[year2], AK$3)=0, NotFound, SUMIFS(allFYsTable[RevisedBudget], allFYsTable[Code], SummaryTable[[#This Row],[Code]], allFYsTable[year2], AJ$3))</f>
        <v>4072</v>
      </c>
      <c r="AN109" s="61">
        <f>IF(COUNTIFS(allFYsTable[Code], SummaryTable[[#This Row],[Code]], allFYsTable[year2], AJ$3)=0, NotFound, SUMIFS(allFYsTable[Actual], allFYsTable[Code], SummaryTable[[#This Row],[Code]], allFYsTable[year2], AJ$3))</f>
        <v>3997</v>
      </c>
      <c r="AO109" s="61">
        <f>IF(COUNTIFS(allFYsTable[Code], SummaryTable[[#This Row],[Code]], allFYsTable[year2], AJ$3)=0, NotFound, SUMIFS(allFYsTable[DiffAmount], allFYsTable[Code], SummaryTable[[#This Row],[Code]], allFYsTable[year2], AJ$3))</f>
        <v>-88</v>
      </c>
      <c r="AP109" s="63">
        <f>IF(SummaryTable[[#This Row],[OriginalBudget24]]=0, IF(SummaryTable[[#This Row],[DiffAmount24]]=0, ZeroBudgetNoSpending, ZeroBudgetWithSpending), SummaryTable[[#This Row],[DiffAmount24]]/SummaryTable[[#This Row],[OriginalBudget24]])</f>
        <v>-2.1542227662178701E-2</v>
      </c>
      <c r="AQ109" s="62">
        <f>IF(COUNTIFS(allFYsTable[Code], SummaryTable[[#This Row],[Code]], allFYsTable[year2], AQ$3)=0, NotFound, SUMIFS(allFYsTable[OriginalBudget], allFYsTable[Code], SummaryTable[[#This Row],[Code]], allFYsTable[year2], AQ$3))</f>
        <v>4142</v>
      </c>
      <c r="AR109" s="61">
        <f>SummaryTable[[#This Row],[OriginalBudget23]]-SummaryTable[[#This Row],[OriginalBudget22]]</f>
        <v>284</v>
      </c>
      <c r="AS109" s="54">
        <f>SummaryTable[[#This Row],[BudgetIncreaseAmount23]]/SummaryTable[[#This Row],[OriginalBudget22]]</f>
        <v>7.3613271124935195E-2</v>
      </c>
      <c r="AT109" s="61">
        <f>IF(COUNTIFS(allFYsTable[Code], SummaryTable[[#This Row],[Code]], allFYsTable[year2], AQ$3)=0, NotFound, SUMIFS(allFYsTable[RevisedBudget], allFYsTable[Code], SummaryTable[[#This Row],[Code]], allFYsTable[year2], AQ$3))</f>
        <v>4142</v>
      </c>
      <c r="AU109" s="61">
        <f>IF(COUNTIFS(allFYsTable[Code], SummaryTable[[#This Row],[Code]], allFYsTable[year2], AQ$3)=0, NotFound, SUMIFS(allFYsTable[Actual], allFYsTable[Code], SummaryTable[[#This Row],[Code]], allFYsTable[year2], AQ$3))</f>
        <v>4035</v>
      </c>
      <c r="AV109" s="61">
        <f>IF(COUNTIFS(allFYsTable[Code], SummaryTable[[#This Row],[Code]], allFYsTable[year2], AQ$3)=0, NotFound, SUMIFS(allFYsTable[DiffAmount], allFYsTable[Code], SummaryTable[[#This Row],[Code]], allFYsTable[year2], AQ$3))</f>
        <v>-107</v>
      </c>
      <c r="AW109" s="63">
        <f>IF(SummaryTable[[#This Row],[OriginalBudget23]]=0, IF(SummaryTable[[#This Row],[DiffAmount23]]=0, ZeroBudgetNoSpending, ZeroBudgetWithSpending), SummaryTable[[#This Row],[DiffAmount23]]/SummaryTable[[#This Row],[OriginalBudget23]])</f>
        <v>-2.5832930951231289E-2</v>
      </c>
      <c r="AX109" s="62">
        <f>IF(COUNTIFS(allFYsTable[Code], SummaryTable[[#This Row],[Code]], allFYsTable[year2], AX$3)=0, NotFound, SUMIFS(allFYsTable[OriginalBudget], allFYsTable[Code], SummaryTable[[#This Row],[Code]], allFYsTable[year2], AX$3))</f>
        <v>3858</v>
      </c>
      <c r="AY109" s="61">
        <f>SummaryTable[[#This Row],[OriginalBudget22]]-SummaryTable[[#This Row],[OriginalBudget21]]</f>
        <v>626</v>
      </c>
      <c r="AZ109" s="54">
        <f>SummaryTable[[#This Row],[BudgetIncreaseAmount22]]/SummaryTable[[#This Row],[OriginalBudget21]]</f>
        <v>0.19368811881188119</v>
      </c>
      <c r="BA109" s="61">
        <f>IF(COUNTIFS(allFYsTable[Code], SummaryTable[[#This Row],[Code]], allFYsTable[year2], AX$3)=0, NotFound, SUMIFS(allFYsTable[RevisedBudget], allFYsTable[Code], SummaryTable[[#This Row],[Code]], allFYsTable[year2], AX$3))</f>
        <v>3899</v>
      </c>
      <c r="BB109" s="61">
        <f>IF(COUNTIFS(allFYsTable[Code], SummaryTable[[#This Row],[Code]], allFYsTable[year2], AX$3)=0, NotFound, SUMIFS(allFYsTable[Actual], allFYsTable[Code], SummaryTable[[#This Row],[Code]], allFYsTable[year2], AX$3))</f>
        <v>3891</v>
      </c>
      <c r="BC109" s="61">
        <f>IF(COUNTIFS(allFYsTable[Code], SummaryTable[[#This Row],[Code]], allFYsTable[year2], AX$3)=0, NotFound, SUMIFS(allFYsTable[DiffAmount], allFYsTable[Code], SummaryTable[[#This Row],[Code]], allFYsTable[year2], AX$3))</f>
        <v>33</v>
      </c>
      <c r="BD109" s="63">
        <f>IF(SummaryTable[[#This Row],[OriginalBudget22]]=0, IF(SummaryTable[[#This Row],[DiffAmount22]]=0, ZeroBudgetNoSpending, ZeroBudgetWithSpending), SummaryTable[[#This Row],[DiffAmount22]]/SummaryTable[[#This Row],[OriginalBudget22]])</f>
        <v>8.553654743390357E-3</v>
      </c>
      <c r="BE109" s="62">
        <f>IF(COUNTIFS(allFYsTable[Code], SummaryTable[[#This Row],[Code]], allFYsTable[year2], BE$3)=0, NotFound, SUMIFS(allFYsTable[OriginalBudget], allFYsTable[Code], SummaryTable[[#This Row],[Code]], allFYsTable[year2], BE$3))</f>
        <v>3232</v>
      </c>
      <c r="BF109" s="61">
        <f>SummaryTable[[#This Row],[OriginalBudget21]]-SummaryTable[[#This Row],[OriginalBudget20]]</f>
        <v>-79</v>
      </c>
      <c r="BG109" s="54">
        <f>SummaryTable[[#This Row],[BudgetIncreaseAmount21]]/SummaryTable[[#This Row],[OriginalBudget20]]</f>
        <v>-2.3859861069163393E-2</v>
      </c>
      <c r="BH109" s="61">
        <f>IF(COUNTIFS(allFYsTable[Code], SummaryTable[[#This Row],[Code]], allFYsTable[year2], BE$3)=0, NotFound, SUMIFS(allFYsTable[RevisedBudget], allFYsTable[Code], SummaryTable[[#This Row],[Code]], allFYsTable[year2], BE$3))</f>
        <v>3114</v>
      </c>
      <c r="BI109" s="61">
        <f>IF(COUNTIFS(allFYsTable[Code], SummaryTable[[#This Row],[Code]], allFYsTable[year2], BE$3)=0, NotFound, SUMIFS(allFYsTable[Actual], allFYsTable[Code], SummaryTable[[#This Row],[Code]], allFYsTable[year2], BE$3))</f>
        <v>3054</v>
      </c>
      <c r="BJ109" s="61">
        <f>IF(COUNTIFS(allFYsTable[Code], SummaryTable[[#This Row],[Code]], allFYsTable[year2], BE$3)=0, NotFound, SUMIFS(allFYsTable[DiffAmount], allFYsTable[Code], SummaryTable[[#This Row],[Code]], allFYsTable[year2], BE$3))</f>
        <v>-178</v>
      </c>
      <c r="BK109" s="63">
        <f>IF(SummaryTable[[#This Row],[OriginalBudget21]]=0, IF(SummaryTable[[#This Row],[DiffAmount21]]=0, ZeroBudgetNoSpending, ZeroBudgetWithSpending), SummaryTable[[#This Row],[DiffAmount21]]/SummaryTable[[#This Row],[OriginalBudget21]])</f>
        <v>-5.5074257425742575E-2</v>
      </c>
      <c r="BL109" s="62">
        <f>IF(COUNTIFS(allFYsTable[Code], SummaryTable[[#This Row],[Code]], allFYsTable[year2], BL$3)=0, NotFound, SUMIFS(allFYsTable[OriginalBudget], allFYsTable[Code], SummaryTable[[#This Row],[Code]], allFYsTable[year2], BL$3))</f>
        <v>3311</v>
      </c>
      <c r="BM109" s="61">
        <f>SummaryTable[[#This Row],[OriginalBudget20]]-SummaryTable[[#This Row],[OriginalBudget19]]</f>
        <v>194</v>
      </c>
      <c r="BN109" s="54">
        <f>SummaryTable[[#This Row],[BudgetIncreaseAmount20]]/SummaryTable[[#This Row],[OriginalBudget19]]</f>
        <v>6.2239332691690727E-2</v>
      </c>
      <c r="BO109" s="61">
        <f>IF(COUNTIFS(allFYsTable[Code], SummaryTable[[#This Row],[Code]], allFYsTable[year2], BL$3)=0, NotFound, SUMIFS(allFYsTable[RevisedBudget], allFYsTable[Code], SummaryTable[[#This Row],[Code]], allFYsTable[year2], BL$3))</f>
        <v>3121</v>
      </c>
      <c r="BP109" s="61">
        <f>IF(COUNTIFS(allFYsTable[Code], SummaryTable[[#This Row],[Code]], allFYsTable[year2], BL$3)=0, NotFound, SUMIFS(allFYsTable[Actual], allFYsTable[Code], SummaryTable[[#This Row],[Code]], allFYsTable[year2], BL$3))</f>
        <v>2940</v>
      </c>
      <c r="BQ109" s="61">
        <f>IF(COUNTIFS(allFYsTable[Code], SummaryTable[[#This Row],[Code]], allFYsTable[year2], BL$3)=0, NotFound, SUMIFS(allFYsTable[DiffAmount], allFYsTable[Code], SummaryTable[[#This Row],[Code]], allFYsTable[year2], BL$3))</f>
        <v>-371</v>
      </c>
      <c r="BR109" s="63">
        <f>IF(SummaryTable[[#This Row],[OriginalBudget20]]=0, IF(SummaryTable[[#This Row],[DiffAmount20]]=0, ZeroBudgetNoSpending, ZeroBudgetWithSpending), SummaryTable[[#This Row],[DiffAmount20]]/SummaryTable[[#This Row],[OriginalBudget20]])</f>
        <v>-0.11205073995771671</v>
      </c>
      <c r="BS109" s="62">
        <f>IF(COUNTIFS(allFYsTable[Code], SummaryTable[[#This Row],[Code]], allFYsTable[year2], BS$3)=0, NotFound, SUMIFS(allFYsTable[OriginalBudget], allFYsTable[Code], SummaryTable[[#This Row],[Code]], allFYsTable[year2], BS$3))</f>
        <v>3117</v>
      </c>
      <c r="BT109" s="61">
        <f>SummaryTable[[#This Row],[OriginalBudget19]]-SummaryTable[[#This Row],[OriginalBudget18]]</f>
        <v>48</v>
      </c>
      <c r="BU109" s="54">
        <f>SummaryTable[[#This Row],[BudgetIncreaseAmount19]]/SummaryTable[[#This Row],[OriginalBudget18]]</f>
        <v>1.5640273704789834E-2</v>
      </c>
      <c r="BV109" s="61">
        <f>IF(COUNTIFS(allFYsTable[Code], SummaryTable[[#This Row],[Code]], allFYsTable[year2], BS$3)=0, NotFound, SUMIFS(allFYsTable[RevisedBudget], allFYsTable[Code], SummaryTable[[#This Row],[Code]], allFYsTable[year2], BS$3))</f>
        <v>3217</v>
      </c>
      <c r="BW109" s="61">
        <f>IF(COUNTIFS(allFYsTable[Code], SummaryTable[[#This Row],[Code]], allFYsTable[year2], BS$3)=0, NotFound, SUMIFS(allFYsTable[Actual], allFYsTable[Code], SummaryTable[[#This Row],[Code]], allFYsTable[year2], BS$3))</f>
        <v>2882</v>
      </c>
      <c r="BX109" s="61">
        <f>IF(COUNTIFS(allFYsTable[Code], SummaryTable[[#This Row],[Code]], allFYsTable[year2], BS$3)=0, NotFound, SUMIFS(allFYsTable[DiffAmount], allFYsTable[Code], SummaryTable[[#This Row],[Code]], allFYsTable[year2], BS$3))</f>
        <v>-235</v>
      </c>
      <c r="BY109" s="63">
        <f>IF(SummaryTable[[#This Row],[OriginalBudget19]]=0, IF(SummaryTable[[#This Row],[DiffAmount19]]=0, ZeroBudgetNoSpending, ZeroBudgetWithSpending), SummaryTable[[#This Row],[DiffAmount19]]/SummaryTable[[#This Row],[OriginalBudget19]])</f>
        <v>-7.5393006095604745E-2</v>
      </c>
      <c r="BZ109" s="62">
        <f>IF(COUNTIFS(allFYsTable[Code], SummaryTable[[#This Row],[Code]], allFYsTable[year2], BZ$3)=0, NotFound, SUMIFS(allFYsTable[OriginalBudget], allFYsTable[Code], SummaryTable[[#This Row],[Code]], allFYsTable[year2], BZ$3))</f>
        <v>3069</v>
      </c>
      <c r="CA109" s="61">
        <f>SummaryTable[[#This Row],[OriginalBudget18]]-SummaryTable[[#This Row],[OriginalBudget17]]</f>
        <v>154</v>
      </c>
      <c r="CB109" s="54">
        <f>SummaryTable[[#This Row],[BudgetIncreaseAmount18]]/SummaryTable[[#This Row],[OriginalBudget17]]</f>
        <v>5.2830188679245285E-2</v>
      </c>
      <c r="CC109" s="61">
        <f>IF(COUNTIFS(allFYsTable[Code], SummaryTable[[#This Row],[Code]], allFYsTable[year2], BZ$3)=0, NotFound, SUMIFS(allFYsTable[RevisedBudget], allFYsTable[Code], SummaryTable[[#This Row],[Code]], allFYsTable[year2], BZ$3))</f>
        <v>3018</v>
      </c>
      <c r="CD109" s="61">
        <f>IF(COUNTIFS(allFYsTable[Code], SummaryTable[[#This Row],[Code]], allFYsTable[year2], BZ$3)=0, NotFound, SUMIFS(allFYsTable[Actual], allFYsTable[Code], SummaryTable[[#This Row],[Code]], allFYsTable[year2], BZ$3))</f>
        <v>2855</v>
      </c>
      <c r="CE109" s="61">
        <f>IF(COUNTIFS(allFYsTable[Code], SummaryTable[[#This Row],[Code]], allFYsTable[year2], BZ$3)=0, NotFound, SUMIFS(allFYsTable[DiffAmount], allFYsTable[Code], SummaryTable[[#This Row],[Code]], allFYsTable[year2], BZ$3))</f>
        <v>-214</v>
      </c>
      <c r="CF109" s="63">
        <f>IF(SummaryTable[[#This Row],[OriginalBudget18]]=0, IF(SummaryTable[[#This Row],[DiffAmount18]]=0, ZeroBudgetNoSpending, ZeroBudgetWithSpending), SummaryTable[[#This Row],[DiffAmount18]]/SummaryTable[[#This Row],[OriginalBudget18]])</f>
        <v>-6.9729553600521341E-2</v>
      </c>
      <c r="CG109" s="62">
        <f>IF(COUNTIFS(allFYsTable[Code], SummaryTable[[#This Row],[Code]], allFYsTable[year2], CG$3)=0, NotFound, SUMIFS(allFYsTable[OriginalBudget], allFYsTable[Code], SummaryTable[[#This Row],[Code]], allFYsTable[year2], CG$3))</f>
        <v>2915</v>
      </c>
      <c r="CH109" s="61">
        <f>SummaryTable[[#This Row],[OriginalBudget17]]-SummaryTable[[#This Row],[OriginalBudget16]]</f>
        <v>309</v>
      </c>
      <c r="CI109" s="54">
        <f>SummaryTable[[#This Row],[BudgetIncreaseAmount17]]/SummaryTable[[#This Row],[OriginalBudget16]]</f>
        <v>0.11857252494244053</v>
      </c>
      <c r="CJ109" s="61">
        <f>IF(COUNTIFS(allFYsTable[Code], SummaryTable[[#This Row],[Code]], allFYsTable[year2], CG$3)=0, NotFound, SUMIFS(allFYsTable[RevisedBudget], allFYsTable[Code], SummaryTable[[#This Row],[Code]], allFYsTable[year2], CG$3))</f>
        <v>3080</v>
      </c>
      <c r="CK109" s="61">
        <f>IF(COUNTIFS(allFYsTable[Code], SummaryTable[[#This Row],[Code]], allFYsTable[year2], CG$3)=0, NotFound, SUMIFS(allFYsTable[Actual], allFYsTable[Code], SummaryTable[[#This Row],[Code]], allFYsTable[year2], CG$3))</f>
        <v>3050</v>
      </c>
      <c r="CL109" s="61">
        <f>IF(COUNTIFS(allFYsTable[Code], SummaryTable[[#This Row],[Code]], allFYsTable[year2], CG$3)=0, NotFound, SUMIFS(allFYsTable[DiffAmount], allFYsTable[Code], SummaryTable[[#This Row],[Code]], allFYsTable[year2], CG$3))</f>
        <v>135</v>
      </c>
      <c r="CM109" s="63">
        <f>IF(SummaryTable[[#This Row],[OriginalBudget17]]=0, IF(SummaryTable[[#This Row],[DiffAmount17]]=0, ZeroBudgetNoSpending, ZeroBudgetWithSpending), SummaryTable[[#This Row],[DiffAmount17]]/SummaryTable[[#This Row],[OriginalBudget17]])</f>
        <v>4.6312178387650088E-2</v>
      </c>
      <c r="CN109" s="62">
        <f>IF(COUNTIFS(allFYsTable[Code], SummaryTable[[#This Row],[Code]], allFYsTable[year2], CN$3)=0, NotFound, SUMIFS(allFYsTable[OriginalBudget], allFYsTable[Code], SummaryTable[[#This Row],[Code]], allFYsTable[year2], CN$3))</f>
        <v>2606</v>
      </c>
      <c r="CO109" s="61">
        <f>SummaryTable[[#This Row],[OriginalBudget16]]-SummaryTable[[#This Row],[OriginalBudget15]]</f>
        <v>-99</v>
      </c>
      <c r="CP109" s="54">
        <f>SummaryTable[[#This Row],[BudgetIncreaseAmount16]]/SummaryTable[[#This Row],[OriginalBudget15]]</f>
        <v>-3.6598890942698706E-2</v>
      </c>
      <c r="CQ109" s="61">
        <f>IF(COUNTIFS(allFYsTable[Code], SummaryTable[[#This Row],[Code]], allFYsTable[year2], CN$3)=0, NotFound, SUMIFS(allFYsTable[RevisedBudget], allFYsTable[Code], SummaryTable[[#This Row],[Code]], allFYsTable[year2], CN$3))</f>
        <v>2830</v>
      </c>
      <c r="CR109" s="61">
        <f>IF(COUNTIFS(allFYsTable[Code], SummaryTable[[#This Row],[Code]], allFYsTable[year2], CN$3)=0, NotFound, SUMIFS(allFYsTable[Actual], allFYsTable[Code], SummaryTable[[#This Row],[Code]], allFYsTable[year2], CN$3))</f>
        <v>2817</v>
      </c>
      <c r="CS109" s="61">
        <f>IF(COUNTIFS(allFYsTable[Code], SummaryTable[[#This Row],[Code]], allFYsTable[year2], CN$3)=0, NotFound, SUMIFS(allFYsTable[DiffAmount], allFYsTable[Code], SummaryTable[[#This Row],[Code]], allFYsTable[year2], CN$3))</f>
        <v>211</v>
      </c>
      <c r="CT109" s="63">
        <f>IF(SummaryTable[[#This Row],[OriginalBudget16]]=0, IF(SummaryTable[[#This Row],[DiffAmount16]]=0, ZeroBudgetNoSpending, ZeroBudgetWithSpending), SummaryTable[[#This Row],[DiffAmount16]]/SummaryTable[[#This Row],[OriginalBudget16]])</f>
        <v>8.096699923254029E-2</v>
      </c>
      <c r="CU109" s="62">
        <f>IF(COUNTIFS(allFYsTable[Code], SummaryTable[[#This Row],[Code]], allFYsTable[year2], CU$3)=0, NotFound, SUMIFS(allFYsTable[OriginalBudget], allFYsTable[Code], SummaryTable[[#This Row],[Code]], allFYsTable[year2], CU$3))</f>
        <v>2705</v>
      </c>
      <c r="CV109" s="61">
        <f>SummaryTable[[#This Row],[OriginalBudget15]]-SummaryTable[[#This Row],[OriginalBudget14]]</f>
        <v>77</v>
      </c>
      <c r="CW109" s="54">
        <f>SummaryTable[[#This Row],[BudgetIncreaseAmount15]]/SummaryTable[[#This Row],[OriginalBudget14]]</f>
        <v>2.9299847792998476E-2</v>
      </c>
      <c r="CX109" s="61">
        <f>IF(COUNTIFS(allFYsTable[Code], SummaryTable[[#This Row],[Code]], allFYsTable[year2], CU$3)=0, NotFound, SUMIFS(allFYsTable[RevisedBudget], allFYsTable[Code], SummaryTable[[#This Row],[Code]], allFYsTable[year2], CU$3))</f>
        <v>2704</v>
      </c>
      <c r="CY109" s="61">
        <f>IF(COUNTIFS(allFYsTable[Code], SummaryTable[[#This Row],[Code]], allFYsTable[year2], CU$3)=0, NotFound, SUMIFS(allFYsTable[Actual], allFYsTable[Code], SummaryTable[[#This Row],[Code]], allFYsTable[year2], CU$3))</f>
        <v>2625</v>
      </c>
      <c r="CZ109" s="61">
        <f>IF(COUNTIFS(allFYsTable[Code], SummaryTable[[#This Row],[Code]], allFYsTable[year2], CU$3)=0, NotFound, SUMIFS(allFYsTable[DiffAmount], allFYsTable[Code], SummaryTable[[#This Row],[Code]], allFYsTable[year2], CU$3))</f>
        <v>-80</v>
      </c>
      <c r="DA109" s="63">
        <f>IF(SummaryTable[[#This Row],[OriginalBudget15]]=0, IF(SummaryTable[[#This Row],[DiffAmount15]]=0, ZeroBudgetNoSpending, ZeroBudgetWithSpending), SummaryTable[[#This Row],[DiffAmount15]]/SummaryTable[[#This Row],[OriginalBudget15]])</f>
        <v>-2.9574861367837338E-2</v>
      </c>
      <c r="DB109" s="62">
        <f>IF(COUNTIFS(allFYsTable[Code], SummaryTable[[#This Row],[Code]], allFYsTable[year2], DB$3)=0, NotFound, SUMIFS(allFYsTable[OriginalBudget], allFYsTable[Code], SummaryTable[[#This Row],[Code]], allFYsTable[year2], DB$3))</f>
        <v>2628</v>
      </c>
      <c r="DC109" s="61">
        <f>SummaryTable[[#This Row],[OriginalBudget14]]-SummaryTable[[#This Row],[OriginalBudget13]]</f>
        <v>32</v>
      </c>
      <c r="DD109" s="54">
        <f>SummaryTable[[#This Row],[BudgetIncreaseAmount14]]/SummaryTable[[#This Row],[OriginalBudget13]]</f>
        <v>1.2326656394453005E-2</v>
      </c>
      <c r="DE109" s="61">
        <f>IF(COUNTIFS(allFYsTable[Code], SummaryTable[[#This Row],[Code]], allFYsTable[year2], DB$3)=0, NotFound, SUMIFS(allFYsTable[RevisedBudget], allFYsTable[Code], SummaryTable[[#This Row],[Code]], allFYsTable[year2], DB$3))</f>
        <v>2688</v>
      </c>
      <c r="DF109" s="61">
        <f>IF(COUNTIFS(allFYsTable[Code], SummaryTable[[#This Row],[Code]], allFYsTable[year2], DB$3)=0, NotFound, SUMIFS(allFYsTable[Actual], allFYsTable[Code], SummaryTable[[#This Row],[Code]], allFYsTable[year2], DB$3))</f>
        <v>2666</v>
      </c>
      <c r="DG109" s="61">
        <f>IF(COUNTIFS(allFYsTable[Code], SummaryTable[[#This Row],[Code]], allFYsTable[year2], DB$3)=0, NotFound, SUMIFS(allFYsTable[DiffAmount], allFYsTable[Code], SummaryTable[[#This Row],[Code]], allFYsTable[year2], DB$3))</f>
        <v>38</v>
      </c>
      <c r="DH109" s="63">
        <f>IF(SummaryTable[[#This Row],[OriginalBudget14]]=0, IF(SummaryTable[[#This Row],[DiffAmount14]]=0, ZeroBudgetNoSpending, ZeroBudgetWithSpending), SummaryTable[[#This Row],[DiffAmount14]]/SummaryTable[[#This Row],[OriginalBudget14]])</f>
        <v>1.4459665144596651E-2</v>
      </c>
      <c r="DI109" s="62">
        <f>IF(COUNTIFS(allFYsTable[Code], SummaryTable[[#This Row],[Code]], allFYsTable[year2], DI$3)=0, NotFound, SUMIFS(allFYsTable[OriginalBudget], allFYsTable[Code], SummaryTable[[#This Row],[Code]], allFYsTable[year2], DI$3))</f>
        <v>2596</v>
      </c>
      <c r="DJ109" s="61">
        <f>SummaryTable[[#This Row],[OriginalBudget13]]-SummaryTable[[#This Row],[OriginalBudget12]]</f>
        <v>52</v>
      </c>
      <c r="DK109" s="54">
        <f>SummaryTable[[#This Row],[BudgetIncreaseAmount13]]/SummaryTable[[#This Row],[OriginalBudget12]]</f>
        <v>2.0440251572327043E-2</v>
      </c>
      <c r="DL109" s="61">
        <f>IF(COUNTIFS(allFYsTable[Code], SummaryTable[[#This Row],[Code]], allFYsTable[year2], DI$3)=0, NotFound, SUMIFS(allFYsTable[RevisedBudget], allFYsTable[Code], SummaryTable[[#This Row],[Code]], allFYsTable[year2], DI$3))</f>
        <v>2596</v>
      </c>
      <c r="DM109" s="61">
        <f>IF(COUNTIFS(allFYsTable[Code], SummaryTable[[#This Row],[Code]], allFYsTable[year2], DI$3)=0, NotFound, SUMIFS(allFYsTable[Actual], allFYsTable[Code], SummaryTable[[#This Row],[Code]], allFYsTable[year2], DI$3))</f>
        <v>2565</v>
      </c>
      <c r="DN109" s="61">
        <f>IF(COUNTIFS(allFYsTable[Code], SummaryTable[[#This Row],[Code]], allFYsTable[year2], DI$3)=0, NotFound, SUMIFS(allFYsTable[DiffAmount], allFYsTable[Code], SummaryTable[[#This Row],[Code]], allFYsTable[year2], DI$3))</f>
        <v>-31</v>
      </c>
      <c r="DO109" s="63">
        <f>IF(SummaryTable[[#This Row],[OriginalBudget13]]=0, IF(SummaryTable[[#This Row],[DiffAmount13]]=0, ZeroBudgetNoSpending, ZeroBudgetWithSpending), SummaryTable[[#This Row],[DiffAmount13]]/SummaryTable[[#This Row],[OriginalBudget13]])</f>
        <v>-1.1941448382126348E-2</v>
      </c>
      <c r="DP109" s="62">
        <f>IF(COUNTIFS(allFYsTable[Code], SummaryTable[[#This Row],[Code]], allFYsTable[year2], DP$3)=0, NotFound, SUMIFS(allFYsTable[OriginalBudget], allFYsTable[Code], SummaryTable[[#This Row],[Code]], allFYsTable[year2], DP$3))</f>
        <v>2544</v>
      </c>
      <c r="DQ109" s="61">
        <f>SummaryTable[[#This Row],[OriginalBudget12]]-SummaryTable[[#This Row],[OriginalBudget11]]</f>
        <v>-9</v>
      </c>
      <c r="DR109" s="54">
        <f>SummaryTable[[#This Row],[BudgetIncreaseAmount12]]/SummaryTable[[#This Row],[OriginalBudget11]]</f>
        <v>-3.5252643948296123E-3</v>
      </c>
      <c r="DS109" s="61">
        <f>IF(COUNTIFS(allFYsTable[Code], SummaryTable[[#This Row],[Code]], allFYsTable[year2], DP$3)=0, NotFound, SUMIFS(allFYsTable[RevisedBudget], allFYsTable[Code], SummaryTable[[#This Row],[Code]], allFYsTable[year2], DP$3))</f>
        <v>2544</v>
      </c>
      <c r="DT109" s="61">
        <f>IF(COUNTIFS(allFYsTable[Code], SummaryTable[[#This Row],[Code]], allFYsTable[year2], DP$3)=0, NotFound, SUMIFS(allFYsTable[Actual], allFYsTable[Code], SummaryTable[[#This Row],[Code]], allFYsTable[year2], DP$3))</f>
        <v>2521</v>
      </c>
      <c r="DU109" s="61">
        <f>IF(COUNTIFS(allFYsTable[Code], SummaryTable[[#This Row],[Code]], allFYsTable[year2], DP$3)=0, NotFound, SUMIFS(allFYsTable[DiffAmount], allFYsTable[Code], SummaryTable[[#This Row],[Code]], allFYsTable[year2], DP$3))</f>
        <v>-23</v>
      </c>
      <c r="DV109" s="63">
        <f>IF(SummaryTable[[#This Row],[OriginalBudget12]]=0, IF(SummaryTable[[#This Row],[DiffAmount12]]=0, ZeroBudgetNoSpending, ZeroBudgetWithSpending), SummaryTable[[#This Row],[DiffAmount12]]/SummaryTable[[#This Row],[OriginalBudget12]])</f>
        <v>-9.0408805031446538E-3</v>
      </c>
      <c r="DW109" s="62">
        <f>IF(COUNTIFS(allFYsTable[Code], SummaryTable[[#This Row],[Code]], allFYsTable[year2], DW$3)=0, NotFound, SUMIFS(allFYsTable[OriginalBudget], allFYsTable[Code], SummaryTable[[#This Row],[Code]], allFYsTable[year2], DW$3))</f>
        <v>2553</v>
      </c>
      <c r="DX109" s="61">
        <f>SummaryTable[[#This Row],[OriginalBudget11]]-SummaryTable[[#This Row],[OriginalBudget10]]</f>
        <v>-583</v>
      </c>
      <c r="DY109" s="54">
        <f>SummaryTable[[#This Row],[BudgetIncreaseAmount11]]/SummaryTable[[#This Row],[OriginalBudget10]]</f>
        <v>-0.18590561224489796</v>
      </c>
      <c r="DZ109" s="61">
        <f>IF(COUNTIFS(allFYsTable[Code], SummaryTable[[#This Row],[Code]], allFYsTable[year2], DW$3)=0, NotFound, SUMIFS(allFYsTable[RevisedBudget], allFYsTable[Code], SummaryTable[[#This Row],[Code]], allFYsTable[year2], DW$3))</f>
        <v>2553</v>
      </c>
      <c r="EA109" s="61">
        <f>IF(COUNTIFS(allFYsTable[Code], SummaryTable[[#This Row],[Code]], allFYsTable[year2], DW$3)=0, NotFound, SUMIFS(allFYsTable[Actual], allFYsTable[Code], SummaryTable[[#This Row],[Code]], allFYsTable[year2], DW$3))</f>
        <v>2466</v>
      </c>
      <c r="EB109" s="61">
        <f>IF(COUNTIFS(allFYsTable[Code], SummaryTable[[#This Row],[Code]], allFYsTable[year2], DW$3)=0, NotFound, SUMIFS(allFYsTable[DiffAmount], allFYsTable[Code], SummaryTable[[#This Row],[Code]], allFYsTable[year2], DW$3))</f>
        <v>-87</v>
      </c>
      <c r="EC109" s="63">
        <f>IF(SummaryTable[[#This Row],[OriginalBudget11]]=0, IF(SummaryTable[[#This Row],[DiffAmount11]]=0, ZeroBudgetNoSpending, ZeroBudgetWithSpending), SummaryTable[[#This Row],[DiffAmount11]]/SummaryTable[[#This Row],[OriginalBudget11]])</f>
        <v>-3.4077555816686249E-2</v>
      </c>
      <c r="ED109" s="62">
        <f>IF(COUNTIFS(allFYsTable[Code], SummaryTable[[#This Row],[Code]], allFYsTable[year2], ED$3)=0, NotFound, SUMIFS(allFYsTable[OriginalBudget], allFYsTable[Code], SummaryTable[[#This Row],[Code]], allFYsTable[year2], ED$3))</f>
        <v>3136</v>
      </c>
      <c r="EE109" s="61">
        <f>SummaryTable[[#This Row],[OriginalBudget10]]-SummaryTable[[#This Row],[OriginalBudget09]]</f>
        <v>-1</v>
      </c>
      <c r="EF109" s="54">
        <f>SummaryTable[[#This Row],[BudgetIncreaseAmount10]]/SummaryTable[[#This Row],[OriginalBudget09]]</f>
        <v>-3.1877590054191901E-4</v>
      </c>
      <c r="EG109" s="61">
        <f>IF(COUNTIFS(allFYsTable[Code], SummaryTable[[#This Row],[Code]], allFYsTable[year2], ED$3)=0, NotFound, SUMIFS(allFYsTable[RevisedBudget], allFYsTable[Code], SummaryTable[[#This Row],[Code]], allFYsTable[year2], ED$3))</f>
        <v>3136</v>
      </c>
      <c r="EH109" s="61">
        <f>IF(COUNTIFS(allFYsTable[Code], SummaryTable[[#This Row],[Code]], allFYsTable[year2], ED$3)=0, NotFound, SUMIFS(allFYsTable[Actual], allFYsTable[Code], SummaryTable[[#This Row],[Code]], allFYsTable[year2], ED$3))</f>
        <v>2986</v>
      </c>
      <c r="EI109" s="61">
        <f>IF(COUNTIFS(allFYsTable[Code], SummaryTable[[#This Row],[Code]], allFYsTable[year2], ED$3)=0, NotFound, SUMIFS(allFYsTable[DiffAmount], allFYsTable[Code], SummaryTable[[#This Row],[Code]], allFYsTable[year2], ED$3))</f>
        <v>-150</v>
      </c>
      <c r="EJ109" s="63">
        <f>IF(SummaryTable[[#This Row],[OriginalBudget10]]=0, IF(SummaryTable[[#This Row],[DiffAmount10]]=0, ZeroBudgetNoSpending, ZeroBudgetWithSpending), SummaryTable[[#This Row],[DiffAmount10]]/SummaryTable[[#This Row],[OriginalBudget10]])</f>
        <v>-4.7831632653061222E-2</v>
      </c>
      <c r="EK109" s="62">
        <f>IF(COUNTIFS(allFYsTable[Code], SummaryTable[[#This Row],[Code]], allFYsTable[year2], EK$3)=0, NotFound, SUMIFS(allFYsTable[OriginalBudget], allFYsTable[Code], SummaryTable[[#This Row],[Code]], allFYsTable[year2], EK$3))</f>
        <v>3137</v>
      </c>
      <c r="EL109" s="61">
        <f>SummaryTable[[#This Row],[OriginalBudget09]]-SummaryTable[[#This Row],[OriginalBudget08]]</f>
        <v>-13</v>
      </c>
      <c r="EM109" s="54">
        <f>SummaryTable[[#This Row],[BudgetIncreaseAmount09]]/SummaryTable[[#This Row],[OriginalBudget08]]</f>
        <v>-4.1269841269841274E-3</v>
      </c>
      <c r="EN109" s="61">
        <f>IF(COUNTIFS(allFYsTable[Code], SummaryTable[[#This Row],[Code]], allFYsTable[year2], EK$3)=0, NotFound, SUMIFS(allFYsTable[RevisedBudget], allFYsTable[Code], SummaryTable[[#This Row],[Code]], allFYsTable[year2], EK$3))</f>
        <v>3112</v>
      </c>
      <c r="EO109" s="61">
        <f>IF(COUNTIFS(allFYsTable[Code], SummaryTable[[#This Row],[Code]], allFYsTable[year2], EK$3)=0, NotFound, SUMIFS(allFYsTable[Actual], allFYsTable[Code], SummaryTable[[#This Row],[Code]], allFYsTable[year2], EK$3))</f>
        <v>2935</v>
      </c>
      <c r="EP109" s="61">
        <f>IF(COUNTIFS(allFYsTable[Code], SummaryTable[[#This Row],[Code]], allFYsTable[year2], EK$3)=0, NotFound, SUMIFS(allFYsTable[DiffAmount], allFYsTable[Code], SummaryTable[[#This Row],[Code]], allFYsTable[year2], EK$3))</f>
        <v>-202</v>
      </c>
      <c r="EQ109" s="63">
        <f>IF(SummaryTable[[#This Row],[OriginalBudget09]]=0, IF(SummaryTable[[#This Row],[DiffAmount09]]=0, ZeroBudgetNoSpending, ZeroBudgetWithSpending), SummaryTable[[#This Row],[DiffAmount09]]/SummaryTable[[#This Row],[OriginalBudget09]])</f>
        <v>-6.4392731909467649E-2</v>
      </c>
      <c r="ER109" s="62">
        <f>IF(COUNTIFS(allFYsTable[Code], SummaryTable[[#This Row],[Code]], allFYsTable[year2], ER$3)=0, NotFound, SUMIFS(allFYsTable[OriginalBudget], allFYsTable[Code], SummaryTable[[#This Row],[Code]], allFYsTable[year2], ER$3))</f>
        <v>3150</v>
      </c>
      <c r="ES109" s="61">
        <f>SummaryTable[[#This Row],[OriginalBudget08]]-SummaryTable[[#This Row],[OriginalBudget07]]</f>
        <v>152</v>
      </c>
      <c r="ET109" s="54">
        <f>SummaryTable[[#This Row],[BudgetIncreaseAmount08]]/SummaryTable[[#This Row],[OriginalBudget07]]</f>
        <v>5.0700466977985324E-2</v>
      </c>
      <c r="EU109" s="61">
        <f>IF(COUNTIFS(allFYsTable[Code], SummaryTable[[#This Row],[Code]], allFYsTable[year2], ER$3)=0, NotFound, SUMIFS(allFYsTable[RevisedBudget], allFYsTable[Code], SummaryTable[[#This Row],[Code]], allFYsTable[year2], ER$3))</f>
        <v>3150</v>
      </c>
      <c r="EV109" s="61">
        <f>IF(COUNTIFS(allFYsTable[Code], SummaryTable[[#This Row],[Code]], allFYsTable[year2], ER$3)=0, NotFound, SUMIFS(allFYsTable[Actual], allFYsTable[Code], SummaryTable[[#This Row],[Code]], allFYsTable[year2], ER$3))</f>
        <v>3094</v>
      </c>
      <c r="EW109" s="61">
        <f>IF(COUNTIFS(allFYsTable[Code], SummaryTable[[#This Row],[Code]], allFYsTable[year2], ER$3)=0, NotFound, SUMIFS(allFYsTable[DiffAmount], allFYsTable[Code], SummaryTable[[#This Row],[Code]], allFYsTable[year2], ER$3))</f>
        <v>-56</v>
      </c>
      <c r="EX109" s="63">
        <f>IF(SummaryTable[[#This Row],[OriginalBudget08]]=0, IF(SummaryTable[[#This Row],[DiffAmount08]]=0, ZeroBudgetNoSpending, ZeroBudgetWithSpending), SummaryTable[[#This Row],[DiffAmount08]]/SummaryTable[[#This Row],[OriginalBudget08]])</f>
        <v>-1.7777777777777778E-2</v>
      </c>
      <c r="EY109" s="62">
        <f>IF(COUNTIFS(allFYsTable[Code], SummaryTable[[#This Row],[Code]], allFYsTable[year2], EY$3)=0, NotFound, SUMIFS(allFYsTable[OriginalBudget], allFYsTable[Code], SummaryTable[[#This Row],[Code]], allFYsTable[year2], EY$3))</f>
        <v>2998</v>
      </c>
      <c r="EZ109" s="61">
        <f>SummaryTable[[#This Row],[OriginalBudget07]]-SummaryTable[[#This Row],[OriginalBudget06]]</f>
        <v>96</v>
      </c>
      <c r="FA109" s="54">
        <f>SummaryTable[[#This Row],[BudgetIncreaseAmount07]]/SummaryTable[[#This Row],[OriginalBudget06]]</f>
        <v>3.308063404548587E-2</v>
      </c>
      <c r="FB109" s="61">
        <f>IF(COUNTIFS(allFYsTable[Code], SummaryTable[[#This Row],[Code]], allFYsTable[year2], EY$3)=0, NotFound, SUMIFS(allFYsTable[RevisedBudget], allFYsTable[Code], SummaryTable[[#This Row],[Code]], allFYsTable[year2], EY$3))</f>
        <v>3064</v>
      </c>
      <c r="FC109" s="61">
        <f>IF(COUNTIFS(allFYsTable[Code], SummaryTable[[#This Row],[Code]], allFYsTable[year2], EY$3)=0, NotFound, SUMIFS(allFYsTable[Actual], allFYsTable[Code], SummaryTable[[#This Row],[Code]], allFYsTable[year2], EY$3))</f>
        <v>3055</v>
      </c>
      <c r="FD109" s="61">
        <f>IF(COUNTIFS(allFYsTable[Code], SummaryTable[[#This Row],[Code]], allFYsTable[year2], EY$3)=0, NotFound, SUMIFS(allFYsTable[DiffAmount], allFYsTable[Code], SummaryTable[[#This Row],[Code]], allFYsTable[year2], EY$3))</f>
        <v>57</v>
      </c>
      <c r="FE109" s="63">
        <f>IF(SummaryTable[[#This Row],[OriginalBudget07]]=0, IF(SummaryTable[[#This Row],[DiffAmount07]]=0, ZeroBudgetNoSpending, ZeroBudgetWithSpending), SummaryTable[[#This Row],[DiffAmount07]]/SummaryTable[[#This Row],[OriginalBudget07]])</f>
        <v>1.9012675116744496E-2</v>
      </c>
      <c r="FF109" s="62">
        <f>IF(COUNTIFS(allFYsTable[Code], SummaryTable[[#This Row],[Code]], allFYsTable[year2], FF$3)=0, NotFound, SUMIFS(allFYsTable[OriginalBudget], allFYsTable[Code], SummaryTable[[#This Row],[Code]], allFYsTable[year2], FF$3))</f>
        <v>2902</v>
      </c>
      <c r="FI109" s="61">
        <f>IF(COUNTIFS(allFYsTable[Code], SummaryTable[[#This Row],[Code]], allFYsTable[year2], FF$3)=0, NotFound, SUMIFS(allFYsTable[RevisedBudget], allFYsTable[Code], SummaryTable[[#This Row],[Code]], allFYsTable[year2], FF$3))</f>
        <v>2902</v>
      </c>
      <c r="FJ109" s="61">
        <f>IF(COUNTIFS(allFYsTable[Code], SummaryTable[[#This Row],[Code]], allFYsTable[year2], FF$3)=0, NotFound, SUMIFS(allFYsTable[Actual], allFYsTable[Code], SummaryTable[[#This Row],[Code]], allFYsTable[year2], FF$3))</f>
        <v>2602</v>
      </c>
      <c r="FK109" s="61">
        <f>IF(COUNTIFS(allFYsTable[Code], SummaryTable[[#This Row],[Code]], allFYsTable[year2], FF$3)=0, NotFound, SUMIFS(allFYsTable[DiffAmount], allFYsTable[Code], SummaryTable[[#This Row],[Code]], allFYsTable[year2], FF$3))</f>
        <v>-300</v>
      </c>
      <c r="FL109" s="63">
        <f>IF(SummaryTable[[#This Row],[OriginalBudget06]]=0, IF(SummaryTable[[#This Row],[DiffAmount06]]=0, ZeroBudgetNoSpending, ZeroBudgetWithSpending), SummaryTable[[#This Row],[DiffAmount06]]/SummaryTable[[#This Row],[OriginalBudget06]])</f>
        <v>-0.10337698139214335</v>
      </c>
    </row>
    <row r="110" spans="1:168" x14ac:dyDescent="0.45">
      <c r="A110" t="s">
        <v>728</v>
      </c>
      <c r="B110">
        <f>_xlfn.MAXIFS(allFYsTable[year2], allFYsTable[Code], SummaryTable[[#This Row],[Code]])</f>
        <v>2025</v>
      </c>
      <c r="C110" t="str">
        <f>_xlfn.XLOOKUP(SummaryTable[[#This Row],[Code]], NameCodingTable[Code], NameCodingTable[Most Recent Category per allFYs])</f>
        <v>Governmental direction and support</v>
      </c>
      <c r="D110" t="str">
        <f>_xlfn.XLOOKUP(SummaryTable[[#This Row],[Code]], NameCodingTable[Code], NameCodingTable[Unit Display Name])</f>
        <v>Office on Asian and Pacific Islander Affairs</v>
      </c>
      <c r="E110" t="str">
        <f>_xlfn.XLOOKUP(SummaryTable[[#This Row],[Code]], NameCodingTable[Code], NameCodingTable[Type])</f>
        <v>agency</v>
      </c>
      <c r="F11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1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110" s="54">
        <f>SummaryTable[[#This Row],['# Over]]/SummaryTable[[#This Row],[Count]]</f>
        <v>0.3</v>
      </c>
      <c r="I11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14</v>
      </c>
      <c r="J110" s="54">
        <f>SummaryTable[[#This Row],['# Under]]/SummaryTable[[#This Row],[Count]]</f>
        <v>0.7</v>
      </c>
      <c r="K11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10" s="54">
        <f>SummaryTable[[#This Row],['# Equal]]/SummaryTable[[#This Row],[Count]]</f>
        <v>0</v>
      </c>
      <c r="M110" s="61">
        <f>SUMIFS(allFYsTable[OriginalBudget],allFYsTable[Code],SummaryTable[[#This Row],[Code]])/SummaryTable[[#This Row],[Count]]</f>
        <v>1014.3</v>
      </c>
      <c r="N110" s="61">
        <f>SUMIFS(allFYsTable[Actual],allFYsTable[Code],SummaryTable[[#This Row],[Code]])/SummaryTable[[#This Row],[Count]]</f>
        <v>953.05</v>
      </c>
      <c r="O110" s="61">
        <f>SummaryTable[[#This Row],[AvgActAmt]]-SummaryTable[[#This Row],[AvgBudAmt]]</f>
        <v>-61.25</v>
      </c>
      <c r="P110" s="54">
        <f>IF(SummaryTable[[#This Row],[AvgBudAmt]]=0, IF(SummaryTable[[#This Row],[AvgDiff'#]]=0, 0, NamedFields!$C$3), SummaryTable[[#This Row],[AvgDiff'#]]/SummaryTable[[#This Row],[AvgBudAmt]])</f>
        <v>-6.0386473429951695E-2</v>
      </c>
      <c r="Q110" s="61">
        <f>IFERROR(SUMIFS(allFYsTable[OriginalBudget],allFYsTable[Code],SummaryTable[[#This Row],[Code]],allFYsTable[DiffAmount], "&gt;0")/SummaryTable[[#This Row],['# Over]], 0)</f>
        <v>784.5</v>
      </c>
      <c r="R110" s="61">
        <f>IFERROR(SUMIFS(allFYsTable[Actual],allFYsTable[Code],SummaryTable[[#This Row],[Code]],allFYsTable[DiffAmount], "&gt;0")/SummaryTable[[#This Row],['# Over]], 0)</f>
        <v>800</v>
      </c>
      <c r="S110" s="61">
        <f>SummaryTable[[#This Row],[OverAvgAct]]-SummaryTable[[#This Row],[OverAvgBud]]</f>
        <v>15.5</v>
      </c>
      <c r="T110" s="54">
        <f>IF(SummaryTable[[#This Row],[OverAvgBud]]=0, IF(SummaryTable[[#This Row],[OverAvgDiff'#]]=0, ZeroBudgetNoSpending, ZeroBudgetWithSpending), SummaryTable[[#This Row],[OverAvgDiff'#]]/SummaryTable[[#This Row],[OverAvgBud]])</f>
        <v>1.9757807520713832E-2</v>
      </c>
      <c r="U110" s="61">
        <f>IFERROR(SUMIFS(allFYsTable[OriginalBudget],allFYsTable[Code],SummaryTable[[#This Row],[Code]],allFYsTable[DiffAmount], "&lt;0")/SummaryTable[[#This Row],['# Under]], 0)</f>
        <v>1112.7857142857142</v>
      </c>
      <c r="V110" s="61">
        <f>IFERROR( SUMIFS(allFYsTable[Actual],allFYsTable[Code],SummaryTable[[#This Row],[Code]],allFYsTable[DiffAmount], "&lt;0")/SummaryTable[[#This Row],['# Under]], 0)</f>
        <v>1018.6428571428571</v>
      </c>
      <c r="W110" s="61">
        <f>SummaryTable[[#This Row],[UnderAvgAct]]-SummaryTable[[#This Row],[UnderAvgBud]]</f>
        <v>-94.14285714285711</v>
      </c>
      <c r="X110" s="54">
        <f>IF(SummaryTable[[#This Row],[UnderAvgBud]]=0, IF(SummaryTable[[#This Row],[UnderAvgDiff'#]]=0, ZeroBudgetNoSpending, NamedFields!$C$3), SummaryTable[[#This Row],[UnderAvgDiff'#]]/SummaryTable[[#This Row],[UnderAvgBud]])</f>
        <v>-8.4601065536940731E-2</v>
      </c>
      <c r="Y11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11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10" s="54">
        <f>IF(SummaryTable[[#This Row],[IncreaseYears]]=0, ZeroBudgetNoSpending, SummaryTable[[#This Row],[OSinIncreaseYear'#]]/SummaryTable[[#This Row],[IncreaseYears]])</f>
        <v>0</v>
      </c>
      <c r="AB110" s="58" t="str">
        <f>SummaryTable[[#This Row],[Code]]</f>
        <v>AP0</v>
      </c>
      <c r="AC110" s="62">
        <f>IF(COUNTIFS(allFYsTable[Code], SummaryTable[[#This Row],[Code]], allFYsTable[year2], AC$3)=0, NotFound, SUMIFS(allFYsTable[OriginalBudget], allFYsTable[Code], SummaryTable[[#This Row],[Code]], allFYsTable[year2], AC$3))</f>
        <v>1562</v>
      </c>
      <c r="AD110" s="61">
        <f>SummaryTable[[#This Row],[OriginalBudget25]]-SummaryTable[[#This Row],[OriginalBudget24]]</f>
        <v>8</v>
      </c>
      <c r="AE110" s="54">
        <f>SummaryTable[[#This Row],[BudgetIncreaseAmount25]]/SummaryTable[[#This Row],[OriginalBudget24]]</f>
        <v>5.1480051480051478E-3</v>
      </c>
      <c r="AF110" s="61">
        <f>IF(COUNTIFS(allFYsTable[Code], SummaryTable[[#This Row],[Code]], allFYsTable[year2], AC$3)=0, NotFound, SUMIFS(allFYsTable[RevisedBudget], allFYsTable[Code], SummaryTable[[#This Row],[Code]], allFYsTable[year2], AC$3))</f>
        <v>1369</v>
      </c>
      <c r="AG110" s="61">
        <f>IF(COUNTIFS(allFYsTable[Code], SummaryTable[[#This Row],[Code]], allFYsTable[year2], AC$3)=0, NotFound, SUMIFS(allFYsTable[Actual], allFYsTable[Code], SummaryTable[[#This Row],[Code]], allFYsTable[year2], AC$3))</f>
        <v>1150</v>
      </c>
      <c r="AH110" s="61">
        <f>IF(COUNTIFS(allFYsTable[Code], SummaryTable[[#This Row],[Code]], allFYsTable[year2], AC$3)=0, NotFound, SUMIFS(allFYsTable[DiffAmount], allFYsTable[Code], SummaryTable[[#This Row],[Code]], allFYsTable[year2], AC$3))</f>
        <v>-412</v>
      </c>
      <c r="AI110" s="63">
        <f>IF(SummaryTable[[#This Row],[OriginalBudget25]]=0, IF(SummaryTable[[#This Row],[DiffAmount25]]=0, ZeroBudgetNoSpending, ZeroBudgetWithSpending), SummaryTable[[#This Row],[DiffAmount25]]/SummaryTable[[#This Row],[OriginalBudget25]])</f>
        <v>-0.26376440460947503</v>
      </c>
      <c r="AJ110" s="62">
        <f>IF(COUNTIFS(allFYsTable[Code], SummaryTable[[#This Row],[Code]], allFYsTable[year2], AJ$3)=0, NotFound, SUMIFS(allFYsTable[OriginalBudget], allFYsTable[Code], SummaryTable[[#This Row],[Code]], allFYsTable[year2], AJ$3))</f>
        <v>1554</v>
      </c>
      <c r="AK110" s="61">
        <f>SummaryTable[[#This Row],[OriginalBudget24]]-SummaryTable[[#This Row],[OriginalBudget23]]</f>
        <v>52</v>
      </c>
      <c r="AL110" s="54">
        <f>SummaryTable[[#This Row],[BudgetIncreaseAmount24]]/SummaryTable[[#This Row],[OriginalBudget23]]</f>
        <v>3.462050599201065E-2</v>
      </c>
      <c r="AM110" s="61">
        <f>IF(COUNTIFS(allFYsTable[Code], SummaryTable[[#This Row],[Code]], allFYsTable[year2], AK$3)=0, NotFound, SUMIFS(allFYsTable[RevisedBudget], allFYsTable[Code], SummaryTable[[#This Row],[Code]], allFYsTable[year2], AJ$3))</f>
        <v>1604</v>
      </c>
      <c r="AN110" s="61">
        <f>IF(COUNTIFS(allFYsTable[Code], SummaryTable[[#This Row],[Code]], allFYsTable[year2], AJ$3)=0, NotFound, SUMIFS(allFYsTable[Actual], allFYsTable[Code], SummaryTable[[#This Row],[Code]], allFYsTable[year2], AJ$3))</f>
        <v>1381</v>
      </c>
      <c r="AO110" s="61">
        <f>IF(COUNTIFS(allFYsTable[Code], SummaryTable[[#This Row],[Code]], allFYsTable[year2], AJ$3)=0, NotFound, SUMIFS(allFYsTable[DiffAmount], allFYsTable[Code], SummaryTable[[#This Row],[Code]], allFYsTable[year2], AJ$3))</f>
        <v>-173</v>
      </c>
      <c r="AP110" s="63">
        <f>IF(SummaryTable[[#This Row],[OriginalBudget24]]=0, IF(SummaryTable[[#This Row],[DiffAmount24]]=0, ZeroBudgetNoSpending, ZeroBudgetWithSpending), SummaryTable[[#This Row],[DiffAmount24]]/SummaryTable[[#This Row],[OriginalBudget24]])</f>
        <v>-0.11132561132561132</v>
      </c>
      <c r="AQ110" s="62">
        <f>IF(COUNTIFS(allFYsTable[Code], SummaryTable[[#This Row],[Code]], allFYsTable[year2], AQ$3)=0, NotFound, SUMIFS(allFYsTable[OriginalBudget], allFYsTable[Code], SummaryTable[[#This Row],[Code]], allFYsTable[year2], AQ$3))</f>
        <v>1502</v>
      </c>
      <c r="AR110" s="61">
        <f>SummaryTable[[#This Row],[OriginalBudget23]]-SummaryTable[[#This Row],[OriginalBudget22]]</f>
        <v>117</v>
      </c>
      <c r="AS110" s="54">
        <f>SummaryTable[[#This Row],[BudgetIncreaseAmount23]]/SummaryTable[[#This Row],[OriginalBudget22]]</f>
        <v>8.4476534296028874E-2</v>
      </c>
      <c r="AT110" s="61">
        <f>IF(COUNTIFS(allFYsTable[Code], SummaryTable[[#This Row],[Code]], allFYsTable[year2], AQ$3)=0, NotFound, SUMIFS(allFYsTable[RevisedBudget], allFYsTable[Code], SummaryTable[[#This Row],[Code]], allFYsTable[year2], AQ$3))</f>
        <v>1502</v>
      </c>
      <c r="AU110" s="61">
        <f>IF(COUNTIFS(allFYsTable[Code], SummaryTable[[#This Row],[Code]], allFYsTable[year2], AQ$3)=0, NotFound, SUMIFS(allFYsTable[Actual], allFYsTable[Code], SummaryTable[[#This Row],[Code]], allFYsTable[year2], AQ$3))</f>
        <v>1270</v>
      </c>
      <c r="AV110" s="61">
        <f>IF(COUNTIFS(allFYsTable[Code], SummaryTable[[#This Row],[Code]], allFYsTable[year2], AQ$3)=0, NotFound, SUMIFS(allFYsTable[DiffAmount], allFYsTable[Code], SummaryTable[[#This Row],[Code]], allFYsTable[year2], AQ$3))</f>
        <v>-232</v>
      </c>
      <c r="AW110" s="63">
        <f>IF(SummaryTable[[#This Row],[OriginalBudget23]]=0, IF(SummaryTable[[#This Row],[DiffAmount23]]=0, ZeroBudgetNoSpending, ZeroBudgetWithSpending), SummaryTable[[#This Row],[DiffAmount23]]/SummaryTable[[#This Row],[OriginalBudget23]])</f>
        <v>-0.15446071904127828</v>
      </c>
      <c r="AX110" s="62">
        <f>IF(COUNTIFS(allFYsTable[Code], SummaryTable[[#This Row],[Code]], allFYsTable[year2], AX$3)=0, NotFound, SUMIFS(allFYsTable[OriginalBudget], allFYsTable[Code], SummaryTable[[#This Row],[Code]], allFYsTable[year2], AX$3))</f>
        <v>1385</v>
      </c>
      <c r="AY110" s="61">
        <f>SummaryTable[[#This Row],[OriginalBudget22]]-SummaryTable[[#This Row],[OriginalBudget21]]</f>
        <v>50</v>
      </c>
      <c r="AZ110" s="54">
        <f>SummaryTable[[#This Row],[BudgetIncreaseAmount22]]/SummaryTable[[#This Row],[OriginalBudget21]]</f>
        <v>3.7453183520599252E-2</v>
      </c>
      <c r="BA110" s="61">
        <f>IF(COUNTIFS(allFYsTable[Code], SummaryTable[[#This Row],[Code]], allFYsTable[year2], AX$3)=0, NotFound, SUMIFS(allFYsTable[RevisedBudget], allFYsTable[Code], SummaryTable[[#This Row],[Code]], allFYsTable[year2], AX$3))</f>
        <v>1385</v>
      </c>
      <c r="BB110" s="61">
        <f>IF(COUNTIFS(allFYsTable[Code], SummaryTable[[#This Row],[Code]], allFYsTable[year2], AX$3)=0, NotFound, SUMIFS(allFYsTable[Actual], allFYsTable[Code], SummaryTable[[#This Row],[Code]], allFYsTable[year2], AX$3))</f>
        <v>1307</v>
      </c>
      <c r="BC110" s="61">
        <f>IF(COUNTIFS(allFYsTable[Code], SummaryTable[[#This Row],[Code]], allFYsTable[year2], AX$3)=0, NotFound, SUMIFS(allFYsTable[DiffAmount], allFYsTable[Code], SummaryTable[[#This Row],[Code]], allFYsTable[year2], AX$3))</f>
        <v>-78</v>
      </c>
      <c r="BD110" s="63">
        <f>IF(SummaryTable[[#This Row],[OriginalBudget22]]=0, IF(SummaryTable[[#This Row],[DiffAmount22]]=0, ZeroBudgetNoSpending, ZeroBudgetWithSpending), SummaryTable[[#This Row],[DiffAmount22]]/SummaryTable[[#This Row],[OriginalBudget22]])</f>
        <v>-5.6317689530685923E-2</v>
      </c>
      <c r="BE110" s="62">
        <f>IF(COUNTIFS(allFYsTable[Code], SummaryTable[[#This Row],[Code]], allFYsTable[year2], BE$3)=0, NotFound, SUMIFS(allFYsTable[OriginalBudget], allFYsTable[Code], SummaryTable[[#This Row],[Code]], allFYsTable[year2], BE$3))</f>
        <v>1335</v>
      </c>
      <c r="BF110" s="61">
        <f>SummaryTable[[#This Row],[OriginalBudget21]]-SummaryTable[[#This Row],[OriginalBudget20]]</f>
        <v>431</v>
      </c>
      <c r="BG110" s="54">
        <f>SummaryTable[[#This Row],[BudgetIncreaseAmount21]]/SummaryTable[[#This Row],[OriginalBudget20]]</f>
        <v>0.47676991150442477</v>
      </c>
      <c r="BH110" s="61">
        <f>IF(COUNTIFS(allFYsTable[Code], SummaryTable[[#This Row],[Code]], allFYsTable[year2], BE$3)=0, NotFound, SUMIFS(allFYsTable[RevisedBudget], allFYsTable[Code], SummaryTable[[#This Row],[Code]], allFYsTable[year2], BE$3))</f>
        <v>1335</v>
      </c>
      <c r="BI110" s="61">
        <f>IF(COUNTIFS(allFYsTable[Code], SummaryTable[[#This Row],[Code]], allFYsTable[year2], BE$3)=0, NotFound, SUMIFS(allFYsTable[Actual], allFYsTable[Code], SummaryTable[[#This Row],[Code]], allFYsTable[year2], BE$3))</f>
        <v>1243</v>
      </c>
      <c r="BJ110" s="61">
        <f>IF(COUNTIFS(allFYsTable[Code], SummaryTable[[#This Row],[Code]], allFYsTable[year2], BE$3)=0, NotFound, SUMIFS(allFYsTable[DiffAmount], allFYsTable[Code], SummaryTable[[#This Row],[Code]], allFYsTable[year2], BE$3))</f>
        <v>-92</v>
      </c>
      <c r="BK110" s="63">
        <f>IF(SummaryTable[[#This Row],[OriginalBudget21]]=0, IF(SummaryTable[[#This Row],[DiffAmount21]]=0, ZeroBudgetNoSpending, ZeroBudgetWithSpending), SummaryTable[[#This Row],[DiffAmount21]]/SummaryTable[[#This Row],[OriginalBudget21]])</f>
        <v>-6.8913857677902618E-2</v>
      </c>
      <c r="BL110" s="62">
        <f>IF(COUNTIFS(allFYsTable[Code], SummaryTable[[#This Row],[Code]], allFYsTable[year2], BL$3)=0, NotFound, SUMIFS(allFYsTable[OriginalBudget], allFYsTable[Code], SummaryTable[[#This Row],[Code]], allFYsTable[year2], BL$3))</f>
        <v>904</v>
      </c>
      <c r="BM110" s="61">
        <f>SummaryTable[[#This Row],[OriginalBudget20]]-SummaryTable[[#This Row],[OriginalBudget19]]</f>
        <v>32</v>
      </c>
      <c r="BN110" s="54">
        <f>SummaryTable[[#This Row],[BudgetIncreaseAmount20]]/SummaryTable[[#This Row],[OriginalBudget19]]</f>
        <v>3.669724770642202E-2</v>
      </c>
      <c r="BO110" s="61">
        <f>IF(COUNTIFS(allFYsTable[Code], SummaryTable[[#This Row],[Code]], allFYsTable[year2], BL$3)=0, NotFound, SUMIFS(allFYsTable[RevisedBudget], allFYsTable[Code], SummaryTable[[#This Row],[Code]], allFYsTable[year2], BL$3))</f>
        <v>896</v>
      </c>
      <c r="BP110" s="61">
        <f>IF(COUNTIFS(allFYsTable[Code], SummaryTable[[#This Row],[Code]], allFYsTable[year2], BL$3)=0, NotFound, SUMIFS(allFYsTable[Actual], allFYsTable[Code], SummaryTable[[#This Row],[Code]], allFYsTable[year2], BL$3))</f>
        <v>891</v>
      </c>
      <c r="BQ110" s="61">
        <f>IF(COUNTIFS(allFYsTable[Code], SummaryTable[[#This Row],[Code]], allFYsTable[year2], BL$3)=0, NotFound, SUMIFS(allFYsTable[DiffAmount], allFYsTable[Code], SummaryTable[[#This Row],[Code]], allFYsTable[year2], BL$3))</f>
        <v>-13</v>
      </c>
      <c r="BR110" s="63">
        <f>IF(SummaryTable[[#This Row],[OriginalBudget20]]=0, IF(SummaryTable[[#This Row],[DiffAmount20]]=0, ZeroBudgetNoSpending, ZeroBudgetWithSpending), SummaryTable[[#This Row],[DiffAmount20]]/SummaryTable[[#This Row],[OriginalBudget20]])</f>
        <v>-1.4380530973451327E-2</v>
      </c>
      <c r="BS110" s="62">
        <f>IF(COUNTIFS(allFYsTable[Code], SummaryTable[[#This Row],[Code]], allFYsTable[year2], BS$3)=0, NotFound, SUMIFS(allFYsTable[OriginalBudget], allFYsTable[Code], SummaryTable[[#This Row],[Code]], allFYsTable[year2], BS$3))</f>
        <v>872</v>
      </c>
      <c r="BT110" s="61">
        <f>SummaryTable[[#This Row],[OriginalBudget19]]-SummaryTable[[#This Row],[OriginalBudget18]]</f>
        <v>17</v>
      </c>
      <c r="BU110" s="54">
        <f>SummaryTable[[#This Row],[BudgetIncreaseAmount19]]/SummaryTable[[#This Row],[OriginalBudget18]]</f>
        <v>1.9883040935672516E-2</v>
      </c>
      <c r="BV110" s="61">
        <f>IF(COUNTIFS(allFYsTable[Code], SummaryTable[[#This Row],[Code]], allFYsTable[year2], BS$3)=0, NotFound, SUMIFS(allFYsTable[RevisedBudget], allFYsTable[Code], SummaryTable[[#This Row],[Code]], allFYsTable[year2], BS$3))</f>
        <v>872</v>
      </c>
      <c r="BW110" s="61">
        <f>IF(COUNTIFS(allFYsTable[Code], SummaryTable[[#This Row],[Code]], allFYsTable[year2], BS$3)=0, NotFound, SUMIFS(allFYsTable[Actual], allFYsTable[Code], SummaryTable[[#This Row],[Code]], allFYsTable[year2], BS$3))</f>
        <v>870</v>
      </c>
      <c r="BX110" s="61">
        <f>IF(COUNTIFS(allFYsTable[Code], SummaryTable[[#This Row],[Code]], allFYsTable[year2], BS$3)=0, NotFound, SUMIFS(allFYsTable[DiffAmount], allFYsTable[Code], SummaryTable[[#This Row],[Code]], allFYsTable[year2], BS$3))</f>
        <v>-2</v>
      </c>
      <c r="BY110" s="63">
        <f>IF(SummaryTable[[#This Row],[OriginalBudget19]]=0, IF(SummaryTable[[#This Row],[DiffAmount19]]=0, ZeroBudgetNoSpending, ZeroBudgetWithSpending), SummaryTable[[#This Row],[DiffAmount19]]/SummaryTable[[#This Row],[OriginalBudget19]])</f>
        <v>-2.2935779816513763E-3</v>
      </c>
      <c r="BZ110" s="62">
        <f>IF(COUNTIFS(allFYsTable[Code], SummaryTable[[#This Row],[Code]], allFYsTable[year2], BZ$3)=0, NotFound, SUMIFS(allFYsTable[OriginalBudget], allFYsTable[Code], SummaryTable[[#This Row],[Code]], allFYsTable[year2], BZ$3))</f>
        <v>855</v>
      </c>
      <c r="CA110" s="61">
        <f>SummaryTable[[#This Row],[OriginalBudget18]]-SummaryTable[[#This Row],[OriginalBudget17]]</f>
        <v>0</v>
      </c>
      <c r="CB110" s="54">
        <f>SummaryTable[[#This Row],[BudgetIncreaseAmount18]]/SummaryTable[[#This Row],[OriginalBudget17]]</f>
        <v>0</v>
      </c>
      <c r="CC110" s="61">
        <f>IF(COUNTIFS(allFYsTable[Code], SummaryTable[[#This Row],[Code]], allFYsTable[year2], BZ$3)=0, NotFound, SUMIFS(allFYsTable[RevisedBudget], allFYsTable[Code], SummaryTable[[#This Row],[Code]], allFYsTable[year2], BZ$3))</f>
        <v>869</v>
      </c>
      <c r="CD110" s="61">
        <f>IF(COUNTIFS(allFYsTable[Code], SummaryTable[[#This Row],[Code]], allFYsTable[year2], BZ$3)=0, NotFound, SUMIFS(allFYsTable[Actual], allFYsTable[Code], SummaryTable[[#This Row],[Code]], allFYsTable[year2], BZ$3))</f>
        <v>867</v>
      </c>
      <c r="CE110" s="61">
        <f>IF(COUNTIFS(allFYsTable[Code], SummaryTable[[#This Row],[Code]], allFYsTable[year2], BZ$3)=0, NotFound, SUMIFS(allFYsTable[DiffAmount], allFYsTable[Code], SummaryTable[[#This Row],[Code]], allFYsTable[year2], BZ$3))</f>
        <v>12</v>
      </c>
      <c r="CF110" s="63">
        <f>IF(SummaryTable[[#This Row],[OriginalBudget18]]=0, IF(SummaryTable[[#This Row],[DiffAmount18]]=0, ZeroBudgetNoSpending, ZeroBudgetWithSpending), SummaryTable[[#This Row],[DiffAmount18]]/SummaryTable[[#This Row],[OriginalBudget18]])</f>
        <v>1.4035087719298246E-2</v>
      </c>
      <c r="CG110" s="62">
        <f>IF(COUNTIFS(allFYsTable[Code], SummaryTable[[#This Row],[Code]], allFYsTable[year2], CG$3)=0, NotFound, SUMIFS(allFYsTable[OriginalBudget], allFYsTable[Code], SummaryTable[[#This Row],[Code]], allFYsTable[year2], CG$3))</f>
        <v>855</v>
      </c>
      <c r="CH110" s="61">
        <f>SummaryTable[[#This Row],[OriginalBudget17]]-SummaryTable[[#This Row],[OriginalBudget16]]</f>
        <v>20</v>
      </c>
      <c r="CI110" s="54">
        <f>SummaryTable[[#This Row],[BudgetIncreaseAmount17]]/SummaryTable[[#This Row],[OriginalBudget16]]</f>
        <v>2.3952095808383235E-2</v>
      </c>
      <c r="CJ110" s="61">
        <f>IF(COUNTIFS(allFYsTable[Code], SummaryTable[[#This Row],[Code]], allFYsTable[year2], CG$3)=0, NotFound, SUMIFS(allFYsTable[RevisedBudget], allFYsTable[Code], SummaryTable[[#This Row],[Code]], allFYsTable[year2], CG$3))</f>
        <v>819</v>
      </c>
      <c r="CK110" s="61">
        <f>IF(COUNTIFS(allFYsTable[Code], SummaryTable[[#This Row],[Code]], allFYsTable[year2], CG$3)=0, NotFound, SUMIFS(allFYsTable[Actual], allFYsTable[Code], SummaryTable[[#This Row],[Code]], allFYsTable[year2], CG$3))</f>
        <v>803</v>
      </c>
      <c r="CL110" s="61">
        <f>IF(COUNTIFS(allFYsTable[Code], SummaryTable[[#This Row],[Code]], allFYsTable[year2], CG$3)=0, NotFound, SUMIFS(allFYsTable[DiffAmount], allFYsTable[Code], SummaryTable[[#This Row],[Code]], allFYsTable[year2], CG$3))</f>
        <v>-52</v>
      </c>
      <c r="CM110" s="63">
        <f>IF(SummaryTable[[#This Row],[OriginalBudget17]]=0, IF(SummaryTable[[#This Row],[DiffAmount17]]=0, ZeroBudgetNoSpending, ZeroBudgetWithSpending), SummaryTable[[#This Row],[DiffAmount17]]/SummaryTable[[#This Row],[OriginalBudget17]])</f>
        <v>-6.0818713450292397E-2</v>
      </c>
      <c r="CN110" s="62">
        <f>IF(COUNTIFS(allFYsTable[Code], SummaryTable[[#This Row],[Code]], allFYsTable[year2], CN$3)=0, NotFound, SUMIFS(allFYsTable[OriginalBudget], allFYsTable[Code], SummaryTable[[#This Row],[Code]], allFYsTable[year2], CN$3))</f>
        <v>835</v>
      </c>
      <c r="CO110" s="61">
        <f>SummaryTable[[#This Row],[OriginalBudget16]]-SummaryTable[[#This Row],[OriginalBudget15]]</f>
        <v>-108</v>
      </c>
      <c r="CP110" s="54">
        <f>SummaryTable[[#This Row],[BudgetIncreaseAmount16]]/SummaryTable[[#This Row],[OriginalBudget15]]</f>
        <v>-0.11452810180275716</v>
      </c>
      <c r="CQ110" s="61">
        <f>IF(COUNTIFS(allFYsTable[Code], SummaryTable[[#This Row],[Code]], allFYsTable[year2], CN$3)=0, NotFound, SUMIFS(allFYsTable[RevisedBudget], allFYsTable[Code], SummaryTable[[#This Row],[Code]], allFYsTable[year2], CN$3))</f>
        <v>749</v>
      </c>
      <c r="CR110" s="61">
        <f>IF(COUNTIFS(allFYsTable[Code], SummaryTable[[#This Row],[Code]], allFYsTable[year2], CN$3)=0, NotFound, SUMIFS(allFYsTable[Actual], allFYsTable[Code], SummaryTable[[#This Row],[Code]], allFYsTable[year2], CN$3))</f>
        <v>749</v>
      </c>
      <c r="CS110" s="61">
        <f>IF(COUNTIFS(allFYsTable[Code], SummaryTable[[#This Row],[Code]], allFYsTable[year2], CN$3)=0, NotFound, SUMIFS(allFYsTable[DiffAmount], allFYsTable[Code], SummaryTable[[#This Row],[Code]], allFYsTable[year2], CN$3))</f>
        <v>-86</v>
      </c>
      <c r="CT110" s="63">
        <f>IF(SummaryTable[[#This Row],[OriginalBudget16]]=0, IF(SummaryTable[[#This Row],[DiffAmount16]]=0, ZeroBudgetNoSpending, ZeroBudgetWithSpending), SummaryTable[[#This Row],[DiffAmount16]]/SummaryTable[[#This Row],[OriginalBudget16]])</f>
        <v>-0.10299401197604791</v>
      </c>
      <c r="CU110" s="62">
        <f>IF(COUNTIFS(allFYsTable[Code], SummaryTable[[#This Row],[Code]], allFYsTable[year2], CU$3)=0, NotFound, SUMIFS(allFYsTable[OriginalBudget], allFYsTable[Code], SummaryTable[[#This Row],[Code]], allFYsTable[year2], CU$3))</f>
        <v>943</v>
      </c>
      <c r="CV110" s="61">
        <f>SummaryTable[[#This Row],[OriginalBudget15]]-SummaryTable[[#This Row],[OriginalBudget14]]</f>
        <v>158</v>
      </c>
      <c r="CW110" s="54">
        <f>SummaryTable[[#This Row],[BudgetIncreaseAmount15]]/SummaryTable[[#This Row],[OriginalBudget14]]</f>
        <v>0.20127388535031848</v>
      </c>
      <c r="CX110" s="61">
        <f>IF(COUNTIFS(allFYsTable[Code], SummaryTable[[#This Row],[Code]], allFYsTable[year2], CU$3)=0, NotFound, SUMIFS(allFYsTable[RevisedBudget], allFYsTable[Code], SummaryTable[[#This Row],[Code]], allFYsTable[year2], CU$3))</f>
        <v>971</v>
      </c>
      <c r="CY110" s="61">
        <f>IF(COUNTIFS(allFYsTable[Code], SummaryTable[[#This Row],[Code]], allFYsTable[year2], CU$3)=0, NotFound, SUMIFS(allFYsTable[Actual], allFYsTable[Code], SummaryTable[[#This Row],[Code]], allFYsTable[year2], CU$3))</f>
        <v>946</v>
      </c>
      <c r="CZ110" s="61">
        <f>IF(COUNTIFS(allFYsTable[Code], SummaryTable[[#This Row],[Code]], allFYsTable[year2], CU$3)=0, NotFound, SUMIFS(allFYsTable[DiffAmount], allFYsTable[Code], SummaryTable[[#This Row],[Code]], allFYsTable[year2], CU$3))</f>
        <v>3</v>
      </c>
      <c r="DA110" s="63">
        <f>IF(SummaryTable[[#This Row],[OriginalBudget15]]=0, IF(SummaryTable[[#This Row],[DiffAmount15]]=0, ZeroBudgetNoSpending, ZeroBudgetWithSpending), SummaryTable[[#This Row],[DiffAmount15]]/SummaryTable[[#This Row],[OriginalBudget15]])</f>
        <v>3.1813361611876989E-3</v>
      </c>
      <c r="DB110" s="62">
        <f>IF(COUNTIFS(allFYsTable[Code], SummaryTable[[#This Row],[Code]], allFYsTable[year2], DB$3)=0, NotFound, SUMIFS(allFYsTable[OriginalBudget], allFYsTable[Code], SummaryTable[[#This Row],[Code]], allFYsTable[year2], DB$3))</f>
        <v>785</v>
      </c>
      <c r="DC110" s="61">
        <f>SummaryTable[[#This Row],[OriginalBudget14]]-SummaryTable[[#This Row],[OriginalBudget13]]</f>
        <v>5</v>
      </c>
      <c r="DD110" s="54">
        <f>SummaryTable[[#This Row],[BudgetIncreaseAmount14]]/SummaryTable[[#This Row],[OriginalBudget13]]</f>
        <v>6.41025641025641E-3</v>
      </c>
      <c r="DE110" s="61">
        <f>IF(COUNTIFS(allFYsTable[Code], SummaryTable[[#This Row],[Code]], allFYsTable[year2], DB$3)=0, NotFound, SUMIFS(allFYsTable[RevisedBudget], allFYsTable[Code], SummaryTable[[#This Row],[Code]], allFYsTable[year2], DB$3))</f>
        <v>802</v>
      </c>
      <c r="DF110" s="61">
        <f>IF(COUNTIFS(allFYsTable[Code], SummaryTable[[#This Row],[Code]], allFYsTable[year2], DB$3)=0, NotFound, SUMIFS(allFYsTable[Actual], allFYsTable[Code], SummaryTable[[#This Row],[Code]], allFYsTable[year2], DB$3))</f>
        <v>783</v>
      </c>
      <c r="DG110" s="61">
        <f>IF(COUNTIFS(allFYsTable[Code], SummaryTable[[#This Row],[Code]], allFYsTable[year2], DB$3)=0, NotFound, SUMIFS(allFYsTable[DiffAmount], allFYsTable[Code], SummaryTable[[#This Row],[Code]], allFYsTable[year2], DB$3))</f>
        <v>-2</v>
      </c>
      <c r="DH110" s="63">
        <f>IF(SummaryTable[[#This Row],[OriginalBudget14]]=0, IF(SummaryTable[[#This Row],[DiffAmount14]]=0, ZeroBudgetNoSpending, ZeroBudgetWithSpending), SummaryTable[[#This Row],[DiffAmount14]]/SummaryTable[[#This Row],[OriginalBudget14]])</f>
        <v>-2.5477707006369425E-3</v>
      </c>
      <c r="DI110" s="62">
        <f>IF(COUNTIFS(allFYsTable[Code], SummaryTable[[#This Row],[Code]], allFYsTable[year2], DI$3)=0, NotFound, SUMIFS(allFYsTable[OriginalBudget], allFYsTable[Code], SummaryTable[[#This Row],[Code]], allFYsTable[year2], DI$3))</f>
        <v>780</v>
      </c>
      <c r="DJ110" s="61">
        <f>SummaryTable[[#This Row],[OriginalBudget13]]-SummaryTable[[#This Row],[OriginalBudget12]]</f>
        <v>12</v>
      </c>
      <c r="DK110" s="54">
        <f>SummaryTable[[#This Row],[BudgetIncreaseAmount13]]/SummaryTable[[#This Row],[OriginalBudget12]]</f>
        <v>1.5625E-2</v>
      </c>
      <c r="DL110" s="61">
        <f>IF(COUNTIFS(allFYsTable[Code], SummaryTable[[#This Row],[Code]], allFYsTable[year2], DI$3)=0, NotFound, SUMIFS(allFYsTable[RevisedBudget], allFYsTable[Code], SummaryTable[[#This Row],[Code]], allFYsTable[year2], DI$3))</f>
        <v>788</v>
      </c>
      <c r="DM110" s="61">
        <f>IF(COUNTIFS(allFYsTable[Code], SummaryTable[[#This Row],[Code]], allFYsTable[year2], DI$3)=0, NotFound, SUMIFS(allFYsTable[Actual], allFYsTable[Code], SummaryTable[[#This Row],[Code]], allFYsTable[year2], DI$3))</f>
        <v>785</v>
      </c>
      <c r="DN110" s="61">
        <f>IF(COUNTIFS(allFYsTable[Code], SummaryTable[[#This Row],[Code]], allFYsTable[year2], DI$3)=0, NotFound, SUMIFS(allFYsTable[DiffAmount], allFYsTable[Code], SummaryTable[[#This Row],[Code]], allFYsTable[year2], DI$3))</f>
        <v>5</v>
      </c>
      <c r="DO110" s="63">
        <f>IF(SummaryTable[[#This Row],[OriginalBudget13]]=0, IF(SummaryTable[[#This Row],[DiffAmount13]]=0, ZeroBudgetNoSpending, ZeroBudgetWithSpending), SummaryTable[[#This Row],[DiffAmount13]]/SummaryTable[[#This Row],[OriginalBudget13]])</f>
        <v>6.41025641025641E-3</v>
      </c>
      <c r="DP110" s="62">
        <f>IF(COUNTIFS(allFYsTable[Code], SummaryTable[[#This Row],[Code]], allFYsTable[year2], DP$3)=0, NotFound, SUMIFS(allFYsTable[OriginalBudget], allFYsTable[Code], SummaryTable[[#This Row],[Code]], allFYsTable[year2], DP$3))</f>
        <v>768</v>
      </c>
      <c r="DQ110" s="61">
        <f>SummaryTable[[#This Row],[OriginalBudget12]]-SummaryTable[[#This Row],[OriginalBudget11]]</f>
        <v>-8</v>
      </c>
      <c r="DR110" s="54">
        <f>SummaryTable[[#This Row],[BudgetIncreaseAmount12]]/SummaryTable[[#This Row],[OriginalBudget11]]</f>
        <v>-1.0309278350515464E-2</v>
      </c>
      <c r="DS110" s="61">
        <f>IF(COUNTIFS(allFYsTable[Code], SummaryTable[[#This Row],[Code]], allFYsTable[year2], DP$3)=0, NotFound, SUMIFS(allFYsTable[RevisedBudget], allFYsTable[Code], SummaryTable[[#This Row],[Code]], allFYsTable[year2], DP$3))</f>
        <v>768</v>
      </c>
      <c r="DT110" s="61">
        <f>IF(COUNTIFS(allFYsTable[Code], SummaryTable[[#This Row],[Code]], allFYsTable[year2], DP$3)=0, NotFound, SUMIFS(allFYsTable[Actual], allFYsTable[Code], SummaryTable[[#This Row],[Code]], allFYsTable[year2], DP$3))</f>
        <v>762</v>
      </c>
      <c r="DU110" s="61">
        <f>IF(COUNTIFS(allFYsTable[Code], SummaryTable[[#This Row],[Code]], allFYsTable[year2], DP$3)=0, NotFound, SUMIFS(allFYsTable[DiffAmount], allFYsTable[Code], SummaryTable[[#This Row],[Code]], allFYsTable[year2], DP$3))</f>
        <v>-6</v>
      </c>
      <c r="DV110" s="63">
        <f>IF(SummaryTable[[#This Row],[OriginalBudget12]]=0, IF(SummaryTable[[#This Row],[DiffAmount12]]=0, ZeroBudgetNoSpending, ZeroBudgetWithSpending), SummaryTable[[#This Row],[DiffAmount12]]/SummaryTable[[#This Row],[OriginalBudget12]])</f>
        <v>-7.8125E-3</v>
      </c>
      <c r="DW110" s="62">
        <f>IF(COUNTIFS(allFYsTable[Code], SummaryTable[[#This Row],[Code]], allFYsTable[year2], DW$3)=0, NotFound, SUMIFS(allFYsTable[OriginalBudget], allFYsTable[Code], SummaryTable[[#This Row],[Code]], allFYsTable[year2], DW$3))</f>
        <v>776</v>
      </c>
      <c r="DX110" s="61">
        <f>SummaryTable[[#This Row],[OriginalBudget11]]-SummaryTable[[#This Row],[OriginalBudget10]]</f>
        <v>-189</v>
      </c>
      <c r="DY110" s="54">
        <f>SummaryTable[[#This Row],[BudgetIncreaseAmount11]]/SummaryTable[[#This Row],[OriginalBudget10]]</f>
        <v>-0.19585492227979276</v>
      </c>
      <c r="DZ110" s="61">
        <f>IF(COUNTIFS(allFYsTable[Code], SummaryTable[[#This Row],[Code]], allFYsTable[year2], DW$3)=0, NotFound, SUMIFS(allFYsTable[RevisedBudget], allFYsTable[Code], SummaryTable[[#This Row],[Code]], allFYsTable[year2], DW$3))</f>
        <v>785</v>
      </c>
      <c r="EA110" s="61">
        <f>IF(COUNTIFS(allFYsTable[Code], SummaryTable[[#This Row],[Code]], allFYsTable[year2], DW$3)=0, NotFound, SUMIFS(allFYsTable[Actual], allFYsTable[Code], SummaryTable[[#This Row],[Code]], allFYsTable[year2], DW$3))</f>
        <v>782</v>
      </c>
      <c r="EB110" s="61">
        <f>IF(COUNTIFS(allFYsTable[Code], SummaryTable[[#This Row],[Code]], allFYsTable[year2], DW$3)=0, NotFound, SUMIFS(allFYsTable[DiffAmount], allFYsTable[Code], SummaryTable[[#This Row],[Code]], allFYsTable[year2], DW$3))</f>
        <v>6</v>
      </c>
      <c r="EC110" s="63">
        <f>IF(SummaryTable[[#This Row],[OriginalBudget11]]=0, IF(SummaryTable[[#This Row],[DiffAmount11]]=0, ZeroBudgetNoSpending, ZeroBudgetWithSpending), SummaryTable[[#This Row],[DiffAmount11]]/SummaryTable[[#This Row],[OriginalBudget11]])</f>
        <v>7.7319587628865982E-3</v>
      </c>
      <c r="ED110" s="62">
        <f>IF(COUNTIFS(allFYsTable[Code], SummaryTable[[#This Row],[Code]], allFYsTable[year2], ED$3)=0, NotFound, SUMIFS(allFYsTable[OriginalBudget], allFYsTable[Code], SummaryTable[[#This Row],[Code]], allFYsTable[year2], ED$3))</f>
        <v>965</v>
      </c>
      <c r="EE110" s="61">
        <f>SummaryTable[[#This Row],[OriginalBudget10]]-SummaryTable[[#This Row],[OriginalBudget09]]</f>
        <v>0</v>
      </c>
      <c r="EF110" s="54">
        <f>SummaryTable[[#This Row],[BudgetIncreaseAmount10]]/SummaryTable[[#This Row],[OriginalBudget09]]</f>
        <v>0</v>
      </c>
      <c r="EG110" s="61">
        <f>IF(COUNTIFS(allFYsTable[Code], SummaryTable[[#This Row],[Code]], allFYsTable[year2], ED$3)=0, NotFound, SUMIFS(allFYsTable[RevisedBudget], allFYsTable[Code], SummaryTable[[#This Row],[Code]], allFYsTable[year2], ED$3))</f>
        <v>875</v>
      </c>
      <c r="EH110" s="61">
        <f>IF(COUNTIFS(allFYsTable[Code], SummaryTable[[#This Row],[Code]], allFYsTable[year2], ED$3)=0, NotFound, SUMIFS(allFYsTable[Actual], allFYsTable[Code], SummaryTable[[#This Row],[Code]], allFYsTable[year2], ED$3))</f>
        <v>869</v>
      </c>
      <c r="EI110" s="61">
        <f>IF(COUNTIFS(allFYsTable[Code], SummaryTable[[#This Row],[Code]], allFYsTable[year2], ED$3)=0, NotFound, SUMIFS(allFYsTable[DiffAmount], allFYsTable[Code], SummaryTable[[#This Row],[Code]], allFYsTable[year2], ED$3))</f>
        <v>-96</v>
      </c>
      <c r="EJ110" s="63">
        <f>IF(SummaryTable[[#This Row],[OriginalBudget10]]=0, IF(SummaryTable[[#This Row],[DiffAmount10]]=0, ZeroBudgetNoSpending, ZeroBudgetWithSpending), SummaryTable[[#This Row],[DiffAmount10]]/SummaryTable[[#This Row],[OriginalBudget10]])</f>
        <v>-9.9481865284974089E-2</v>
      </c>
      <c r="EK110" s="62">
        <f>IF(COUNTIFS(allFYsTable[Code], SummaryTable[[#This Row],[Code]], allFYsTable[year2], EK$3)=0, NotFound, SUMIFS(allFYsTable[OriginalBudget], allFYsTable[Code], SummaryTable[[#This Row],[Code]], allFYsTable[year2], EK$3))</f>
        <v>965</v>
      </c>
      <c r="EL110" s="61">
        <f>SummaryTable[[#This Row],[OriginalBudget09]]-SummaryTable[[#This Row],[OriginalBudget08]]</f>
        <v>26</v>
      </c>
      <c r="EM110" s="54">
        <f>SummaryTable[[#This Row],[BudgetIncreaseAmount09]]/SummaryTable[[#This Row],[OriginalBudget08]]</f>
        <v>2.7689030883919063E-2</v>
      </c>
      <c r="EN110" s="61">
        <f>IF(COUNTIFS(allFYsTable[Code], SummaryTable[[#This Row],[Code]], allFYsTable[year2], EK$3)=0, NotFound, SUMIFS(allFYsTable[RevisedBudget], allFYsTable[Code], SummaryTable[[#This Row],[Code]], allFYsTable[year2], EK$3))</f>
        <v>948</v>
      </c>
      <c r="EO110" s="61">
        <f>IF(COUNTIFS(allFYsTable[Code], SummaryTable[[#This Row],[Code]], allFYsTable[year2], EK$3)=0, NotFound, SUMIFS(allFYsTable[Actual], allFYsTable[Code], SummaryTable[[#This Row],[Code]], allFYsTable[year2], EK$3))</f>
        <v>902</v>
      </c>
      <c r="EP110" s="61">
        <f>IF(COUNTIFS(allFYsTable[Code], SummaryTable[[#This Row],[Code]], allFYsTable[year2], EK$3)=0, NotFound, SUMIFS(allFYsTable[DiffAmount], allFYsTable[Code], SummaryTable[[#This Row],[Code]], allFYsTable[year2], EK$3))</f>
        <v>-63</v>
      </c>
      <c r="EQ110" s="63">
        <f>IF(SummaryTable[[#This Row],[OriginalBudget09]]=0, IF(SummaryTable[[#This Row],[DiffAmount09]]=0, ZeroBudgetNoSpending, ZeroBudgetWithSpending), SummaryTable[[#This Row],[DiffAmount09]]/SummaryTable[[#This Row],[OriginalBudget09]])</f>
        <v>-6.5284974093264253E-2</v>
      </c>
      <c r="ER110" s="62">
        <f>IF(COUNTIFS(allFYsTable[Code], SummaryTable[[#This Row],[Code]], allFYsTable[year2], ER$3)=0, NotFound, SUMIFS(allFYsTable[OriginalBudget], allFYsTable[Code], SummaryTable[[#This Row],[Code]], allFYsTable[year2], ER$3))</f>
        <v>939</v>
      </c>
      <c r="ES110" s="61">
        <f>SummaryTable[[#This Row],[OriginalBudget08]]-SummaryTable[[#This Row],[OriginalBudget07]]</f>
        <v>126</v>
      </c>
      <c r="ET110" s="54">
        <f>SummaryTable[[#This Row],[BudgetIncreaseAmount08]]/SummaryTable[[#This Row],[OriginalBudget07]]</f>
        <v>0.15498154981549817</v>
      </c>
      <c r="EU110" s="61">
        <f>IF(COUNTIFS(allFYsTable[Code], SummaryTable[[#This Row],[Code]], allFYsTable[year2], ER$3)=0, NotFound, SUMIFS(allFYsTable[RevisedBudget], allFYsTable[Code], SummaryTable[[#This Row],[Code]], allFYsTable[year2], ER$3))</f>
        <v>955</v>
      </c>
      <c r="EV110" s="61">
        <f>IF(COUNTIFS(allFYsTable[Code], SummaryTable[[#This Row],[Code]], allFYsTable[year2], ER$3)=0, NotFound, SUMIFS(allFYsTable[Actual], allFYsTable[Code], SummaryTable[[#This Row],[Code]], allFYsTable[year2], ER$3))</f>
        <v>930</v>
      </c>
      <c r="EW110" s="61">
        <f>IF(COUNTIFS(allFYsTable[Code], SummaryTable[[#This Row],[Code]], allFYsTable[year2], ER$3)=0, NotFound, SUMIFS(allFYsTable[DiffAmount], allFYsTable[Code], SummaryTable[[#This Row],[Code]], allFYsTable[year2], ER$3))</f>
        <v>-9</v>
      </c>
      <c r="EX110" s="63">
        <f>IF(SummaryTable[[#This Row],[OriginalBudget08]]=0, IF(SummaryTable[[#This Row],[DiffAmount08]]=0, ZeroBudgetNoSpending, ZeroBudgetWithSpending), SummaryTable[[#This Row],[DiffAmount08]]/SummaryTable[[#This Row],[OriginalBudget08]])</f>
        <v>-9.5846645367412137E-3</v>
      </c>
      <c r="EY110" s="62">
        <f>IF(COUNTIFS(allFYsTable[Code], SummaryTable[[#This Row],[Code]], allFYsTable[year2], EY$3)=0, NotFound, SUMIFS(allFYsTable[OriginalBudget], allFYsTable[Code], SummaryTable[[#This Row],[Code]], allFYsTable[year2], EY$3))</f>
        <v>813</v>
      </c>
      <c r="EZ110" s="61">
        <f>SummaryTable[[#This Row],[OriginalBudget07]]-SummaryTable[[#This Row],[OriginalBudget06]]</f>
        <v>273</v>
      </c>
      <c r="FA110" s="54">
        <f>SummaryTable[[#This Row],[BudgetIncreaseAmount07]]/SummaryTable[[#This Row],[OriginalBudget06]]</f>
        <v>0.50555555555555554</v>
      </c>
      <c r="FB110" s="61">
        <f>IF(COUNTIFS(allFYsTable[Code], SummaryTable[[#This Row],[Code]], allFYsTable[year2], EY$3)=0, NotFound, SUMIFS(allFYsTable[RevisedBudget], allFYsTable[Code], SummaryTable[[#This Row],[Code]], allFYsTable[year2], EY$3))</f>
        <v>857</v>
      </c>
      <c r="FC110" s="61">
        <f>IF(COUNTIFS(allFYsTable[Code], SummaryTable[[#This Row],[Code]], allFYsTable[year2], EY$3)=0, NotFound, SUMIFS(allFYsTable[Actual], allFYsTable[Code], SummaryTable[[#This Row],[Code]], allFYsTable[year2], EY$3))</f>
        <v>814</v>
      </c>
      <c r="FD110" s="61">
        <f>IF(COUNTIFS(allFYsTable[Code], SummaryTable[[#This Row],[Code]], allFYsTable[year2], EY$3)=0, NotFound, SUMIFS(allFYsTable[DiffAmount], allFYsTable[Code], SummaryTable[[#This Row],[Code]], allFYsTable[year2], EY$3))</f>
        <v>1</v>
      </c>
      <c r="FE110" s="63">
        <f>IF(SummaryTable[[#This Row],[OriginalBudget07]]=0, IF(SummaryTable[[#This Row],[DiffAmount07]]=0, ZeroBudgetNoSpending, ZeroBudgetWithSpending), SummaryTable[[#This Row],[DiffAmount07]]/SummaryTable[[#This Row],[OriginalBudget07]])</f>
        <v>1.2300123001230013E-3</v>
      </c>
      <c r="FF110" s="62">
        <f>IF(COUNTIFS(allFYsTable[Code], SummaryTable[[#This Row],[Code]], allFYsTable[year2], FF$3)=0, NotFound, SUMIFS(allFYsTable[OriginalBudget], allFYsTable[Code], SummaryTable[[#This Row],[Code]], allFYsTable[year2], FF$3))</f>
        <v>540</v>
      </c>
      <c r="FI110" s="61">
        <f>IF(COUNTIFS(allFYsTable[Code], SummaryTable[[#This Row],[Code]], allFYsTable[year2], FF$3)=0, NotFound, SUMIFS(allFYsTable[RevisedBudget], allFYsTable[Code], SummaryTable[[#This Row],[Code]], allFYsTable[year2], FF$3))</f>
        <v>625</v>
      </c>
      <c r="FJ110" s="61">
        <f>IF(COUNTIFS(allFYsTable[Code], SummaryTable[[#This Row],[Code]], allFYsTable[year2], FF$3)=0, NotFound, SUMIFS(allFYsTable[Actual], allFYsTable[Code], SummaryTable[[#This Row],[Code]], allFYsTable[year2], FF$3))</f>
        <v>606</v>
      </c>
      <c r="FK110" s="61">
        <f>IF(COUNTIFS(allFYsTable[Code], SummaryTable[[#This Row],[Code]], allFYsTable[year2], FF$3)=0, NotFound, SUMIFS(allFYsTable[DiffAmount], allFYsTable[Code], SummaryTable[[#This Row],[Code]], allFYsTable[year2], FF$3))</f>
        <v>66</v>
      </c>
      <c r="FL110" s="63">
        <f>IF(SummaryTable[[#This Row],[OriginalBudget06]]=0, IF(SummaryTable[[#This Row],[DiffAmount06]]=0, ZeroBudgetNoSpending, ZeroBudgetWithSpending), SummaryTable[[#This Row],[DiffAmount06]]/SummaryTable[[#This Row],[OriginalBudget06]])</f>
        <v>0.12222222222222222</v>
      </c>
    </row>
    <row r="111" spans="1:168" x14ac:dyDescent="0.45">
      <c r="A111" t="s">
        <v>729</v>
      </c>
      <c r="B111">
        <f>_xlfn.MAXIFS(allFYsTable[year2], allFYsTable[Code], SummaryTable[[#This Row],[Code]])</f>
        <v>2025</v>
      </c>
      <c r="C111" t="str">
        <f>_xlfn.XLOOKUP(SummaryTable[[#This Row],[Code]], NameCodingTable[Code], NameCodingTable[Most Recent Category per allFYs])</f>
        <v>Governmental direction and support</v>
      </c>
      <c r="D111" t="str">
        <f>_xlfn.XLOOKUP(SummaryTable[[#This Row],[Code]], NameCodingTable[Code], NameCodingTable[Unit Display Name])</f>
        <v>Office on Latino Affairs</v>
      </c>
      <c r="E111" t="str">
        <f>_xlfn.XLOOKUP(SummaryTable[[#This Row],[Code]], NameCodingTable[Code], NameCodingTable[Type])</f>
        <v>agency</v>
      </c>
      <c r="F11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1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111" s="54">
        <f>SummaryTable[[#This Row],['# Over]]/SummaryTable[[#This Row],[Count]]</f>
        <v>0.15</v>
      </c>
      <c r="I11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111" s="54">
        <f>SummaryTable[[#This Row],['# Under]]/SummaryTable[[#This Row],[Count]]</f>
        <v>0.85</v>
      </c>
      <c r="K11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11" s="54">
        <f>SummaryTable[[#This Row],['# Equal]]/SummaryTable[[#This Row],[Count]]</f>
        <v>0</v>
      </c>
      <c r="M111" s="61">
        <f>SUMIFS(allFYsTable[OriginalBudget],allFYsTable[Code],SummaryTable[[#This Row],[Code]])/SummaryTable[[#This Row],[Count]]</f>
        <v>4310.6499999999996</v>
      </c>
      <c r="N111" s="61">
        <f>SUMIFS(allFYsTable[Actual],allFYsTable[Code],SummaryTable[[#This Row],[Code]])/SummaryTable[[#This Row],[Count]]</f>
        <v>4260.75</v>
      </c>
      <c r="O111" s="61">
        <f>SummaryTable[[#This Row],[AvgActAmt]]-SummaryTable[[#This Row],[AvgBudAmt]]</f>
        <v>-49.899999999999636</v>
      </c>
      <c r="P111" s="54">
        <f>IF(SummaryTable[[#This Row],[AvgBudAmt]]=0, IF(SummaryTable[[#This Row],[AvgDiff'#]]=0, 0, NamedFields!$C$3), SummaryTable[[#This Row],[AvgDiff'#]]/SummaryTable[[#This Row],[AvgBudAmt]])</f>
        <v>-1.1575980420586138E-2</v>
      </c>
      <c r="Q111" s="61">
        <f>IFERROR(SUMIFS(allFYsTable[OriginalBudget],allFYsTable[Code],SummaryTable[[#This Row],[Code]],allFYsTable[DiffAmount], "&gt;0")/SummaryTable[[#This Row],['# Over]], 0)</f>
        <v>3949</v>
      </c>
      <c r="R111" s="61">
        <f>IFERROR(SUMIFS(allFYsTable[Actual],allFYsTable[Code],SummaryTable[[#This Row],[Code]],allFYsTable[DiffAmount], "&gt;0")/SummaryTable[[#This Row],['# Over]], 0)</f>
        <v>4107.666666666667</v>
      </c>
      <c r="S111" s="61">
        <f>SummaryTable[[#This Row],[OverAvgAct]]-SummaryTable[[#This Row],[OverAvgBud]]</f>
        <v>158.66666666666697</v>
      </c>
      <c r="T111" s="54">
        <f>IF(SummaryTable[[#This Row],[OverAvgBud]]=0, IF(SummaryTable[[#This Row],[OverAvgDiff'#]]=0, ZeroBudgetNoSpending, ZeroBudgetWithSpending), SummaryTable[[#This Row],[OverAvgDiff'#]]/SummaryTable[[#This Row],[OverAvgBud]])</f>
        <v>4.0178948256942765E-2</v>
      </c>
      <c r="U111" s="61">
        <f>IFERROR(SUMIFS(allFYsTable[OriginalBudget],allFYsTable[Code],SummaryTable[[#This Row],[Code]],allFYsTable[DiffAmount], "&lt;0")/SummaryTable[[#This Row],['# Under]], 0)</f>
        <v>4374.4705882352937</v>
      </c>
      <c r="V111" s="61">
        <f>IFERROR( SUMIFS(allFYsTable[Actual],allFYsTable[Code],SummaryTable[[#This Row],[Code]],allFYsTable[DiffAmount], "&lt;0")/SummaryTable[[#This Row],['# Under]], 0)</f>
        <v>4287.7647058823532</v>
      </c>
      <c r="W111" s="61">
        <f>SummaryTable[[#This Row],[UnderAvgAct]]-SummaryTable[[#This Row],[UnderAvgBud]]</f>
        <v>-86.705882352940534</v>
      </c>
      <c r="X111" s="54">
        <f>IF(SummaryTable[[#This Row],[UnderAvgBud]]=0, IF(SummaryTable[[#This Row],[UnderAvgDiff'#]]=0, ZeroBudgetNoSpending, NamedFields!$C$3), SummaryTable[[#This Row],[UnderAvgDiff'#]]/SummaryTable[[#This Row],[UnderAvgBud]])</f>
        <v>-1.982088588871244E-2</v>
      </c>
      <c r="Y11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11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11" s="54">
        <f>IF(SummaryTable[[#This Row],[IncreaseYears]]=0, ZeroBudgetNoSpending, SummaryTable[[#This Row],[OSinIncreaseYear'#]]/SummaryTable[[#This Row],[IncreaseYears]])</f>
        <v>0</v>
      </c>
      <c r="AB111" s="58" t="str">
        <f>SummaryTable[[#This Row],[Code]]</f>
        <v>BZ0</v>
      </c>
      <c r="AC111" s="62">
        <f>IF(COUNTIFS(allFYsTable[Code], SummaryTable[[#This Row],[Code]], allFYsTable[year2], AC$3)=0, NotFound, SUMIFS(allFYsTable[OriginalBudget], allFYsTable[Code], SummaryTable[[#This Row],[Code]], allFYsTable[year2], AC$3))</f>
        <v>6362</v>
      </c>
      <c r="AD111" s="61">
        <f>SummaryTable[[#This Row],[OriginalBudget25]]-SummaryTable[[#This Row],[OriginalBudget24]]</f>
        <v>36</v>
      </c>
      <c r="AE111" s="54">
        <f>SummaryTable[[#This Row],[BudgetIncreaseAmount25]]/SummaryTable[[#This Row],[OriginalBudget24]]</f>
        <v>5.6907998735377802E-3</v>
      </c>
      <c r="AF111" s="61">
        <f>IF(COUNTIFS(allFYsTable[Code], SummaryTable[[#This Row],[Code]], allFYsTable[year2], AC$3)=0, NotFound, SUMIFS(allFYsTable[RevisedBudget], allFYsTable[Code], SummaryTable[[#This Row],[Code]], allFYsTable[year2], AC$3))</f>
        <v>6103</v>
      </c>
      <c r="AG111" s="61">
        <f>IF(COUNTIFS(allFYsTable[Code], SummaryTable[[#This Row],[Code]], allFYsTable[year2], AC$3)=0, NotFound, SUMIFS(allFYsTable[Actual], allFYsTable[Code], SummaryTable[[#This Row],[Code]], allFYsTable[year2], AC$3))</f>
        <v>6007</v>
      </c>
      <c r="AH111" s="61">
        <f>IF(COUNTIFS(allFYsTable[Code], SummaryTable[[#This Row],[Code]], allFYsTable[year2], AC$3)=0, NotFound, SUMIFS(allFYsTable[DiffAmount], allFYsTable[Code], SummaryTable[[#This Row],[Code]], allFYsTable[year2], AC$3))</f>
        <v>-355</v>
      </c>
      <c r="AI111" s="63">
        <f>IF(SummaryTable[[#This Row],[OriginalBudget25]]=0, IF(SummaryTable[[#This Row],[DiffAmount25]]=0, ZeroBudgetNoSpending, ZeroBudgetWithSpending), SummaryTable[[#This Row],[DiffAmount25]]/SummaryTable[[#This Row],[OriginalBudget25]])</f>
        <v>-5.5800062873310283E-2</v>
      </c>
      <c r="AJ111" s="62">
        <f>IF(COUNTIFS(allFYsTable[Code], SummaryTable[[#This Row],[Code]], allFYsTable[year2], AJ$3)=0, NotFound, SUMIFS(allFYsTable[OriginalBudget], allFYsTable[Code], SummaryTable[[#This Row],[Code]], allFYsTable[year2], AJ$3))</f>
        <v>6326</v>
      </c>
      <c r="AK111" s="61">
        <f>SummaryTable[[#This Row],[OriginalBudget24]]-SummaryTable[[#This Row],[OriginalBudget23]]</f>
        <v>-108</v>
      </c>
      <c r="AL111" s="54">
        <f>SummaryTable[[#This Row],[BudgetIncreaseAmount24]]/SummaryTable[[#This Row],[OriginalBudget23]]</f>
        <v>-1.6785825303077401E-2</v>
      </c>
      <c r="AM111" s="61">
        <f>IF(COUNTIFS(allFYsTable[Code], SummaryTable[[#This Row],[Code]], allFYsTable[year2], AK$3)=0, NotFound, SUMIFS(allFYsTable[RevisedBudget], allFYsTable[Code], SummaryTable[[#This Row],[Code]], allFYsTable[year2], AJ$3))</f>
        <v>6326</v>
      </c>
      <c r="AN111" s="61">
        <f>IF(COUNTIFS(allFYsTable[Code], SummaryTable[[#This Row],[Code]], allFYsTable[year2], AJ$3)=0, NotFound, SUMIFS(allFYsTable[Actual], allFYsTable[Code], SummaryTable[[#This Row],[Code]], allFYsTable[year2], AJ$3))</f>
        <v>6254</v>
      </c>
      <c r="AO111" s="61">
        <f>IF(COUNTIFS(allFYsTable[Code], SummaryTable[[#This Row],[Code]], allFYsTable[year2], AJ$3)=0, NotFound, SUMIFS(allFYsTable[DiffAmount], allFYsTable[Code], SummaryTable[[#This Row],[Code]], allFYsTable[year2], AJ$3))</f>
        <v>-72</v>
      </c>
      <c r="AP111" s="63">
        <f>IF(SummaryTable[[#This Row],[OriginalBudget24]]=0, IF(SummaryTable[[#This Row],[DiffAmount24]]=0, ZeroBudgetNoSpending, ZeroBudgetWithSpending), SummaryTable[[#This Row],[DiffAmount24]]/SummaryTable[[#This Row],[OriginalBudget24]])</f>
        <v>-1.138159974707556E-2</v>
      </c>
      <c r="AQ111" s="62">
        <f>IF(COUNTIFS(allFYsTable[Code], SummaryTable[[#This Row],[Code]], allFYsTable[year2], AQ$3)=0, NotFound, SUMIFS(allFYsTable[OriginalBudget], allFYsTable[Code], SummaryTable[[#This Row],[Code]], allFYsTable[year2], AQ$3))</f>
        <v>6434</v>
      </c>
      <c r="AR111" s="61">
        <f>SummaryTable[[#This Row],[OriginalBudget23]]-SummaryTable[[#This Row],[OriginalBudget22]]</f>
        <v>48</v>
      </c>
      <c r="AS111" s="54">
        <f>SummaryTable[[#This Row],[BudgetIncreaseAmount23]]/SummaryTable[[#This Row],[OriginalBudget22]]</f>
        <v>7.5164422173504544E-3</v>
      </c>
      <c r="AT111" s="61">
        <f>IF(COUNTIFS(allFYsTable[Code], SummaryTable[[#This Row],[Code]], allFYsTable[year2], AQ$3)=0, NotFound, SUMIFS(allFYsTable[RevisedBudget], allFYsTable[Code], SummaryTable[[#This Row],[Code]], allFYsTable[year2], AQ$3))</f>
        <v>6434</v>
      </c>
      <c r="AU111" s="61">
        <f>IF(COUNTIFS(allFYsTable[Code], SummaryTable[[#This Row],[Code]], allFYsTable[year2], AQ$3)=0, NotFound, SUMIFS(allFYsTable[Actual], allFYsTable[Code], SummaryTable[[#This Row],[Code]], allFYsTable[year2], AQ$3))</f>
        <v>6297</v>
      </c>
      <c r="AV111" s="61">
        <f>IF(COUNTIFS(allFYsTable[Code], SummaryTable[[#This Row],[Code]], allFYsTable[year2], AQ$3)=0, NotFound, SUMIFS(allFYsTable[DiffAmount], allFYsTable[Code], SummaryTable[[#This Row],[Code]], allFYsTable[year2], AQ$3))</f>
        <v>-137</v>
      </c>
      <c r="AW111" s="63">
        <f>IF(SummaryTable[[#This Row],[OriginalBudget23]]=0, IF(SummaryTable[[#This Row],[DiffAmount23]]=0, ZeroBudgetNoSpending, ZeroBudgetWithSpending), SummaryTable[[#This Row],[DiffAmount23]]/SummaryTable[[#This Row],[OriginalBudget23]])</f>
        <v>-2.1293130245570408E-2</v>
      </c>
      <c r="AX111" s="62">
        <f>IF(COUNTIFS(allFYsTable[Code], SummaryTable[[#This Row],[Code]], allFYsTable[year2], AX$3)=0, NotFound, SUMIFS(allFYsTable[OriginalBudget], allFYsTable[Code], SummaryTable[[#This Row],[Code]], allFYsTable[year2], AX$3))</f>
        <v>6386</v>
      </c>
      <c r="AY111" s="61">
        <f>SummaryTable[[#This Row],[OriginalBudget22]]-SummaryTable[[#This Row],[OriginalBudget21]]</f>
        <v>1000</v>
      </c>
      <c r="AZ111" s="54">
        <f>SummaryTable[[#This Row],[BudgetIncreaseAmount22]]/SummaryTable[[#This Row],[OriginalBudget21]]</f>
        <v>0.18566654288897141</v>
      </c>
      <c r="BA111" s="61">
        <f>IF(COUNTIFS(allFYsTable[Code], SummaryTable[[#This Row],[Code]], allFYsTable[year2], AX$3)=0, NotFound, SUMIFS(allFYsTable[RevisedBudget], allFYsTable[Code], SummaryTable[[#This Row],[Code]], allFYsTable[year2], AX$3))</f>
        <v>6361</v>
      </c>
      <c r="BB111" s="61">
        <f>IF(COUNTIFS(allFYsTable[Code], SummaryTable[[#This Row],[Code]], allFYsTable[year2], AX$3)=0, NotFound, SUMIFS(allFYsTable[Actual], allFYsTable[Code], SummaryTable[[#This Row],[Code]], allFYsTable[year2], AX$3))</f>
        <v>6351</v>
      </c>
      <c r="BC111" s="61">
        <f>IF(COUNTIFS(allFYsTable[Code], SummaryTable[[#This Row],[Code]], allFYsTable[year2], AX$3)=0, NotFound, SUMIFS(allFYsTable[DiffAmount], allFYsTable[Code], SummaryTable[[#This Row],[Code]], allFYsTable[year2], AX$3))</f>
        <v>-35</v>
      </c>
      <c r="BD111" s="63">
        <f>IF(SummaryTable[[#This Row],[OriginalBudget22]]=0, IF(SummaryTable[[#This Row],[DiffAmount22]]=0, ZeroBudgetNoSpending, ZeroBudgetWithSpending), SummaryTable[[#This Row],[DiffAmount22]]/SummaryTable[[#This Row],[OriginalBudget22]])</f>
        <v>-5.4807391168180397E-3</v>
      </c>
      <c r="BE111" s="62">
        <f>IF(COUNTIFS(allFYsTable[Code], SummaryTable[[#This Row],[Code]], allFYsTable[year2], BE$3)=0, NotFound, SUMIFS(allFYsTable[OriginalBudget], allFYsTable[Code], SummaryTable[[#This Row],[Code]], allFYsTable[year2], BE$3))</f>
        <v>5386</v>
      </c>
      <c r="BF111" s="61">
        <f>SummaryTable[[#This Row],[OriginalBudget21]]-SummaryTable[[#This Row],[OriginalBudget20]]</f>
        <v>-67</v>
      </c>
      <c r="BG111" s="54">
        <f>SummaryTable[[#This Row],[BudgetIncreaseAmount21]]/SummaryTable[[#This Row],[OriginalBudget20]]</f>
        <v>-1.2286814597469282E-2</v>
      </c>
      <c r="BH111" s="61">
        <f>IF(COUNTIFS(allFYsTable[Code], SummaryTable[[#This Row],[Code]], allFYsTable[year2], BE$3)=0, NotFound, SUMIFS(allFYsTable[RevisedBudget], allFYsTable[Code], SummaryTable[[#This Row],[Code]], allFYsTable[year2], BE$3))</f>
        <v>5402</v>
      </c>
      <c r="BI111" s="61">
        <f>IF(COUNTIFS(allFYsTable[Code], SummaryTable[[#This Row],[Code]], allFYsTable[year2], BE$3)=0, NotFound, SUMIFS(allFYsTable[Actual], allFYsTable[Code], SummaryTable[[#This Row],[Code]], allFYsTable[year2], BE$3))</f>
        <v>5381</v>
      </c>
      <c r="BJ111" s="61">
        <f>IF(COUNTIFS(allFYsTable[Code], SummaryTable[[#This Row],[Code]], allFYsTable[year2], BE$3)=0, NotFound, SUMIFS(allFYsTable[DiffAmount], allFYsTable[Code], SummaryTable[[#This Row],[Code]], allFYsTable[year2], BE$3))</f>
        <v>-5</v>
      </c>
      <c r="BK111" s="63">
        <f>IF(SummaryTable[[#This Row],[OriginalBudget21]]=0, IF(SummaryTable[[#This Row],[DiffAmount21]]=0, ZeroBudgetNoSpending, ZeroBudgetWithSpending), SummaryTable[[#This Row],[DiffAmount21]]/SummaryTable[[#This Row],[OriginalBudget21]])</f>
        <v>-9.2833271444485704E-4</v>
      </c>
      <c r="BL111" s="62">
        <f>IF(COUNTIFS(allFYsTable[Code], SummaryTable[[#This Row],[Code]], allFYsTable[year2], BL$3)=0, NotFound, SUMIFS(allFYsTable[OriginalBudget], allFYsTable[Code], SummaryTable[[#This Row],[Code]], allFYsTable[year2], BL$3))</f>
        <v>5453</v>
      </c>
      <c r="BM111" s="61">
        <f>SummaryTable[[#This Row],[OriginalBudget20]]-SummaryTable[[#This Row],[OriginalBudget19]]</f>
        <v>2049</v>
      </c>
      <c r="BN111" s="54">
        <f>SummaryTable[[#This Row],[BudgetIncreaseAmount20]]/SummaryTable[[#This Row],[OriginalBudget19]]</f>
        <v>0.60193889541715628</v>
      </c>
      <c r="BO111" s="61">
        <f>IF(COUNTIFS(allFYsTable[Code], SummaryTable[[#This Row],[Code]], allFYsTable[year2], BL$3)=0, NotFound, SUMIFS(allFYsTable[RevisedBudget], allFYsTable[Code], SummaryTable[[#This Row],[Code]], allFYsTable[year2], BL$3))</f>
        <v>5381</v>
      </c>
      <c r="BP111" s="61">
        <f>IF(COUNTIFS(allFYsTable[Code], SummaryTable[[#This Row],[Code]], allFYsTable[year2], BL$3)=0, NotFound, SUMIFS(allFYsTable[Actual], allFYsTable[Code], SummaryTable[[#This Row],[Code]], allFYsTable[year2], BL$3))</f>
        <v>5337</v>
      </c>
      <c r="BQ111" s="61">
        <f>IF(COUNTIFS(allFYsTable[Code], SummaryTable[[#This Row],[Code]], allFYsTable[year2], BL$3)=0, NotFound, SUMIFS(allFYsTable[DiffAmount], allFYsTable[Code], SummaryTable[[#This Row],[Code]], allFYsTable[year2], BL$3))</f>
        <v>-116</v>
      </c>
      <c r="BR111" s="63">
        <f>IF(SummaryTable[[#This Row],[OriginalBudget20]]=0, IF(SummaryTable[[#This Row],[DiffAmount20]]=0, ZeroBudgetNoSpending, ZeroBudgetWithSpending), SummaryTable[[#This Row],[DiffAmount20]]/SummaryTable[[#This Row],[OriginalBudget20]])</f>
        <v>-2.127269392994682E-2</v>
      </c>
      <c r="BS111" s="62">
        <f>IF(COUNTIFS(allFYsTable[Code], SummaryTable[[#This Row],[Code]], allFYsTable[year2], BS$3)=0, NotFound, SUMIFS(allFYsTable[OriginalBudget], allFYsTable[Code], SummaryTable[[#This Row],[Code]], allFYsTable[year2], BS$3))</f>
        <v>3404</v>
      </c>
      <c r="BT111" s="61">
        <f>SummaryTable[[#This Row],[OriginalBudget19]]-SummaryTable[[#This Row],[OriginalBudget18]]</f>
        <v>103</v>
      </c>
      <c r="BU111" s="54">
        <f>SummaryTable[[#This Row],[BudgetIncreaseAmount19]]/SummaryTable[[#This Row],[OriginalBudget18]]</f>
        <v>3.1202665858830657E-2</v>
      </c>
      <c r="BV111" s="61">
        <f>IF(COUNTIFS(allFYsTable[Code], SummaryTable[[#This Row],[Code]], allFYsTable[year2], BS$3)=0, NotFound, SUMIFS(allFYsTable[RevisedBudget], allFYsTable[Code], SummaryTable[[#This Row],[Code]], allFYsTable[year2], BS$3))</f>
        <v>3404</v>
      </c>
      <c r="BW111" s="61">
        <f>IF(COUNTIFS(allFYsTable[Code], SummaryTable[[#This Row],[Code]], allFYsTable[year2], BS$3)=0, NotFound, SUMIFS(allFYsTable[Actual], allFYsTable[Code], SummaryTable[[#This Row],[Code]], allFYsTable[year2], BS$3))</f>
        <v>3376</v>
      </c>
      <c r="BX111" s="61">
        <f>IF(COUNTIFS(allFYsTable[Code], SummaryTable[[#This Row],[Code]], allFYsTable[year2], BS$3)=0, NotFound, SUMIFS(allFYsTable[DiffAmount], allFYsTable[Code], SummaryTable[[#This Row],[Code]], allFYsTable[year2], BS$3))</f>
        <v>-28</v>
      </c>
      <c r="BY111" s="63">
        <f>IF(SummaryTable[[#This Row],[OriginalBudget19]]=0, IF(SummaryTable[[#This Row],[DiffAmount19]]=0, ZeroBudgetNoSpending, ZeroBudgetWithSpending), SummaryTable[[#This Row],[DiffAmount19]]/SummaryTable[[#This Row],[OriginalBudget19]])</f>
        <v>-8.2256169212690956E-3</v>
      </c>
      <c r="BZ111" s="62">
        <f>IF(COUNTIFS(allFYsTable[Code], SummaryTable[[#This Row],[Code]], allFYsTable[year2], BZ$3)=0, NotFound, SUMIFS(allFYsTable[OriginalBudget], allFYsTable[Code], SummaryTable[[#This Row],[Code]], allFYsTable[year2], BZ$3))</f>
        <v>3301</v>
      </c>
      <c r="CA111" s="61">
        <f>SummaryTable[[#This Row],[OriginalBudget18]]-SummaryTable[[#This Row],[OriginalBudget17]]</f>
        <v>489</v>
      </c>
      <c r="CB111" s="54">
        <f>SummaryTable[[#This Row],[BudgetIncreaseAmount18]]/SummaryTable[[#This Row],[OriginalBudget17]]</f>
        <v>0.17389758179231862</v>
      </c>
      <c r="CC111" s="61">
        <f>IF(COUNTIFS(allFYsTable[Code], SummaryTable[[#This Row],[Code]], allFYsTable[year2], BZ$3)=0, NotFound, SUMIFS(allFYsTable[RevisedBudget], allFYsTable[Code], SummaryTable[[#This Row],[Code]], allFYsTable[year2], BZ$3))</f>
        <v>3301</v>
      </c>
      <c r="CD111" s="61">
        <f>IF(COUNTIFS(allFYsTable[Code], SummaryTable[[#This Row],[Code]], allFYsTable[year2], BZ$3)=0, NotFound, SUMIFS(allFYsTable[Actual], allFYsTable[Code], SummaryTable[[#This Row],[Code]], allFYsTable[year2], BZ$3))</f>
        <v>3245</v>
      </c>
      <c r="CE111" s="61">
        <f>IF(COUNTIFS(allFYsTable[Code], SummaryTable[[#This Row],[Code]], allFYsTable[year2], BZ$3)=0, NotFound, SUMIFS(allFYsTable[DiffAmount], allFYsTable[Code], SummaryTable[[#This Row],[Code]], allFYsTable[year2], BZ$3))</f>
        <v>-56</v>
      </c>
      <c r="CF111" s="63">
        <f>IF(SummaryTable[[#This Row],[OriginalBudget18]]=0, IF(SummaryTable[[#This Row],[DiffAmount18]]=0, ZeroBudgetNoSpending, ZeroBudgetWithSpending), SummaryTable[[#This Row],[DiffAmount18]]/SummaryTable[[#This Row],[OriginalBudget18]])</f>
        <v>-1.6964556195092396E-2</v>
      </c>
      <c r="CG111" s="62">
        <f>IF(COUNTIFS(allFYsTable[Code], SummaryTable[[#This Row],[Code]], allFYsTable[year2], CG$3)=0, NotFound, SUMIFS(allFYsTable[OriginalBudget], allFYsTable[Code], SummaryTable[[#This Row],[Code]], allFYsTable[year2], CG$3))</f>
        <v>2812</v>
      </c>
      <c r="CH111" s="61">
        <f>SummaryTable[[#This Row],[OriginalBudget17]]-SummaryTable[[#This Row],[OriginalBudget16]]</f>
        <v>30</v>
      </c>
      <c r="CI111" s="54">
        <f>SummaryTable[[#This Row],[BudgetIncreaseAmount17]]/SummaryTable[[#This Row],[OriginalBudget16]]</f>
        <v>1.0783608914450037E-2</v>
      </c>
      <c r="CJ111" s="61">
        <f>IF(COUNTIFS(allFYsTable[Code], SummaryTable[[#This Row],[Code]], allFYsTable[year2], CG$3)=0, NotFound, SUMIFS(allFYsTable[RevisedBudget], allFYsTable[Code], SummaryTable[[#This Row],[Code]], allFYsTable[year2], CG$3))</f>
        <v>3244</v>
      </c>
      <c r="CK111" s="61">
        <f>IF(COUNTIFS(allFYsTable[Code], SummaryTable[[#This Row],[Code]], allFYsTable[year2], CG$3)=0, NotFound, SUMIFS(allFYsTable[Actual], allFYsTable[Code], SummaryTable[[#This Row],[Code]], allFYsTable[year2], CG$3))</f>
        <v>3058</v>
      </c>
      <c r="CL111" s="61">
        <f>IF(COUNTIFS(allFYsTable[Code], SummaryTable[[#This Row],[Code]], allFYsTable[year2], CG$3)=0, NotFound, SUMIFS(allFYsTable[DiffAmount], allFYsTable[Code], SummaryTable[[#This Row],[Code]], allFYsTable[year2], CG$3))</f>
        <v>246</v>
      </c>
      <c r="CM111" s="63">
        <f>IF(SummaryTable[[#This Row],[OriginalBudget17]]=0, IF(SummaryTable[[#This Row],[DiffAmount17]]=0, ZeroBudgetNoSpending, ZeroBudgetWithSpending), SummaryTable[[#This Row],[DiffAmount17]]/SummaryTable[[#This Row],[OriginalBudget17]])</f>
        <v>8.7482219061166433E-2</v>
      </c>
      <c r="CN111" s="62">
        <f>IF(COUNTIFS(allFYsTable[Code], SummaryTable[[#This Row],[Code]], allFYsTable[year2], CN$3)=0, NotFound, SUMIFS(allFYsTable[OriginalBudget], allFYsTable[Code], SummaryTable[[#This Row],[Code]], allFYsTable[year2], CN$3))</f>
        <v>2782</v>
      </c>
      <c r="CO111" s="61">
        <f>SummaryTable[[#This Row],[OriginalBudget16]]-SummaryTable[[#This Row],[OriginalBudget15]]</f>
        <v>13</v>
      </c>
      <c r="CP111" s="54">
        <f>SummaryTable[[#This Row],[BudgetIncreaseAmount16]]/SummaryTable[[#This Row],[OriginalBudget15]]</f>
        <v>4.6948356807511738E-3</v>
      </c>
      <c r="CQ111" s="61">
        <f>IF(COUNTIFS(allFYsTable[Code], SummaryTable[[#This Row],[Code]], allFYsTable[year2], CN$3)=0, NotFound, SUMIFS(allFYsTable[RevisedBudget], allFYsTable[Code], SummaryTable[[#This Row],[Code]], allFYsTable[year2], CN$3))</f>
        <v>2782</v>
      </c>
      <c r="CR111" s="61">
        <f>IF(COUNTIFS(allFYsTable[Code], SummaryTable[[#This Row],[Code]], allFYsTable[year2], CN$3)=0, NotFound, SUMIFS(allFYsTable[Actual], allFYsTable[Code], SummaryTable[[#This Row],[Code]], allFYsTable[year2], CN$3))</f>
        <v>2709</v>
      </c>
      <c r="CS111" s="61">
        <f>IF(COUNTIFS(allFYsTable[Code], SummaryTable[[#This Row],[Code]], allFYsTable[year2], CN$3)=0, NotFound, SUMIFS(allFYsTable[DiffAmount], allFYsTable[Code], SummaryTable[[#This Row],[Code]], allFYsTable[year2], CN$3))</f>
        <v>-73</v>
      </c>
      <c r="CT111" s="63">
        <f>IF(SummaryTable[[#This Row],[OriginalBudget16]]=0, IF(SummaryTable[[#This Row],[DiffAmount16]]=0, ZeroBudgetNoSpending, ZeroBudgetWithSpending), SummaryTable[[#This Row],[DiffAmount16]]/SummaryTable[[#This Row],[OriginalBudget16]])</f>
        <v>-2.6240115025161753E-2</v>
      </c>
      <c r="CU111" s="62">
        <f>IF(COUNTIFS(allFYsTable[Code], SummaryTable[[#This Row],[Code]], allFYsTable[year2], CU$3)=0, NotFound, SUMIFS(allFYsTable[OriginalBudget], allFYsTable[Code], SummaryTable[[#This Row],[Code]], allFYsTable[year2], CU$3))</f>
        <v>2769</v>
      </c>
      <c r="CV111" s="61">
        <f>SummaryTable[[#This Row],[OriginalBudget15]]-SummaryTable[[#This Row],[OriginalBudget14]]</f>
        <v>74</v>
      </c>
      <c r="CW111" s="54">
        <f>SummaryTable[[#This Row],[BudgetIncreaseAmount15]]/SummaryTable[[#This Row],[OriginalBudget14]]</f>
        <v>2.7458256029684602E-2</v>
      </c>
      <c r="CX111" s="61">
        <f>IF(COUNTIFS(allFYsTable[Code], SummaryTable[[#This Row],[Code]], allFYsTable[year2], CU$3)=0, NotFound, SUMIFS(allFYsTable[RevisedBudget], allFYsTable[Code], SummaryTable[[#This Row],[Code]], allFYsTable[year2], CU$3))</f>
        <v>2759</v>
      </c>
      <c r="CY111" s="61">
        <f>IF(COUNTIFS(allFYsTable[Code], SummaryTable[[#This Row],[Code]], allFYsTable[year2], CU$3)=0, NotFound, SUMIFS(allFYsTable[Actual], allFYsTable[Code], SummaryTable[[#This Row],[Code]], allFYsTable[year2], CU$3))</f>
        <v>2670</v>
      </c>
      <c r="CZ111" s="61">
        <f>IF(COUNTIFS(allFYsTable[Code], SummaryTable[[#This Row],[Code]], allFYsTable[year2], CU$3)=0, NotFound, SUMIFS(allFYsTable[DiffAmount], allFYsTable[Code], SummaryTable[[#This Row],[Code]], allFYsTable[year2], CU$3))</f>
        <v>-99</v>
      </c>
      <c r="DA111" s="63">
        <f>IF(SummaryTable[[#This Row],[OriginalBudget15]]=0, IF(SummaryTable[[#This Row],[DiffAmount15]]=0, ZeroBudgetNoSpending, ZeroBudgetWithSpending), SummaryTable[[#This Row],[DiffAmount15]]/SummaryTable[[#This Row],[OriginalBudget15]])</f>
        <v>-3.5752979414951244E-2</v>
      </c>
      <c r="DB111" s="62">
        <f>IF(COUNTIFS(allFYsTable[Code], SummaryTable[[#This Row],[Code]], allFYsTable[year2], DB$3)=0, NotFound, SUMIFS(allFYsTable[OriginalBudget], allFYsTable[Code], SummaryTable[[#This Row],[Code]], allFYsTable[year2], DB$3))</f>
        <v>2695</v>
      </c>
      <c r="DC111" s="61">
        <f>SummaryTable[[#This Row],[OriginalBudget14]]-SummaryTable[[#This Row],[OriginalBudget13]]</f>
        <v>10</v>
      </c>
      <c r="DD111" s="54">
        <f>SummaryTable[[#This Row],[BudgetIncreaseAmount14]]/SummaryTable[[#This Row],[OriginalBudget13]]</f>
        <v>3.7243947858472998E-3</v>
      </c>
      <c r="DE111" s="61">
        <f>IF(COUNTIFS(allFYsTable[Code], SummaryTable[[#This Row],[Code]], allFYsTable[year2], DB$3)=0, NotFound, SUMIFS(allFYsTable[RevisedBudget], allFYsTable[Code], SummaryTable[[#This Row],[Code]], allFYsTable[year2], DB$3))</f>
        <v>2719</v>
      </c>
      <c r="DF111" s="61">
        <f>IF(COUNTIFS(allFYsTable[Code], SummaryTable[[#This Row],[Code]], allFYsTable[year2], DB$3)=0, NotFound, SUMIFS(allFYsTable[Actual], allFYsTable[Code], SummaryTable[[#This Row],[Code]], allFYsTable[year2], DB$3))</f>
        <v>2697</v>
      </c>
      <c r="DG111" s="61">
        <f>IF(COUNTIFS(allFYsTable[Code], SummaryTable[[#This Row],[Code]], allFYsTable[year2], DB$3)=0, NotFound, SUMIFS(allFYsTable[DiffAmount], allFYsTable[Code], SummaryTable[[#This Row],[Code]], allFYsTable[year2], DB$3))</f>
        <v>2</v>
      </c>
      <c r="DH111" s="63">
        <f>IF(SummaryTable[[#This Row],[OriginalBudget14]]=0, IF(SummaryTable[[#This Row],[DiffAmount14]]=0, ZeroBudgetNoSpending, ZeroBudgetWithSpending), SummaryTable[[#This Row],[DiffAmount14]]/SummaryTable[[#This Row],[OriginalBudget14]])</f>
        <v>7.4211502782931351E-4</v>
      </c>
      <c r="DI111" s="62">
        <f>IF(COUNTIFS(allFYsTable[Code], SummaryTable[[#This Row],[Code]], allFYsTable[year2], DI$3)=0, NotFound, SUMIFS(allFYsTable[OriginalBudget], allFYsTable[Code], SummaryTable[[#This Row],[Code]], allFYsTable[year2], DI$3))</f>
        <v>2685</v>
      </c>
      <c r="DJ111" s="61">
        <f>SummaryTable[[#This Row],[OriginalBudget13]]-SummaryTable[[#This Row],[OriginalBudget12]]</f>
        <v>19</v>
      </c>
      <c r="DK111" s="54">
        <f>SummaryTable[[#This Row],[BudgetIncreaseAmount13]]/SummaryTable[[#This Row],[OriginalBudget12]]</f>
        <v>7.1267816954238561E-3</v>
      </c>
      <c r="DL111" s="61">
        <f>IF(COUNTIFS(allFYsTable[Code], SummaryTable[[#This Row],[Code]], allFYsTable[year2], DI$3)=0, NotFound, SUMIFS(allFYsTable[RevisedBudget], allFYsTable[Code], SummaryTable[[#This Row],[Code]], allFYsTable[year2], DI$3))</f>
        <v>2696</v>
      </c>
      <c r="DM111" s="61">
        <f>IF(COUNTIFS(allFYsTable[Code], SummaryTable[[#This Row],[Code]], allFYsTable[year2], DI$3)=0, NotFound, SUMIFS(allFYsTable[Actual], allFYsTable[Code], SummaryTable[[#This Row],[Code]], allFYsTable[year2], DI$3))</f>
        <v>2694</v>
      </c>
      <c r="DN111" s="61">
        <f>IF(COUNTIFS(allFYsTable[Code], SummaryTable[[#This Row],[Code]], allFYsTable[year2], DI$3)=0, NotFound, SUMIFS(allFYsTable[DiffAmount], allFYsTable[Code], SummaryTable[[#This Row],[Code]], allFYsTable[year2], DI$3))</f>
        <v>9</v>
      </c>
      <c r="DO111" s="63">
        <f>IF(SummaryTable[[#This Row],[OriginalBudget13]]=0, IF(SummaryTable[[#This Row],[DiffAmount13]]=0, ZeroBudgetNoSpending, ZeroBudgetWithSpending), SummaryTable[[#This Row],[DiffAmount13]]/SummaryTable[[#This Row],[OriginalBudget13]])</f>
        <v>3.3519553072625698E-3</v>
      </c>
      <c r="DP111" s="62">
        <f>IF(COUNTIFS(allFYsTable[Code], SummaryTable[[#This Row],[Code]], allFYsTable[year2], DP$3)=0, NotFound, SUMIFS(allFYsTable[OriginalBudget], allFYsTable[Code], SummaryTable[[#This Row],[Code]], allFYsTable[year2], DP$3))</f>
        <v>2666</v>
      </c>
      <c r="DQ111" s="61">
        <f>SummaryTable[[#This Row],[OriginalBudget12]]-SummaryTable[[#This Row],[OriginalBudget11]]</f>
        <v>2</v>
      </c>
      <c r="DR111" s="54">
        <f>SummaryTable[[#This Row],[BudgetIncreaseAmount12]]/SummaryTable[[#This Row],[OriginalBudget11]]</f>
        <v>7.5075075075075074E-4</v>
      </c>
      <c r="DS111" s="61">
        <f>IF(COUNTIFS(allFYsTable[Code], SummaryTable[[#This Row],[Code]], allFYsTable[year2], DP$3)=0, NotFound, SUMIFS(allFYsTable[RevisedBudget], allFYsTable[Code], SummaryTable[[#This Row],[Code]], allFYsTable[year2], DP$3))</f>
        <v>2666</v>
      </c>
      <c r="DT111" s="61">
        <f>IF(COUNTIFS(allFYsTable[Code], SummaryTable[[#This Row],[Code]], allFYsTable[year2], DP$3)=0, NotFound, SUMIFS(allFYsTable[Actual], allFYsTable[Code], SummaryTable[[#This Row],[Code]], allFYsTable[year2], DP$3))</f>
        <v>2643</v>
      </c>
      <c r="DU111" s="61">
        <f>IF(COUNTIFS(allFYsTable[Code], SummaryTable[[#This Row],[Code]], allFYsTable[year2], DP$3)=0, NotFound, SUMIFS(allFYsTable[DiffAmount], allFYsTable[Code], SummaryTable[[#This Row],[Code]], allFYsTable[year2], DP$3))</f>
        <v>-23</v>
      </c>
      <c r="DV111" s="63">
        <f>IF(SummaryTable[[#This Row],[OriginalBudget12]]=0, IF(SummaryTable[[#This Row],[DiffAmount12]]=0, ZeroBudgetNoSpending, ZeroBudgetWithSpending), SummaryTable[[#This Row],[DiffAmount12]]/SummaryTable[[#This Row],[OriginalBudget12]])</f>
        <v>-8.6271567891972999E-3</v>
      </c>
      <c r="DW111" s="62">
        <f>IF(COUNTIFS(allFYsTable[Code], SummaryTable[[#This Row],[Code]], allFYsTable[year2], DW$3)=0, NotFound, SUMIFS(allFYsTable[OriginalBudget], allFYsTable[Code], SummaryTable[[#This Row],[Code]], allFYsTable[year2], DW$3))</f>
        <v>2664</v>
      </c>
      <c r="DX111" s="61">
        <f>SummaryTable[[#This Row],[OriginalBudget11]]-SummaryTable[[#This Row],[OriginalBudget10]]</f>
        <v>-1157</v>
      </c>
      <c r="DY111" s="54">
        <f>SummaryTable[[#This Row],[BudgetIncreaseAmount11]]/SummaryTable[[#This Row],[OriginalBudget10]]</f>
        <v>-0.30280031405391261</v>
      </c>
      <c r="DZ111" s="61">
        <f>IF(COUNTIFS(allFYsTable[Code], SummaryTable[[#This Row],[Code]], allFYsTable[year2], DW$3)=0, NotFound, SUMIFS(allFYsTable[RevisedBudget], allFYsTable[Code], SummaryTable[[#This Row],[Code]], allFYsTable[year2], DW$3))</f>
        <v>2604</v>
      </c>
      <c r="EA111" s="61">
        <f>IF(COUNTIFS(allFYsTable[Code], SummaryTable[[#This Row],[Code]], allFYsTable[year2], DW$3)=0, NotFound, SUMIFS(allFYsTable[Actual], allFYsTable[Code], SummaryTable[[#This Row],[Code]], allFYsTable[year2], DW$3))</f>
        <v>2531</v>
      </c>
      <c r="EB111" s="61">
        <f>IF(COUNTIFS(allFYsTable[Code], SummaryTable[[#This Row],[Code]], allFYsTable[year2], DW$3)=0, NotFound, SUMIFS(allFYsTable[DiffAmount], allFYsTable[Code], SummaryTable[[#This Row],[Code]], allFYsTable[year2], DW$3))</f>
        <v>-133</v>
      </c>
      <c r="EC111" s="63">
        <f>IF(SummaryTable[[#This Row],[OriginalBudget11]]=0, IF(SummaryTable[[#This Row],[DiffAmount11]]=0, ZeroBudgetNoSpending, ZeroBudgetWithSpending), SummaryTable[[#This Row],[DiffAmount11]]/SummaryTable[[#This Row],[OriginalBudget11]])</f>
        <v>-4.9924924924924924E-2</v>
      </c>
      <c r="ED111" s="62">
        <f>IF(COUNTIFS(allFYsTable[Code], SummaryTable[[#This Row],[Code]], allFYsTable[year2], ED$3)=0, NotFound, SUMIFS(allFYsTable[OriginalBudget], allFYsTable[Code], SummaryTable[[#This Row],[Code]], allFYsTable[year2], ED$3))</f>
        <v>3821</v>
      </c>
      <c r="EE111" s="61">
        <f>SummaryTable[[#This Row],[OriginalBudget10]]-SummaryTable[[#This Row],[OriginalBudget09]]</f>
        <v>-766</v>
      </c>
      <c r="EF111" s="54">
        <f>SummaryTable[[#This Row],[BudgetIncreaseAmount10]]/SummaryTable[[#This Row],[OriginalBudget09]]</f>
        <v>-0.1669936777850447</v>
      </c>
      <c r="EG111" s="61">
        <f>IF(COUNTIFS(allFYsTable[Code], SummaryTable[[#This Row],[Code]], allFYsTable[year2], ED$3)=0, NotFound, SUMIFS(allFYsTable[RevisedBudget], allFYsTable[Code], SummaryTable[[#This Row],[Code]], allFYsTable[year2], ED$3))</f>
        <v>3777</v>
      </c>
      <c r="EH111" s="61">
        <f>IF(COUNTIFS(allFYsTable[Code], SummaryTable[[#This Row],[Code]], allFYsTable[year2], ED$3)=0, NotFound, SUMIFS(allFYsTable[Actual], allFYsTable[Code], SummaryTable[[#This Row],[Code]], allFYsTable[year2], ED$3))</f>
        <v>3712</v>
      </c>
      <c r="EI111" s="61">
        <f>IF(COUNTIFS(allFYsTable[Code], SummaryTable[[#This Row],[Code]], allFYsTable[year2], ED$3)=0, NotFound, SUMIFS(allFYsTable[DiffAmount], allFYsTable[Code], SummaryTable[[#This Row],[Code]], allFYsTable[year2], ED$3))</f>
        <v>-109</v>
      </c>
      <c r="EJ111" s="63">
        <f>IF(SummaryTable[[#This Row],[OriginalBudget10]]=0, IF(SummaryTable[[#This Row],[DiffAmount10]]=0, ZeroBudgetNoSpending, ZeroBudgetWithSpending), SummaryTable[[#This Row],[DiffAmount10]]/SummaryTable[[#This Row],[OriginalBudget10]])</f>
        <v>-2.8526563726773094E-2</v>
      </c>
      <c r="EK111" s="62">
        <f>IF(COUNTIFS(allFYsTable[Code], SummaryTable[[#This Row],[Code]], allFYsTable[year2], EK$3)=0, NotFound, SUMIFS(allFYsTable[OriginalBudget], allFYsTable[Code], SummaryTable[[#This Row],[Code]], allFYsTable[year2], EK$3))</f>
        <v>4587</v>
      </c>
      <c r="EL111" s="61">
        <f>SummaryTable[[#This Row],[OriginalBudget09]]-SummaryTable[[#This Row],[OriginalBudget08]]</f>
        <v>464</v>
      </c>
      <c r="EM111" s="54">
        <f>SummaryTable[[#This Row],[BudgetIncreaseAmount09]]/SummaryTable[[#This Row],[OriginalBudget08]]</f>
        <v>0.11253941304875091</v>
      </c>
      <c r="EN111" s="61">
        <f>IF(COUNTIFS(allFYsTable[Code], SummaryTable[[#This Row],[Code]], allFYsTable[year2], EK$3)=0, NotFound, SUMIFS(allFYsTable[RevisedBudget], allFYsTable[Code], SummaryTable[[#This Row],[Code]], allFYsTable[year2], EK$3))</f>
        <v>4545</v>
      </c>
      <c r="EO111" s="61">
        <f>IF(COUNTIFS(allFYsTable[Code], SummaryTable[[#This Row],[Code]], allFYsTable[year2], EK$3)=0, NotFound, SUMIFS(allFYsTable[Actual], allFYsTable[Code], SummaryTable[[#This Row],[Code]], allFYsTable[year2], EK$3))</f>
        <v>4477</v>
      </c>
      <c r="EP111" s="61">
        <f>IF(COUNTIFS(allFYsTable[Code], SummaryTable[[#This Row],[Code]], allFYsTable[year2], EK$3)=0, NotFound, SUMIFS(allFYsTable[DiffAmount], allFYsTable[Code], SummaryTable[[#This Row],[Code]], allFYsTable[year2], EK$3))</f>
        <v>-110</v>
      </c>
      <c r="EQ111" s="63">
        <f>IF(SummaryTable[[#This Row],[OriginalBudget09]]=0, IF(SummaryTable[[#This Row],[DiffAmount09]]=0, ZeroBudgetNoSpending, ZeroBudgetWithSpending), SummaryTable[[#This Row],[DiffAmount09]]/SummaryTable[[#This Row],[OriginalBudget09]])</f>
        <v>-2.3980815347721823E-2</v>
      </c>
      <c r="ER111" s="62">
        <f>IF(COUNTIFS(allFYsTable[Code], SummaryTable[[#This Row],[Code]], allFYsTable[year2], ER$3)=0, NotFound, SUMIFS(allFYsTable[OriginalBudget], allFYsTable[Code], SummaryTable[[#This Row],[Code]], allFYsTable[year2], ER$3))</f>
        <v>4123</v>
      </c>
      <c r="ES111" s="61">
        <f>SummaryTable[[#This Row],[OriginalBudget08]]-SummaryTable[[#This Row],[OriginalBudget07]]</f>
        <v>-124</v>
      </c>
      <c r="ET111" s="54">
        <f>SummaryTable[[#This Row],[BudgetIncreaseAmount08]]/SummaryTable[[#This Row],[OriginalBudget07]]</f>
        <v>-2.9197080291970802E-2</v>
      </c>
      <c r="EU111" s="61">
        <f>IF(COUNTIFS(allFYsTable[Code], SummaryTable[[#This Row],[Code]], allFYsTable[year2], ER$3)=0, NotFound, SUMIFS(allFYsTable[RevisedBudget], allFYsTable[Code], SummaryTable[[#This Row],[Code]], allFYsTable[year2], ER$3))</f>
        <v>4149</v>
      </c>
      <c r="EV111" s="61">
        <f>IF(COUNTIFS(allFYsTable[Code], SummaryTable[[#This Row],[Code]], allFYsTable[year2], ER$3)=0, NotFound, SUMIFS(allFYsTable[Actual], allFYsTable[Code], SummaryTable[[#This Row],[Code]], allFYsTable[year2], ER$3))</f>
        <v>4120</v>
      </c>
      <c r="EW111" s="61">
        <f>IF(COUNTIFS(allFYsTable[Code], SummaryTable[[#This Row],[Code]], allFYsTable[year2], ER$3)=0, NotFound, SUMIFS(allFYsTable[DiffAmount], allFYsTable[Code], SummaryTable[[#This Row],[Code]], allFYsTable[year2], ER$3))</f>
        <v>-3</v>
      </c>
      <c r="EX111" s="63">
        <f>IF(SummaryTable[[#This Row],[OriginalBudget08]]=0, IF(SummaryTable[[#This Row],[DiffAmount08]]=0, ZeroBudgetNoSpending, ZeroBudgetWithSpending), SummaryTable[[#This Row],[DiffAmount08]]/SummaryTable[[#This Row],[OriginalBudget08]])</f>
        <v>-7.2762551540140675E-4</v>
      </c>
      <c r="EY111" s="62">
        <f>IF(COUNTIFS(allFYsTable[Code], SummaryTable[[#This Row],[Code]], allFYsTable[year2], EY$3)=0, NotFound, SUMIFS(allFYsTable[OriginalBudget], allFYsTable[Code], SummaryTable[[#This Row],[Code]], allFYsTable[year2], EY$3))</f>
        <v>4247</v>
      </c>
      <c r="EZ111" s="61">
        <f>SummaryTable[[#This Row],[OriginalBudget07]]-SummaryTable[[#This Row],[OriginalBudget06]]</f>
        <v>592</v>
      </c>
      <c r="FA111" s="54">
        <f>SummaryTable[[#This Row],[BudgetIncreaseAmount07]]/SummaryTable[[#This Row],[OriginalBudget06]]</f>
        <v>0.16196990424076607</v>
      </c>
      <c r="FB111" s="61">
        <f>IF(COUNTIFS(allFYsTable[Code], SummaryTable[[#This Row],[Code]], allFYsTable[year2], EY$3)=0, NotFound, SUMIFS(allFYsTable[RevisedBudget], allFYsTable[Code], SummaryTable[[#This Row],[Code]], allFYsTable[year2], EY$3))</f>
        <v>4285</v>
      </c>
      <c r="FC111" s="61">
        <f>IF(COUNTIFS(allFYsTable[Code], SummaryTable[[#This Row],[Code]], allFYsTable[year2], EY$3)=0, NotFound, SUMIFS(allFYsTable[Actual], allFYsTable[Code], SummaryTable[[#This Row],[Code]], allFYsTable[year2], EY$3))</f>
        <v>4130</v>
      </c>
      <c r="FD111" s="61">
        <f>IF(COUNTIFS(allFYsTable[Code], SummaryTable[[#This Row],[Code]], allFYsTable[year2], EY$3)=0, NotFound, SUMIFS(allFYsTable[DiffAmount], allFYsTable[Code], SummaryTable[[#This Row],[Code]], allFYsTable[year2], EY$3))</f>
        <v>-117</v>
      </c>
      <c r="FE111" s="63">
        <f>IF(SummaryTable[[#This Row],[OriginalBudget07]]=0, IF(SummaryTable[[#This Row],[DiffAmount07]]=0, ZeroBudgetNoSpending, ZeroBudgetWithSpending), SummaryTable[[#This Row],[DiffAmount07]]/SummaryTable[[#This Row],[OriginalBudget07]])</f>
        <v>-2.7548858017424065E-2</v>
      </c>
      <c r="FF111" s="62">
        <f>IF(COUNTIFS(allFYsTable[Code], SummaryTable[[#This Row],[Code]], allFYsTable[year2], FF$3)=0, NotFound, SUMIFS(allFYsTable[OriginalBudget], allFYsTable[Code], SummaryTable[[#This Row],[Code]], allFYsTable[year2], FF$3))</f>
        <v>3655</v>
      </c>
      <c r="FI111" s="61">
        <f>IF(COUNTIFS(allFYsTable[Code], SummaryTable[[#This Row],[Code]], allFYsTable[year2], FF$3)=0, NotFound, SUMIFS(allFYsTable[RevisedBudget], allFYsTable[Code], SummaryTable[[#This Row],[Code]], allFYsTable[year2], FF$3))</f>
        <v>3679</v>
      </c>
      <c r="FJ111" s="61">
        <f>IF(COUNTIFS(allFYsTable[Code], SummaryTable[[#This Row],[Code]], allFYsTable[year2], FF$3)=0, NotFound, SUMIFS(allFYsTable[Actual], allFYsTable[Code], SummaryTable[[#This Row],[Code]], allFYsTable[year2], FF$3))</f>
        <v>3652</v>
      </c>
      <c r="FK111" s="61">
        <f>IF(COUNTIFS(allFYsTable[Code], SummaryTable[[#This Row],[Code]], allFYsTable[year2], FF$3)=0, NotFound, SUMIFS(allFYsTable[DiffAmount], allFYsTable[Code], SummaryTable[[#This Row],[Code]], allFYsTable[year2], FF$3))</f>
        <v>-3</v>
      </c>
      <c r="FL111" s="63">
        <f>IF(SummaryTable[[#This Row],[OriginalBudget06]]=0, IF(SummaryTable[[#This Row],[DiffAmount06]]=0, ZeroBudgetNoSpending, ZeroBudgetWithSpending), SummaryTable[[#This Row],[DiffAmount06]]/SummaryTable[[#This Row],[OriginalBudget06]])</f>
        <v>-8.2079343365253077E-4</v>
      </c>
    </row>
    <row r="112" spans="1:168" x14ac:dyDescent="0.45">
      <c r="A112" t="s">
        <v>763</v>
      </c>
      <c r="B112">
        <f>_xlfn.MAXIFS(allFYsTable[year2], allFYsTable[Code], SummaryTable[[#This Row],[Code]])</f>
        <v>2025</v>
      </c>
      <c r="C112" t="str">
        <f>_xlfn.XLOOKUP(SummaryTable[[#This Row],[Code]], NameCodingTable[Code], NameCodingTable[Most Recent Category per allFYs])</f>
        <v>Public safety and justice</v>
      </c>
      <c r="D112" t="str">
        <f>_xlfn.XLOOKUP(SummaryTable[[#This Row],[Code]], NameCodingTable[Code], NameCodingTable[Unit Display Name])</f>
        <v>Office on Returning Citizen Affairs (ORCA)</v>
      </c>
      <c r="E112" t="str">
        <f>_xlfn.XLOOKUP(SummaryTable[[#This Row],[Code]], NameCodingTable[Code], NameCodingTable[Type])</f>
        <v>agency</v>
      </c>
      <c r="F11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5</v>
      </c>
      <c r="G11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12" s="54">
        <f>SummaryTable[[#This Row],['# Over]]/SummaryTable[[#This Row],[Count]]</f>
        <v>0</v>
      </c>
      <c r="I11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5</v>
      </c>
      <c r="J112" s="54">
        <f>SummaryTable[[#This Row],['# Under]]/SummaryTable[[#This Row],[Count]]</f>
        <v>1</v>
      </c>
      <c r="K11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12" s="54">
        <f>SummaryTable[[#This Row],['# Equal]]/SummaryTable[[#This Row],[Count]]</f>
        <v>0</v>
      </c>
      <c r="M112" s="61">
        <f>SUMIFS(allFYsTable[OriginalBudget],allFYsTable[Code],SummaryTable[[#This Row],[Code]])/SummaryTable[[#This Row],[Count]]</f>
        <v>2224</v>
      </c>
      <c r="N112" s="61">
        <f>SUMIFS(allFYsTable[Actual],allFYsTable[Code],SummaryTable[[#This Row],[Code]])/SummaryTable[[#This Row],[Count]]</f>
        <v>1790.8</v>
      </c>
      <c r="O112" s="61">
        <f>SummaryTable[[#This Row],[AvgActAmt]]-SummaryTable[[#This Row],[AvgBudAmt]]</f>
        <v>-433.20000000000005</v>
      </c>
      <c r="P112" s="54">
        <f>IF(SummaryTable[[#This Row],[AvgBudAmt]]=0, IF(SummaryTable[[#This Row],[AvgDiff'#]]=0, 0, NamedFields!$C$3), SummaryTable[[#This Row],[AvgDiff'#]]/SummaryTable[[#This Row],[AvgBudAmt]])</f>
        <v>-0.19478417266187054</v>
      </c>
      <c r="Q112" s="61">
        <f>IFERROR(SUMIFS(allFYsTable[OriginalBudget],allFYsTable[Code],SummaryTable[[#This Row],[Code]],allFYsTable[DiffAmount], "&gt;0")/SummaryTable[[#This Row],['# Over]], 0)</f>
        <v>0</v>
      </c>
      <c r="R112" s="61">
        <f>IFERROR(SUMIFS(allFYsTable[Actual],allFYsTable[Code],SummaryTable[[#This Row],[Code]],allFYsTable[DiffAmount], "&gt;0")/SummaryTable[[#This Row],['# Over]], 0)</f>
        <v>0</v>
      </c>
      <c r="S112" s="61">
        <f>SummaryTable[[#This Row],[OverAvgAct]]-SummaryTable[[#This Row],[OverAvgBud]]</f>
        <v>0</v>
      </c>
      <c r="T112" s="54">
        <f>IF(SummaryTable[[#This Row],[OverAvgBud]]=0, IF(SummaryTable[[#This Row],[OverAvgDiff'#]]=0, ZeroBudgetNoSpending, ZeroBudgetWithSpending), SummaryTable[[#This Row],[OverAvgDiff'#]]/SummaryTable[[#This Row],[OverAvgBud]])</f>
        <v>0</v>
      </c>
      <c r="U112" s="61">
        <f>IFERROR(SUMIFS(allFYsTable[OriginalBudget],allFYsTable[Code],SummaryTable[[#This Row],[Code]],allFYsTable[DiffAmount], "&lt;0")/SummaryTable[[#This Row],['# Under]], 0)</f>
        <v>2224</v>
      </c>
      <c r="V112" s="61">
        <f>IFERROR( SUMIFS(allFYsTable[Actual],allFYsTable[Code],SummaryTable[[#This Row],[Code]],allFYsTable[DiffAmount], "&lt;0")/SummaryTable[[#This Row],['# Under]], 0)</f>
        <v>1790.8</v>
      </c>
      <c r="W112" s="61">
        <f>SummaryTable[[#This Row],[UnderAvgAct]]-SummaryTable[[#This Row],[UnderAvgBud]]</f>
        <v>-433.20000000000005</v>
      </c>
      <c r="X112" s="54">
        <f>IF(SummaryTable[[#This Row],[UnderAvgBud]]=0, IF(SummaryTable[[#This Row],[UnderAvgDiff'#]]=0, ZeroBudgetNoSpending, NamedFields!$C$3), SummaryTable[[#This Row],[UnderAvgDiff'#]]/SummaryTable[[#This Row],[UnderAvgBud]])</f>
        <v>-0.19478417266187054</v>
      </c>
      <c r="Y11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11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12" s="54">
        <f>IF(SummaryTable[[#This Row],[IncreaseYears]]=0, ZeroBudgetNoSpending, SummaryTable[[#This Row],[OSinIncreaseYear'#]]/SummaryTable[[#This Row],[IncreaseYears]])</f>
        <v>0</v>
      </c>
      <c r="AB112" s="58" t="str">
        <f>SummaryTable[[#This Row],[Code]]</f>
        <v>RC0</v>
      </c>
      <c r="AC112" s="62">
        <f>IF(COUNTIFS(allFYsTable[Code], SummaryTable[[#This Row],[Code]], allFYsTable[year2], AC$3)=0, NotFound, SUMIFS(allFYsTable[OriginalBudget], allFYsTable[Code], SummaryTable[[#This Row],[Code]], allFYsTable[year2], AC$3))</f>
        <v>2917</v>
      </c>
      <c r="AD112" s="61">
        <f>SummaryTable[[#This Row],[OriginalBudget25]]-SummaryTable[[#This Row],[OriginalBudget24]]</f>
        <v>654</v>
      </c>
      <c r="AE112" s="54">
        <f>SummaryTable[[#This Row],[BudgetIncreaseAmount25]]/SummaryTable[[#This Row],[OriginalBudget24]]</f>
        <v>0.28899690676093681</v>
      </c>
      <c r="AF112" s="61">
        <f>IF(COUNTIFS(allFYsTable[Code], SummaryTable[[#This Row],[Code]], allFYsTable[year2], AC$3)=0, NotFound, SUMIFS(allFYsTable[RevisedBudget], allFYsTable[Code], SummaryTable[[#This Row],[Code]], allFYsTable[year2], AC$3))</f>
        <v>2383</v>
      </c>
      <c r="AG112" s="61">
        <f>IF(COUNTIFS(allFYsTable[Code], SummaryTable[[#This Row],[Code]], allFYsTable[year2], AC$3)=0, NotFound, SUMIFS(allFYsTable[Actual], allFYsTable[Code], SummaryTable[[#This Row],[Code]], allFYsTable[year2], AC$3))</f>
        <v>2133</v>
      </c>
      <c r="AH112" s="61">
        <f>IF(COUNTIFS(allFYsTable[Code], SummaryTable[[#This Row],[Code]], allFYsTable[year2], AC$3)=0, NotFound, SUMIFS(allFYsTable[DiffAmount], allFYsTable[Code], SummaryTable[[#This Row],[Code]], allFYsTable[year2], AC$3))</f>
        <v>-784</v>
      </c>
      <c r="AI112" s="63">
        <f>IF(SummaryTable[[#This Row],[OriginalBudget25]]=0, IF(SummaryTable[[#This Row],[DiffAmount25]]=0, ZeroBudgetNoSpending, ZeroBudgetWithSpending), SummaryTable[[#This Row],[DiffAmount25]]/SummaryTable[[#This Row],[OriginalBudget25]])</f>
        <v>-0.26876928351045593</v>
      </c>
      <c r="AJ112" s="62">
        <f>IF(COUNTIFS(allFYsTable[Code], SummaryTable[[#This Row],[Code]], allFYsTable[year2], AJ$3)=0, NotFound, SUMIFS(allFYsTable[OriginalBudget], allFYsTable[Code], SummaryTable[[#This Row],[Code]], allFYsTable[year2], AJ$3))</f>
        <v>2263</v>
      </c>
      <c r="AK112" s="61">
        <f>SummaryTable[[#This Row],[OriginalBudget24]]-SummaryTable[[#This Row],[OriginalBudget23]]</f>
        <v>129</v>
      </c>
      <c r="AL112" s="54">
        <f>SummaryTable[[#This Row],[BudgetIncreaseAmount24]]/SummaryTable[[#This Row],[OriginalBudget23]]</f>
        <v>6.0449859418931585E-2</v>
      </c>
      <c r="AM112" s="61">
        <f>IF(COUNTIFS(allFYsTable[Code], SummaryTable[[#This Row],[Code]], allFYsTable[year2], AK$3)=0, NotFound, SUMIFS(allFYsTable[RevisedBudget], allFYsTable[Code], SummaryTable[[#This Row],[Code]], allFYsTable[year2], AJ$3))</f>
        <v>2063</v>
      </c>
      <c r="AN112" s="61">
        <f>IF(COUNTIFS(allFYsTable[Code], SummaryTable[[#This Row],[Code]], allFYsTable[year2], AJ$3)=0, NotFound, SUMIFS(allFYsTable[Actual], allFYsTable[Code], SummaryTable[[#This Row],[Code]], allFYsTable[year2], AJ$3))</f>
        <v>1712</v>
      </c>
      <c r="AO112" s="61">
        <f>IF(COUNTIFS(allFYsTable[Code], SummaryTable[[#This Row],[Code]], allFYsTable[year2], AJ$3)=0, NotFound, SUMIFS(allFYsTable[DiffAmount], allFYsTable[Code], SummaryTable[[#This Row],[Code]], allFYsTable[year2], AJ$3))</f>
        <v>-551</v>
      </c>
      <c r="AP112" s="63">
        <f>IF(SummaryTable[[#This Row],[OriginalBudget24]]=0, IF(SummaryTable[[#This Row],[DiffAmount24]]=0, ZeroBudgetNoSpending, ZeroBudgetWithSpending), SummaryTable[[#This Row],[DiffAmount24]]/SummaryTable[[#This Row],[OriginalBudget24]])</f>
        <v>-0.24348210340256296</v>
      </c>
      <c r="AQ112" s="62">
        <f>IF(COUNTIFS(allFYsTable[Code], SummaryTable[[#This Row],[Code]], allFYsTable[year2], AQ$3)=0, NotFound, SUMIFS(allFYsTable[OriginalBudget], allFYsTable[Code], SummaryTable[[#This Row],[Code]], allFYsTable[year2], AQ$3))</f>
        <v>2134</v>
      </c>
      <c r="AR112" s="61">
        <f>SummaryTable[[#This Row],[OriginalBudget23]]-SummaryTable[[#This Row],[OriginalBudget22]]</f>
        <v>218</v>
      </c>
      <c r="AS112" s="54">
        <f>SummaryTable[[#This Row],[BudgetIncreaseAmount23]]/SummaryTable[[#This Row],[OriginalBudget22]]</f>
        <v>0.11377870563674322</v>
      </c>
      <c r="AT112" s="61">
        <f>IF(COUNTIFS(allFYsTable[Code], SummaryTable[[#This Row],[Code]], allFYsTable[year2], AQ$3)=0, NotFound, SUMIFS(allFYsTable[RevisedBudget], allFYsTable[Code], SummaryTable[[#This Row],[Code]], allFYsTable[year2], AQ$3))</f>
        <v>2034</v>
      </c>
      <c r="AU112" s="61">
        <f>IF(COUNTIFS(allFYsTable[Code], SummaryTable[[#This Row],[Code]], allFYsTable[year2], AQ$3)=0, NotFound, SUMIFS(allFYsTable[Actual], allFYsTable[Code], SummaryTable[[#This Row],[Code]], allFYsTable[year2], AQ$3))</f>
        <v>1889</v>
      </c>
      <c r="AV112" s="61">
        <f>IF(COUNTIFS(allFYsTable[Code], SummaryTable[[#This Row],[Code]], allFYsTable[year2], AQ$3)=0, NotFound, SUMIFS(allFYsTable[DiffAmount], allFYsTable[Code], SummaryTable[[#This Row],[Code]], allFYsTable[year2], AQ$3))</f>
        <v>-245</v>
      </c>
      <c r="AW112" s="63">
        <f>IF(SummaryTable[[#This Row],[OriginalBudget23]]=0, IF(SummaryTable[[#This Row],[DiffAmount23]]=0, ZeroBudgetNoSpending, ZeroBudgetWithSpending), SummaryTable[[#This Row],[DiffAmount23]]/SummaryTable[[#This Row],[OriginalBudget23]])</f>
        <v>-0.1148078725398313</v>
      </c>
      <c r="AX112" s="62">
        <f>IF(COUNTIFS(allFYsTable[Code], SummaryTable[[#This Row],[Code]], allFYsTable[year2], AX$3)=0, NotFound, SUMIFS(allFYsTable[OriginalBudget], allFYsTable[Code], SummaryTable[[#This Row],[Code]], allFYsTable[year2], AX$3))</f>
        <v>1916</v>
      </c>
      <c r="AY112" s="61">
        <f>SummaryTable[[#This Row],[OriginalBudget22]]-SummaryTable[[#This Row],[OriginalBudget21]]</f>
        <v>26</v>
      </c>
      <c r="AZ112" s="54">
        <f>SummaryTable[[#This Row],[BudgetIncreaseAmount22]]/SummaryTable[[#This Row],[OriginalBudget21]]</f>
        <v>1.3756613756613757E-2</v>
      </c>
      <c r="BA112" s="61">
        <f>IF(COUNTIFS(allFYsTable[Code], SummaryTable[[#This Row],[Code]], allFYsTable[year2], AX$3)=0, NotFound, SUMIFS(allFYsTable[RevisedBudget], allFYsTable[Code], SummaryTable[[#This Row],[Code]], allFYsTable[year2], AX$3))</f>
        <v>1765</v>
      </c>
      <c r="BB112" s="61">
        <f>IF(COUNTIFS(allFYsTable[Code], SummaryTable[[#This Row],[Code]], allFYsTable[year2], AX$3)=0, NotFound, SUMIFS(allFYsTable[Actual], allFYsTable[Code], SummaryTable[[#This Row],[Code]], allFYsTable[year2], AX$3))</f>
        <v>1606</v>
      </c>
      <c r="BC112" s="61">
        <f>IF(COUNTIFS(allFYsTable[Code], SummaryTable[[#This Row],[Code]], allFYsTable[year2], AX$3)=0, NotFound, SUMIFS(allFYsTable[DiffAmount], allFYsTable[Code], SummaryTable[[#This Row],[Code]], allFYsTable[year2], AX$3))</f>
        <v>-310</v>
      </c>
      <c r="BD112" s="63">
        <f>IF(SummaryTable[[#This Row],[OriginalBudget22]]=0, IF(SummaryTable[[#This Row],[DiffAmount22]]=0, ZeroBudgetNoSpending, ZeroBudgetWithSpending), SummaryTable[[#This Row],[DiffAmount22]]/SummaryTable[[#This Row],[OriginalBudget22]])</f>
        <v>-0.1617954070981211</v>
      </c>
      <c r="BE112" s="62">
        <f>IF(COUNTIFS(allFYsTable[Code], SummaryTable[[#This Row],[Code]], allFYsTable[year2], BE$3)=0, NotFound, SUMIFS(allFYsTable[OriginalBudget], allFYsTable[Code], SummaryTable[[#This Row],[Code]], allFYsTable[year2], BE$3))</f>
        <v>1890</v>
      </c>
      <c r="BF112" s="61" t="e">
        <f>SummaryTable[[#This Row],[OriginalBudget21]]-SummaryTable[[#This Row],[OriginalBudget20]]</f>
        <v>#N/A</v>
      </c>
      <c r="BG112" s="54" t="e">
        <f>SummaryTable[[#This Row],[BudgetIncreaseAmount21]]/SummaryTable[[#This Row],[OriginalBudget20]]</f>
        <v>#N/A</v>
      </c>
      <c r="BH112" s="61">
        <f>IF(COUNTIFS(allFYsTable[Code], SummaryTable[[#This Row],[Code]], allFYsTable[year2], BE$3)=0, NotFound, SUMIFS(allFYsTable[RevisedBudget], allFYsTable[Code], SummaryTable[[#This Row],[Code]], allFYsTable[year2], BE$3))</f>
        <v>1765</v>
      </c>
      <c r="BI112" s="61">
        <f>IF(COUNTIFS(allFYsTable[Code], SummaryTable[[#This Row],[Code]], allFYsTable[year2], BE$3)=0, NotFound, SUMIFS(allFYsTable[Actual], allFYsTable[Code], SummaryTable[[#This Row],[Code]], allFYsTable[year2], BE$3))</f>
        <v>1614</v>
      </c>
      <c r="BJ112" s="61">
        <f>IF(COUNTIFS(allFYsTable[Code], SummaryTable[[#This Row],[Code]], allFYsTable[year2], BE$3)=0, NotFound, SUMIFS(allFYsTable[DiffAmount], allFYsTable[Code], SummaryTable[[#This Row],[Code]], allFYsTable[year2], BE$3))</f>
        <v>-276</v>
      </c>
      <c r="BK112" s="63">
        <f>IF(SummaryTable[[#This Row],[OriginalBudget21]]=0, IF(SummaryTable[[#This Row],[DiffAmount21]]=0, ZeroBudgetNoSpending, ZeroBudgetWithSpending), SummaryTable[[#This Row],[DiffAmount21]]/SummaryTable[[#This Row],[OriginalBudget21]])</f>
        <v>-0.14603174603174604</v>
      </c>
      <c r="BL112" s="62" t="e">
        <f>IF(COUNTIFS(allFYsTable[Code], SummaryTable[[#This Row],[Code]], allFYsTable[year2], BL$3)=0, NotFound, SUMIFS(allFYsTable[OriginalBudget], allFYsTable[Code], SummaryTable[[#This Row],[Code]], allFYsTable[year2], BL$3))</f>
        <v>#N/A</v>
      </c>
      <c r="BM112" s="61" t="e">
        <f>SummaryTable[[#This Row],[OriginalBudget20]]-SummaryTable[[#This Row],[OriginalBudget19]]</f>
        <v>#N/A</v>
      </c>
      <c r="BN112" s="54" t="e">
        <f>SummaryTable[[#This Row],[BudgetIncreaseAmount20]]/SummaryTable[[#This Row],[OriginalBudget19]]</f>
        <v>#N/A</v>
      </c>
      <c r="BO112" s="61" t="e">
        <f>IF(COUNTIFS(allFYsTable[Code], SummaryTable[[#This Row],[Code]], allFYsTable[year2], BL$3)=0, NotFound, SUMIFS(allFYsTable[RevisedBudget], allFYsTable[Code], SummaryTable[[#This Row],[Code]], allFYsTable[year2], BL$3))</f>
        <v>#N/A</v>
      </c>
      <c r="BP112" s="61" t="e">
        <f>IF(COUNTIFS(allFYsTable[Code], SummaryTable[[#This Row],[Code]], allFYsTable[year2], BL$3)=0, NotFound, SUMIFS(allFYsTable[Actual], allFYsTable[Code], SummaryTable[[#This Row],[Code]], allFYsTable[year2], BL$3))</f>
        <v>#N/A</v>
      </c>
      <c r="BQ112" s="61" t="e">
        <f>IF(COUNTIFS(allFYsTable[Code], SummaryTable[[#This Row],[Code]], allFYsTable[year2], BL$3)=0, NotFound, SUMIFS(allFYsTable[DiffAmount], allFYsTable[Code], SummaryTable[[#This Row],[Code]], allFYsTable[year2], BL$3))</f>
        <v>#N/A</v>
      </c>
      <c r="BR112" s="63" t="e">
        <f>IF(SummaryTable[[#This Row],[OriginalBudget20]]=0, IF(SummaryTable[[#This Row],[DiffAmount20]]=0, ZeroBudgetNoSpending, ZeroBudgetWithSpending), SummaryTable[[#This Row],[DiffAmount20]]/SummaryTable[[#This Row],[OriginalBudget20]])</f>
        <v>#N/A</v>
      </c>
      <c r="BS112" s="62" t="e">
        <f>IF(COUNTIFS(allFYsTable[Code], SummaryTable[[#This Row],[Code]], allFYsTable[year2], BS$3)=0, NotFound, SUMIFS(allFYsTable[OriginalBudget], allFYsTable[Code], SummaryTable[[#This Row],[Code]], allFYsTable[year2], BS$3))</f>
        <v>#N/A</v>
      </c>
      <c r="BT112" s="61" t="e">
        <f>SummaryTable[[#This Row],[OriginalBudget19]]-SummaryTable[[#This Row],[OriginalBudget18]]</f>
        <v>#N/A</v>
      </c>
      <c r="BU112" s="54" t="e">
        <f>SummaryTable[[#This Row],[BudgetIncreaseAmount19]]/SummaryTable[[#This Row],[OriginalBudget18]]</f>
        <v>#N/A</v>
      </c>
      <c r="BV112" s="61" t="e">
        <f>IF(COUNTIFS(allFYsTable[Code], SummaryTable[[#This Row],[Code]], allFYsTable[year2], BS$3)=0, NotFound, SUMIFS(allFYsTable[RevisedBudget], allFYsTable[Code], SummaryTable[[#This Row],[Code]], allFYsTable[year2], BS$3))</f>
        <v>#N/A</v>
      </c>
      <c r="BW112" s="61" t="e">
        <f>IF(COUNTIFS(allFYsTable[Code], SummaryTable[[#This Row],[Code]], allFYsTable[year2], BS$3)=0, NotFound, SUMIFS(allFYsTable[Actual], allFYsTable[Code], SummaryTable[[#This Row],[Code]], allFYsTable[year2], BS$3))</f>
        <v>#N/A</v>
      </c>
      <c r="BX112" s="61" t="e">
        <f>IF(COUNTIFS(allFYsTable[Code], SummaryTable[[#This Row],[Code]], allFYsTable[year2], BS$3)=0, NotFound, SUMIFS(allFYsTable[DiffAmount], allFYsTable[Code], SummaryTable[[#This Row],[Code]], allFYsTable[year2], BS$3))</f>
        <v>#N/A</v>
      </c>
      <c r="BY112" s="63" t="e">
        <f>IF(SummaryTable[[#This Row],[OriginalBudget19]]=0, IF(SummaryTable[[#This Row],[DiffAmount19]]=0, ZeroBudgetNoSpending, ZeroBudgetWithSpending), SummaryTable[[#This Row],[DiffAmount19]]/SummaryTable[[#This Row],[OriginalBudget19]])</f>
        <v>#N/A</v>
      </c>
      <c r="BZ112" s="62" t="e">
        <f>IF(COUNTIFS(allFYsTable[Code], SummaryTable[[#This Row],[Code]], allFYsTable[year2], BZ$3)=0, NotFound, SUMIFS(allFYsTable[OriginalBudget], allFYsTable[Code], SummaryTable[[#This Row],[Code]], allFYsTable[year2], BZ$3))</f>
        <v>#N/A</v>
      </c>
      <c r="CA112" s="61" t="e">
        <f>SummaryTable[[#This Row],[OriginalBudget18]]-SummaryTable[[#This Row],[OriginalBudget17]]</f>
        <v>#N/A</v>
      </c>
      <c r="CB112" s="54" t="e">
        <f>SummaryTable[[#This Row],[BudgetIncreaseAmount18]]/SummaryTable[[#This Row],[OriginalBudget17]]</f>
        <v>#N/A</v>
      </c>
      <c r="CC112" s="61" t="e">
        <f>IF(COUNTIFS(allFYsTable[Code], SummaryTable[[#This Row],[Code]], allFYsTable[year2], BZ$3)=0, NotFound, SUMIFS(allFYsTable[RevisedBudget], allFYsTable[Code], SummaryTable[[#This Row],[Code]], allFYsTable[year2], BZ$3))</f>
        <v>#N/A</v>
      </c>
      <c r="CD112" s="61" t="e">
        <f>IF(COUNTIFS(allFYsTable[Code], SummaryTable[[#This Row],[Code]], allFYsTable[year2], BZ$3)=0, NotFound, SUMIFS(allFYsTable[Actual], allFYsTable[Code], SummaryTable[[#This Row],[Code]], allFYsTable[year2], BZ$3))</f>
        <v>#N/A</v>
      </c>
      <c r="CE112" s="61" t="e">
        <f>IF(COUNTIFS(allFYsTable[Code], SummaryTable[[#This Row],[Code]], allFYsTable[year2], BZ$3)=0, NotFound, SUMIFS(allFYsTable[DiffAmount], allFYsTable[Code], SummaryTable[[#This Row],[Code]], allFYsTable[year2], BZ$3))</f>
        <v>#N/A</v>
      </c>
      <c r="CF112" s="63" t="e">
        <f>IF(SummaryTable[[#This Row],[OriginalBudget18]]=0, IF(SummaryTable[[#This Row],[DiffAmount18]]=0, ZeroBudgetNoSpending, ZeroBudgetWithSpending), SummaryTable[[#This Row],[DiffAmount18]]/SummaryTable[[#This Row],[OriginalBudget18]])</f>
        <v>#N/A</v>
      </c>
      <c r="CG112" s="62" t="e">
        <f>IF(COUNTIFS(allFYsTable[Code], SummaryTable[[#This Row],[Code]], allFYsTable[year2], CG$3)=0, NotFound, SUMIFS(allFYsTable[OriginalBudget], allFYsTable[Code], SummaryTable[[#This Row],[Code]], allFYsTable[year2], CG$3))</f>
        <v>#N/A</v>
      </c>
      <c r="CH112" s="61" t="e">
        <f>SummaryTable[[#This Row],[OriginalBudget17]]-SummaryTable[[#This Row],[OriginalBudget16]]</f>
        <v>#N/A</v>
      </c>
      <c r="CI112" s="54" t="e">
        <f>SummaryTable[[#This Row],[BudgetIncreaseAmount17]]/SummaryTable[[#This Row],[OriginalBudget16]]</f>
        <v>#N/A</v>
      </c>
      <c r="CJ112" s="61" t="e">
        <f>IF(COUNTIFS(allFYsTable[Code], SummaryTable[[#This Row],[Code]], allFYsTable[year2], CG$3)=0, NotFound, SUMIFS(allFYsTable[RevisedBudget], allFYsTable[Code], SummaryTable[[#This Row],[Code]], allFYsTable[year2], CG$3))</f>
        <v>#N/A</v>
      </c>
      <c r="CK112" s="61" t="e">
        <f>IF(COUNTIFS(allFYsTable[Code], SummaryTable[[#This Row],[Code]], allFYsTable[year2], CG$3)=0, NotFound, SUMIFS(allFYsTable[Actual], allFYsTable[Code], SummaryTable[[#This Row],[Code]], allFYsTable[year2], CG$3))</f>
        <v>#N/A</v>
      </c>
      <c r="CL112" s="61" t="e">
        <f>IF(COUNTIFS(allFYsTable[Code], SummaryTable[[#This Row],[Code]], allFYsTable[year2], CG$3)=0, NotFound, SUMIFS(allFYsTable[DiffAmount], allFYsTable[Code], SummaryTable[[#This Row],[Code]], allFYsTable[year2], CG$3))</f>
        <v>#N/A</v>
      </c>
      <c r="CM112" s="63" t="e">
        <f>IF(SummaryTable[[#This Row],[OriginalBudget17]]=0, IF(SummaryTable[[#This Row],[DiffAmount17]]=0, ZeroBudgetNoSpending, ZeroBudgetWithSpending), SummaryTable[[#This Row],[DiffAmount17]]/SummaryTable[[#This Row],[OriginalBudget17]])</f>
        <v>#N/A</v>
      </c>
      <c r="CN112" s="62" t="e">
        <f>IF(COUNTIFS(allFYsTable[Code], SummaryTable[[#This Row],[Code]], allFYsTable[year2], CN$3)=0, NotFound, SUMIFS(allFYsTable[OriginalBudget], allFYsTable[Code], SummaryTable[[#This Row],[Code]], allFYsTable[year2], CN$3))</f>
        <v>#N/A</v>
      </c>
      <c r="CO112" s="61" t="e">
        <f>SummaryTable[[#This Row],[OriginalBudget16]]-SummaryTable[[#This Row],[OriginalBudget15]]</f>
        <v>#N/A</v>
      </c>
      <c r="CP112" s="54" t="e">
        <f>SummaryTable[[#This Row],[BudgetIncreaseAmount16]]/SummaryTable[[#This Row],[OriginalBudget15]]</f>
        <v>#N/A</v>
      </c>
      <c r="CQ112" s="61" t="e">
        <f>IF(COUNTIFS(allFYsTable[Code], SummaryTable[[#This Row],[Code]], allFYsTable[year2], CN$3)=0, NotFound, SUMIFS(allFYsTable[RevisedBudget], allFYsTable[Code], SummaryTable[[#This Row],[Code]], allFYsTable[year2], CN$3))</f>
        <v>#N/A</v>
      </c>
      <c r="CR112" s="61" t="e">
        <f>IF(COUNTIFS(allFYsTable[Code], SummaryTable[[#This Row],[Code]], allFYsTable[year2], CN$3)=0, NotFound, SUMIFS(allFYsTable[Actual], allFYsTable[Code], SummaryTable[[#This Row],[Code]], allFYsTable[year2], CN$3))</f>
        <v>#N/A</v>
      </c>
      <c r="CS112" s="61" t="e">
        <f>IF(COUNTIFS(allFYsTable[Code], SummaryTable[[#This Row],[Code]], allFYsTable[year2], CN$3)=0, NotFound, SUMIFS(allFYsTable[DiffAmount], allFYsTable[Code], SummaryTable[[#This Row],[Code]], allFYsTable[year2], CN$3))</f>
        <v>#N/A</v>
      </c>
      <c r="CT112" s="63" t="e">
        <f>IF(SummaryTable[[#This Row],[OriginalBudget16]]=0, IF(SummaryTable[[#This Row],[DiffAmount16]]=0, ZeroBudgetNoSpending, ZeroBudgetWithSpending), SummaryTable[[#This Row],[DiffAmount16]]/SummaryTable[[#This Row],[OriginalBudget16]])</f>
        <v>#N/A</v>
      </c>
      <c r="CU112" s="62" t="e">
        <f>IF(COUNTIFS(allFYsTable[Code], SummaryTable[[#This Row],[Code]], allFYsTable[year2], CU$3)=0, NotFound, SUMIFS(allFYsTable[OriginalBudget], allFYsTable[Code], SummaryTable[[#This Row],[Code]], allFYsTable[year2], CU$3))</f>
        <v>#N/A</v>
      </c>
      <c r="CV112" s="61" t="e">
        <f>SummaryTable[[#This Row],[OriginalBudget15]]-SummaryTable[[#This Row],[OriginalBudget14]]</f>
        <v>#N/A</v>
      </c>
      <c r="CW112" s="54" t="e">
        <f>SummaryTable[[#This Row],[BudgetIncreaseAmount15]]/SummaryTable[[#This Row],[OriginalBudget14]]</f>
        <v>#N/A</v>
      </c>
      <c r="CX112" s="61" t="e">
        <f>IF(COUNTIFS(allFYsTable[Code], SummaryTable[[#This Row],[Code]], allFYsTable[year2], CU$3)=0, NotFound, SUMIFS(allFYsTable[RevisedBudget], allFYsTable[Code], SummaryTable[[#This Row],[Code]], allFYsTable[year2], CU$3))</f>
        <v>#N/A</v>
      </c>
      <c r="CY112" s="61" t="e">
        <f>IF(COUNTIFS(allFYsTable[Code], SummaryTable[[#This Row],[Code]], allFYsTable[year2], CU$3)=0, NotFound, SUMIFS(allFYsTable[Actual], allFYsTable[Code], SummaryTable[[#This Row],[Code]], allFYsTable[year2], CU$3))</f>
        <v>#N/A</v>
      </c>
      <c r="CZ112" s="61" t="e">
        <f>IF(COUNTIFS(allFYsTable[Code], SummaryTable[[#This Row],[Code]], allFYsTable[year2], CU$3)=0, NotFound, SUMIFS(allFYsTable[DiffAmount], allFYsTable[Code], SummaryTable[[#This Row],[Code]], allFYsTable[year2], CU$3))</f>
        <v>#N/A</v>
      </c>
      <c r="DA112" s="63" t="e">
        <f>IF(SummaryTable[[#This Row],[OriginalBudget15]]=0, IF(SummaryTable[[#This Row],[DiffAmount15]]=0, ZeroBudgetNoSpending, ZeroBudgetWithSpending), SummaryTable[[#This Row],[DiffAmount15]]/SummaryTable[[#This Row],[OriginalBudget15]])</f>
        <v>#N/A</v>
      </c>
      <c r="DB112" s="62" t="e">
        <f>IF(COUNTIFS(allFYsTable[Code], SummaryTable[[#This Row],[Code]], allFYsTable[year2], DB$3)=0, NotFound, SUMIFS(allFYsTable[OriginalBudget], allFYsTable[Code], SummaryTable[[#This Row],[Code]], allFYsTable[year2], DB$3))</f>
        <v>#N/A</v>
      </c>
      <c r="DC112" s="61" t="e">
        <f>SummaryTable[[#This Row],[OriginalBudget14]]-SummaryTable[[#This Row],[OriginalBudget13]]</f>
        <v>#N/A</v>
      </c>
      <c r="DD112" s="54" t="e">
        <f>SummaryTable[[#This Row],[BudgetIncreaseAmount14]]/SummaryTable[[#This Row],[OriginalBudget13]]</f>
        <v>#N/A</v>
      </c>
      <c r="DE112" s="61" t="e">
        <f>IF(COUNTIFS(allFYsTable[Code], SummaryTable[[#This Row],[Code]], allFYsTable[year2], DB$3)=0, NotFound, SUMIFS(allFYsTable[RevisedBudget], allFYsTable[Code], SummaryTable[[#This Row],[Code]], allFYsTable[year2], DB$3))</f>
        <v>#N/A</v>
      </c>
      <c r="DF112" s="61" t="e">
        <f>IF(COUNTIFS(allFYsTable[Code], SummaryTable[[#This Row],[Code]], allFYsTable[year2], DB$3)=0, NotFound, SUMIFS(allFYsTable[Actual], allFYsTable[Code], SummaryTable[[#This Row],[Code]], allFYsTable[year2], DB$3))</f>
        <v>#N/A</v>
      </c>
      <c r="DG112" s="61" t="e">
        <f>IF(COUNTIFS(allFYsTable[Code], SummaryTable[[#This Row],[Code]], allFYsTable[year2], DB$3)=0, NotFound, SUMIFS(allFYsTable[DiffAmount], allFYsTable[Code], SummaryTable[[#This Row],[Code]], allFYsTable[year2], DB$3))</f>
        <v>#N/A</v>
      </c>
      <c r="DH112" s="63" t="e">
        <f>IF(SummaryTable[[#This Row],[OriginalBudget14]]=0, IF(SummaryTable[[#This Row],[DiffAmount14]]=0, ZeroBudgetNoSpending, ZeroBudgetWithSpending), SummaryTable[[#This Row],[DiffAmount14]]/SummaryTable[[#This Row],[OriginalBudget14]])</f>
        <v>#N/A</v>
      </c>
      <c r="DI112" s="62" t="e">
        <f>IF(COUNTIFS(allFYsTable[Code], SummaryTable[[#This Row],[Code]], allFYsTable[year2], DI$3)=0, NotFound, SUMIFS(allFYsTable[OriginalBudget], allFYsTable[Code], SummaryTable[[#This Row],[Code]], allFYsTable[year2], DI$3))</f>
        <v>#N/A</v>
      </c>
      <c r="DJ112" s="61" t="e">
        <f>SummaryTable[[#This Row],[OriginalBudget13]]-SummaryTable[[#This Row],[OriginalBudget12]]</f>
        <v>#N/A</v>
      </c>
      <c r="DK112" s="54" t="e">
        <f>SummaryTable[[#This Row],[BudgetIncreaseAmount13]]/SummaryTable[[#This Row],[OriginalBudget12]]</f>
        <v>#N/A</v>
      </c>
      <c r="DL112" s="61" t="e">
        <f>IF(COUNTIFS(allFYsTable[Code], SummaryTable[[#This Row],[Code]], allFYsTable[year2], DI$3)=0, NotFound, SUMIFS(allFYsTable[RevisedBudget], allFYsTable[Code], SummaryTable[[#This Row],[Code]], allFYsTable[year2], DI$3))</f>
        <v>#N/A</v>
      </c>
      <c r="DM112" s="61" t="e">
        <f>IF(COUNTIFS(allFYsTable[Code], SummaryTable[[#This Row],[Code]], allFYsTable[year2], DI$3)=0, NotFound, SUMIFS(allFYsTable[Actual], allFYsTable[Code], SummaryTable[[#This Row],[Code]], allFYsTable[year2], DI$3))</f>
        <v>#N/A</v>
      </c>
      <c r="DN112" s="61" t="e">
        <f>IF(COUNTIFS(allFYsTable[Code], SummaryTable[[#This Row],[Code]], allFYsTable[year2], DI$3)=0, NotFound, SUMIFS(allFYsTable[DiffAmount], allFYsTable[Code], SummaryTable[[#This Row],[Code]], allFYsTable[year2], DI$3))</f>
        <v>#N/A</v>
      </c>
      <c r="DO112" s="63" t="e">
        <f>IF(SummaryTable[[#This Row],[OriginalBudget13]]=0, IF(SummaryTable[[#This Row],[DiffAmount13]]=0, ZeroBudgetNoSpending, ZeroBudgetWithSpending), SummaryTable[[#This Row],[DiffAmount13]]/SummaryTable[[#This Row],[OriginalBudget13]])</f>
        <v>#N/A</v>
      </c>
      <c r="DP112" s="62" t="e">
        <f>IF(COUNTIFS(allFYsTable[Code], SummaryTable[[#This Row],[Code]], allFYsTable[year2], DP$3)=0, NotFound, SUMIFS(allFYsTable[OriginalBudget], allFYsTable[Code], SummaryTable[[#This Row],[Code]], allFYsTable[year2], DP$3))</f>
        <v>#N/A</v>
      </c>
      <c r="DQ112" s="61" t="e">
        <f>SummaryTable[[#This Row],[OriginalBudget12]]-SummaryTable[[#This Row],[OriginalBudget11]]</f>
        <v>#N/A</v>
      </c>
      <c r="DR112" s="54" t="e">
        <f>SummaryTable[[#This Row],[BudgetIncreaseAmount12]]/SummaryTable[[#This Row],[OriginalBudget11]]</f>
        <v>#N/A</v>
      </c>
      <c r="DS112" s="61" t="e">
        <f>IF(COUNTIFS(allFYsTable[Code], SummaryTable[[#This Row],[Code]], allFYsTable[year2], DP$3)=0, NotFound, SUMIFS(allFYsTable[RevisedBudget], allFYsTable[Code], SummaryTable[[#This Row],[Code]], allFYsTable[year2], DP$3))</f>
        <v>#N/A</v>
      </c>
      <c r="DT112" s="61" t="e">
        <f>IF(COUNTIFS(allFYsTable[Code], SummaryTable[[#This Row],[Code]], allFYsTable[year2], DP$3)=0, NotFound, SUMIFS(allFYsTable[Actual], allFYsTable[Code], SummaryTable[[#This Row],[Code]], allFYsTable[year2], DP$3))</f>
        <v>#N/A</v>
      </c>
      <c r="DU112" s="61" t="e">
        <f>IF(COUNTIFS(allFYsTable[Code], SummaryTable[[#This Row],[Code]], allFYsTable[year2], DP$3)=0, NotFound, SUMIFS(allFYsTable[DiffAmount], allFYsTable[Code], SummaryTable[[#This Row],[Code]], allFYsTable[year2], DP$3))</f>
        <v>#N/A</v>
      </c>
      <c r="DV112" s="63" t="e">
        <f>IF(SummaryTable[[#This Row],[OriginalBudget12]]=0, IF(SummaryTable[[#This Row],[DiffAmount12]]=0, ZeroBudgetNoSpending, ZeroBudgetWithSpending), SummaryTable[[#This Row],[DiffAmount12]]/SummaryTable[[#This Row],[OriginalBudget12]])</f>
        <v>#N/A</v>
      </c>
      <c r="DW112" s="62" t="e">
        <f>IF(COUNTIFS(allFYsTable[Code], SummaryTable[[#This Row],[Code]], allFYsTable[year2], DW$3)=0, NotFound, SUMIFS(allFYsTable[OriginalBudget], allFYsTable[Code], SummaryTable[[#This Row],[Code]], allFYsTable[year2], DW$3))</f>
        <v>#N/A</v>
      </c>
      <c r="DX112" s="61" t="e">
        <f>SummaryTable[[#This Row],[OriginalBudget11]]-SummaryTable[[#This Row],[OriginalBudget10]]</f>
        <v>#N/A</v>
      </c>
      <c r="DY112" s="54" t="e">
        <f>SummaryTable[[#This Row],[BudgetIncreaseAmount11]]/SummaryTable[[#This Row],[OriginalBudget10]]</f>
        <v>#N/A</v>
      </c>
      <c r="DZ112" s="61" t="e">
        <f>IF(COUNTIFS(allFYsTable[Code], SummaryTable[[#This Row],[Code]], allFYsTable[year2], DW$3)=0, NotFound, SUMIFS(allFYsTable[RevisedBudget], allFYsTable[Code], SummaryTable[[#This Row],[Code]], allFYsTable[year2], DW$3))</f>
        <v>#N/A</v>
      </c>
      <c r="EA112" s="61" t="e">
        <f>IF(COUNTIFS(allFYsTable[Code], SummaryTable[[#This Row],[Code]], allFYsTable[year2], DW$3)=0, NotFound, SUMIFS(allFYsTable[Actual], allFYsTable[Code], SummaryTable[[#This Row],[Code]], allFYsTable[year2], DW$3))</f>
        <v>#N/A</v>
      </c>
      <c r="EB112" s="61" t="e">
        <f>IF(COUNTIFS(allFYsTable[Code], SummaryTable[[#This Row],[Code]], allFYsTable[year2], DW$3)=0, NotFound, SUMIFS(allFYsTable[DiffAmount], allFYsTable[Code], SummaryTable[[#This Row],[Code]], allFYsTable[year2], DW$3))</f>
        <v>#N/A</v>
      </c>
      <c r="EC112" s="63" t="e">
        <f>IF(SummaryTable[[#This Row],[OriginalBudget11]]=0, IF(SummaryTable[[#This Row],[DiffAmount11]]=0, ZeroBudgetNoSpending, ZeroBudgetWithSpending), SummaryTable[[#This Row],[DiffAmount11]]/SummaryTable[[#This Row],[OriginalBudget11]])</f>
        <v>#N/A</v>
      </c>
      <c r="ED112" s="62" t="e">
        <f>IF(COUNTIFS(allFYsTable[Code], SummaryTable[[#This Row],[Code]], allFYsTable[year2], ED$3)=0, NotFound, SUMIFS(allFYsTable[OriginalBudget], allFYsTable[Code], SummaryTable[[#This Row],[Code]], allFYsTable[year2], ED$3))</f>
        <v>#N/A</v>
      </c>
      <c r="EE112" s="61" t="e">
        <f>SummaryTable[[#This Row],[OriginalBudget10]]-SummaryTable[[#This Row],[OriginalBudget09]]</f>
        <v>#N/A</v>
      </c>
      <c r="EF112" s="54" t="e">
        <f>SummaryTable[[#This Row],[BudgetIncreaseAmount10]]/SummaryTable[[#This Row],[OriginalBudget09]]</f>
        <v>#N/A</v>
      </c>
      <c r="EG112" s="61" t="e">
        <f>IF(COUNTIFS(allFYsTable[Code], SummaryTable[[#This Row],[Code]], allFYsTable[year2], ED$3)=0, NotFound, SUMIFS(allFYsTable[RevisedBudget], allFYsTable[Code], SummaryTable[[#This Row],[Code]], allFYsTable[year2], ED$3))</f>
        <v>#N/A</v>
      </c>
      <c r="EH112" s="61" t="e">
        <f>IF(COUNTIFS(allFYsTable[Code], SummaryTable[[#This Row],[Code]], allFYsTable[year2], ED$3)=0, NotFound, SUMIFS(allFYsTable[Actual], allFYsTable[Code], SummaryTable[[#This Row],[Code]], allFYsTable[year2], ED$3))</f>
        <v>#N/A</v>
      </c>
      <c r="EI112" s="61" t="e">
        <f>IF(COUNTIFS(allFYsTable[Code], SummaryTable[[#This Row],[Code]], allFYsTable[year2], ED$3)=0, NotFound, SUMIFS(allFYsTable[DiffAmount], allFYsTable[Code], SummaryTable[[#This Row],[Code]], allFYsTable[year2], ED$3))</f>
        <v>#N/A</v>
      </c>
      <c r="EJ112" s="63" t="e">
        <f>IF(SummaryTable[[#This Row],[OriginalBudget10]]=0, IF(SummaryTable[[#This Row],[DiffAmount10]]=0, ZeroBudgetNoSpending, ZeroBudgetWithSpending), SummaryTable[[#This Row],[DiffAmount10]]/SummaryTable[[#This Row],[OriginalBudget10]])</f>
        <v>#N/A</v>
      </c>
      <c r="EK112" s="62" t="e">
        <f>IF(COUNTIFS(allFYsTable[Code], SummaryTable[[#This Row],[Code]], allFYsTable[year2], EK$3)=0, NotFound, SUMIFS(allFYsTable[OriginalBudget], allFYsTable[Code], SummaryTable[[#This Row],[Code]], allFYsTable[year2], EK$3))</f>
        <v>#N/A</v>
      </c>
      <c r="EL112" s="61" t="e">
        <f>SummaryTable[[#This Row],[OriginalBudget09]]-SummaryTable[[#This Row],[OriginalBudget08]]</f>
        <v>#N/A</v>
      </c>
      <c r="EM112" s="54" t="e">
        <f>SummaryTable[[#This Row],[BudgetIncreaseAmount09]]/SummaryTable[[#This Row],[OriginalBudget08]]</f>
        <v>#N/A</v>
      </c>
      <c r="EN112" s="61" t="e">
        <f>IF(COUNTIFS(allFYsTable[Code], SummaryTable[[#This Row],[Code]], allFYsTable[year2], EK$3)=0, NotFound, SUMIFS(allFYsTable[RevisedBudget], allFYsTable[Code], SummaryTable[[#This Row],[Code]], allFYsTable[year2], EK$3))</f>
        <v>#N/A</v>
      </c>
      <c r="EO112" s="61" t="e">
        <f>IF(COUNTIFS(allFYsTable[Code], SummaryTable[[#This Row],[Code]], allFYsTable[year2], EK$3)=0, NotFound, SUMIFS(allFYsTable[Actual], allFYsTable[Code], SummaryTable[[#This Row],[Code]], allFYsTable[year2], EK$3))</f>
        <v>#N/A</v>
      </c>
      <c r="EP112" s="61" t="e">
        <f>IF(COUNTIFS(allFYsTable[Code], SummaryTable[[#This Row],[Code]], allFYsTable[year2], EK$3)=0, NotFound, SUMIFS(allFYsTable[DiffAmount], allFYsTable[Code], SummaryTable[[#This Row],[Code]], allFYsTable[year2], EK$3))</f>
        <v>#N/A</v>
      </c>
      <c r="EQ112" s="63" t="e">
        <f>IF(SummaryTable[[#This Row],[OriginalBudget09]]=0, IF(SummaryTable[[#This Row],[DiffAmount09]]=0, ZeroBudgetNoSpending, ZeroBudgetWithSpending), SummaryTable[[#This Row],[DiffAmount09]]/SummaryTable[[#This Row],[OriginalBudget09]])</f>
        <v>#N/A</v>
      </c>
      <c r="ER112" s="62" t="e">
        <f>IF(COUNTIFS(allFYsTable[Code], SummaryTable[[#This Row],[Code]], allFYsTable[year2], ER$3)=0, NotFound, SUMIFS(allFYsTable[OriginalBudget], allFYsTable[Code], SummaryTable[[#This Row],[Code]], allFYsTable[year2], ER$3))</f>
        <v>#N/A</v>
      </c>
      <c r="ES112" s="61" t="e">
        <f>SummaryTable[[#This Row],[OriginalBudget08]]-SummaryTable[[#This Row],[OriginalBudget07]]</f>
        <v>#N/A</v>
      </c>
      <c r="ET112" s="54" t="e">
        <f>SummaryTable[[#This Row],[BudgetIncreaseAmount08]]/SummaryTable[[#This Row],[OriginalBudget07]]</f>
        <v>#N/A</v>
      </c>
      <c r="EU112" s="61" t="e">
        <f>IF(COUNTIFS(allFYsTable[Code], SummaryTable[[#This Row],[Code]], allFYsTable[year2], ER$3)=0, NotFound, SUMIFS(allFYsTable[RevisedBudget], allFYsTable[Code], SummaryTable[[#This Row],[Code]], allFYsTable[year2], ER$3))</f>
        <v>#N/A</v>
      </c>
      <c r="EV112" s="61" t="e">
        <f>IF(COUNTIFS(allFYsTable[Code], SummaryTable[[#This Row],[Code]], allFYsTable[year2], ER$3)=0, NotFound, SUMIFS(allFYsTable[Actual], allFYsTable[Code], SummaryTable[[#This Row],[Code]], allFYsTable[year2], ER$3))</f>
        <v>#N/A</v>
      </c>
      <c r="EW112" s="61" t="e">
        <f>IF(COUNTIFS(allFYsTable[Code], SummaryTable[[#This Row],[Code]], allFYsTable[year2], ER$3)=0, NotFound, SUMIFS(allFYsTable[DiffAmount], allFYsTable[Code], SummaryTable[[#This Row],[Code]], allFYsTable[year2], ER$3))</f>
        <v>#N/A</v>
      </c>
      <c r="EX112" s="63" t="e">
        <f>IF(SummaryTable[[#This Row],[OriginalBudget08]]=0, IF(SummaryTable[[#This Row],[DiffAmount08]]=0, ZeroBudgetNoSpending, ZeroBudgetWithSpending), SummaryTable[[#This Row],[DiffAmount08]]/SummaryTable[[#This Row],[OriginalBudget08]])</f>
        <v>#N/A</v>
      </c>
      <c r="EY112" s="62" t="e">
        <f>IF(COUNTIFS(allFYsTable[Code], SummaryTable[[#This Row],[Code]], allFYsTable[year2], EY$3)=0, NotFound, SUMIFS(allFYsTable[OriginalBudget], allFYsTable[Code], SummaryTable[[#This Row],[Code]], allFYsTable[year2], EY$3))</f>
        <v>#N/A</v>
      </c>
      <c r="EZ112" s="61" t="e">
        <f>SummaryTable[[#This Row],[OriginalBudget07]]-SummaryTable[[#This Row],[OriginalBudget06]]</f>
        <v>#N/A</v>
      </c>
      <c r="FA112" s="54" t="e">
        <f>SummaryTable[[#This Row],[BudgetIncreaseAmount07]]/SummaryTable[[#This Row],[OriginalBudget06]]</f>
        <v>#N/A</v>
      </c>
      <c r="FB112" s="61" t="e">
        <f>IF(COUNTIFS(allFYsTable[Code], SummaryTable[[#This Row],[Code]], allFYsTable[year2], EY$3)=0, NotFound, SUMIFS(allFYsTable[RevisedBudget], allFYsTable[Code], SummaryTable[[#This Row],[Code]], allFYsTable[year2], EY$3))</f>
        <v>#N/A</v>
      </c>
      <c r="FC112" s="61" t="e">
        <f>IF(COUNTIFS(allFYsTable[Code], SummaryTable[[#This Row],[Code]], allFYsTable[year2], EY$3)=0, NotFound, SUMIFS(allFYsTable[Actual], allFYsTable[Code], SummaryTable[[#This Row],[Code]], allFYsTable[year2], EY$3))</f>
        <v>#N/A</v>
      </c>
      <c r="FD112" s="61" t="e">
        <f>IF(COUNTIFS(allFYsTable[Code], SummaryTable[[#This Row],[Code]], allFYsTable[year2], EY$3)=0, NotFound, SUMIFS(allFYsTable[DiffAmount], allFYsTable[Code], SummaryTable[[#This Row],[Code]], allFYsTable[year2], EY$3))</f>
        <v>#N/A</v>
      </c>
      <c r="FE112" s="63" t="e">
        <f>IF(SummaryTable[[#This Row],[OriginalBudget07]]=0, IF(SummaryTable[[#This Row],[DiffAmount07]]=0, ZeroBudgetNoSpending, ZeroBudgetWithSpending), SummaryTable[[#This Row],[DiffAmount07]]/SummaryTable[[#This Row],[OriginalBudget07]])</f>
        <v>#N/A</v>
      </c>
      <c r="FF112" s="62" t="e">
        <f>IF(COUNTIFS(allFYsTable[Code], SummaryTable[[#This Row],[Code]], allFYsTable[year2], FF$3)=0, NotFound, SUMIFS(allFYsTable[OriginalBudget], allFYsTable[Code], SummaryTable[[#This Row],[Code]], allFYsTable[year2], FF$3))</f>
        <v>#N/A</v>
      </c>
      <c r="FI112" s="61" t="e">
        <f>IF(COUNTIFS(allFYsTable[Code], SummaryTable[[#This Row],[Code]], allFYsTable[year2], FF$3)=0, NotFound, SUMIFS(allFYsTable[RevisedBudget], allFYsTable[Code], SummaryTable[[#This Row],[Code]], allFYsTable[year2], FF$3))</f>
        <v>#N/A</v>
      </c>
      <c r="FJ112" s="61" t="e">
        <f>IF(COUNTIFS(allFYsTable[Code], SummaryTable[[#This Row],[Code]], allFYsTable[year2], FF$3)=0, NotFound, SUMIFS(allFYsTable[Actual], allFYsTable[Code], SummaryTable[[#This Row],[Code]], allFYsTable[year2], FF$3))</f>
        <v>#N/A</v>
      </c>
      <c r="FK112" s="61" t="e">
        <f>IF(COUNTIFS(allFYsTable[Code], SummaryTable[[#This Row],[Code]], allFYsTable[year2], FF$3)=0, NotFound, SUMIFS(allFYsTable[DiffAmount], allFYsTable[Code], SummaryTable[[#This Row],[Code]], allFYsTable[year2], FF$3))</f>
        <v>#N/A</v>
      </c>
      <c r="FL112" s="63" t="e">
        <f>IF(SummaryTable[[#This Row],[OriginalBudget06]]=0, IF(SummaryTable[[#This Row],[DiffAmount06]]=0, ZeroBudgetNoSpending, ZeroBudgetWithSpending), SummaryTable[[#This Row],[DiffAmount06]]/SummaryTable[[#This Row],[OriginalBudget06]])</f>
        <v>#N/A</v>
      </c>
    </row>
    <row r="113" spans="1:168" x14ac:dyDescent="0.45">
      <c r="A113" t="s">
        <v>816</v>
      </c>
      <c r="B113">
        <f>_xlfn.MAXIFS(allFYsTable[year2], allFYsTable[Code], SummaryTable[[#This Row],[Code]])</f>
        <v>2025</v>
      </c>
      <c r="C113" t="str">
        <f>_xlfn.XLOOKUP(SummaryTable[[#This Row],[Code]], NameCodingTable[Code], NameCodingTable[Most Recent Category per allFYs])</f>
        <v>Transfer out</v>
      </c>
      <c r="D113" t="str">
        <f>_xlfn.XLOOKUP(SummaryTable[[#This Row],[Code]], NameCodingTable[Code], NameCodingTable[Unit Display Name])</f>
        <v>Pay-as-you-go Capital Fund</v>
      </c>
      <c r="E113" t="str">
        <f>_xlfn.XLOOKUP(SummaryTable[[#This Row],[Code]], NameCodingTable[Code], NameCodingTable[Type])</f>
        <v>xother</v>
      </c>
      <c r="F11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1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17</v>
      </c>
      <c r="H113" s="54">
        <f>SummaryTable[[#This Row],['# Over]]/SummaryTable[[#This Row],[Count]]</f>
        <v>0.85</v>
      </c>
      <c r="I11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3</v>
      </c>
      <c r="J113" s="54">
        <f>SummaryTable[[#This Row],['# Under]]/SummaryTable[[#This Row],[Count]]</f>
        <v>0.15</v>
      </c>
      <c r="K11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13" s="54">
        <f>SummaryTable[[#This Row],['# Equal]]/SummaryTable[[#This Row],[Count]]</f>
        <v>0</v>
      </c>
      <c r="M113" s="61">
        <f>SUMIFS(allFYsTable[OriginalBudget],allFYsTable[Code],SummaryTable[[#This Row],[Code]])/SummaryTable[[#This Row],[Count]]</f>
        <v>115957.6</v>
      </c>
      <c r="N113" s="61">
        <f>SUMIFS(allFYsTable[Actual],allFYsTable[Code],SummaryTable[[#This Row],[Code]])/SummaryTable[[#This Row],[Count]]</f>
        <v>130105.15</v>
      </c>
      <c r="O113" s="61">
        <f>SummaryTable[[#This Row],[AvgActAmt]]-SummaryTable[[#This Row],[AvgBudAmt]]</f>
        <v>14147.549999999988</v>
      </c>
      <c r="P113" s="54">
        <f>IF(SummaryTable[[#This Row],[AvgBudAmt]]=0, IF(SummaryTable[[#This Row],[AvgDiff'#]]=0, 0, NamedFields!$C$3), SummaryTable[[#This Row],[AvgDiff'#]]/SummaryTable[[#This Row],[AvgBudAmt]])</f>
        <v>0.12200623331286597</v>
      </c>
      <c r="Q113" s="61">
        <f>IFERROR(SUMIFS(allFYsTable[OriginalBudget],allFYsTable[Code],SummaryTable[[#This Row],[Code]],allFYsTable[DiffAmount], "&gt;0")/SummaryTable[[#This Row],['# Over]], 0)</f>
        <v>106741.88235294117</v>
      </c>
      <c r="R113" s="61">
        <f>IFERROR(SUMIFS(allFYsTable[Actual],allFYsTable[Code],SummaryTable[[#This Row],[Code]],allFYsTable[DiffAmount], "&gt;0")/SummaryTable[[#This Row],['# Over]], 0)</f>
        <v>135548.17647058822</v>
      </c>
      <c r="S113" s="61">
        <f>SummaryTable[[#This Row],[OverAvgAct]]-SummaryTable[[#This Row],[OverAvgBud]]</f>
        <v>28806.294117647049</v>
      </c>
      <c r="T113" s="54">
        <f>IF(SummaryTable[[#This Row],[OverAvgBud]]=0, IF(SummaryTable[[#This Row],[OverAvgDiff'#]]=0, ZeroBudgetNoSpending, ZeroBudgetWithSpending), SummaryTable[[#This Row],[OverAvgDiff'#]]/SummaryTable[[#This Row],[OverAvgBud]])</f>
        <v>0.26986871022565695</v>
      </c>
      <c r="U113" s="61">
        <f>IFERROR(SUMIFS(allFYsTable[OriginalBudget],allFYsTable[Code],SummaryTable[[#This Row],[Code]],allFYsTable[DiffAmount], "&lt;0")/SummaryTable[[#This Row],['# Under]], 0)</f>
        <v>168180</v>
      </c>
      <c r="V113" s="61">
        <f>IFERROR( SUMIFS(allFYsTable[Actual],allFYsTable[Code],SummaryTable[[#This Row],[Code]],allFYsTable[DiffAmount], "&lt;0")/SummaryTable[[#This Row],['# Under]], 0)</f>
        <v>99261.333333333328</v>
      </c>
      <c r="W113" s="61">
        <f>SummaryTable[[#This Row],[UnderAvgAct]]-SummaryTable[[#This Row],[UnderAvgBud]]</f>
        <v>-68918.666666666672</v>
      </c>
      <c r="X113" s="54">
        <f>IF(SummaryTable[[#This Row],[UnderAvgBud]]=0, IF(SummaryTable[[#This Row],[UnderAvgDiff'#]]=0, ZeroBudgetNoSpending, NamedFields!$C$3), SummaryTable[[#This Row],[UnderAvgDiff'#]]/SummaryTable[[#This Row],[UnderAvgBud]])</f>
        <v>-0.4097910968406866</v>
      </c>
      <c r="Y11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9</v>
      </c>
      <c r="Z11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5</v>
      </c>
      <c r="AA113" s="54">
        <f>IF(SummaryTable[[#This Row],[IncreaseYears]]=0, ZeroBudgetNoSpending, SummaryTable[[#This Row],[OSinIncreaseYear'#]]/SummaryTable[[#This Row],[IncreaseYears]])</f>
        <v>0.55555555555555558</v>
      </c>
      <c r="AB113" s="58" t="str">
        <f>SummaryTable[[#This Row],[Code]]</f>
        <v>PA0</v>
      </c>
      <c r="AC113" s="62">
        <f>IF(COUNTIFS(allFYsTable[Code], SummaryTable[[#This Row],[Code]], allFYsTable[year2], AC$3)=0, NotFound, SUMIFS(allFYsTable[OriginalBudget], allFYsTable[Code], SummaryTable[[#This Row],[Code]], allFYsTable[year2], AC$3))</f>
        <v>204851</v>
      </c>
      <c r="AD113" s="61">
        <f>SummaryTable[[#This Row],[OriginalBudget25]]-SummaryTable[[#This Row],[OriginalBudget24]]</f>
        <v>-92540</v>
      </c>
      <c r="AE113" s="54">
        <f>SummaryTable[[#This Row],[BudgetIncreaseAmount25]]/SummaryTable[[#This Row],[OriginalBudget24]]</f>
        <v>-0.31117283307161281</v>
      </c>
      <c r="AF113" s="61">
        <f>IF(COUNTIFS(allFYsTable[Code], SummaryTable[[#This Row],[Code]], allFYsTable[year2], AC$3)=0, NotFound, SUMIFS(allFYsTable[RevisedBudget], allFYsTable[Code], SummaryTable[[#This Row],[Code]], allFYsTable[year2], AC$3))</f>
        <v>208751</v>
      </c>
      <c r="AG113" s="61">
        <f>IF(COUNTIFS(allFYsTable[Code], SummaryTable[[#This Row],[Code]], allFYsTable[year2], AC$3)=0, NotFound, SUMIFS(allFYsTable[Actual], allFYsTable[Code], SummaryTable[[#This Row],[Code]], allFYsTable[year2], AC$3))</f>
        <v>208751</v>
      </c>
      <c r="AH113" s="61">
        <f>IF(COUNTIFS(allFYsTable[Code], SummaryTable[[#This Row],[Code]], allFYsTable[year2], AC$3)=0, NotFound, SUMIFS(allFYsTable[DiffAmount], allFYsTable[Code], SummaryTable[[#This Row],[Code]], allFYsTable[year2], AC$3))</f>
        <v>3900</v>
      </c>
      <c r="AI113" s="63">
        <f>IF(SummaryTable[[#This Row],[OriginalBudget25]]=0, IF(SummaryTable[[#This Row],[DiffAmount25]]=0, ZeroBudgetNoSpending, ZeroBudgetWithSpending), SummaryTable[[#This Row],[DiffAmount25]]/SummaryTable[[#This Row],[OriginalBudget25]])</f>
        <v>1.9038227785073053E-2</v>
      </c>
      <c r="AJ113" s="62">
        <f>IF(COUNTIFS(allFYsTable[Code], SummaryTable[[#This Row],[Code]], allFYsTable[year2], AJ$3)=0, NotFound, SUMIFS(allFYsTable[OriginalBudget], allFYsTable[Code], SummaryTable[[#This Row],[Code]], allFYsTable[year2], AJ$3))</f>
        <v>297391</v>
      </c>
      <c r="AK113" s="61">
        <f>SummaryTable[[#This Row],[OriginalBudget24]]-SummaryTable[[#This Row],[OriginalBudget23]]</f>
        <v>-84138</v>
      </c>
      <c r="AL113" s="54">
        <f>SummaryTable[[#This Row],[BudgetIncreaseAmount24]]/SummaryTable[[#This Row],[OriginalBudget23]]</f>
        <v>-0.22052845262090168</v>
      </c>
      <c r="AM113" s="61">
        <f>IF(COUNTIFS(allFYsTable[Code], SummaryTable[[#This Row],[Code]], allFYsTable[year2], AK$3)=0, NotFound, SUMIFS(allFYsTable[RevisedBudget], allFYsTable[Code], SummaryTable[[#This Row],[Code]], allFYsTable[year2], AJ$3))</f>
        <v>206779</v>
      </c>
      <c r="AN113" s="61">
        <f>IF(COUNTIFS(allFYsTable[Code], SummaryTable[[#This Row],[Code]], allFYsTable[year2], AJ$3)=0, NotFound, SUMIFS(allFYsTable[Actual], allFYsTable[Code], SummaryTable[[#This Row],[Code]], allFYsTable[year2], AJ$3))</f>
        <v>206779</v>
      </c>
      <c r="AO113" s="61">
        <f>IF(COUNTIFS(allFYsTable[Code], SummaryTable[[#This Row],[Code]], allFYsTable[year2], AJ$3)=0, NotFound, SUMIFS(allFYsTable[DiffAmount], allFYsTable[Code], SummaryTable[[#This Row],[Code]], allFYsTable[year2], AJ$3))</f>
        <v>-90612</v>
      </c>
      <c r="AP113" s="63">
        <f>IF(SummaryTable[[#This Row],[OriginalBudget24]]=0, IF(SummaryTable[[#This Row],[DiffAmount24]]=0, ZeroBudgetNoSpending, ZeroBudgetWithSpending), SummaryTable[[#This Row],[DiffAmount24]]/SummaryTable[[#This Row],[OriginalBudget24]])</f>
        <v>-0.30468978550124248</v>
      </c>
      <c r="AQ113" s="62">
        <f>IF(COUNTIFS(allFYsTable[Code], SummaryTable[[#This Row],[Code]], allFYsTable[year2], AQ$3)=0, NotFound, SUMIFS(allFYsTable[OriginalBudget], allFYsTable[Code], SummaryTable[[#This Row],[Code]], allFYsTable[year2], AQ$3))</f>
        <v>381529</v>
      </c>
      <c r="AR113" s="61">
        <f>SummaryTable[[#This Row],[OriginalBudget23]]-SummaryTable[[#This Row],[OriginalBudget22]]</f>
        <v>139764</v>
      </c>
      <c r="AS113" s="54">
        <f>SummaryTable[[#This Row],[BudgetIncreaseAmount23]]/SummaryTable[[#This Row],[OriginalBudget22]]</f>
        <v>0.57809856679006477</v>
      </c>
      <c r="AT113" s="61">
        <f>IF(COUNTIFS(allFYsTable[Code], SummaryTable[[#This Row],[Code]], allFYsTable[year2], AQ$3)=0, NotFound, SUMIFS(allFYsTable[RevisedBudget], allFYsTable[Code], SummaryTable[[#This Row],[Code]], allFYsTable[year2], AQ$3))</f>
        <v>395228</v>
      </c>
      <c r="AU113" s="61">
        <f>IF(COUNTIFS(allFYsTable[Code], SummaryTable[[#This Row],[Code]], allFYsTable[year2], AQ$3)=0, NotFound, SUMIFS(allFYsTable[Actual], allFYsTable[Code], SummaryTable[[#This Row],[Code]], allFYsTable[year2], AQ$3))</f>
        <v>395228</v>
      </c>
      <c r="AV113" s="61">
        <f>IF(COUNTIFS(allFYsTable[Code], SummaryTable[[#This Row],[Code]], allFYsTable[year2], AQ$3)=0, NotFound, SUMIFS(allFYsTable[DiffAmount], allFYsTable[Code], SummaryTable[[#This Row],[Code]], allFYsTable[year2], AQ$3))</f>
        <v>13699</v>
      </c>
      <c r="AW113" s="63">
        <f>IF(SummaryTable[[#This Row],[OriginalBudget23]]=0, IF(SummaryTable[[#This Row],[DiffAmount23]]=0, ZeroBudgetNoSpending, ZeroBudgetWithSpending), SummaryTable[[#This Row],[DiffAmount23]]/SummaryTable[[#This Row],[OriginalBudget23]])</f>
        <v>3.5905527495943952E-2</v>
      </c>
      <c r="AX113" s="62">
        <f>IF(COUNTIFS(allFYsTable[Code], SummaryTable[[#This Row],[Code]], allFYsTable[year2], AX$3)=0, NotFound, SUMIFS(allFYsTable[OriginalBudget], allFYsTable[Code], SummaryTable[[#This Row],[Code]], allFYsTable[year2], AX$3))</f>
        <v>241765</v>
      </c>
      <c r="AY113" s="61">
        <f>SummaryTable[[#This Row],[OriginalBudget22]]-SummaryTable[[#This Row],[OriginalBudget21]]</f>
        <v>42910</v>
      </c>
      <c r="AZ113" s="54">
        <f>SummaryTable[[#This Row],[BudgetIncreaseAmount22]]/SummaryTable[[#This Row],[OriginalBudget21]]</f>
        <v>0.21578537125040859</v>
      </c>
      <c r="BA113" s="61">
        <f>IF(COUNTIFS(allFYsTable[Code], SummaryTable[[#This Row],[Code]], allFYsTable[year2], AX$3)=0, NotFound, SUMIFS(allFYsTable[RevisedBudget], allFYsTable[Code], SummaryTable[[#This Row],[Code]], allFYsTable[year2], AX$3))</f>
        <v>281063</v>
      </c>
      <c r="BB113" s="61">
        <f>IF(COUNTIFS(allFYsTable[Code], SummaryTable[[#This Row],[Code]], allFYsTable[year2], AX$3)=0, NotFound, SUMIFS(allFYsTable[Actual], allFYsTable[Code], SummaryTable[[#This Row],[Code]], allFYsTable[year2], AX$3))</f>
        <v>281063</v>
      </c>
      <c r="BC113" s="61">
        <f>IF(COUNTIFS(allFYsTable[Code], SummaryTable[[#This Row],[Code]], allFYsTable[year2], AX$3)=0, NotFound, SUMIFS(allFYsTable[DiffAmount], allFYsTable[Code], SummaryTable[[#This Row],[Code]], allFYsTable[year2], AX$3))</f>
        <v>39298</v>
      </c>
      <c r="BD113" s="63">
        <f>IF(SummaryTable[[#This Row],[OriginalBudget22]]=0, IF(SummaryTable[[#This Row],[DiffAmount22]]=0, ZeroBudgetNoSpending, ZeroBudgetWithSpending), SummaryTable[[#This Row],[DiffAmount22]]/SummaryTable[[#This Row],[OriginalBudget22]])</f>
        <v>0.1625462742746055</v>
      </c>
      <c r="BE113" s="62">
        <f>IF(COUNTIFS(allFYsTable[Code], SummaryTable[[#This Row],[Code]], allFYsTable[year2], BE$3)=0, NotFound, SUMIFS(allFYsTable[OriginalBudget], allFYsTable[Code], SummaryTable[[#This Row],[Code]], allFYsTable[year2], BE$3))</f>
        <v>198855</v>
      </c>
      <c r="BF113" s="61">
        <f>SummaryTable[[#This Row],[OriginalBudget21]]-SummaryTable[[#This Row],[OriginalBudget20]]</f>
        <v>-4390</v>
      </c>
      <c r="BG113" s="54">
        <f>SummaryTable[[#This Row],[BudgetIncreaseAmount21]]/SummaryTable[[#This Row],[OriginalBudget20]]</f>
        <v>-2.1599547344338114E-2</v>
      </c>
      <c r="BH113" s="61">
        <f>IF(COUNTIFS(allFYsTable[Code], SummaryTable[[#This Row],[Code]], allFYsTable[year2], BE$3)=0, NotFound, SUMIFS(allFYsTable[RevisedBudget], allFYsTable[Code], SummaryTable[[#This Row],[Code]], allFYsTable[year2], BE$3))</f>
        <v>212215</v>
      </c>
      <c r="BI113" s="61">
        <f>IF(COUNTIFS(allFYsTable[Code], SummaryTable[[#This Row],[Code]], allFYsTable[year2], BE$3)=0, NotFound, SUMIFS(allFYsTable[Actual], allFYsTable[Code], SummaryTable[[#This Row],[Code]], allFYsTable[year2], BE$3))</f>
        <v>212215</v>
      </c>
      <c r="BJ113" s="61">
        <f>IF(COUNTIFS(allFYsTable[Code], SummaryTable[[#This Row],[Code]], allFYsTable[year2], BE$3)=0, NotFound, SUMIFS(allFYsTable[DiffAmount], allFYsTable[Code], SummaryTable[[#This Row],[Code]], allFYsTable[year2], BE$3))</f>
        <v>13360</v>
      </c>
      <c r="BK113" s="63">
        <f>IF(SummaryTable[[#This Row],[OriginalBudget21]]=0, IF(SummaryTable[[#This Row],[DiffAmount21]]=0, ZeroBudgetNoSpending, ZeroBudgetWithSpending), SummaryTable[[#This Row],[DiffAmount21]]/SummaryTable[[#This Row],[OriginalBudget21]])</f>
        <v>6.7184632018304796E-2</v>
      </c>
      <c r="BL113" s="62">
        <f>IF(COUNTIFS(allFYsTable[Code], SummaryTable[[#This Row],[Code]], allFYsTable[year2], BL$3)=0, NotFound, SUMIFS(allFYsTable[OriginalBudget], allFYsTable[Code], SummaryTable[[#This Row],[Code]], allFYsTable[year2], BL$3))</f>
        <v>203245</v>
      </c>
      <c r="BM113" s="61">
        <f>SummaryTable[[#This Row],[OriginalBudget20]]-SummaryTable[[#This Row],[OriginalBudget19]]</f>
        <v>198824</v>
      </c>
      <c r="BN113" s="54">
        <f>SummaryTable[[#This Row],[BudgetIncreaseAmount20]]/SummaryTable[[#This Row],[OriginalBudget19]]</f>
        <v>44.97263062655508</v>
      </c>
      <c r="BO113" s="61">
        <f>IF(COUNTIFS(allFYsTable[Code], SummaryTable[[#This Row],[Code]], allFYsTable[year2], BL$3)=0, NotFound, SUMIFS(allFYsTable[RevisedBudget], allFYsTable[Code], SummaryTable[[#This Row],[Code]], allFYsTable[year2], BL$3))</f>
        <v>204445</v>
      </c>
      <c r="BP113" s="61">
        <f>IF(COUNTIFS(allFYsTable[Code], SummaryTable[[#This Row],[Code]], allFYsTable[year2], BL$3)=0, NotFound, SUMIFS(allFYsTable[Actual], allFYsTable[Code], SummaryTable[[#This Row],[Code]], allFYsTable[year2], BL$3))</f>
        <v>204445</v>
      </c>
      <c r="BQ113" s="61">
        <f>IF(COUNTIFS(allFYsTable[Code], SummaryTable[[#This Row],[Code]], allFYsTable[year2], BL$3)=0, NotFound, SUMIFS(allFYsTable[DiffAmount], allFYsTable[Code], SummaryTable[[#This Row],[Code]], allFYsTable[year2], BL$3))</f>
        <v>1200</v>
      </c>
      <c r="BR113" s="63">
        <f>IF(SummaryTable[[#This Row],[OriginalBudget20]]=0, IF(SummaryTable[[#This Row],[DiffAmount20]]=0, ZeroBudgetNoSpending, ZeroBudgetWithSpending), SummaryTable[[#This Row],[DiffAmount20]]/SummaryTable[[#This Row],[OriginalBudget20]])</f>
        <v>5.9042042854682772E-3</v>
      </c>
      <c r="BS113" s="62">
        <f>IF(COUNTIFS(allFYsTable[Code], SummaryTable[[#This Row],[Code]], allFYsTable[year2], BS$3)=0, NotFound, SUMIFS(allFYsTable[OriginalBudget], allFYsTable[Code], SummaryTable[[#This Row],[Code]], allFYsTable[year2], BS$3))</f>
        <v>4421</v>
      </c>
      <c r="BT113" s="61">
        <f>SummaryTable[[#This Row],[OriginalBudget19]]-SummaryTable[[#This Row],[OriginalBudget18]]</f>
        <v>-79714</v>
      </c>
      <c r="BU113" s="54">
        <f>SummaryTable[[#This Row],[BudgetIncreaseAmount19]]/SummaryTable[[#This Row],[OriginalBudget18]]</f>
        <v>-0.94745349735544071</v>
      </c>
      <c r="BV113" s="61">
        <f>IF(COUNTIFS(allFYsTable[Code], SummaryTable[[#This Row],[Code]], allFYsTable[year2], BS$3)=0, NotFound, SUMIFS(allFYsTable[RevisedBudget], allFYsTable[Code], SummaryTable[[#This Row],[Code]], allFYsTable[year2], BS$3))</f>
        <v>68238</v>
      </c>
      <c r="BW113" s="61">
        <f>IF(COUNTIFS(allFYsTable[Code], SummaryTable[[#This Row],[Code]], allFYsTable[year2], BS$3)=0, NotFound, SUMIFS(allFYsTable[Actual], allFYsTable[Code], SummaryTable[[#This Row],[Code]], allFYsTable[year2], BS$3))</f>
        <v>68238</v>
      </c>
      <c r="BX113" s="61">
        <f>IF(COUNTIFS(allFYsTable[Code], SummaryTable[[#This Row],[Code]], allFYsTable[year2], BS$3)=0, NotFound, SUMIFS(allFYsTable[DiffAmount], allFYsTable[Code], SummaryTable[[#This Row],[Code]], allFYsTable[year2], BS$3))</f>
        <v>63817</v>
      </c>
      <c r="BY113" s="63">
        <f>IF(SummaryTable[[#This Row],[OriginalBudget19]]=0, IF(SummaryTable[[#This Row],[DiffAmount19]]=0, ZeroBudgetNoSpending, ZeroBudgetWithSpending), SummaryTable[[#This Row],[DiffAmount19]]/SummaryTable[[#This Row],[OriginalBudget19]])</f>
        <v>14.43496946392219</v>
      </c>
      <c r="BZ113" s="62">
        <f>IF(COUNTIFS(allFYsTable[Code], SummaryTable[[#This Row],[Code]], allFYsTable[year2], BZ$3)=0, NotFound, SUMIFS(allFYsTable[OriginalBudget], allFYsTable[Code], SummaryTable[[#This Row],[Code]], allFYsTable[year2], BZ$3))</f>
        <v>84135</v>
      </c>
      <c r="CA113" s="61">
        <f>SummaryTable[[#This Row],[OriginalBudget18]]-SummaryTable[[#This Row],[OriginalBudget17]]</f>
        <v>17521</v>
      </c>
      <c r="CB113" s="54">
        <f>SummaryTable[[#This Row],[BudgetIncreaseAmount18]]/SummaryTable[[#This Row],[OriginalBudget17]]</f>
        <v>0.26302278800252199</v>
      </c>
      <c r="CC113" s="61">
        <f>IF(COUNTIFS(allFYsTable[Code], SummaryTable[[#This Row],[Code]], allFYsTable[year2], BZ$3)=0, NotFound, SUMIFS(allFYsTable[RevisedBudget], allFYsTable[Code], SummaryTable[[#This Row],[Code]], allFYsTable[year2], BZ$3))</f>
        <v>76257</v>
      </c>
      <c r="CD113" s="61">
        <f>IF(COUNTIFS(allFYsTable[Code], SummaryTable[[#This Row],[Code]], allFYsTable[year2], BZ$3)=0, NotFound, SUMIFS(allFYsTable[Actual], allFYsTable[Code], SummaryTable[[#This Row],[Code]], allFYsTable[year2], BZ$3))</f>
        <v>76257</v>
      </c>
      <c r="CE113" s="61">
        <f>IF(COUNTIFS(allFYsTable[Code], SummaryTable[[#This Row],[Code]], allFYsTable[year2], BZ$3)=0, NotFound, SUMIFS(allFYsTable[DiffAmount], allFYsTable[Code], SummaryTable[[#This Row],[Code]], allFYsTable[year2], BZ$3))</f>
        <v>-7878</v>
      </c>
      <c r="CF113" s="63">
        <f>IF(SummaryTable[[#This Row],[OriginalBudget18]]=0, IF(SummaryTable[[#This Row],[DiffAmount18]]=0, ZeroBudgetNoSpending, ZeroBudgetWithSpending), SummaryTable[[#This Row],[DiffAmount18]]/SummaryTable[[#This Row],[OriginalBudget18]])</f>
        <v>-9.3635229096095562E-2</v>
      </c>
      <c r="CG113" s="62">
        <f>IF(COUNTIFS(allFYsTable[Code], SummaryTable[[#This Row],[Code]], allFYsTable[year2], CG$3)=0, NotFound, SUMIFS(allFYsTable[OriginalBudget], allFYsTable[Code], SummaryTable[[#This Row],[Code]], allFYsTable[year2], CG$3))</f>
        <v>66614</v>
      </c>
      <c r="CH113" s="61">
        <f>SummaryTable[[#This Row],[OriginalBudget17]]-SummaryTable[[#This Row],[OriginalBudget16]]</f>
        <v>45165</v>
      </c>
      <c r="CI113" s="54">
        <f>SummaryTable[[#This Row],[BudgetIncreaseAmount17]]/SummaryTable[[#This Row],[OriginalBudget16]]</f>
        <v>2.1056925730803302</v>
      </c>
      <c r="CJ113" s="61">
        <f>IF(COUNTIFS(allFYsTable[Code], SummaryTable[[#This Row],[Code]], allFYsTable[year2], CG$3)=0, NotFound, SUMIFS(allFYsTable[RevisedBudget], allFYsTable[Code], SummaryTable[[#This Row],[Code]], allFYsTable[year2], CG$3))</f>
        <v>76410</v>
      </c>
      <c r="CK113" s="61">
        <f>IF(COUNTIFS(allFYsTable[Code], SummaryTable[[#This Row],[Code]], allFYsTable[year2], CG$3)=0, NotFound, SUMIFS(allFYsTable[Actual], allFYsTable[Code], SummaryTable[[#This Row],[Code]], allFYsTable[year2], CG$3))</f>
        <v>76410</v>
      </c>
      <c r="CL113" s="61">
        <f>IF(COUNTIFS(allFYsTable[Code], SummaryTable[[#This Row],[Code]], allFYsTable[year2], CG$3)=0, NotFound, SUMIFS(allFYsTable[DiffAmount], allFYsTable[Code], SummaryTable[[#This Row],[Code]], allFYsTable[year2], CG$3))</f>
        <v>9796</v>
      </c>
      <c r="CM113" s="63">
        <f>IF(SummaryTable[[#This Row],[OriginalBudget17]]=0, IF(SummaryTable[[#This Row],[DiffAmount17]]=0, ZeroBudgetNoSpending, ZeroBudgetWithSpending), SummaryTable[[#This Row],[DiffAmount17]]/SummaryTable[[#This Row],[OriginalBudget17]])</f>
        <v>0.14705617437775842</v>
      </c>
      <c r="CN113" s="62">
        <f>IF(COUNTIFS(allFYsTable[Code], SummaryTable[[#This Row],[Code]], allFYsTable[year2], CN$3)=0, NotFound, SUMIFS(allFYsTable[OriginalBudget], allFYsTable[Code], SummaryTable[[#This Row],[Code]], allFYsTable[year2], CN$3))</f>
        <v>21449</v>
      </c>
      <c r="CO113" s="61">
        <f>SummaryTable[[#This Row],[OriginalBudget16]]-SummaryTable[[#This Row],[OriginalBudget15]]</f>
        <v>16249</v>
      </c>
      <c r="CP113" s="54">
        <f>SummaryTable[[#This Row],[BudgetIncreaseAmount16]]/SummaryTable[[#This Row],[OriginalBudget15]]</f>
        <v>3.1248076923076922</v>
      </c>
      <c r="CQ113" s="61">
        <f>IF(COUNTIFS(allFYsTable[Code], SummaryTable[[#This Row],[Code]], allFYsTable[year2], CN$3)=0, NotFound, SUMIFS(allFYsTable[RevisedBudget], allFYsTable[Code], SummaryTable[[#This Row],[Code]], allFYsTable[year2], CN$3))</f>
        <v>88043</v>
      </c>
      <c r="CR113" s="61">
        <f>IF(COUNTIFS(allFYsTable[Code], SummaryTable[[#This Row],[Code]], allFYsTable[year2], CN$3)=0, NotFound, SUMIFS(allFYsTable[Actual], allFYsTable[Code], SummaryTable[[#This Row],[Code]], allFYsTable[year2], CN$3))</f>
        <v>88043</v>
      </c>
      <c r="CS113" s="61">
        <f>IF(COUNTIFS(allFYsTable[Code], SummaryTable[[#This Row],[Code]], allFYsTable[year2], CN$3)=0, NotFound, SUMIFS(allFYsTable[DiffAmount], allFYsTable[Code], SummaryTable[[#This Row],[Code]], allFYsTable[year2], CN$3))</f>
        <v>66594</v>
      </c>
      <c r="CT113" s="63">
        <f>IF(SummaryTable[[#This Row],[OriginalBudget16]]=0, IF(SummaryTable[[#This Row],[DiffAmount16]]=0, ZeroBudgetNoSpending, ZeroBudgetWithSpending), SummaryTable[[#This Row],[DiffAmount16]]/SummaryTable[[#This Row],[OriginalBudget16]])</f>
        <v>3.1047601286773276</v>
      </c>
      <c r="CU113" s="62">
        <f>IF(COUNTIFS(allFYsTable[Code], SummaryTable[[#This Row],[Code]], allFYsTable[year2], CU$3)=0, NotFound, SUMIFS(allFYsTable[OriginalBudget], allFYsTable[Code], SummaryTable[[#This Row],[Code]], allFYsTable[year2], CU$3))</f>
        <v>5200</v>
      </c>
      <c r="CV113" s="61">
        <f>SummaryTable[[#This Row],[OriginalBudget15]]-SummaryTable[[#This Row],[OriginalBudget14]]</f>
        <v>-13660</v>
      </c>
      <c r="CW113" s="54">
        <f>SummaryTable[[#This Row],[BudgetIncreaseAmount15]]/SummaryTable[[#This Row],[OriginalBudget14]]</f>
        <v>-0.72428419936373278</v>
      </c>
      <c r="CX113" s="61">
        <f>IF(COUNTIFS(allFYsTable[Code], SummaryTable[[#This Row],[Code]], allFYsTable[year2], CU$3)=0, NotFound, SUMIFS(allFYsTable[RevisedBudget], allFYsTable[Code], SummaryTable[[#This Row],[Code]], allFYsTable[year2], CU$3))</f>
        <v>98238</v>
      </c>
      <c r="CY113" s="61">
        <f>IF(COUNTIFS(allFYsTable[Code], SummaryTable[[#This Row],[Code]], allFYsTable[year2], CU$3)=0, NotFound, SUMIFS(allFYsTable[Actual], allFYsTable[Code], SummaryTable[[#This Row],[Code]], allFYsTable[year2], CU$3))</f>
        <v>98238</v>
      </c>
      <c r="CZ113" s="61">
        <f>IF(COUNTIFS(allFYsTable[Code], SummaryTable[[#This Row],[Code]], allFYsTable[year2], CU$3)=0, NotFound, SUMIFS(allFYsTable[DiffAmount], allFYsTable[Code], SummaryTable[[#This Row],[Code]], allFYsTable[year2], CU$3))</f>
        <v>93038</v>
      </c>
      <c r="DA113" s="63">
        <f>IF(SummaryTable[[#This Row],[OriginalBudget15]]=0, IF(SummaryTable[[#This Row],[DiffAmount15]]=0, ZeroBudgetNoSpending, ZeroBudgetWithSpending), SummaryTable[[#This Row],[DiffAmount15]]/SummaryTable[[#This Row],[OriginalBudget15]])</f>
        <v>17.891923076923078</v>
      </c>
      <c r="DB113" s="62">
        <f>IF(COUNTIFS(allFYsTable[Code], SummaryTable[[#This Row],[Code]], allFYsTable[year2], DB$3)=0, NotFound, SUMIFS(allFYsTable[OriginalBudget], allFYsTable[Code], SummaryTable[[#This Row],[Code]], allFYsTable[year2], DB$3))</f>
        <v>18860</v>
      </c>
      <c r="DC113" s="61">
        <f>SummaryTable[[#This Row],[OriginalBudget14]]-SummaryTable[[#This Row],[OriginalBudget13]]</f>
        <v>14590</v>
      </c>
      <c r="DD113" s="54">
        <f>SummaryTable[[#This Row],[BudgetIncreaseAmount14]]/SummaryTable[[#This Row],[OriginalBudget13]]</f>
        <v>3.4168618266978923</v>
      </c>
      <c r="DE113" s="61">
        <f>IF(COUNTIFS(allFYsTable[Code], SummaryTable[[#This Row],[Code]], allFYsTable[year2], DB$3)=0, NotFound, SUMIFS(allFYsTable[RevisedBudget], allFYsTable[Code], SummaryTable[[#This Row],[Code]], allFYsTable[year2], DB$3))</f>
        <v>26415</v>
      </c>
      <c r="DF113" s="61">
        <f>IF(COUNTIFS(allFYsTable[Code], SummaryTable[[#This Row],[Code]], allFYsTable[year2], DB$3)=0, NotFound, SUMIFS(allFYsTable[Actual], allFYsTable[Code], SummaryTable[[#This Row],[Code]], allFYsTable[year2], DB$3))</f>
        <v>26415</v>
      </c>
      <c r="DG113" s="61">
        <f>IF(COUNTIFS(allFYsTable[Code], SummaryTable[[#This Row],[Code]], allFYsTable[year2], DB$3)=0, NotFound, SUMIFS(allFYsTable[DiffAmount], allFYsTable[Code], SummaryTable[[#This Row],[Code]], allFYsTable[year2], DB$3))</f>
        <v>7555</v>
      </c>
      <c r="DH113" s="63">
        <f>IF(SummaryTable[[#This Row],[OriginalBudget14]]=0, IF(SummaryTable[[#This Row],[DiffAmount14]]=0, ZeroBudgetNoSpending, ZeroBudgetWithSpending), SummaryTable[[#This Row],[DiffAmount14]]/SummaryTable[[#This Row],[OriginalBudget14]])</f>
        <v>0.40058324496288439</v>
      </c>
      <c r="DI113" s="62">
        <f>IF(COUNTIFS(allFYsTable[Code], SummaryTable[[#This Row],[Code]], allFYsTable[year2], DI$3)=0, NotFound, SUMIFS(allFYsTable[OriginalBudget], allFYsTable[Code], SummaryTable[[#This Row],[Code]], allFYsTable[year2], DI$3))</f>
        <v>4270</v>
      </c>
      <c r="DJ113" s="61">
        <f>SummaryTable[[#This Row],[OriginalBudget13]]-SummaryTable[[#This Row],[OriginalBudget12]]</f>
        <v>4270</v>
      </c>
      <c r="DK113" s="54" t="e">
        <f>SummaryTable[[#This Row],[BudgetIncreaseAmount13]]/SummaryTable[[#This Row],[OriginalBudget12]]</f>
        <v>#DIV/0!</v>
      </c>
      <c r="DL113" s="61">
        <f>IF(COUNTIFS(allFYsTable[Code], SummaryTable[[#This Row],[Code]], allFYsTable[year2], DI$3)=0, NotFound, SUMIFS(allFYsTable[RevisedBudget], allFYsTable[Code], SummaryTable[[#This Row],[Code]], allFYsTable[year2], DI$3))</f>
        <v>48439</v>
      </c>
      <c r="DM113" s="61">
        <f>IF(COUNTIFS(allFYsTable[Code], SummaryTable[[#This Row],[Code]], allFYsTable[year2], DI$3)=0, NotFound, SUMIFS(allFYsTable[Actual], allFYsTable[Code], SummaryTable[[#This Row],[Code]], allFYsTable[year2], DI$3))</f>
        <v>48439</v>
      </c>
      <c r="DN113" s="61">
        <f>IF(COUNTIFS(allFYsTable[Code], SummaryTable[[#This Row],[Code]], allFYsTable[year2], DI$3)=0, NotFound, SUMIFS(allFYsTable[DiffAmount], allFYsTable[Code], SummaryTable[[#This Row],[Code]], allFYsTable[year2], DI$3))</f>
        <v>44169</v>
      </c>
      <c r="DO113" s="63">
        <f>IF(SummaryTable[[#This Row],[OriginalBudget13]]=0, IF(SummaryTable[[#This Row],[DiffAmount13]]=0, ZeroBudgetNoSpending, ZeroBudgetWithSpending), SummaryTable[[#This Row],[DiffAmount13]]/SummaryTable[[#This Row],[OriginalBudget13]])</f>
        <v>10.344028103044497</v>
      </c>
      <c r="DP113" s="62">
        <f>IF(COUNTIFS(allFYsTable[Code], SummaryTable[[#This Row],[Code]], allFYsTable[year2], DP$3)=0, NotFound, SUMIFS(allFYsTable[OriginalBudget], allFYsTable[Code], SummaryTable[[#This Row],[Code]], allFYsTable[year2], DP$3))</f>
        <v>0</v>
      </c>
      <c r="DQ113" s="61">
        <f>SummaryTable[[#This Row],[OriginalBudget12]]-SummaryTable[[#This Row],[OriginalBudget11]]</f>
        <v>0</v>
      </c>
      <c r="DR113" s="54" t="e">
        <f>SummaryTable[[#This Row],[BudgetIncreaseAmount12]]/SummaryTable[[#This Row],[OriginalBudget11]]</f>
        <v>#DIV/0!</v>
      </c>
      <c r="DS113" s="61">
        <f>IF(COUNTIFS(allFYsTable[Code], SummaryTable[[#This Row],[Code]], allFYsTable[year2], DP$3)=0, NotFound, SUMIFS(allFYsTable[RevisedBudget], allFYsTable[Code], SummaryTable[[#This Row],[Code]], allFYsTable[year2], DP$3))</f>
        <v>33730</v>
      </c>
      <c r="DT113" s="61">
        <f>IF(COUNTIFS(allFYsTable[Code], SummaryTable[[#This Row],[Code]], allFYsTable[year2], DP$3)=0, NotFound, SUMIFS(allFYsTable[Actual], allFYsTable[Code], SummaryTable[[#This Row],[Code]], allFYsTable[year2], DP$3))</f>
        <v>33730</v>
      </c>
      <c r="DU113" s="61">
        <f>IF(COUNTIFS(allFYsTable[Code], SummaryTable[[#This Row],[Code]], allFYsTable[year2], DP$3)=0, NotFound, SUMIFS(allFYsTable[DiffAmount], allFYsTable[Code], SummaryTable[[#This Row],[Code]], allFYsTable[year2], DP$3))</f>
        <v>33730</v>
      </c>
      <c r="DV113" s="63">
        <f>IF(SummaryTable[[#This Row],[OriginalBudget12]]=0, IF(SummaryTable[[#This Row],[DiffAmount12]]=0, ZeroBudgetNoSpending, ZeroBudgetWithSpending), SummaryTable[[#This Row],[DiffAmount12]]/SummaryTable[[#This Row],[OriginalBudget12]])</f>
        <v>99.99</v>
      </c>
      <c r="DW113" s="62">
        <f>IF(COUNTIFS(allFYsTable[Code], SummaryTable[[#This Row],[Code]], allFYsTable[year2], DW$3)=0, NotFound, SUMIFS(allFYsTable[OriginalBudget], allFYsTable[Code], SummaryTable[[#This Row],[Code]], allFYsTable[year2], DW$3))</f>
        <v>0</v>
      </c>
      <c r="DX113" s="61">
        <f>SummaryTable[[#This Row],[OriginalBudget11]]-SummaryTable[[#This Row],[OriginalBudget10]]</f>
        <v>0</v>
      </c>
      <c r="DY113" s="54" t="e">
        <f>SummaryTable[[#This Row],[BudgetIncreaseAmount11]]/SummaryTable[[#This Row],[OriginalBudget10]]</f>
        <v>#DIV/0!</v>
      </c>
      <c r="DZ113" s="61">
        <f>IF(COUNTIFS(allFYsTable[Code], SummaryTable[[#This Row],[Code]], allFYsTable[year2], DW$3)=0, NotFound, SUMIFS(allFYsTable[RevisedBudget], allFYsTable[Code], SummaryTable[[#This Row],[Code]], allFYsTable[year2], DW$3))</f>
        <v>18683</v>
      </c>
      <c r="EA113" s="61">
        <f>IF(COUNTIFS(allFYsTable[Code], SummaryTable[[#This Row],[Code]], allFYsTable[year2], DW$3)=0, NotFound, SUMIFS(allFYsTable[Actual], allFYsTable[Code], SummaryTable[[#This Row],[Code]], allFYsTable[year2], DW$3))</f>
        <v>18683</v>
      </c>
      <c r="EB113" s="61">
        <f>IF(COUNTIFS(allFYsTable[Code], SummaryTable[[#This Row],[Code]], allFYsTable[year2], DW$3)=0, NotFound, SUMIFS(allFYsTable[DiffAmount], allFYsTable[Code], SummaryTable[[#This Row],[Code]], allFYsTable[year2], DW$3))</f>
        <v>18683</v>
      </c>
      <c r="EC113" s="63">
        <f>IF(SummaryTable[[#This Row],[OriginalBudget11]]=0, IF(SummaryTable[[#This Row],[DiffAmount11]]=0, ZeroBudgetNoSpending, ZeroBudgetWithSpending), SummaryTable[[#This Row],[DiffAmount11]]/SummaryTable[[#This Row],[OriginalBudget11]])</f>
        <v>99.99</v>
      </c>
      <c r="ED113" s="62">
        <f>IF(COUNTIFS(allFYsTable[Code], SummaryTable[[#This Row],[Code]], allFYsTable[year2], ED$3)=0, NotFound, SUMIFS(allFYsTable[OriginalBudget], allFYsTable[Code], SummaryTable[[#This Row],[Code]], allFYsTable[year2], ED$3))</f>
        <v>0</v>
      </c>
      <c r="EE113" s="61">
        <f>SummaryTable[[#This Row],[OriginalBudget10]]-SummaryTable[[#This Row],[OriginalBudget09]]</f>
        <v>-123014</v>
      </c>
      <c r="EF113" s="54">
        <f>SummaryTable[[#This Row],[BudgetIncreaseAmount10]]/SummaryTable[[#This Row],[OriginalBudget09]]</f>
        <v>-1</v>
      </c>
      <c r="EG113" s="61">
        <f>IF(COUNTIFS(allFYsTable[Code], SummaryTable[[#This Row],[Code]], allFYsTable[year2], ED$3)=0, NotFound, SUMIFS(allFYsTable[RevisedBudget], allFYsTable[Code], SummaryTable[[#This Row],[Code]], allFYsTable[year2], ED$3))</f>
        <v>499</v>
      </c>
      <c r="EH113" s="61">
        <f>IF(COUNTIFS(allFYsTable[Code], SummaryTable[[#This Row],[Code]], allFYsTable[year2], ED$3)=0, NotFound, SUMIFS(allFYsTable[Actual], allFYsTable[Code], SummaryTable[[#This Row],[Code]], allFYsTable[year2], ED$3))</f>
        <v>499</v>
      </c>
      <c r="EI113" s="61">
        <f>IF(COUNTIFS(allFYsTable[Code], SummaryTable[[#This Row],[Code]], allFYsTable[year2], ED$3)=0, NotFound, SUMIFS(allFYsTable[DiffAmount], allFYsTable[Code], SummaryTable[[#This Row],[Code]], allFYsTable[year2], ED$3))</f>
        <v>499</v>
      </c>
      <c r="EJ113" s="63">
        <f>IF(SummaryTable[[#This Row],[OriginalBudget10]]=0, IF(SummaryTable[[#This Row],[DiffAmount10]]=0, ZeroBudgetNoSpending, ZeroBudgetWithSpending), SummaryTable[[#This Row],[DiffAmount10]]/SummaryTable[[#This Row],[OriginalBudget10]])</f>
        <v>99.99</v>
      </c>
      <c r="EK113" s="62">
        <f>IF(COUNTIFS(allFYsTable[Code], SummaryTable[[#This Row],[Code]], allFYsTable[year2], EK$3)=0, NotFound, SUMIFS(allFYsTable[OriginalBudget], allFYsTable[Code], SummaryTable[[#This Row],[Code]], allFYsTable[year2], EK$3))</f>
        <v>123014</v>
      </c>
      <c r="EL113" s="61">
        <f>SummaryTable[[#This Row],[OriginalBudget09]]-SummaryTable[[#This Row],[OriginalBudget08]]</f>
        <v>14862</v>
      </c>
      <c r="EM113" s="54">
        <f>SummaryTable[[#This Row],[BudgetIncreaseAmount09]]/SummaryTable[[#This Row],[OriginalBudget08]]</f>
        <v>0.13741770841038539</v>
      </c>
      <c r="EN113" s="61">
        <f>IF(COUNTIFS(allFYsTable[Code], SummaryTable[[#This Row],[Code]], allFYsTable[year2], EK$3)=0, NotFound, SUMIFS(allFYsTable[RevisedBudget], allFYsTable[Code], SummaryTable[[#This Row],[Code]], allFYsTable[year2], EK$3))</f>
        <v>14935</v>
      </c>
      <c r="EO113" s="61">
        <f>IF(COUNTIFS(allFYsTable[Code], SummaryTable[[#This Row],[Code]], allFYsTable[year2], EK$3)=0, NotFound, SUMIFS(allFYsTable[Actual], allFYsTable[Code], SummaryTable[[#This Row],[Code]], allFYsTable[year2], EK$3))</f>
        <v>14748</v>
      </c>
      <c r="EP113" s="61">
        <f>IF(COUNTIFS(allFYsTable[Code], SummaryTable[[#This Row],[Code]], allFYsTable[year2], EK$3)=0, NotFound, SUMIFS(allFYsTable[DiffAmount], allFYsTable[Code], SummaryTable[[#This Row],[Code]], allFYsTable[year2], EK$3))</f>
        <v>-108266</v>
      </c>
      <c r="EQ113" s="63">
        <f>IF(SummaryTable[[#This Row],[OriginalBudget09]]=0, IF(SummaryTable[[#This Row],[DiffAmount09]]=0, ZeroBudgetNoSpending, ZeroBudgetWithSpending), SummaryTable[[#This Row],[DiffAmount09]]/SummaryTable[[#This Row],[OriginalBudget09]])</f>
        <v>-0.88011120685450439</v>
      </c>
      <c r="ER113" s="62">
        <f>IF(COUNTIFS(allFYsTable[Code], SummaryTable[[#This Row],[Code]], allFYsTable[year2], ER$3)=0, NotFound, SUMIFS(allFYsTable[OriginalBudget], allFYsTable[Code], SummaryTable[[#This Row],[Code]], allFYsTable[year2], ER$3))</f>
        <v>108152</v>
      </c>
      <c r="ES113" s="61">
        <f>SummaryTable[[#This Row],[OriginalBudget08]]-SummaryTable[[#This Row],[OriginalBudget07]]</f>
        <v>20165</v>
      </c>
      <c r="ET113" s="54">
        <f>SummaryTable[[#This Row],[BudgetIncreaseAmount08]]/SummaryTable[[#This Row],[OriginalBudget07]]</f>
        <v>0.22918158364303817</v>
      </c>
      <c r="EU113" s="61">
        <f>IF(COUNTIFS(allFYsTable[Code], SummaryTable[[#This Row],[Code]], allFYsTable[year2], ER$3)=0, NotFound, SUMIFS(allFYsTable[RevisedBudget], allFYsTable[Code], SummaryTable[[#This Row],[Code]], allFYsTable[year2], ER$3))</f>
        <v>139488</v>
      </c>
      <c r="EV113" s="61">
        <f>IF(COUNTIFS(allFYsTable[Code], SummaryTable[[#This Row],[Code]], allFYsTable[year2], ER$3)=0, NotFound, SUMIFS(allFYsTable[Actual], allFYsTable[Code], SummaryTable[[#This Row],[Code]], allFYsTable[year2], ER$3))</f>
        <v>139488</v>
      </c>
      <c r="EW113" s="61">
        <f>IF(COUNTIFS(allFYsTable[Code], SummaryTable[[#This Row],[Code]], allFYsTable[year2], ER$3)=0, NotFound, SUMIFS(allFYsTable[DiffAmount], allFYsTable[Code], SummaryTable[[#This Row],[Code]], allFYsTable[year2], ER$3))</f>
        <v>31336</v>
      </c>
      <c r="EX113" s="63">
        <f>IF(SummaryTable[[#This Row],[OriginalBudget08]]=0, IF(SummaryTable[[#This Row],[DiffAmount08]]=0, ZeroBudgetNoSpending, ZeroBudgetWithSpending), SummaryTable[[#This Row],[DiffAmount08]]/SummaryTable[[#This Row],[OriginalBudget08]])</f>
        <v>0.28974036541164289</v>
      </c>
      <c r="EY113" s="62">
        <f>IF(COUNTIFS(allFYsTable[Code], SummaryTable[[#This Row],[Code]], allFYsTable[year2], EY$3)=0, NotFound, SUMIFS(allFYsTable[OriginalBudget], allFYsTable[Code], SummaryTable[[#This Row],[Code]], allFYsTable[year2], EY$3))</f>
        <v>87987</v>
      </c>
      <c r="EZ113" s="61">
        <f>SummaryTable[[#This Row],[OriginalBudget07]]-SummaryTable[[#This Row],[OriginalBudget06]]</f>
        <v>-172896</v>
      </c>
      <c r="FA113" s="54">
        <f>SummaryTable[[#This Row],[BudgetIncreaseAmount07]]/SummaryTable[[#This Row],[OriginalBudget06]]</f>
        <v>-0.66273386920573596</v>
      </c>
      <c r="FB113" s="61">
        <f>IF(COUNTIFS(allFYsTable[Code], SummaryTable[[#This Row],[Code]], allFYsTable[year2], EY$3)=0, NotFound, SUMIFS(allFYsTable[RevisedBudget], allFYsTable[Code], SummaryTable[[#This Row],[Code]], allFYsTable[year2], EY$3))</f>
        <v>118861</v>
      </c>
      <c r="FC113" s="61">
        <f>IF(COUNTIFS(allFYsTable[Code], SummaryTable[[#This Row],[Code]], allFYsTable[year2], EY$3)=0, NotFound, SUMIFS(allFYsTable[Actual], allFYsTable[Code], SummaryTable[[#This Row],[Code]], allFYsTable[year2], EY$3))</f>
        <v>118861</v>
      </c>
      <c r="FD113" s="61">
        <f>IF(COUNTIFS(allFYsTable[Code], SummaryTable[[#This Row],[Code]], allFYsTable[year2], EY$3)=0, NotFound, SUMIFS(allFYsTable[DiffAmount], allFYsTable[Code], SummaryTable[[#This Row],[Code]], allFYsTable[year2], EY$3))</f>
        <v>30874</v>
      </c>
      <c r="FE113" s="63">
        <f>IF(SummaryTable[[#This Row],[OriginalBudget07]]=0, IF(SummaryTable[[#This Row],[DiffAmount07]]=0, ZeroBudgetNoSpending, ZeroBudgetWithSpending), SummaryTable[[#This Row],[DiffAmount07]]/SummaryTable[[#This Row],[OriginalBudget07]])</f>
        <v>0.35089274551922445</v>
      </c>
      <c r="FF113" s="62">
        <f>IF(COUNTIFS(allFYsTable[Code], SummaryTable[[#This Row],[Code]], allFYsTable[year2], FF$3)=0, NotFound, SUMIFS(allFYsTable[OriginalBudget], allFYsTable[Code], SummaryTable[[#This Row],[Code]], allFYsTable[year2], FF$3))</f>
        <v>260883</v>
      </c>
      <c r="FI113" s="61">
        <f>IF(COUNTIFS(allFYsTable[Code], SummaryTable[[#This Row],[Code]], allFYsTable[year2], FF$3)=0, NotFound, SUMIFS(allFYsTable[RevisedBudget], allFYsTable[Code], SummaryTable[[#This Row],[Code]], allFYsTable[year2], FF$3))</f>
        <v>265023</v>
      </c>
      <c r="FJ113" s="61">
        <f>IF(COUNTIFS(allFYsTable[Code], SummaryTable[[#This Row],[Code]], allFYsTable[year2], FF$3)=0, NotFound, SUMIFS(allFYsTable[Actual], allFYsTable[Code], SummaryTable[[#This Row],[Code]], allFYsTable[year2], FF$3))</f>
        <v>265023</v>
      </c>
      <c r="FK113" s="61">
        <f>IF(COUNTIFS(allFYsTable[Code], SummaryTable[[#This Row],[Code]], allFYsTable[year2], FF$3)=0, NotFound, SUMIFS(allFYsTable[DiffAmount], allFYsTable[Code], SummaryTable[[#This Row],[Code]], allFYsTable[year2], FF$3))</f>
        <v>4140</v>
      </c>
      <c r="FL113" s="63">
        <f>IF(SummaryTable[[#This Row],[OriginalBudget06]]=0, IF(SummaryTable[[#This Row],[DiffAmount06]]=0, ZeroBudgetNoSpending, ZeroBudgetWithSpending), SummaryTable[[#This Row],[DiffAmount06]]/SummaryTable[[#This Row],[OriginalBudget06]])</f>
        <v>1.5869182737089042E-2</v>
      </c>
    </row>
    <row r="114" spans="1:168" x14ac:dyDescent="0.45">
      <c r="A114" t="s">
        <v>768</v>
      </c>
      <c r="B114">
        <f>_xlfn.MAXIFS(allFYsTable[year2], allFYsTable[Code], SummaryTable[[#This Row],[Code]])</f>
        <v>2025</v>
      </c>
      <c r="C114" t="str">
        <f>_xlfn.XLOOKUP(SummaryTable[[#This Row],[Code]], NameCodingTable[Code], NameCodingTable[Most Recent Category per allFYs])</f>
        <v>Public safety and justice</v>
      </c>
      <c r="D114" t="str">
        <f>_xlfn.XLOOKUP(SummaryTable[[#This Row],[Code]], NameCodingTable[Code], NameCodingTable[Unit Display Name])</f>
        <v>Police Officers' and Fire Fighters' Retirement System</v>
      </c>
      <c r="E114" t="str">
        <f>_xlfn.XLOOKUP(SummaryTable[[#This Row],[Code]], NameCodingTable[Code], NameCodingTable[Type])</f>
        <v>xother</v>
      </c>
      <c r="F11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1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14" s="54">
        <f>SummaryTable[[#This Row],['# Over]]/SummaryTable[[#This Row],[Count]]</f>
        <v>0</v>
      </c>
      <c r="I11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7</v>
      </c>
      <c r="J114" s="54">
        <f>SummaryTable[[#This Row],['# Under]]/SummaryTable[[#This Row],[Count]]</f>
        <v>0.35</v>
      </c>
      <c r="K11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13</v>
      </c>
      <c r="L114" s="54">
        <f>SummaryTable[[#This Row],['# Equal]]/SummaryTable[[#This Row],[Count]]</f>
        <v>0.65</v>
      </c>
      <c r="M114" s="61">
        <f>SUMIFS(allFYsTable[OriginalBudget],allFYsTable[Code],SummaryTable[[#This Row],[Code]])/SummaryTable[[#This Row],[Count]]</f>
        <v>120308.95</v>
      </c>
      <c r="N114" s="61">
        <f>SUMIFS(allFYsTable[Actual],allFYsTable[Code],SummaryTable[[#This Row],[Code]])/SummaryTable[[#This Row],[Count]]</f>
        <v>119426.55</v>
      </c>
      <c r="O114" s="61">
        <f>SummaryTable[[#This Row],[AvgActAmt]]-SummaryTable[[#This Row],[AvgBudAmt]]</f>
        <v>-882.39999999999418</v>
      </c>
      <c r="P114" s="54">
        <f>IF(SummaryTable[[#This Row],[AvgBudAmt]]=0, IF(SummaryTable[[#This Row],[AvgDiff'#]]=0, 0, NamedFields!$C$3), SummaryTable[[#This Row],[AvgDiff'#]]/SummaryTable[[#This Row],[AvgBudAmt]])</f>
        <v>-7.3344501801403316E-3</v>
      </c>
      <c r="Q114" s="61">
        <f>IFERROR(SUMIFS(allFYsTable[OriginalBudget],allFYsTable[Code],SummaryTable[[#This Row],[Code]],allFYsTable[DiffAmount], "&gt;0")/SummaryTable[[#This Row],['# Over]], 0)</f>
        <v>0</v>
      </c>
      <c r="R114" s="61">
        <f>IFERROR(SUMIFS(allFYsTable[Actual],allFYsTable[Code],SummaryTable[[#This Row],[Code]],allFYsTable[DiffAmount], "&gt;0")/SummaryTable[[#This Row],['# Over]], 0)</f>
        <v>0</v>
      </c>
      <c r="S114" s="61">
        <f>SummaryTable[[#This Row],[OverAvgAct]]-SummaryTable[[#This Row],[OverAvgBud]]</f>
        <v>0</v>
      </c>
      <c r="T114" s="54">
        <f>IF(SummaryTable[[#This Row],[OverAvgBud]]=0, IF(SummaryTable[[#This Row],[OverAvgDiff'#]]=0, ZeroBudgetNoSpending, ZeroBudgetWithSpending), SummaryTable[[#This Row],[OverAvgDiff'#]]/SummaryTable[[#This Row],[OverAvgBud]])</f>
        <v>0</v>
      </c>
      <c r="U114" s="61">
        <f>IFERROR(SUMIFS(allFYsTable[OriginalBudget],allFYsTable[Code],SummaryTable[[#This Row],[Code]],allFYsTable[DiffAmount], "&lt;0")/SummaryTable[[#This Row],['# Under]], 0)</f>
        <v>120123.42857142857</v>
      </c>
      <c r="V114" s="61">
        <f>IFERROR( SUMIFS(allFYsTable[Actual],allFYsTable[Code],SummaryTable[[#This Row],[Code]],allFYsTable[DiffAmount], "&lt;0")/SummaryTable[[#This Row],['# Under]], 0)</f>
        <v>117602.28571428571</v>
      </c>
      <c r="W114" s="61">
        <f>SummaryTable[[#This Row],[UnderAvgAct]]-SummaryTable[[#This Row],[UnderAvgBud]]</f>
        <v>-2521.1428571428551</v>
      </c>
      <c r="X114" s="54">
        <f>IF(SummaryTable[[#This Row],[UnderAvgBud]]=0, IF(SummaryTable[[#This Row],[UnderAvgDiff'#]]=0, ZeroBudgetNoSpending, NamedFields!$C$3), SummaryTable[[#This Row],[UnderAvgDiff'#]]/SummaryTable[[#This Row],[UnderAvgBud]])</f>
        <v>-2.0987936217985295E-2</v>
      </c>
      <c r="Y11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11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14" s="54">
        <f>IF(SummaryTable[[#This Row],[IncreaseYears]]=0, ZeroBudgetNoSpending, SummaryTable[[#This Row],[OSinIncreaseYear'#]]/SummaryTable[[#This Row],[IncreaseYears]])</f>
        <v>0</v>
      </c>
      <c r="AB114" s="58" t="str">
        <f>SummaryTable[[#This Row],[Code]]</f>
        <v>FD0</v>
      </c>
      <c r="AC114" s="62">
        <f>IF(COUNTIFS(allFYsTable[Code], SummaryTable[[#This Row],[Code]], allFYsTable[year2], AC$3)=0, NotFound, SUMIFS(allFYsTable[OriginalBudget], allFYsTable[Code], SummaryTable[[#This Row],[Code]], allFYsTable[year2], AC$3))</f>
        <v>143454</v>
      </c>
      <c r="AD114" s="61">
        <f>SummaryTable[[#This Row],[OriginalBudget25]]-SummaryTable[[#This Row],[OriginalBudget24]]</f>
        <v>63571</v>
      </c>
      <c r="AE114" s="54">
        <f>SummaryTable[[#This Row],[BudgetIncreaseAmount25]]/SummaryTable[[#This Row],[OriginalBudget24]]</f>
        <v>0.79580135948825159</v>
      </c>
      <c r="AF114" s="61">
        <f>IF(COUNTIFS(allFYsTable[Code], SummaryTable[[#This Row],[Code]], allFYsTable[year2], AC$3)=0, NotFound, SUMIFS(allFYsTable[RevisedBudget], allFYsTable[Code], SummaryTable[[#This Row],[Code]], allFYsTable[year2], AC$3))</f>
        <v>143454</v>
      </c>
      <c r="AG114" s="61">
        <f>IF(COUNTIFS(allFYsTable[Code], SummaryTable[[#This Row],[Code]], allFYsTable[year2], AC$3)=0, NotFound, SUMIFS(allFYsTable[Actual], allFYsTable[Code], SummaryTable[[#This Row],[Code]], allFYsTable[year2], AC$3))</f>
        <v>143454</v>
      </c>
      <c r="AH114" s="61">
        <f>IF(COUNTIFS(allFYsTable[Code], SummaryTable[[#This Row],[Code]], allFYsTable[year2], AC$3)=0, NotFound, SUMIFS(allFYsTable[DiffAmount], allFYsTable[Code], SummaryTable[[#This Row],[Code]], allFYsTable[year2], AC$3))</f>
        <v>0</v>
      </c>
      <c r="AI114" s="63">
        <f>IF(SummaryTable[[#This Row],[OriginalBudget25]]=0, IF(SummaryTable[[#This Row],[DiffAmount25]]=0, ZeroBudgetNoSpending, ZeroBudgetWithSpending), SummaryTable[[#This Row],[DiffAmount25]]/SummaryTable[[#This Row],[OriginalBudget25]])</f>
        <v>0</v>
      </c>
      <c r="AJ114" s="62">
        <f>IF(COUNTIFS(allFYsTable[Code], SummaryTable[[#This Row],[Code]], allFYsTable[year2], AJ$3)=0, NotFound, SUMIFS(allFYsTable[OriginalBudget], allFYsTable[Code], SummaryTable[[#This Row],[Code]], allFYsTable[year2], AJ$3))</f>
        <v>79883</v>
      </c>
      <c r="AK114" s="61">
        <f>SummaryTable[[#This Row],[OriginalBudget24]]-SummaryTable[[#This Row],[OriginalBudget23]]</f>
        <v>2375</v>
      </c>
      <c r="AL114" s="54">
        <f>SummaryTable[[#This Row],[BudgetIncreaseAmount24]]/SummaryTable[[#This Row],[OriginalBudget23]]</f>
        <v>3.0641998245342417E-2</v>
      </c>
      <c r="AM114" s="61">
        <f>IF(COUNTIFS(allFYsTable[Code], SummaryTable[[#This Row],[Code]], allFYsTable[year2], AK$3)=0, NotFound, SUMIFS(allFYsTable[RevisedBudget], allFYsTable[Code], SummaryTable[[#This Row],[Code]], allFYsTable[year2], AJ$3))</f>
        <v>79883</v>
      </c>
      <c r="AN114" s="61">
        <f>IF(COUNTIFS(allFYsTable[Code], SummaryTable[[#This Row],[Code]], allFYsTable[year2], AJ$3)=0, NotFound, SUMIFS(allFYsTable[Actual], allFYsTable[Code], SummaryTable[[#This Row],[Code]], allFYsTable[year2], AJ$3))</f>
        <v>79883</v>
      </c>
      <c r="AO114" s="61">
        <f>IF(COUNTIFS(allFYsTable[Code], SummaryTable[[#This Row],[Code]], allFYsTable[year2], AJ$3)=0, NotFound, SUMIFS(allFYsTable[DiffAmount], allFYsTable[Code], SummaryTable[[#This Row],[Code]], allFYsTable[year2], AJ$3))</f>
        <v>0</v>
      </c>
      <c r="AP114" s="63">
        <f>IF(SummaryTable[[#This Row],[OriginalBudget24]]=0, IF(SummaryTable[[#This Row],[DiffAmount24]]=0, ZeroBudgetNoSpending, ZeroBudgetWithSpending), SummaryTable[[#This Row],[DiffAmount24]]/SummaryTable[[#This Row],[OriginalBudget24]])</f>
        <v>0</v>
      </c>
      <c r="AQ114" s="62">
        <f>IF(COUNTIFS(allFYsTable[Code], SummaryTable[[#This Row],[Code]], allFYsTable[year2], AQ$3)=0, NotFound, SUMIFS(allFYsTable[OriginalBudget], allFYsTable[Code], SummaryTable[[#This Row],[Code]], allFYsTable[year2], AQ$3))</f>
        <v>77508</v>
      </c>
      <c r="AR114" s="61">
        <f>SummaryTable[[#This Row],[OriginalBudget23]]-SummaryTable[[#This Row],[OriginalBudget22]]</f>
        <v>-31458</v>
      </c>
      <c r="AS114" s="54">
        <f>SummaryTable[[#This Row],[BudgetIncreaseAmount23]]/SummaryTable[[#This Row],[OriginalBudget22]]</f>
        <v>-0.28869555641209182</v>
      </c>
      <c r="AT114" s="61">
        <f>IF(COUNTIFS(allFYsTable[Code], SummaryTable[[#This Row],[Code]], allFYsTable[year2], AQ$3)=0, NotFound, SUMIFS(allFYsTable[RevisedBudget], allFYsTable[Code], SummaryTable[[#This Row],[Code]], allFYsTable[year2], AQ$3))</f>
        <v>77508</v>
      </c>
      <c r="AU114" s="61">
        <f>IF(COUNTIFS(allFYsTable[Code], SummaryTable[[#This Row],[Code]], allFYsTable[year2], AQ$3)=0, NotFound, SUMIFS(allFYsTable[Actual], allFYsTable[Code], SummaryTable[[#This Row],[Code]], allFYsTable[year2], AQ$3))</f>
        <v>77508</v>
      </c>
      <c r="AV114" s="61">
        <f>IF(COUNTIFS(allFYsTable[Code], SummaryTable[[#This Row],[Code]], allFYsTable[year2], AQ$3)=0, NotFound, SUMIFS(allFYsTable[DiffAmount], allFYsTable[Code], SummaryTable[[#This Row],[Code]], allFYsTable[year2], AQ$3))</f>
        <v>0</v>
      </c>
      <c r="AW114" s="63">
        <f>IF(SummaryTable[[#This Row],[OriginalBudget23]]=0, IF(SummaryTable[[#This Row],[DiffAmount23]]=0, ZeroBudgetNoSpending, ZeroBudgetWithSpending), SummaryTable[[#This Row],[DiffAmount23]]/SummaryTable[[#This Row],[OriginalBudget23]])</f>
        <v>0</v>
      </c>
      <c r="AX114" s="62">
        <f>IF(COUNTIFS(allFYsTable[Code], SummaryTable[[#This Row],[Code]], allFYsTable[year2], AX$3)=0, NotFound, SUMIFS(allFYsTable[OriginalBudget], allFYsTable[Code], SummaryTable[[#This Row],[Code]], allFYsTable[year2], AX$3))</f>
        <v>108966</v>
      </c>
      <c r="AY114" s="61">
        <f>SummaryTable[[#This Row],[OriginalBudget22]]-SummaryTable[[#This Row],[OriginalBudget21]]</f>
        <v>-967</v>
      </c>
      <c r="AZ114" s="54">
        <f>SummaryTable[[#This Row],[BudgetIncreaseAmount22]]/SummaryTable[[#This Row],[OriginalBudget21]]</f>
        <v>-8.7962668170613011E-3</v>
      </c>
      <c r="BA114" s="61">
        <f>IF(COUNTIFS(allFYsTable[Code], SummaryTable[[#This Row],[Code]], allFYsTable[year2], AX$3)=0, NotFound, SUMIFS(allFYsTable[RevisedBudget], allFYsTable[Code], SummaryTable[[#This Row],[Code]], allFYsTable[year2], AX$3))</f>
        <v>108966</v>
      </c>
      <c r="BB114" s="61">
        <f>IF(COUNTIFS(allFYsTable[Code], SummaryTable[[#This Row],[Code]], allFYsTable[year2], AX$3)=0, NotFound, SUMIFS(allFYsTable[Actual], allFYsTable[Code], SummaryTable[[#This Row],[Code]], allFYsTable[year2], AX$3))</f>
        <v>108966</v>
      </c>
      <c r="BC114" s="61">
        <f>IF(COUNTIFS(allFYsTable[Code], SummaryTable[[#This Row],[Code]], allFYsTable[year2], AX$3)=0, NotFound, SUMIFS(allFYsTable[DiffAmount], allFYsTable[Code], SummaryTable[[#This Row],[Code]], allFYsTable[year2], AX$3))</f>
        <v>0</v>
      </c>
      <c r="BD114" s="63">
        <f>IF(SummaryTable[[#This Row],[OriginalBudget22]]=0, IF(SummaryTable[[#This Row],[DiffAmount22]]=0, ZeroBudgetNoSpending, ZeroBudgetWithSpending), SummaryTable[[#This Row],[DiffAmount22]]/SummaryTable[[#This Row],[OriginalBudget22]])</f>
        <v>0</v>
      </c>
      <c r="BE114" s="62">
        <f>IF(COUNTIFS(allFYsTable[Code], SummaryTable[[#This Row],[Code]], allFYsTable[year2], BE$3)=0, NotFound, SUMIFS(allFYsTable[OriginalBudget], allFYsTable[Code], SummaryTable[[#This Row],[Code]], allFYsTable[year2], BE$3))</f>
        <v>109933</v>
      </c>
      <c r="BF114" s="61">
        <f>SummaryTable[[#This Row],[OriginalBudget21]]-SummaryTable[[#This Row],[OriginalBudget20]]</f>
        <v>16872</v>
      </c>
      <c r="BG114" s="54">
        <f>SummaryTable[[#This Row],[BudgetIncreaseAmount21]]/SummaryTable[[#This Row],[OriginalBudget20]]</f>
        <v>0.18130043734754622</v>
      </c>
      <c r="BH114" s="61">
        <f>IF(COUNTIFS(allFYsTable[Code], SummaryTable[[#This Row],[Code]], allFYsTable[year2], BE$3)=0, NotFound, SUMIFS(allFYsTable[RevisedBudget], allFYsTable[Code], SummaryTable[[#This Row],[Code]], allFYsTable[year2], BE$3))</f>
        <v>109933</v>
      </c>
      <c r="BI114" s="61">
        <f>IF(COUNTIFS(allFYsTable[Code], SummaryTable[[#This Row],[Code]], allFYsTable[year2], BE$3)=0, NotFound, SUMIFS(allFYsTable[Actual], allFYsTable[Code], SummaryTable[[#This Row],[Code]], allFYsTable[year2], BE$3))</f>
        <v>109933</v>
      </c>
      <c r="BJ114" s="61">
        <f>IF(COUNTIFS(allFYsTable[Code], SummaryTable[[#This Row],[Code]], allFYsTable[year2], BE$3)=0, NotFound, SUMIFS(allFYsTable[DiffAmount], allFYsTable[Code], SummaryTable[[#This Row],[Code]], allFYsTable[year2], BE$3))</f>
        <v>0</v>
      </c>
      <c r="BK114" s="63">
        <f>IF(SummaryTable[[#This Row],[OriginalBudget21]]=0, IF(SummaryTable[[#This Row],[DiffAmount21]]=0, ZeroBudgetNoSpending, ZeroBudgetWithSpending), SummaryTable[[#This Row],[DiffAmount21]]/SummaryTable[[#This Row],[OriginalBudget21]])</f>
        <v>0</v>
      </c>
      <c r="BL114" s="62">
        <f>IF(COUNTIFS(allFYsTable[Code], SummaryTable[[#This Row],[Code]], allFYsTable[year2], BL$3)=0, NotFound, SUMIFS(allFYsTable[OriginalBudget], allFYsTable[Code], SummaryTable[[#This Row],[Code]], allFYsTable[year2], BL$3))</f>
        <v>93061</v>
      </c>
      <c r="BM114" s="61">
        <f>SummaryTable[[#This Row],[OriginalBudget20]]-SummaryTable[[#This Row],[OriginalBudget19]]</f>
        <v>739</v>
      </c>
      <c r="BN114" s="54">
        <f>SummaryTable[[#This Row],[BudgetIncreaseAmount20]]/SummaryTable[[#This Row],[OriginalBudget19]]</f>
        <v>8.0045926214770049E-3</v>
      </c>
      <c r="BO114" s="61">
        <f>IF(COUNTIFS(allFYsTable[Code], SummaryTable[[#This Row],[Code]], allFYsTable[year2], BL$3)=0, NotFound, SUMIFS(allFYsTable[RevisedBudget], allFYsTable[Code], SummaryTable[[#This Row],[Code]], allFYsTable[year2], BL$3))</f>
        <v>93061</v>
      </c>
      <c r="BP114" s="61">
        <f>IF(COUNTIFS(allFYsTable[Code], SummaryTable[[#This Row],[Code]], allFYsTable[year2], BL$3)=0, NotFound, SUMIFS(allFYsTable[Actual], allFYsTable[Code], SummaryTable[[#This Row],[Code]], allFYsTable[year2], BL$3))</f>
        <v>93061</v>
      </c>
      <c r="BQ114" s="61">
        <f>IF(COUNTIFS(allFYsTable[Code], SummaryTable[[#This Row],[Code]], allFYsTable[year2], BL$3)=0, NotFound, SUMIFS(allFYsTable[DiffAmount], allFYsTable[Code], SummaryTable[[#This Row],[Code]], allFYsTable[year2], BL$3))</f>
        <v>0</v>
      </c>
      <c r="BR114" s="63">
        <f>IF(SummaryTable[[#This Row],[OriginalBudget20]]=0, IF(SummaryTable[[#This Row],[DiffAmount20]]=0, ZeroBudgetNoSpending, ZeroBudgetWithSpending), SummaryTable[[#This Row],[DiffAmount20]]/SummaryTable[[#This Row],[OriginalBudget20]])</f>
        <v>0</v>
      </c>
      <c r="BS114" s="62">
        <f>IF(COUNTIFS(allFYsTable[Code], SummaryTable[[#This Row],[Code]], allFYsTable[year2], BS$3)=0, NotFound, SUMIFS(allFYsTable[OriginalBudget], allFYsTable[Code], SummaryTable[[#This Row],[Code]], allFYsTable[year2], BS$3))</f>
        <v>92322</v>
      </c>
      <c r="BT114" s="61">
        <f>SummaryTable[[#This Row],[OriginalBudget19]]-SummaryTable[[#This Row],[OriginalBudget18]]</f>
        <v>-13274</v>
      </c>
      <c r="BU114" s="54">
        <f>SummaryTable[[#This Row],[BudgetIncreaseAmount19]]/SummaryTable[[#This Row],[OriginalBudget18]]</f>
        <v>-0.1257055191484526</v>
      </c>
      <c r="BV114" s="61">
        <f>IF(COUNTIFS(allFYsTable[Code], SummaryTable[[#This Row],[Code]], allFYsTable[year2], BS$3)=0, NotFound, SUMIFS(allFYsTable[RevisedBudget], allFYsTable[Code], SummaryTable[[#This Row],[Code]], allFYsTable[year2], BS$3))</f>
        <v>92322</v>
      </c>
      <c r="BW114" s="61">
        <f>IF(COUNTIFS(allFYsTable[Code], SummaryTable[[#This Row],[Code]], allFYsTable[year2], BS$3)=0, NotFound, SUMIFS(allFYsTable[Actual], allFYsTable[Code], SummaryTable[[#This Row],[Code]], allFYsTable[year2], BS$3))</f>
        <v>91083</v>
      </c>
      <c r="BX114" s="61">
        <f>IF(COUNTIFS(allFYsTable[Code], SummaryTable[[#This Row],[Code]], allFYsTable[year2], BS$3)=0, NotFound, SUMIFS(allFYsTable[DiffAmount], allFYsTable[Code], SummaryTable[[#This Row],[Code]], allFYsTable[year2], BS$3))</f>
        <v>-1239</v>
      </c>
      <c r="BY114" s="63">
        <f>IF(SummaryTable[[#This Row],[OriginalBudget19]]=0, IF(SummaryTable[[#This Row],[DiffAmount19]]=0, ZeroBudgetNoSpending, ZeroBudgetWithSpending), SummaryTable[[#This Row],[DiffAmount19]]/SummaryTable[[#This Row],[OriginalBudget19]])</f>
        <v>-1.3420419834925586E-2</v>
      </c>
      <c r="BZ114" s="62">
        <f>IF(COUNTIFS(allFYsTable[Code], SummaryTable[[#This Row],[Code]], allFYsTable[year2], BZ$3)=0, NotFound, SUMIFS(allFYsTable[OriginalBudget], allFYsTable[Code], SummaryTable[[#This Row],[Code]], allFYsTable[year2], BZ$3))</f>
        <v>105596</v>
      </c>
      <c r="CA114" s="61">
        <f>SummaryTable[[#This Row],[OriginalBudget18]]-SummaryTable[[#This Row],[OriginalBudget17]]</f>
        <v>-40860</v>
      </c>
      <c r="CB114" s="54">
        <f>SummaryTable[[#This Row],[BudgetIncreaseAmount18]]/SummaryTable[[#This Row],[OriginalBudget17]]</f>
        <v>-0.27899164254110448</v>
      </c>
      <c r="CC114" s="61">
        <f>IF(COUNTIFS(allFYsTable[Code], SummaryTable[[#This Row],[Code]], allFYsTable[year2], BZ$3)=0, NotFound, SUMIFS(allFYsTable[RevisedBudget], allFYsTable[Code], SummaryTable[[#This Row],[Code]], allFYsTable[year2], BZ$3))</f>
        <v>105596</v>
      </c>
      <c r="CD114" s="61">
        <f>IF(COUNTIFS(allFYsTable[Code], SummaryTable[[#This Row],[Code]], allFYsTable[year2], BZ$3)=0, NotFound, SUMIFS(allFYsTable[Actual], allFYsTable[Code], SummaryTable[[#This Row],[Code]], allFYsTable[year2], BZ$3))</f>
        <v>105596</v>
      </c>
      <c r="CE114" s="61">
        <f>IF(COUNTIFS(allFYsTable[Code], SummaryTable[[#This Row],[Code]], allFYsTable[year2], BZ$3)=0, NotFound, SUMIFS(allFYsTable[DiffAmount], allFYsTable[Code], SummaryTable[[#This Row],[Code]], allFYsTable[year2], BZ$3))</f>
        <v>0</v>
      </c>
      <c r="CF114" s="63">
        <f>IF(SummaryTable[[#This Row],[OriginalBudget18]]=0, IF(SummaryTable[[#This Row],[DiffAmount18]]=0, ZeroBudgetNoSpending, ZeroBudgetWithSpending), SummaryTable[[#This Row],[DiffAmount18]]/SummaryTable[[#This Row],[OriginalBudget18]])</f>
        <v>0</v>
      </c>
      <c r="CG114" s="62">
        <f>IF(COUNTIFS(allFYsTable[Code], SummaryTable[[#This Row],[Code]], allFYsTable[year2], CG$3)=0, NotFound, SUMIFS(allFYsTable[OriginalBudget], allFYsTable[Code], SummaryTable[[#This Row],[Code]], allFYsTable[year2], CG$3))</f>
        <v>146456</v>
      </c>
      <c r="CH114" s="61">
        <f>SummaryTable[[#This Row],[OriginalBudget17]]-SummaryTable[[#This Row],[OriginalBudget16]]</f>
        <v>10341</v>
      </c>
      <c r="CI114" s="54">
        <f>SummaryTable[[#This Row],[BudgetIncreaseAmount17]]/SummaryTable[[#This Row],[OriginalBudget16]]</f>
        <v>7.5972523234030045E-2</v>
      </c>
      <c r="CJ114" s="61">
        <f>IF(COUNTIFS(allFYsTable[Code], SummaryTable[[#This Row],[Code]], allFYsTable[year2], CG$3)=0, NotFound, SUMIFS(allFYsTable[RevisedBudget], allFYsTable[Code], SummaryTable[[#This Row],[Code]], allFYsTable[year2], CG$3))</f>
        <v>146456</v>
      </c>
      <c r="CK114" s="61">
        <f>IF(COUNTIFS(allFYsTable[Code], SummaryTable[[#This Row],[Code]], allFYsTable[year2], CG$3)=0, NotFound, SUMIFS(allFYsTable[Actual], allFYsTable[Code], SummaryTable[[#This Row],[Code]], allFYsTable[year2], CG$3))</f>
        <v>145627</v>
      </c>
      <c r="CL114" s="61">
        <f>IF(COUNTIFS(allFYsTable[Code], SummaryTable[[#This Row],[Code]], allFYsTable[year2], CG$3)=0, NotFound, SUMIFS(allFYsTable[DiffAmount], allFYsTable[Code], SummaryTable[[#This Row],[Code]], allFYsTable[year2], CG$3))</f>
        <v>-829</v>
      </c>
      <c r="CM114" s="63">
        <f>IF(SummaryTable[[#This Row],[OriginalBudget17]]=0, IF(SummaryTable[[#This Row],[DiffAmount17]]=0, ZeroBudgetNoSpending, ZeroBudgetWithSpending), SummaryTable[[#This Row],[DiffAmount17]]/SummaryTable[[#This Row],[OriginalBudget17]])</f>
        <v>-5.6604031244879005E-3</v>
      </c>
      <c r="CN114" s="62">
        <f>IF(COUNTIFS(allFYsTable[Code], SummaryTable[[#This Row],[Code]], allFYsTable[year2], CN$3)=0, NotFound, SUMIFS(allFYsTable[OriginalBudget], allFYsTable[Code], SummaryTable[[#This Row],[Code]], allFYsTable[year2], CN$3))</f>
        <v>136115</v>
      </c>
      <c r="CO114" s="61">
        <f>SummaryTable[[#This Row],[OriginalBudget16]]-SummaryTable[[#This Row],[OriginalBudget15]]</f>
        <v>24785</v>
      </c>
      <c r="CP114" s="54">
        <f>SummaryTable[[#This Row],[BudgetIncreaseAmount16]]/SummaryTable[[#This Row],[OriginalBudget15]]</f>
        <v>0.22262642594089643</v>
      </c>
      <c r="CQ114" s="61">
        <f>IF(COUNTIFS(allFYsTable[Code], SummaryTable[[#This Row],[Code]], allFYsTable[year2], CN$3)=0, NotFound, SUMIFS(allFYsTable[RevisedBudget], allFYsTable[Code], SummaryTable[[#This Row],[Code]], allFYsTable[year2], CN$3))</f>
        <v>136115</v>
      </c>
      <c r="CR114" s="61">
        <f>IF(COUNTIFS(allFYsTable[Code], SummaryTable[[#This Row],[Code]], allFYsTable[year2], CN$3)=0, NotFound, SUMIFS(allFYsTable[Actual], allFYsTable[Code], SummaryTable[[#This Row],[Code]], allFYsTable[year2], CN$3))</f>
        <v>135577</v>
      </c>
      <c r="CS114" s="61">
        <f>IF(COUNTIFS(allFYsTable[Code], SummaryTable[[#This Row],[Code]], allFYsTable[year2], CN$3)=0, NotFound, SUMIFS(allFYsTable[DiffAmount], allFYsTable[Code], SummaryTable[[#This Row],[Code]], allFYsTable[year2], CN$3))</f>
        <v>-538</v>
      </c>
      <c r="CT114" s="63">
        <f>IF(SummaryTable[[#This Row],[OriginalBudget16]]=0, IF(SummaryTable[[#This Row],[DiffAmount16]]=0, ZeroBudgetNoSpending, ZeroBudgetWithSpending), SummaryTable[[#This Row],[DiffAmount16]]/SummaryTable[[#This Row],[OriginalBudget16]])</f>
        <v>-3.9525401315064464E-3</v>
      </c>
      <c r="CU114" s="62">
        <f>IF(COUNTIFS(allFYsTable[Code], SummaryTable[[#This Row],[Code]], allFYsTable[year2], CU$3)=0, NotFound, SUMIFS(allFYsTable[OriginalBudget], allFYsTable[Code], SummaryTable[[#This Row],[Code]], allFYsTable[year2], CU$3))</f>
        <v>111330</v>
      </c>
      <c r="CV114" s="61">
        <f>SummaryTable[[#This Row],[OriginalBudget15]]-SummaryTable[[#This Row],[OriginalBudget14]]</f>
        <v>564</v>
      </c>
      <c r="CW114" s="54">
        <f>SummaryTable[[#This Row],[BudgetIncreaseAmount15]]/SummaryTable[[#This Row],[OriginalBudget14]]</f>
        <v>5.0918151779426896E-3</v>
      </c>
      <c r="CX114" s="61">
        <f>IF(COUNTIFS(allFYsTable[Code], SummaryTable[[#This Row],[Code]], allFYsTable[year2], CU$3)=0, NotFound, SUMIFS(allFYsTable[RevisedBudget], allFYsTable[Code], SummaryTable[[#This Row],[Code]], allFYsTable[year2], CU$3))</f>
        <v>111330</v>
      </c>
      <c r="CY114" s="61">
        <f>IF(COUNTIFS(allFYsTable[Code], SummaryTable[[#This Row],[Code]], allFYsTable[year2], CU$3)=0, NotFound, SUMIFS(allFYsTable[Actual], allFYsTable[Code], SummaryTable[[#This Row],[Code]], allFYsTable[year2], CU$3))</f>
        <v>103430</v>
      </c>
      <c r="CZ114" s="61">
        <f>IF(COUNTIFS(allFYsTable[Code], SummaryTable[[#This Row],[Code]], allFYsTable[year2], CU$3)=0, NotFound, SUMIFS(allFYsTable[DiffAmount], allFYsTable[Code], SummaryTable[[#This Row],[Code]], allFYsTable[year2], CU$3))</f>
        <v>-7900</v>
      </c>
      <c r="DA114" s="63">
        <f>IF(SummaryTable[[#This Row],[OriginalBudget15]]=0, IF(SummaryTable[[#This Row],[DiffAmount15]]=0, ZeroBudgetNoSpending, ZeroBudgetWithSpending), SummaryTable[[#This Row],[DiffAmount15]]/SummaryTable[[#This Row],[OriginalBudget15]])</f>
        <v>-7.0960208389472743E-2</v>
      </c>
      <c r="DB114" s="62">
        <f>IF(COUNTIFS(allFYsTable[Code], SummaryTable[[#This Row],[Code]], allFYsTable[year2], DB$3)=0, NotFound, SUMIFS(allFYsTable[OriginalBudget], allFYsTable[Code], SummaryTable[[#This Row],[Code]], allFYsTable[year2], DB$3))</f>
        <v>110766</v>
      </c>
      <c r="DC114" s="61">
        <f>SummaryTable[[#This Row],[OriginalBudget14]]-SummaryTable[[#This Row],[OriginalBudget13]]</f>
        <v>14452</v>
      </c>
      <c r="DD114" s="54">
        <f>SummaryTable[[#This Row],[BudgetIncreaseAmount14]]/SummaryTable[[#This Row],[OriginalBudget13]]</f>
        <v>0.15005087526216335</v>
      </c>
      <c r="DE114" s="61">
        <f>IF(COUNTIFS(allFYsTable[Code], SummaryTable[[#This Row],[Code]], allFYsTable[year2], DB$3)=0, NotFound, SUMIFS(allFYsTable[RevisedBudget], allFYsTable[Code], SummaryTable[[#This Row],[Code]], allFYsTable[year2], DB$3))</f>
        <v>110766</v>
      </c>
      <c r="DF114" s="61">
        <f>IF(COUNTIFS(allFYsTable[Code], SummaryTable[[#This Row],[Code]], allFYsTable[year2], DB$3)=0, NotFound, SUMIFS(allFYsTable[Actual], allFYsTable[Code], SummaryTable[[#This Row],[Code]], allFYsTable[year2], DB$3))</f>
        <v>109199</v>
      </c>
      <c r="DG114" s="61">
        <f>IF(COUNTIFS(allFYsTable[Code], SummaryTable[[#This Row],[Code]], allFYsTable[year2], DB$3)=0, NotFound, SUMIFS(allFYsTable[DiffAmount], allFYsTable[Code], SummaryTable[[#This Row],[Code]], allFYsTable[year2], DB$3))</f>
        <v>-1567</v>
      </c>
      <c r="DH114" s="63">
        <f>IF(SummaryTable[[#This Row],[OriginalBudget14]]=0, IF(SummaryTable[[#This Row],[DiffAmount14]]=0, ZeroBudgetNoSpending, ZeroBudgetWithSpending), SummaryTable[[#This Row],[DiffAmount14]]/SummaryTable[[#This Row],[OriginalBudget14]])</f>
        <v>-1.4146940396872686E-2</v>
      </c>
      <c r="DI114" s="62">
        <f>IF(COUNTIFS(allFYsTable[Code], SummaryTable[[#This Row],[Code]], allFYsTable[year2], DI$3)=0, NotFound, SUMIFS(allFYsTable[OriginalBudget], allFYsTable[Code], SummaryTable[[#This Row],[Code]], allFYsTable[year2], DI$3))</f>
        <v>96314</v>
      </c>
      <c r="DJ114" s="61">
        <f>SummaryTable[[#This Row],[OriginalBudget13]]-SummaryTable[[#This Row],[OriginalBudget12]]</f>
        <v>-20386</v>
      </c>
      <c r="DK114" s="54">
        <f>SummaryTable[[#This Row],[BudgetIncreaseAmount13]]/SummaryTable[[#This Row],[OriginalBudget12]]</f>
        <v>-0.17468723221936588</v>
      </c>
      <c r="DL114" s="61">
        <f>IF(COUNTIFS(allFYsTable[Code], SummaryTable[[#This Row],[Code]], allFYsTable[year2], DI$3)=0, NotFound, SUMIFS(allFYsTable[RevisedBudget], allFYsTable[Code], SummaryTable[[#This Row],[Code]], allFYsTable[year2], DI$3))</f>
        <v>96314</v>
      </c>
      <c r="DM114" s="61">
        <f>IF(COUNTIFS(allFYsTable[Code], SummaryTable[[#This Row],[Code]], allFYsTable[year2], DI$3)=0, NotFound, SUMIFS(allFYsTable[Actual], allFYsTable[Code], SummaryTable[[#This Row],[Code]], allFYsTable[year2], DI$3))</f>
        <v>96314</v>
      </c>
      <c r="DN114" s="61">
        <f>IF(COUNTIFS(allFYsTable[Code], SummaryTable[[#This Row],[Code]], allFYsTable[year2], DI$3)=0, NotFound, SUMIFS(allFYsTable[DiffAmount], allFYsTable[Code], SummaryTable[[#This Row],[Code]], allFYsTable[year2], DI$3))</f>
        <v>0</v>
      </c>
      <c r="DO114" s="63">
        <f>IF(SummaryTable[[#This Row],[OriginalBudget13]]=0, IF(SummaryTable[[#This Row],[DiffAmount13]]=0, ZeroBudgetNoSpending, ZeroBudgetWithSpending), SummaryTable[[#This Row],[DiffAmount13]]/SummaryTable[[#This Row],[OriginalBudget13]])</f>
        <v>0</v>
      </c>
      <c r="DP114" s="62">
        <f>IF(COUNTIFS(allFYsTable[Code], SummaryTable[[#This Row],[Code]], allFYsTable[year2], DP$3)=0, NotFound, SUMIFS(allFYsTable[OriginalBudget], allFYsTable[Code], SummaryTable[[#This Row],[Code]], allFYsTable[year2], DP$3))</f>
        <v>116700</v>
      </c>
      <c r="DQ114" s="61">
        <f>SummaryTable[[#This Row],[OriginalBudget12]]-SummaryTable[[#This Row],[OriginalBudget11]]</f>
        <v>-10500</v>
      </c>
      <c r="DR114" s="54">
        <f>SummaryTable[[#This Row],[BudgetIncreaseAmount12]]/SummaryTable[[#This Row],[OriginalBudget11]]</f>
        <v>-8.254716981132075E-2</v>
      </c>
      <c r="DS114" s="61">
        <f>IF(COUNTIFS(allFYsTable[Code], SummaryTable[[#This Row],[Code]], allFYsTable[year2], DP$3)=0, NotFound, SUMIFS(allFYsTable[RevisedBudget], allFYsTable[Code], SummaryTable[[#This Row],[Code]], allFYsTable[year2], DP$3))</f>
        <v>116700</v>
      </c>
      <c r="DT114" s="61">
        <f>IF(COUNTIFS(allFYsTable[Code], SummaryTable[[#This Row],[Code]], allFYsTable[year2], DP$3)=0, NotFound, SUMIFS(allFYsTable[Actual], allFYsTable[Code], SummaryTable[[#This Row],[Code]], allFYsTable[year2], DP$3))</f>
        <v>116700</v>
      </c>
      <c r="DU114" s="61">
        <f>IF(COUNTIFS(allFYsTable[Code], SummaryTable[[#This Row],[Code]], allFYsTable[year2], DP$3)=0, NotFound, SUMIFS(allFYsTable[DiffAmount], allFYsTable[Code], SummaryTable[[#This Row],[Code]], allFYsTable[year2], DP$3))</f>
        <v>0</v>
      </c>
      <c r="DV114" s="63">
        <f>IF(SummaryTable[[#This Row],[OriginalBudget12]]=0, IF(SummaryTable[[#This Row],[DiffAmount12]]=0, ZeroBudgetNoSpending, ZeroBudgetWithSpending), SummaryTable[[#This Row],[DiffAmount12]]/SummaryTable[[#This Row],[OriginalBudget12]])</f>
        <v>0</v>
      </c>
      <c r="DW114" s="62">
        <f>IF(COUNTIFS(allFYsTable[Code], SummaryTable[[#This Row],[Code]], allFYsTable[year2], DW$3)=0, NotFound, SUMIFS(allFYsTable[OriginalBudget], allFYsTable[Code], SummaryTable[[#This Row],[Code]], allFYsTable[year2], DW$3))</f>
        <v>127200</v>
      </c>
      <c r="DX114" s="61">
        <f>SummaryTable[[#This Row],[OriginalBudget11]]-SummaryTable[[#This Row],[OriginalBudget10]]</f>
        <v>-5775</v>
      </c>
      <c r="DY114" s="54">
        <f>SummaryTable[[#This Row],[BudgetIncreaseAmount11]]/SummaryTable[[#This Row],[OriginalBudget10]]</f>
        <v>-4.3429216018048507E-2</v>
      </c>
      <c r="DZ114" s="61">
        <f>IF(COUNTIFS(allFYsTable[Code], SummaryTable[[#This Row],[Code]], allFYsTable[year2], DW$3)=0, NotFound, SUMIFS(allFYsTable[RevisedBudget], allFYsTable[Code], SummaryTable[[#This Row],[Code]], allFYsTable[year2], DW$3))</f>
        <v>127200</v>
      </c>
      <c r="EA114" s="61">
        <f>IF(COUNTIFS(allFYsTable[Code], SummaryTable[[#This Row],[Code]], allFYsTable[year2], DW$3)=0, NotFound, SUMIFS(allFYsTable[Actual], allFYsTable[Code], SummaryTable[[#This Row],[Code]], allFYsTable[year2], DW$3))</f>
        <v>127200</v>
      </c>
      <c r="EB114" s="61">
        <f>IF(COUNTIFS(allFYsTable[Code], SummaryTable[[#This Row],[Code]], allFYsTable[year2], DW$3)=0, NotFound, SUMIFS(allFYsTable[DiffAmount], allFYsTable[Code], SummaryTable[[#This Row],[Code]], allFYsTable[year2], DW$3))</f>
        <v>0</v>
      </c>
      <c r="EC114" s="63">
        <f>IF(SummaryTable[[#This Row],[OriginalBudget11]]=0, IF(SummaryTable[[#This Row],[DiffAmount11]]=0, ZeroBudgetNoSpending, ZeroBudgetWithSpending), SummaryTable[[#This Row],[DiffAmount11]]/SummaryTable[[#This Row],[OriginalBudget11]])</f>
        <v>0</v>
      </c>
      <c r="ED114" s="62">
        <f>IF(COUNTIFS(allFYsTable[Code], SummaryTable[[#This Row],[Code]], allFYsTable[year2], ED$3)=0, NotFound, SUMIFS(allFYsTable[OriginalBudget], allFYsTable[Code], SummaryTable[[#This Row],[Code]], allFYsTable[year2], ED$3))</f>
        <v>132975</v>
      </c>
      <c r="EE114" s="61">
        <f>SummaryTable[[#This Row],[OriginalBudget10]]-SummaryTable[[#This Row],[OriginalBudget09]]</f>
        <v>22075</v>
      </c>
      <c r="EF114" s="54">
        <f>SummaryTable[[#This Row],[BudgetIncreaseAmount10]]/SummaryTable[[#This Row],[OriginalBudget09]]</f>
        <v>0.1990532010820559</v>
      </c>
      <c r="EG114" s="61">
        <f>IF(COUNTIFS(allFYsTable[Code], SummaryTable[[#This Row],[Code]], allFYsTable[year2], ED$3)=0, NotFound, SUMIFS(allFYsTable[RevisedBudget], allFYsTable[Code], SummaryTable[[#This Row],[Code]], allFYsTable[year2], ED$3))</f>
        <v>132975</v>
      </c>
      <c r="EH114" s="61">
        <f>IF(COUNTIFS(allFYsTable[Code], SummaryTable[[#This Row],[Code]], allFYsTable[year2], ED$3)=0, NotFound, SUMIFS(allFYsTable[Actual], allFYsTable[Code], SummaryTable[[#This Row],[Code]], allFYsTable[year2], ED$3))</f>
        <v>132300</v>
      </c>
      <c r="EI114" s="61">
        <f>IF(COUNTIFS(allFYsTable[Code], SummaryTable[[#This Row],[Code]], allFYsTable[year2], ED$3)=0, NotFound, SUMIFS(allFYsTable[DiffAmount], allFYsTable[Code], SummaryTable[[#This Row],[Code]], allFYsTable[year2], ED$3))</f>
        <v>-675</v>
      </c>
      <c r="EJ114" s="63">
        <f>IF(SummaryTable[[#This Row],[OriginalBudget10]]=0, IF(SummaryTable[[#This Row],[DiffAmount10]]=0, ZeroBudgetNoSpending, ZeroBudgetWithSpending), SummaryTable[[#This Row],[DiffAmount10]]/SummaryTable[[#This Row],[OriginalBudget10]])</f>
        <v>-5.076142131979695E-3</v>
      </c>
      <c r="EK114" s="62">
        <f>IF(COUNTIFS(allFYsTable[Code], SummaryTable[[#This Row],[Code]], allFYsTable[year2], EK$3)=0, NotFound, SUMIFS(allFYsTable[OriginalBudget], allFYsTable[Code], SummaryTable[[#This Row],[Code]], allFYsTable[year2], EK$3))</f>
        <v>110900</v>
      </c>
      <c r="EL114" s="61">
        <f>SummaryTable[[#This Row],[OriginalBudget09]]-SummaryTable[[#This Row],[OriginalBudget08]]</f>
        <v>-26100</v>
      </c>
      <c r="EM114" s="54">
        <f>SummaryTable[[#This Row],[BudgetIncreaseAmount09]]/SummaryTable[[#This Row],[OriginalBudget08]]</f>
        <v>-0.1905109489051095</v>
      </c>
      <c r="EN114" s="61">
        <f>IF(COUNTIFS(allFYsTable[Code], SummaryTable[[#This Row],[Code]], allFYsTable[year2], EK$3)=0, NotFound, SUMIFS(allFYsTable[RevisedBudget], allFYsTable[Code], SummaryTable[[#This Row],[Code]], allFYsTable[year2], EK$3))</f>
        <v>106000</v>
      </c>
      <c r="EO114" s="61">
        <f>IF(COUNTIFS(allFYsTable[Code], SummaryTable[[#This Row],[Code]], allFYsTable[year2], EK$3)=0, NotFound, SUMIFS(allFYsTable[Actual], allFYsTable[Code], SummaryTable[[#This Row],[Code]], allFYsTable[year2], EK$3))</f>
        <v>106000</v>
      </c>
      <c r="EP114" s="61">
        <f>IF(COUNTIFS(allFYsTable[Code], SummaryTable[[#This Row],[Code]], allFYsTable[year2], EK$3)=0, NotFound, SUMIFS(allFYsTable[DiffAmount], allFYsTable[Code], SummaryTable[[#This Row],[Code]], allFYsTable[year2], EK$3))</f>
        <v>-4900</v>
      </c>
      <c r="EQ114" s="63">
        <f>IF(SummaryTable[[#This Row],[OriginalBudget09]]=0, IF(SummaryTable[[#This Row],[DiffAmount09]]=0, ZeroBudgetNoSpending, ZeroBudgetWithSpending), SummaryTable[[#This Row],[DiffAmount09]]/SummaryTable[[#This Row],[OriginalBudget09]])</f>
        <v>-4.4183949504057712E-2</v>
      </c>
      <c r="ER114" s="62">
        <f>IF(COUNTIFS(allFYsTable[Code], SummaryTable[[#This Row],[Code]], allFYsTable[year2], ER$3)=0, NotFound, SUMIFS(allFYsTable[OriginalBudget], allFYsTable[Code], SummaryTable[[#This Row],[Code]], allFYsTable[year2], ER$3))</f>
        <v>137000</v>
      </c>
      <c r="ES114" s="61">
        <f>SummaryTable[[#This Row],[OriginalBudget08]]-SummaryTable[[#This Row],[OriginalBudget07]]</f>
        <v>-3100</v>
      </c>
      <c r="ET114" s="54">
        <f>SummaryTable[[#This Row],[BudgetIncreaseAmount08]]/SummaryTable[[#This Row],[OriginalBudget07]]</f>
        <v>-2.2127052105638829E-2</v>
      </c>
      <c r="EU114" s="61">
        <f>IF(COUNTIFS(allFYsTable[Code], SummaryTable[[#This Row],[Code]], allFYsTable[year2], ER$3)=0, NotFound, SUMIFS(allFYsTable[RevisedBudget], allFYsTable[Code], SummaryTable[[#This Row],[Code]], allFYsTable[year2], ER$3))</f>
        <v>137000</v>
      </c>
      <c r="EV114" s="61">
        <f>IF(COUNTIFS(allFYsTable[Code], SummaryTable[[#This Row],[Code]], allFYsTable[year2], ER$3)=0, NotFound, SUMIFS(allFYsTable[Actual], allFYsTable[Code], SummaryTable[[#This Row],[Code]], allFYsTable[year2], ER$3))</f>
        <v>137000</v>
      </c>
      <c r="EW114" s="61">
        <f>IF(COUNTIFS(allFYsTable[Code], SummaryTable[[#This Row],[Code]], allFYsTable[year2], ER$3)=0, NotFound, SUMIFS(allFYsTable[DiffAmount], allFYsTable[Code], SummaryTable[[#This Row],[Code]], allFYsTable[year2], ER$3))</f>
        <v>0</v>
      </c>
      <c r="EX114" s="63">
        <f>IF(SummaryTable[[#This Row],[OriginalBudget08]]=0, IF(SummaryTable[[#This Row],[DiffAmount08]]=0, ZeroBudgetNoSpending, ZeroBudgetWithSpending), SummaryTable[[#This Row],[DiffAmount08]]/SummaryTable[[#This Row],[OriginalBudget08]])</f>
        <v>0</v>
      </c>
      <c r="EY114" s="62">
        <f>IF(COUNTIFS(allFYsTable[Code], SummaryTable[[#This Row],[Code]], allFYsTable[year2], EY$3)=0, NotFound, SUMIFS(allFYsTable[OriginalBudget], allFYsTable[Code], SummaryTable[[#This Row],[Code]], allFYsTable[year2], EY$3))</f>
        <v>140100</v>
      </c>
      <c r="EZ114" s="61">
        <f>SummaryTable[[#This Row],[OriginalBudget07]]-SummaryTable[[#This Row],[OriginalBudget06]]</f>
        <v>22600</v>
      </c>
      <c r="FA114" s="54">
        <f>SummaryTable[[#This Row],[BudgetIncreaseAmount07]]/SummaryTable[[#This Row],[OriginalBudget06]]</f>
        <v>0.19234042553191488</v>
      </c>
      <c r="FB114" s="61">
        <f>IF(COUNTIFS(allFYsTable[Code], SummaryTable[[#This Row],[Code]], allFYsTable[year2], EY$3)=0, NotFound, SUMIFS(allFYsTable[RevisedBudget], allFYsTable[Code], SummaryTable[[#This Row],[Code]], allFYsTable[year2], EY$3))</f>
        <v>140100</v>
      </c>
      <c r="FC114" s="61">
        <f>IF(COUNTIFS(allFYsTable[Code], SummaryTable[[#This Row],[Code]], allFYsTable[year2], EY$3)=0, NotFound, SUMIFS(allFYsTable[Actual], allFYsTable[Code], SummaryTable[[#This Row],[Code]], allFYsTable[year2], EY$3))</f>
        <v>140100</v>
      </c>
      <c r="FD114" s="61">
        <f>IF(COUNTIFS(allFYsTable[Code], SummaryTable[[#This Row],[Code]], allFYsTable[year2], EY$3)=0, NotFound, SUMIFS(allFYsTable[DiffAmount], allFYsTable[Code], SummaryTable[[#This Row],[Code]], allFYsTable[year2], EY$3))</f>
        <v>0</v>
      </c>
      <c r="FE114" s="63">
        <f>IF(SummaryTable[[#This Row],[OriginalBudget07]]=0, IF(SummaryTable[[#This Row],[DiffAmount07]]=0, ZeroBudgetNoSpending, ZeroBudgetWithSpending), SummaryTable[[#This Row],[DiffAmount07]]/SummaryTable[[#This Row],[OriginalBudget07]])</f>
        <v>0</v>
      </c>
      <c r="FF114" s="62">
        <f>IF(COUNTIFS(allFYsTable[Code], SummaryTable[[#This Row],[Code]], allFYsTable[year2], FF$3)=0, NotFound, SUMIFS(allFYsTable[OriginalBudget], allFYsTable[Code], SummaryTable[[#This Row],[Code]], allFYsTable[year2], FF$3))</f>
        <v>117500</v>
      </c>
      <c r="FI114" s="61">
        <f>IF(COUNTIFS(allFYsTable[Code], SummaryTable[[#This Row],[Code]], allFYsTable[year2], FF$3)=0, NotFound, SUMIFS(allFYsTable[RevisedBudget], allFYsTable[Code], SummaryTable[[#This Row],[Code]], allFYsTable[year2], FF$3))</f>
        <v>117500</v>
      </c>
      <c r="FJ114" s="61">
        <f>IF(COUNTIFS(allFYsTable[Code], SummaryTable[[#This Row],[Code]], allFYsTable[year2], FF$3)=0, NotFound, SUMIFS(allFYsTable[Actual], allFYsTable[Code], SummaryTable[[#This Row],[Code]], allFYsTable[year2], FF$3))</f>
        <v>117500</v>
      </c>
      <c r="FK114" s="61">
        <f>IF(COUNTIFS(allFYsTable[Code], SummaryTable[[#This Row],[Code]], allFYsTable[year2], FF$3)=0, NotFound, SUMIFS(allFYsTable[DiffAmount], allFYsTable[Code], SummaryTable[[#This Row],[Code]], allFYsTable[year2], FF$3))</f>
        <v>0</v>
      </c>
      <c r="FL114" s="63">
        <f>IF(SummaryTable[[#This Row],[OriginalBudget06]]=0, IF(SummaryTable[[#This Row],[DiffAmount06]]=0, ZeroBudgetNoSpending, ZeroBudgetWithSpending), SummaryTable[[#This Row],[DiffAmount06]]/SummaryTable[[#This Row],[OriginalBudget06]])</f>
        <v>0</v>
      </c>
    </row>
    <row r="115" spans="1:168" x14ac:dyDescent="0.45">
      <c r="A115" t="s">
        <v>730</v>
      </c>
      <c r="B115">
        <f>_xlfn.MAXIFS(allFYsTable[year2], allFYsTable[Code], SummaryTable[[#This Row],[Code]])</f>
        <v>2025</v>
      </c>
      <c r="C115" t="str">
        <f>_xlfn.XLOOKUP(SummaryTable[[#This Row],[Code]], NameCodingTable[Code], NameCodingTable[Most Recent Category per allFYs])</f>
        <v>Governmental direction and support</v>
      </c>
      <c r="D115" t="str">
        <f>_xlfn.XLOOKUP(SummaryTable[[#This Row],[Code]], NameCodingTable[Code], NameCodingTable[Unit Display Name])</f>
        <v>Public Employee Relations Board (PERB)</v>
      </c>
      <c r="E115" t="str">
        <f>_xlfn.XLOOKUP(SummaryTable[[#This Row],[Code]], NameCodingTable[Code], NameCodingTable[Type])</f>
        <v>agency</v>
      </c>
      <c r="F11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1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5</v>
      </c>
      <c r="H115" s="54">
        <f>SummaryTable[[#This Row],['# Over]]/SummaryTable[[#This Row],[Count]]</f>
        <v>0.25</v>
      </c>
      <c r="I11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15</v>
      </c>
      <c r="J115" s="54">
        <f>SummaryTable[[#This Row],['# Under]]/SummaryTable[[#This Row],[Count]]</f>
        <v>0.75</v>
      </c>
      <c r="K11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15" s="54">
        <f>SummaryTable[[#This Row],['# Equal]]/SummaryTable[[#This Row],[Count]]</f>
        <v>0</v>
      </c>
      <c r="M115" s="61">
        <f>SUMIFS(allFYsTable[OriginalBudget],allFYsTable[Code],SummaryTable[[#This Row],[Code]])/SummaryTable[[#This Row],[Count]]</f>
        <v>1224.3</v>
      </c>
      <c r="N115" s="61">
        <f>SUMIFS(allFYsTable[Actual],allFYsTable[Code],SummaryTable[[#This Row],[Code]])/SummaryTable[[#This Row],[Count]]</f>
        <v>1141.5999999999999</v>
      </c>
      <c r="O115" s="61">
        <f>SummaryTable[[#This Row],[AvgActAmt]]-SummaryTable[[#This Row],[AvgBudAmt]]</f>
        <v>-82.700000000000045</v>
      </c>
      <c r="P115" s="54">
        <f>IF(SummaryTable[[#This Row],[AvgBudAmt]]=0, IF(SummaryTable[[#This Row],[AvgDiff'#]]=0, 0, NamedFields!$C$3), SummaryTable[[#This Row],[AvgDiff'#]]/SummaryTable[[#This Row],[AvgBudAmt]])</f>
        <v>-6.7548803397860041E-2</v>
      </c>
      <c r="Q115" s="61">
        <f>IFERROR(SUMIFS(allFYsTable[OriginalBudget],allFYsTable[Code],SummaryTable[[#This Row],[Code]],allFYsTable[DiffAmount], "&gt;0")/SummaryTable[[#This Row],['# Over]], 0)</f>
        <v>1070</v>
      </c>
      <c r="R115" s="61">
        <f>IFERROR(SUMIFS(allFYsTable[Actual],allFYsTable[Code],SummaryTable[[#This Row],[Code]],allFYsTable[DiffAmount], "&gt;0")/SummaryTable[[#This Row],['# Over]], 0)</f>
        <v>1128.4000000000001</v>
      </c>
      <c r="S115" s="61">
        <f>SummaryTable[[#This Row],[OverAvgAct]]-SummaryTable[[#This Row],[OverAvgBud]]</f>
        <v>58.400000000000091</v>
      </c>
      <c r="T115" s="54">
        <f>IF(SummaryTable[[#This Row],[OverAvgBud]]=0, IF(SummaryTable[[#This Row],[OverAvgDiff'#]]=0, ZeroBudgetNoSpending, ZeroBudgetWithSpending), SummaryTable[[#This Row],[OverAvgDiff'#]]/SummaryTable[[#This Row],[OverAvgBud]])</f>
        <v>5.4579439252336534E-2</v>
      </c>
      <c r="U115" s="61">
        <f>IFERROR(SUMIFS(allFYsTable[OriginalBudget],allFYsTable[Code],SummaryTable[[#This Row],[Code]],allFYsTable[DiffAmount], "&lt;0")/SummaryTable[[#This Row],['# Under]], 0)</f>
        <v>1275.7333333333333</v>
      </c>
      <c r="V115" s="61">
        <f>IFERROR( SUMIFS(allFYsTable[Actual],allFYsTable[Code],SummaryTable[[#This Row],[Code]],allFYsTable[DiffAmount], "&lt;0")/SummaryTable[[#This Row],['# Under]], 0)</f>
        <v>1146</v>
      </c>
      <c r="W115" s="61">
        <f>SummaryTable[[#This Row],[UnderAvgAct]]-SummaryTable[[#This Row],[UnderAvgBud]]</f>
        <v>-129.73333333333335</v>
      </c>
      <c r="X115" s="54">
        <f>IF(SummaryTable[[#This Row],[UnderAvgBud]]=0, IF(SummaryTable[[#This Row],[UnderAvgDiff'#]]=0, ZeroBudgetNoSpending, NamedFields!$C$3), SummaryTable[[#This Row],[UnderAvgDiff'#]]/SummaryTable[[#This Row],[UnderAvgBud]])</f>
        <v>-0.10169314381270904</v>
      </c>
      <c r="Y11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1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15" s="54">
        <f>IF(SummaryTable[[#This Row],[IncreaseYears]]=0, ZeroBudgetNoSpending, SummaryTable[[#This Row],[OSinIncreaseYear'#]]/SummaryTable[[#This Row],[IncreaseYears]])</f>
        <v>0</v>
      </c>
      <c r="AB115" s="58" t="str">
        <f>SummaryTable[[#This Row],[Code]]</f>
        <v>CG0</v>
      </c>
      <c r="AC115" s="62">
        <f>IF(COUNTIFS(allFYsTable[Code], SummaryTable[[#This Row],[Code]], allFYsTable[year2], AC$3)=0, NotFound, SUMIFS(allFYsTable[OriginalBudget], allFYsTable[Code], SummaryTable[[#This Row],[Code]], allFYsTable[year2], AC$3))</f>
        <v>1421</v>
      </c>
      <c r="AD115" s="61">
        <f>SummaryTable[[#This Row],[OriginalBudget25]]-SummaryTable[[#This Row],[OriginalBudget24]]</f>
        <v>-16</v>
      </c>
      <c r="AE115" s="54">
        <f>SummaryTable[[#This Row],[BudgetIncreaseAmount25]]/SummaryTable[[#This Row],[OriginalBudget24]]</f>
        <v>-1.1134307585247043E-2</v>
      </c>
      <c r="AF115" s="61">
        <f>IF(COUNTIFS(allFYsTable[Code], SummaryTable[[#This Row],[Code]], allFYsTable[year2], AC$3)=0, NotFound, SUMIFS(allFYsTable[RevisedBudget], allFYsTable[Code], SummaryTable[[#This Row],[Code]], allFYsTable[year2], AC$3))</f>
        <v>1231</v>
      </c>
      <c r="AG115" s="61">
        <f>IF(COUNTIFS(allFYsTable[Code], SummaryTable[[#This Row],[Code]], allFYsTable[year2], AC$3)=0, NotFound, SUMIFS(allFYsTable[Actual], allFYsTable[Code], SummaryTable[[#This Row],[Code]], allFYsTable[year2], AC$3))</f>
        <v>1203</v>
      </c>
      <c r="AH115" s="61">
        <f>IF(COUNTIFS(allFYsTable[Code], SummaryTable[[#This Row],[Code]], allFYsTable[year2], AC$3)=0, NotFound, SUMIFS(allFYsTable[DiffAmount], allFYsTable[Code], SummaryTable[[#This Row],[Code]], allFYsTable[year2], AC$3))</f>
        <v>-218</v>
      </c>
      <c r="AI115" s="63">
        <f>IF(SummaryTable[[#This Row],[OriginalBudget25]]=0, IF(SummaryTable[[#This Row],[DiffAmount25]]=0, ZeroBudgetNoSpending, ZeroBudgetWithSpending), SummaryTable[[#This Row],[DiffAmount25]]/SummaryTable[[#This Row],[OriginalBudget25]])</f>
        <v>-0.15341308937368051</v>
      </c>
      <c r="AJ115" s="62">
        <f>IF(COUNTIFS(allFYsTable[Code], SummaryTable[[#This Row],[Code]], allFYsTable[year2], AJ$3)=0, NotFound, SUMIFS(allFYsTable[OriginalBudget], allFYsTable[Code], SummaryTable[[#This Row],[Code]], allFYsTable[year2], AJ$3))</f>
        <v>1437</v>
      </c>
      <c r="AK115" s="61">
        <f>SummaryTable[[#This Row],[OriginalBudget24]]-SummaryTable[[#This Row],[OriginalBudget23]]</f>
        <v>74</v>
      </c>
      <c r="AL115" s="54">
        <f>SummaryTable[[#This Row],[BudgetIncreaseAmount24]]/SummaryTable[[#This Row],[OriginalBudget23]]</f>
        <v>5.4292002934702863E-2</v>
      </c>
      <c r="AM115" s="61">
        <f>IF(COUNTIFS(allFYsTable[Code], SummaryTable[[#This Row],[Code]], allFYsTable[year2], AK$3)=0, NotFound, SUMIFS(allFYsTable[RevisedBudget], allFYsTable[Code], SummaryTable[[#This Row],[Code]], allFYsTable[year2], AJ$3))</f>
        <v>1432</v>
      </c>
      <c r="AN115" s="61">
        <f>IF(COUNTIFS(allFYsTable[Code], SummaryTable[[#This Row],[Code]], allFYsTable[year2], AJ$3)=0, NotFound, SUMIFS(allFYsTable[Actual], allFYsTable[Code], SummaryTable[[#This Row],[Code]], allFYsTable[year2], AJ$3))</f>
        <v>1287</v>
      </c>
      <c r="AO115" s="61">
        <f>IF(COUNTIFS(allFYsTable[Code], SummaryTable[[#This Row],[Code]], allFYsTable[year2], AJ$3)=0, NotFound, SUMIFS(allFYsTable[DiffAmount], allFYsTable[Code], SummaryTable[[#This Row],[Code]], allFYsTable[year2], AJ$3))</f>
        <v>-150</v>
      </c>
      <c r="AP115" s="63">
        <f>IF(SummaryTable[[#This Row],[OriginalBudget24]]=0, IF(SummaryTable[[#This Row],[DiffAmount24]]=0, ZeroBudgetNoSpending, ZeroBudgetWithSpending), SummaryTable[[#This Row],[DiffAmount24]]/SummaryTable[[#This Row],[OriginalBudget24]])</f>
        <v>-0.10438413361169102</v>
      </c>
      <c r="AQ115" s="62">
        <f>IF(COUNTIFS(allFYsTable[Code], SummaryTable[[#This Row],[Code]], allFYsTable[year2], AQ$3)=0, NotFound, SUMIFS(allFYsTable[OriginalBudget], allFYsTable[Code], SummaryTable[[#This Row],[Code]], allFYsTable[year2], AQ$3))</f>
        <v>1363</v>
      </c>
      <c r="AR115" s="61">
        <f>SummaryTable[[#This Row],[OriginalBudget23]]-SummaryTable[[#This Row],[OriginalBudget22]]</f>
        <v>48</v>
      </c>
      <c r="AS115" s="54">
        <f>SummaryTable[[#This Row],[BudgetIncreaseAmount23]]/SummaryTable[[#This Row],[OriginalBudget22]]</f>
        <v>3.6501901140684412E-2</v>
      </c>
      <c r="AT115" s="61">
        <f>IF(COUNTIFS(allFYsTable[Code], SummaryTable[[#This Row],[Code]], allFYsTable[year2], AQ$3)=0, NotFound, SUMIFS(allFYsTable[RevisedBudget], allFYsTable[Code], SummaryTable[[#This Row],[Code]], allFYsTable[year2], AQ$3))</f>
        <v>1363</v>
      </c>
      <c r="AU115" s="61">
        <f>IF(COUNTIFS(allFYsTable[Code], SummaryTable[[#This Row],[Code]], allFYsTable[year2], AQ$3)=0, NotFound, SUMIFS(allFYsTable[Actual], allFYsTable[Code], SummaryTable[[#This Row],[Code]], allFYsTable[year2], AQ$3))</f>
        <v>1257</v>
      </c>
      <c r="AV115" s="61">
        <f>IF(COUNTIFS(allFYsTable[Code], SummaryTable[[#This Row],[Code]], allFYsTable[year2], AQ$3)=0, NotFound, SUMIFS(allFYsTable[DiffAmount], allFYsTable[Code], SummaryTable[[#This Row],[Code]], allFYsTable[year2], AQ$3))</f>
        <v>-106</v>
      </c>
      <c r="AW115" s="63">
        <f>IF(SummaryTable[[#This Row],[OriginalBudget23]]=0, IF(SummaryTable[[#This Row],[DiffAmount23]]=0, ZeroBudgetNoSpending, ZeroBudgetWithSpending), SummaryTable[[#This Row],[DiffAmount23]]/SummaryTable[[#This Row],[OriginalBudget23]])</f>
        <v>-7.7769625825385186E-2</v>
      </c>
      <c r="AX115" s="62">
        <f>IF(COUNTIFS(allFYsTable[Code], SummaryTable[[#This Row],[Code]], allFYsTable[year2], AX$3)=0, NotFound, SUMIFS(allFYsTable[OriginalBudget], allFYsTable[Code], SummaryTable[[#This Row],[Code]], allFYsTable[year2], AX$3))</f>
        <v>1315</v>
      </c>
      <c r="AY115" s="61">
        <f>SummaryTable[[#This Row],[OriginalBudget22]]-SummaryTable[[#This Row],[OriginalBudget21]]</f>
        <v>19</v>
      </c>
      <c r="AZ115" s="54">
        <f>SummaryTable[[#This Row],[BudgetIncreaseAmount22]]/SummaryTable[[#This Row],[OriginalBudget21]]</f>
        <v>1.4660493827160493E-2</v>
      </c>
      <c r="BA115" s="61">
        <f>IF(COUNTIFS(allFYsTable[Code], SummaryTable[[#This Row],[Code]], allFYsTable[year2], AX$3)=0, NotFound, SUMIFS(allFYsTable[RevisedBudget], allFYsTable[Code], SummaryTable[[#This Row],[Code]], allFYsTable[year2], AX$3))</f>
        <v>1250</v>
      </c>
      <c r="BB115" s="61">
        <f>IF(COUNTIFS(allFYsTable[Code], SummaryTable[[#This Row],[Code]], allFYsTable[year2], AX$3)=0, NotFound, SUMIFS(allFYsTable[Actual], allFYsTable[Code], SummaryTable[[#This Row],[Code]], allFYsTable[year2], AX$3))</f>
        <v>1227</v>
      </c>
      <c r="BC115" s="61">
        <f>IF(COUNTIFS(allFYsTable[Code], SummaryTable[[#This Row],[Code]], allFYsTable[year2], AX$3)=0, NotFound, SUMIFS(allFYsTable[DiffAmount], allFYsTable[Code], SummaryTable[[#This Row],[Code]], allFYsTable[year2], AX$3))</f>
        <v>-88</v>
      </c>
      <c r="BD115" s="63">
        <f>IF(SummaryTable[[#This Row],[OriginalBudget22]]=0, IF(SummaryTable[[#This Row],[DiffAmount22]]=0, ZeroBudgetNoSpending, ZeroBudgetWithSpending), SummaryTable[[#This Row],[DiffAmount22]]/SummaryTable[[#This Row],[OriginalBudget22]])</f>
        <v>-6.692015209125475E-2</v>
      </c>
      <c r="BE115" s="62">
        <f>IF(COUNTIFS(allFYsTable[Code], SummaryTable[[#This Row],[Code]], allFYsTable[year2], BE$3)=0, NotFound, SUMIFS(allFYsTable[OriginalBudget], allFYsTable[Code], SummaryTable[[#This Row],[Code]], allFYsTable[year2], BE$3))</f>
        <v>1296</v>
      </c>
      <c r="BF115" s="61">
        <f>SummaryTable[[#This Row],[OriginalBudget21]]-SummaryTable[[#This Row],[OriginalBudget20]]</f>
        <v>-25</v>
      </c>
      <c r="BG115" s="54">
        <f>SummaryTable[[#This Row],[BudgetIncreaseAmount21]]/SummaryTable[[#This Row],[OriginalBudget20]]</f>
        <v>-1.8925056775170326E-2</v>
      </c>
      <c r="BH115" s="61">
        <f>IF(COUNTIFS(allFYsTable[Code], SummaryTable[[#This Row],[Code]], allFYsTable[year2], BE$3)=0, NotFound, SUMIFS(allFYsTable[RevisedBudget], allFYsTable[Code], SummaryTable[[#This Row],[Code]], allFYsTable[year2], BE$3))</f>
        <v>1244</v>
      </c>
      <c r="BI115" s="61">
        <f>IF(COUNTIFS(allFYsTable[Code], SummaryTable[[#This Row],[Code]], allFYsTable[year2], BE$3)=0, NotFound, SUMIFS(allFYsTable[Actual], allFYsTable[Code], SummaryTable[[#This Row],[Code]], allFYsTable[year2], BE$3))</f>
        <v>1226</v>
      </c>
      <c r="BJ115" s="61">
        <f>IF(COUNTIFS(allFYsTable[Code], SummaryTable[[#This Row],[Code]], allFYsTable[year2], BE$3)=0, NotFound, SUMIFS(allFYsTable[DiffAmount], allFYsTable[Code], SummaryTable[[#This Row],[Code]], allFYsTable[year2], BE$3))</f>
        <v>-70</v>
      </c>
      <c r="BK115" s="63">
        <f>IF(SummaryTable[[#This Row],[OriginalBudget21]]=0, IF(SummaryTable[[#This Row],[DiffAmount21]]=0, ZeroBudgetNoSpending, ZeroBudgetWithSpending), SummaryTable[[#This Row],[DiffAmount21]]/SummaryTable[[#This Row],[OriginalBudget21]])</f>
        <v>-5.4012345679012343E-2</v>
      </c>
      <c r="BL115" s="62">
        <f>IF(COUNTIFS(allFYsTable[Code], SummaryTable[[#This Row],[Code]], allFYsTable[year2], BL$3)=0, NotFound, SUMIFS(allFYsTable[OriginalBudget], allFYsTable[Code], SummaryTable[[#This Row],[Code]], allFYsTable[year2], BL$3))</f>
        <v>1321</v>
      </c>
      <c r="BM115" s="61">
        <f>SummaryTable[[#This Row],[OriginalBudget20]]-SummaryTable[[#This Row],[OriginalBudget19]]</f>
        <v>-188</v>
      </c>
      <c r="BN115" s="54">
        <f>SummaryTable[[#This Row],[BudgetIncreaseAmount20]]/SummaryTable[[#This Row],[OriginalBudget19]]</f>
        <v>-0.12458581842279655</v>
      </c>
      <c r="BO115" s="61">
        <f>IF(COUNTIFS(allFYsTable[Code], SummaryTable[[#This Row],[Code]], allFYsTable[year2], BL$3)=0, NotFound, SUMIFS(allFYsTable[RevisedBudget], allFYsTable[Code], SummaryTable[[#This Row],[Code]], allFYsTable[year2], BL$3))</f>
        <v>1193</v>
      </c>
      <c r="BP115" s="61">
        <f>IF(COUNTIFS(allFYsTable[Code], SummaryTable[[#This Row],[Code]], allFYsTable[year2], BL$3)=0, NotFound, SUMIFS(allFYsTable[Actual], allFYsTable[Code], SummaryTable[[#This Row],[Code]], allFYsTable[year2], BL$3))</f>
        <v>1117</v>
      </c>
      <c r="BQ115" s="61">
        <f>IF(COUNTIFS(allFYsTable[Code], SummaryTable[[#This Row],[Code]], allFYsTable[year2], BL$3)=0, NotFound, SUMIFS(allFYsTable[DiffAmount], allFYsTable[Code], SummaryTable[[#This Row],[Code]], allFYsTable[year2], BL$3))</f>
        <v>-204</v>
      </c>
      <c r="BR115" s="63">
        <f>IF(SummaryTable[[#This Row],[OriginalBudget20]]=0, IF(SummaryTable[[#This Row],[DiffAmount20]]=0, ZeroBudgetNoSpending, ZeroBudgetWithSpending), SummaryTable[[#This Row],[DiffAmount20]]/SummaryTable[[#This Row],[OriginalBudget20]])</f>
        <v>-0.15442846328538987</v>
      </c>
      <c r="BS115" s="62">
        <f>IF(COUNTIFS(allFYsTable[Code], SummaryTable[[#This Row],[Code]], allFYsTable[year2], BS$3)=0, NotFound, SUMIFS(allFYsTable[OriginalBudget], allFYsTable[Code], SummaryTable[[#This Row],[Code]], allFYsTable[year2], BS$3))</f>
        <v>1509</v>
      </c>
      <c r="BT115" s="61">
        <f>SummaryTable[[#This Row],[OriginalBudget19]]-SummaryTable[[#This Row],[OriginalBudget18]]</f>
        <v>69</v>
      </c>
      <c r="BU115" s="54">
        <f>SummaryTable[[#This Row],[BudgetIncreaseAmount19]]/SummaryTable[[#This Row],[OriginalBudget18]]</f>
        <v>4.791666666666667E-2</v>
      </c>
      <c r="BV115" s="61">
        <f>IF(COUNTIFS(allFYsTable[Code], SummaryTable[[#This Row],[Code]], allFYsTable[year2], BS$3)=0, NotFound, SUMIFS(allFYsTable[RevisedBudget], allFYsTable[Code], SummaryTable[[#This Row],[Code]], allFYsTable[year2], BS$3))</f>
        <v>1226</v>
      </c>
      <c r="BW115" s="61">
        <f>IF(COUNTIFS(allFYsTable[Code], SummaryTable[[#This Row],[Code]], allFYsTable[year2], BS$3)=0, NotFound, SUMIFS(allFYsTable[Actual], allFYsTable[Code], SummaryTable[[#This Row],[Code]], allFYsTable[year2], BS$3))</f>
        <v>1160</v>
      </c>
      <c r="BX115" s="61">
        <f>IF(COUNTIFS(allFYsTable[Code], SummaryTable[[#This Row],[Code]], allFYsTable[year2], BS$3)=0, NotFound, SUMIFS(allFYsTable[DiffAmount], allFYsTable[Code], SummaryTable[[#This Row],[Code]], allFYsTable[year2], BS$3))</f>
        <v>-349</v>
      </c>
      <c r="BY115" s="63">
        <f>IF(SummaryTable[[#This Row],[OriginalBudget19]]=0, IF(SummaryTable[[#This Row],[DiffAmount19]]=0, ZeroBudgetNoSpending, ZeroBudgetWithSpending), SummaryTable[[#This Row],[DiffAmount19]]/SummaryTable[[#This Row],[OriginalBudget19]])</f>
        <v>-0.23127899271040425</v>
      </c>
      <c r="BZ115" s="62">
        <f>IF(COUNTIFS(allFYsTable[Code], SummaryTable[[#This Row],[Code]], allFYsTable[year2], BZ$3)=0, NotFound, SUMIFS(allFYsTable[OriginalBudget], allFYsTable[Code], SummaryTable[[#This Row],[Code]], allFYsTable[year2], BZ$3))</f>
        <v>1440</v>
      </c>
      <c r="CA115" s="61">
        <f>SummaryTable[[#This Row],[OriginalBudget18]]-SummaryTable[[#This Row],[OriginalBudget17]]</f>
        <v>122</v>
      </c>
      <c r="CB115" s="54">
        <f>SummaryTable[[#This Row],[BudgetIncreaseAmount18]]/SummaryTable[[#This Row],[OriginalBudget17]]</f>
        <v>9.2564491654021239E-2</v>
      </c>
      <c r="CC115" s="61">
        <f>IF(COUNTIFS(allFYsTable[Code], SummaryTable[[#This Row],[Code]], allFYsTable[year2], BZ$3)=0, NotFound, SUMIFS(allFYsTable[RevisedBudget], allFYsTable[Code], SummaryTable[[#This Row],[Code]], allFYsTable[year2], BZ$3))</f>
        <v>1410</v>
      </c>
      <c r="CD115" s="61">
        <f>IF(COUNTIFS(allFYsTable[Code], SummaryTable[[#This Row],[Code]], allFYsTable[year2], BZ$3)=0, NotFound, SUMIFS(allFYsTable[Actual], allFYsTable[Code], SummaryTable[[#This Row],[Code]], allFYsTable[year2], BZ$3))</f>
        <v>1235</v>
      </c>
      <c r="CE115" s="61">
        <f>IF(COUNTIFS(allFYsTable[Code], SummaryTable[[#This Row],[Code]], allFYsTable[year2], BZ$3)=0, NotFound, SUMIFS(allFYsTable[DiffAmount], allFYsTable[Code], SummaryTable[[#This Row],[Code]], allFYsTable[year2], BZ$3))</f>
        <v>-205</v>
      </c>
      <c r="CF115" s="63">
        <f>IF(SummaryTable[[#This Row],[OriginalBudget18]]=0, IF(SummaryTable[[#This Row],[DiffAmount18]]=0, ZeroBudgetNoSpending, ZeroBudgetWithSpending), SummaryTable[[#This Row],[DiffAmount18]]/SummaryTable[[#This Row],[OriginalBudget18]])</f>
        <v>-0.1423611111111111</v>
      </c>
      <c r="CG115" s="62">
        <f>IF(COUNTIFS(allFYsTable[Code], SummaryTable[[#This Row],[Code]], allFYsTable[year2], CG$3)=0, NotFound, SUMIFS(allFYsTable[OriginalBudget], allFYsTable[Code], SummaryTable[[#This Row],[Code]], allFYsTable[year2], CG$3))</f>
        <v>1318</v>
      </c>
      <c r="CH115" s="61">
        <f>SummaryTable[[#This Row],[OriginalBudget17]]-SummaryTable[[#This Row],[OriginalBudget16]]</f>
        <v>44</v>
      </c>
      <c r="CI115" s="54">
        <f>SummaryTable[[#This Row],[BudgetIncreaseAmount17]]/SummaryTable[[#This Row],[OriginalBudget16]]</f>
        <v>3.453689167974882E-2</v>
      </c>
      <c r="CJ115" s="61">
        <f>IF(COUNTIFS(allFYsTable[Code], SummaryTable[[#This Row],[Code]], allFYsTable[year2], CG$3)=0, NotFound, SUMIFS(allFYsTable[RevisedBudget], allFYsTable[Code], SummaryTable[[#This Row],[Code]], allFYsTable[year2], CG$3))</f>
        <v>1318</v>
      </c>
      <c r="CK115" s="61">
        <f>IF(COUNTIFS(allFYsTable[Code], SummaryTable[[#This Row],[Code]], allFYsTable[year2], CG$3)=0, NotFound, SUMIFS(allFYsTable[Actual], allFYsTable[Code], SummaryTable[[#This Row],[Code]], allFYsTable[year2], CG$3))</f>
        <v>1279</v>
      </c>
      <c r="CL115" s="61">
        <f>IF(COUNTIFS(allFYsTable[Code], SummaryTable[[#This Row],[Code]], allFYsTable[year2], CG$3)=0, NotFound, SUMIFS(allFYsTable[DiffAmount], allFYsTable[Code], SummaryTable[[#This Row],[Code]], allFYsTable[year2], CG$3))</f>
        <v>-39</v>
      </c>
      <c r="CM115" s="63">
        <f>IF(SummaryTable[[#This Row],[OriginalBudget17]]=0, IF(SummaryTable[[#This Row],[DiffAmount17]]=0, ZeroBudgetNoSpending, ZeroBudgetWithSpending), SummaryTable[[#This Row],[DiffAmount17]]/SummaryTable[[#This Row],[OriginalBudget17]])</f>
        <v>-2.959028831562974E-2</v>
      </c>
      <c r="CN115" s="62">
        <f>IF(COUNTIFS(allFYsTable[Code], SummaryTable[[#This Row],[Code]], allFYsTable[year2], CN$3)=0, NotFound, SUMIFS(allFYsTable[OriginalBudget], allFYsTable[Code], SummaryTable[[#This Row],[Code]], allFYsTable[year2], CN$3))</f>
        <v>1274</v>
      </c>
      <c r="CO115" s="61">
        <f>SummaryTable[[#This Row],[OriginalBudget16]]-SummaryTable[[#This Row],[OriginalBudget15]]</f>
        <v>21</v>
      </c>
      <c r="CP115" s="54">
        <f>SummaryTable[[#This Row],[BudgetIncreaseAmount16]]/SummaryTable[[#This Row],[OriginalBudget15]]</f>
        <v>1.6759776536312849E-2</v>
      </c>
      <c r="CQ115" s="61">
        <f>IF(COUNTIFS(allFYsTable[Code], SummaryTable[[#This Row],[Code]], allFYsTable[year2], CN$3)=0, NotFound, SUMIFS(allFYsTable[RevisedBudget], allFYsTable[Code], SummaryTable[[#This Row],[Code]], allFYsTable[year2], CN$3))</f>
        <v>1274</v>
      </c>
      <c r="CR115" s="61">
        <f>IF(COUNTIFS(allFYsTable[Code], SummaryTable[[#This Row],[Code]], allFYsTable[year2], CN$3)=0, NotFound, SUMIFS(allFYsTable[Actual], allFYsTable[Code], SummaryTable[[#This Row],[Code]], allFYsTable[year2], CN$3))</f>
        <v>1251</v>
      </c>
      <c r="CS115" s="61">
        <f>IF(COUNTIFS(allFYsTable[Code], SummaryTable[[#This Row],[Code]], allFYsTable[year2], CN$3)=0, NotFound, SUMIFS(allFYsTable[DiffAmount], allFYsTable[Code], SummaryTable[[#This Row],[Code]], allFYsTable[year2], CN$3))</f>
        <v>-23</v>
      </c>
      <c r="CT115" s="63">
        <f>IF(SummaryTable[[#This Row],[OriginalBudget16]]=0, IF(SummaryTable[[#This Row],[DiffAmount16]]=0, ZeroBudgetNoSpending, ZeroBudgetWithSpending), SummaryTable[[#This Row],[DiffAmount16]]/SummaryTable[[#This Row],[OriginalBudget16]])</f>
        <v>-1.8053375196232339E-2</v>
      </c>
      <c r="CU115" s="62">
        <f>IF(COUNTIFS(allFYsTable[Code], SummaryTable[[#This Row],[Code]], allFYsTable[year2], CU$3)=0, NotFound, SUMIFS(allFYsTable[OriginalBudget], allFYsTable[Code], SummaryTable[[#This Row],[Code]], allFYsTable[year2], CU$3))</f>
        <v>1253</v>
      </c>
      <c r="CV115" s="61">
        <f>SummaryTable[[#This Row],[OriginalBudget15]]-SummaryTable[[#This Row],[OriginalBudget14]]</f>
        <v>91</v>
      </c>
      <c r="CW115" s="54">
        <f>SummaryTable[[#This Row],[BudgetIncreaseAmount15]]/SummaryTable[[#This Row],[OriginalBudget14]]</f>
        <v>7.8313253012048195E-2</v>
      </c>
      <c r="CX115" s="61">
        <f>IF(COUNTIFS(allFYsTable[Code], SummaryTable[[#This Row],[Code]], allFYsTable[year2], CU$3)=0, NotFound, SUMIFS(allFYsTable[RevisedBudget], allFYsTable[Code], SummaryTable[[#This Row],[Code]], allFYsTable[year2], CU$3))</f>
        <v>1347</v>
      </c>
      <c r="CY115" s="61">
        <f>IF(COUNTIFS(allFYsTable[Code], SummaryTable[[#This Row],[Code]], allFYsTable[year2], CU$3)=0, NotFound, SUMIFS(allFYsTable[Actual], allFYsTable[Code], SummaryTable[[#This Row],[Code]], allFYsTable[year2], CU$3))</f>
        <v>1311</v>
      </c>
      <c r="CZ115" s="61">
        <f>IF(COUNTIFS(allFYsTable[Code], SummaryTable[[#This Row],[Code]], allFYsTable[year2], CU$3)=0, NotFound, SUMIFS(allFYsTable[DiffAmount], allFYsTable[Code], SummaryTable[[#This Row],[Code]], allFYsTable[year2], CU$3))</f>
        <v>58</v>
      </c>
      <c r="DA115" s="63">
        <f>IF(SummaryTable[[#This Row],[OriginalBudget15]]=0, IF(SummaryTable[[#This Row],[DiffAmount15]]=0, ZeroBudgetNoSpending, ZeroBudgetWithSpending), SummaryTable[[#This Row],[DiffAmount15]]/SummaryTable[[#This Row],[OriginalBudget15]])</f>
        <v>4.6288906624102157E-2</v>
      </c>
      <c r="DB115" s="62">
        <f>IF(COUNTIFS(allFYsTable[Code], SummaryTable[[#This Row],[Code]], allFYsTable[year2], DB$3)=0, NotFound, SUMIFS(allFYsTable[OriginalBudget], allFYsTable[Code], SummaryTable[[#This Row],[Code]], allFYsTable[year2], DB$3))</f>
        <v>1162</v>
      </c>
      <c r="DC115" s="61">
        <f>SummaryTable[[#This Row],[OriginalBudget14]]-SummaryTable[[#This Row],[OriginalBudget13]]</f>
        <v>11</v>
      </c>
      <c r="DD115" s="54">
        <f>SummaryTable[[#This Row],[BudgetIncreaseAmount14]]/SummaryTable[[#This Row],[OriginalBudget13]]</f>
        <v>9.5569070373588191E-3</v>
      </c>
      <c r="DE115" s="61">
        <f>IF(COUNTIFS(allFYsTable[Code], SummaryTable[[#This Row],[Code]], allFYsTable[year2], DB$3)=0, NotFound, SUMIFS(allFYsTable[RevisedBudget], allFYsTable[Code], SummaryTable[[#This Row],[Code]], allFYsTable[year2], DB$3))</f>
        <v>1193</v>
      </c>
      <c r="DF115" s="61">
        <f>IF(COUNTIFS(allFYsTable[Code], SummaryTable[[#This Row],[Code]], allFYsTable[year2], DB$3)=0, NotFound, SUMIFS(allFYsTable[Actual], allFYsTable[Code], SummaryTable[[#This Row],[Code]], allFYsTable[year2], DB$3))</f>
        <v>1163</v>
      </c>
      <c r="DG115" s="61">
        <f>IF(COUNTIFS(allFYsTable[Code], SummaryTable[[#This Row],[Code]], allFYsTable[year2], DB$3)=0, NotFound, SUMIFS(allFYsTable[DiffAmount], allFYsTable[Code], SummaryTable[[#This Row],[Code]], allFYsTable[year2], DB$3))</f>
        <v>1</v>
      </c>
      <c r="DH115" s="63">
        <f>IF(SummaryTable[[#This Row],[OriginalBudget14]]=0, IF(SummaryTable[[#This Row],[DiffAmount14]]=0, ZeroBudgetNoSpending, ZeroBudgetWithSpending), SummaryTable[[#This Row],[DiffAmount14]]/SummaryTable[[#This Row],[OriginalBudget14]])</f>
        <v>8.6058519793459555E-4</v>
      </c>
      <c r="DI115" s="62">
        <f>IF(COUNTIFS(allFYsTable[Code], SummaryTable[[#This Row],[Code]], allFYsTable[year2], DI$3)=0, NotFound, SUMIFS(allFYsTable[OriginalBudget], allFYsTable[Code], SummaryTable[[#This Row],[Code]], allFYsTable[year2], DI$3))</f>
        <v>1151</v>
      </c>
      <c r="DJ115" s="61">
        <f>SummaryTable[[#This Row],[OriginalBudget13]]-SummaryTable[[#This Row],[OriginalBudget12]]</f>
        <v>200</v>
      </c>
      <c r="DK115" s="54">
        <f>SummaryTable[[#This Row],[BudgetIncreaseAmount13]]/SummaryTable[[#This Row],[OriginalBudget12]]</f>
        <v>0.2103049421661409</v>
      </c>
      <c r="DL115" s="61">
        <f>IF(COUNTIFS(allFYsTable[Code], SummaryTable[[#This Row],[Code]], allFYsTable[year2], DI$3)=0, NotFound, SUMIFS(allFYsTable[RevisedBudget], allFYsTable[Code], SummaryTable[[#This Row],[Code]], allFYsTable[year2], DI$3))</f>
        <v>1151</v>
      </c>
      <c r="DM115" s="61">
        <f>IF(COUNTIFS(allFYsTable[Code], SummaryTable[[#This Row],[Code]], allFYsTable[year2], DI$3)=0, NotFound, SUMIFS(allFYsTable[Actual], allFYsTable[Code], SummaryTable[[#This Row],[Code]], allFYsTable[year2], DI$3))</f>
        <v>1037</v>
      </c>
      <c r="DN115" s="61">
        <f>IF(COUNTIFS(allFYsTable[Code], SummaryTable[[#This Row],[Code]], allFYsTable[year2], DI$3)=0, NotFound, SUMIFS(allFYsTable[DiffAmount], allFYsTable[Code], SummaryTable[[#This Row],[Code]], allFYsTable[year2], DI$3))</f>
        <v>-114</v>
      </c>
      <c r="DO115" s="63">
        <f>IF(SummaryTable[[#This Row],[OriginalBudget13]]=0, IF(SummaryTable[[#This Row],[DiffAmount13]]=0, ZeroBudgetNoSpending, ZeroBudgetWithSpending), SummaryTable[[#This Row],[DiffAmount13]]/SummaryTable[[#This Row],[OriginalBudget13]])</f>
        <v>-9.9044309296264121E-2</v>
      </c>
      <c r="DP115" s="62">
        <f>IF(COUNTIFS(allFYsTable[Code], SummaryTable[[#This Row],[Code]], allFYsTable[year2], DP$3)=0, NotFound, SUMIFS(allFYsTable[OriginalBudget], allFYsTable[Code], SummaryTable[[#This Row],[Code]], allFYsTable[year2], DP$3))</f>
        <v>951</v>
      </c>
      <c r="DQ115" s="61">
        <f>SummaryTable[[#This Row],[OriginalBudget12]]-SummaryTable[[#This Row],[OriginalBudget11]]</f>
        <v>82</v>
      </c>
      <c r="DR115" s="54">
        <f>SummaryTable[[#This Row],[BudgetIncreaseAmount12]]/SummaryTable[[#This Row],[OriginalBudget11]]</f>
        <v>9.4361334867663987E-2</v>
      </c>
      <c r="DS115" s="61">
        <f>IF(COUNTIFS(allFYsTable[Code], SummaryTable[[#This Row],[Code]], allFYsTable[year2], DP$3)=0, NotFound, SUMIFS(allFYsTable[RevisedBudget], allFYsTable[Code], SummaryTable[[#This Row],[Code]], allFYsTable[year2], DP$3))</f>
        <v>1151</v>
      </c>
      <c r="DT115" s="61">
        <f>IF(COUNTIFS(allFYsTable[Code], SummaryTable[[#This Row],[Code]], allFYsTable[year2], DP$3)=0, NotFound, SUMIFS(allFYsTable[Actual], allFYsTable[Code], SummaryTable[[#This Row],[Code]], allFYsTable[year2], DP$3))</f>
        <v>1114</v>
      </c>
      <c r="DU115" s="61">
        <f>IF(COUNTIFS(allFYsTable[Code], SummaryTable[[#This Row],[Code]], allFYsTable[year2], DP$3)=0, NotFound, SUMIFS(allFYsTable[DiffAmount], allFYsTable[Code], SummaryTable[[#This Row],[Code]], allFYsTable[year2], DP$3))</f>
        <v>163</v>
      </c>
      <c r="DV115" s="63">
        <f>IF(SummaryTable[[#This Row],[OriginalBudget12]]=0, IF(SummaryTable[[#This Row],[DiffAmount12]]=0, ZeroBudgetNoSpending, ZeroBudgetWithSpending), SummaryTable[[#This Row],[DiffAmount12]]/SummaryTable[[#This Row],[OriginalBudget12]])</f>
        <v>0.17139852786540483</v>
      </c>
      <c r="DW115" s="62">
        <f>IF(COUNTIFS(allFYsTable[Code], SummaryTable[[#This Row],[Code]], allFYsTable[year2], DW$3)=0, NotFound, SUMIFS(allFYsTable[OriginalBudget], allFYsTable[Code], SummaryTable[[#This Row],[Code]], allFYsTable[year2], DW$3))</f>
        <v>869</v>
      </c>
      <c r="DX115" s="61">
        <f>SummaryTable[[#This Row],[OriginalBudget11]]-SummaryTable[[#This Row],[OriginalBudget10]]</f>
        <v>-135</v>
      </c>
      <c r="DY115" s="54">
        <f>SummaryTable[[#This Row],[BudgetIncreaseAmount11]]/SummaryTable[[#This Row],[OriginalBudget10]]</f>
        <v>-0.1344621513944223</v>
      </c>
      <c r="DZ115" s="61">
        <f>IF(COUNTIFS(allFYsTable[Code], SummaryTable[[#This Row],[Code]], allFYsTable[year2], DW$3)=0, NotFound, SUMIFS(allFYsTable[RevisedBudget], allFYsTable[Code], SummaryTable[[#This Row],[Code]], allFYsTable[year2], DW$3))</f>
        <v>829</v>
      </c>
      <c r="EA115" s="61">
        <f>IF(COUNTIFS(allFYsTable[Code], SummaryTable[[#This Row],[Code]], allFYsTable[year2], DW$3)=0, NotFound, SUMIFS(allFYsTable[Actual], allFYsTable[Code], SummaryTable[[#This Row],[Code]], allFYsTable[year2], DW$3))</f>
        <v>733</v>
      </c>
      <c r="EB115" s="61">
        <f>IF(COUNTIFS(allFYsTable[Code], SummaryTable[[#This Row],[Code]], allFYsTable[year2], DW$3)=0, NotFound, SUMIFS(allFYsTable[DiffAmount], allFYsTable[Code], SummaryTable[[#This Row],[Code]], allFYsTable[year2], DW$3))</f>
        <v>-136</v>
      </c>
      <c r="EC115" s="63">
        <f>IF(SummaryTable[[#This Row],[OriginalBudget11]]=0, IF(SummaryTable[[#This Row],[DiffAmount11]]=0, ZeroBudgetNoSpending, ZeroBudgetWithSpending), SummaryTable[[#This Row],[DiffAmount11]]/SummaryTable[[#This Row],[OriginalBudget11]])</f>
        <v>-0.1565017261219793</v>
      </c>
      <c r="ED115" s="62">
        <f>IF(COUNTIFS(allFYsTable[Code], SummaryTable[[#This Row],[Code]], allFYsTable[year2], ED$3)=0, NotFound, SUMIFS(allFYsTable[OriginalBudget], allFYsTable[Code], SummaryTable[[#This Row],[Code]], allFYsTable[year2], ED$3))</f>
        <v>1004</v>
      </c>
      <c r="EE115" s="61">
        <f>SummaryTable[[#This Row],[OriginalBudget10]]-SummaryTable[[#This Row],[OriginalBudget09]]</f>
        <v>24</v>
      </c>
      <c r="EF115" s="54">
        <f>SummaryTable[[#This Row],[BudgetIncreaseAmount10]]/SummaryTable[[#This Row],[OriginalBudget09]]</f>
        <v>2.4489795918367346E-2</v>
      </c>
      <c r="EG115" s="61">
        <f>IF(COUNTIFS(allFYsTable[Code], SummaryTable[[#This Row],[Code]], allFYsTable[year2], ED$3)=0, NotFound, SUMIFS(allFYsTable[RevisedBudget], allFYsTable[Code], SummaryTable[[#This Row],[Code]], allFYsTable[year2], ED$3))</f>
        <v>1064</v>
      </c>
      <c r="EH115" s="61">
        <f>IF(COUNTIFS(allFYsTable[Code], SummaryTable[[#This Row],[Code]], allFYsTable[year2], ED$3)=0, NotFound, SUMIFS(allFYsTable[Actual], allFYsTable[Code], SummaryTable[[#This Row],[Code]], allFYsTable[year2], ED$3))</f>
        <v>1055</v>
      </c>
      <c r="EI115" s="61">
        <f>IF(COUNTIFS(allFYsTable[Code], SummaryTable[[#This Row],[Code]], allFYsTable[year2], ED$3)=0, NotFound, SUMIFS(allFYsTable[DiffAmount], allFYsTable[Code], SummaryTable[[#This Row],[Code]], allFYsTable[year2], ED$3))</f>
        <v>51</v>
      </c>
      <c r="EJ115" s="63">
        <f>IF(SummaryTable[[#This Row],[OriginalBudget10]]=0, IF(SummaryTable[[#This Row],[DiffAmount10]]=0, ZeroBudgetNoSpending, ZeroBudgetWithSpending), SummaryTable[[#This Row],[DiffAmount10]]/SummaryTable[[#This Row],[OriginalBudget10]])</f>
        <v>5.0796812749003988E-2</v>
      </c>
      <c r="EK115" s="62">
        <f>IF(COUNTIFS(allFYsTable[Code], SummaryTable[[#This Row],[Code]], allFYsTable[year2], EK$3)=0, NotFound, SUMIFS(allFYsTable[OriginalBudget], allFYsTable[Code], SummaryTable[[#This Row],[Code]], allFYsTable[year2], EK$3))</f>
        <v>980</v>
      </c>
      <c r="EL115" s="61">
        <f>SummaryTable[[#This Row],[OriginalBudget09]]-SummaryTable[[#This Row],[OriginalBudget08]]</f>
        <v>16</v>
      </c>
      <c r="EM115" s="54">
        <f>SummaryTable[[#This Row],[BudgetIncreaseAmount09]]/SummaryTable[[#This Row],[OriginalBudget08]]</f>
        <v>1.6597510373443983E-2</v>
      </c>
      <c r="EN115" s="61">
        <f>IF(COUNTIFS(allFYsTable[Code], SummaryTable[[#This Row],[Code]], allFYsTable[year2], EK$3)=0, NotFound, SUMIFS(allFYsTable[RevisedBudget], allFYsTable[Code], SummaryTable[[#This Row],[Code]], allFYsTable[year2], EK$3))</f>
        <v>1060</v>
      </c>
      <c r="EO115" s="61">
        <f>IF(COUNTIFS(allFYsTable[Code], SummaryTable[[#This Row],[Code]], allFYsTable[year2], EK$3)=0, NotFound, SUMIFS(allFYsTable[Actual], allFYsTable[Code], SummaryTable[[#This Row],[Code]], allFYsTable[year2], EK$3))</f>
        <v>999</v>
      </c>
      <c r="EP115" s="61">
        <f>IF(COUNTIFS(allFYsTable[Code], SummaryTable[[#This Row],[Code]], allFYsTable[year2], EK$3)=0, NotFound, SUMIFS(allFYsTable[DiffAmount], allFYsTable[Code], SummaryTable[[#This Row],[Code]], allFYsTable[year2], EK$3))</f>
        <v>19</v>
      </c>
      <c r="EQ115" s="63">
        <f>IF(SummaryTable[[#This Row],[OriginalBudget09]]=0, IF(SummaryTable[[#This Row],[DiffAmount09]]=0, ZeroBudgetNoSpending, ZeroBudgetWithSpending), SummaryTable[[#This Row],[DiffAmount09]]/SummaryTable[[#This Row],[OriginalBudget09]])</f>
        <v>1.9387755102040816E-2</v>
      </c>
      <c r="ER115" s="62">
        <f>IF(COUNTIFS(allFYsTable[Code], SummaryTable[[#This Row],[Code]], allFYsTable[year2], ER$3)=0, NotFound, SUMIFS(allFYsTable[OriginalBudget], allFYsTable[Code], SummaryTable[[#This Row],[Code]], allFYsTable[year2], ER$3))</f>
        <v>964</v>
      </c>
      <c r="ES115" s="61">
        <f>SummaryTable[[#This Row],[OriginalBudget08]]-SummaryTable[[#This Row],[OriginalBudget07]]</f>
        <v>83</v>
      </c>
      <c r="ET115" s="54">
        <f>SummaryTable[[#This Row],[BudgetIncreaseAmount08]]/SummaryTable[[#This Row],[OriginalBudget07]]</f>
        <v>9.4211123723041995E-2</v>
      </c>
      <c r="EU115" s="61">
        <f>IF(COUNTIFS(allFYsTable[Code], SummaryTable[[#This Row],[Code]], allFYsTable[year2], ER$3)=0, NotFound, SUMIFS(allFYsTable[RevisedBudget], allFYsTable[Code], SummaryTable[[#This Row],[Code]], allFYsTable[year2], ER$3))</f>
        <v>988</v>
      </c>
      <c r="EV115" s="61">
        <f>IF(COUNTIFS(allFYsTable[Code], SummaryTable[[#This Row],[Code]], allFYsTable[year2], ER$3)=0, NotFound, SUMIFS(allFYsTable[Actual], allFYsTable[Code], SummaryTable[[#This Row],[Code]], allFYsTable[year2], ER$3))</f>
        <v>922</v>
      </c>
      <c r="EW115" s="61">
        <f>IF(COUNTIFS(allFYsTable[Code], SummaryTable[[#This Row],[Code]], allFYsTable[year2], ER$3)=0, NotFound, SUMIFS(allFYsTable[DiffAmount], allFYsTable[Code], SummaryTable[[#This Row],[Code]], allFYsTable[year2], ER$3))</f>
        <v>-42</v>
      </c>
      <c r="EX115" s="63">
        <f>IF(SummaryTable[[#This Row],[OriginalBudget08]]=0, IF(SummaryTable[[#This Row],[DiffAmount08]]=0, ZeroBudgetNoSpending, ZeroBudgetWithSpending), SummaryTable[[#This Row],[DiffAmount08]]/SummaryTable[[#This Row],[OriginalBudget08]])</f>
        <v>-4.3568464730290454E-2</v>
      </c>
      <c r="EY115" s="62">
        <f>IF(COUNTIFS(allFYsTable[Code], SummaryTable[[#This Row],[Code]], allFYsTable[year2], EY$3)=0, NotFound, SUMIFS(allFYsTable[OriginalBudget], allFYsTable[Code], SummaryTable[[#This Row],[Code]], allFYsTable[year2], EY$3))</f>
        <v>881</v>
      </c>
      <c r="EZ115" s="61">
        <f>SummaryTable[[#This Row],[OriginalBudget07]]-SummaryTable[[#This Row],[OriginalBudget06]]</f>
        <v>80</v>
      </c>
      <c r="FA115" s="54">
        <f>SummaryTable[[#This Row],[BudgetIncreaseAmount07]]/SummaryTable[[#This Row],[OriginalBudget06]]</f>
        <v>9.987515605493133E-2</v>
      </c>
      <c r="FB115" s="61">
        <f>IF(COUNTIFS(allFYsTable[Code], SummaryTable[[#This Row],[Code]], allFYsTable[year2], EY$3)=0, NotFound, SUMIFS(allFYsTable[RevisedBudget], allFYsTable[Code], SummaryTable[[#This Row],[Code]], allFYsTable[year2], EY$3))</f>
        <v>897</v>
      </c>
      <c r="FC115" s="61">
        <f>IF(COUNTIFS(allFYsTable[Code], SummaryTable[[#This Row],[Code]], allFYsTable[year2], EY$3)=0, NotFound, SUMIFS(allFYsTable[Actual], allFYsTable[Code], SummaryTable[[#This Row],[Code]], allFYsTable[year2], EY$3))</f>
        <v>807</v>
      </c>
      <c r="FD115" s="61">
        <f>IF(COUNTIFS(allFYsTable[Code], SummaryTable[[#This Row],[Code]], allFYsTable[year2], EY$3)=0, NotFound, SUMIFS(allFYsTable[DiffAmount], allFYsTable[Code], SummaryTable[[#This Row],[Code]], allFYsTable[year2], EY$3))</f>
        <v>-74</v>
      </c>
      <c r="FE115" s="63">
        <f>IF(SummaryTable[[#This Row],[OriginalBudget07]]=0, IF(SummaryTable[[#This Row],[DiffAmount07]]=0, ZeroBudgetNoSpending, ZeroBudgetWithSpending), SummaryTable[[#This Row],[DiffAmount07]]/SummaryTable[[#This Row],[OriginalBudget07]])</f>
        <v>-8.3995459704880815E-2</v>
      </c>
      <c r="FF115" s="62">
        <f>IF(COUNTIFS(allFYsTable[Code], SummaryTable[[#This Row],[Code]], allFYsTable[year2], FF$3)=0, NotFound, SUMIFS(allFYsTable[OriginalBudget], allFYsTable[Code], SummaryTable[[#This Row],[Code]], allFYsTable[year2], FF$3))</f>
        <v>801</v>
      </c>
      <c r="FI115" s="61">
        <f>IF(COUNTIFS(allFYsTable[Code], SummaryTable[[#This Row],[Code]], allFYsTable[year2], FF$3)=0, NotFound, SUMIFS(allFYsTable[RevisedBudget], allFYsTable[Code], SummaryTable[[#This Row],[Code]], allFYsTable[year2], FF$3))</f>
        <v>863</v>
      </c>
      <c r="FJ115" s="61">
        <f>IF(COUNTIFS(allFYsTable[Code], SummaryTable[[#This Row],[Code]], allFYsTable[year2], FF$3)=0, NotFound, SUMIFS(allFYsTable[Actual], allFYsTable[Code], SummaryTable[[#This Row],[Code]], allFYsTable[year2], FF$3))</f>
        <v>767</v>
      </c>
      <c r="FK115" s="61">
        <f>IF(COUNTIFS(allFYsTable[Code], SummaryTable[[#This Row],[Code]], allFYsTable[year2], FF$3)=0, NotFound, SUMIFS(allFYsTable[DiffAmount], allFYsTable[Code], SummaryTable[[#This Row],[Code]], allFYsTable[year2], FF$3))</f>
        <v>-34</v>
      </c>
      <c r="FL115" s="63">
        <f>IF(SummaryTable[[#This Row],[OriginalBudget06]]=0, IF(SummaryTable[[#This Row],[DiffAmount06]]=0, ZeroBudgetNoSpending, ZeroBudgetWithSpending), SummaryTable[[#This Row],[DiffAmount06]]/SummaryTable[[#This Row],[OriginalBudget06]])</f>
        <v>-4.2446941323345817E-2</v>
      </c>
    </row>
    <row r="116" spans="1:168" x14ac:dyDescent="0.45">
      <c r="A116" t="s">
        <v>806</v>
      </c>
      <c r="B116">
        <f>_xlfn.MAXIFS(allFYsTable[year2], allFYsTable[Code], SummaryTable[[#This Row],[Code]])</f>
        <v>2025</v>
      </c>
      <c r="C116" t="str">
        <f>_xlfn.XLOOKUP(SummaryTable[[#This Row],[Code]], NameCodingTable[Code], NameCodingTable[Most Recent Category per allFYs])</f>
        <v>Operations and infrastructure</v>
      </c>
      <c r="D116" t="str">
        <f>_xlfn.XLOOKUP(SummaryTable[[#This Row],[Code]], NameCodingTable[Code], NameCodingTable[Unit Display Name])</f>
        <v>Public Service Commission (PSC)</v>
      </c>
      <c r="E116" t="str">
        <f>_xlfn.XLOOKUP(SummaryTable[[#This Row],[Code]], NameCodingTable[Code], NameCodingTable[Type])</f>
        <v>agency</v>
      </c>
      <c r="F11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1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16" s="54">
        <f>SummaryTable[[#This Row],['# Over]]/SummaryTable[[#This Row],[Count]]</f>
        <v>0.05</v>
      </c>
      <c r="I11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16" s="54">
        <f>SummaryTable[[#This Row],['# Under]]/SummaryTable[[#This Row],[Count]]</f>
        <v>0</v>
      </c>
      <c r="K11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19</v>
      </c>
      <c r="L116" s="54">
        <f>SummaryTable[[#This Row],['# Equal]]/SummaryTable[[#This Row],[Count]]</f>
        <v>0.95</v>
      </c>
      <c r="M116" s="61">
        <f>SUMIFS(allFYsTable[OriginalBudget],allFYsTable[Code],SummaryTable[[#This Row],[Code]])/SummaryTable[[#This Row],[Count]]</f>
        <v>0</v>
      </c>
      <c r="N116" s="61">
        <f>SUMIFS(allFYsTable[Actual],allFYsTable[Code],SummaryTable[[#This Row],[Code]])/SummaryTable[[#This Row],[Count]]</f>
        <v>102.65</v>
      </c>
      <c r="O116" s="61">
        <f>SummaryTable[[#This Row],[AvgActAmt]]-SummaryTable[[#This Row],[AvgBudAmt]]</f>
        <v>102.65</v>
      </c>
      <c r="P116" s="54">
        <f>IF(SummaryTable[[#This Row],[AvgBudAmt]]=0, IF(SummaryTable[[#This Row],[AvgDiff'#]]=0, 0, NamedFields!$C$3), SummaryTable[[#This Row],[AvgDiff'#]]/SummaryTable[[#This Row],[AvgBudAmt]])</f>
        <v>99.99</v>
      </c>
      <c r="Q116" s="61">
        <f>IFERROR(SUMIFS(allFYsTable[OriginalBudget],allFYsTable[Code],SummaryTable[[#This Row],[Code]],allFYsTable[DiffAmount], "&gt;0")/SummaryTable[[#This Row],['# Over]], 0)</f>
        <v>0</v>
      </c>
      <c r="R116" s="61">
        <f>IFERROR(SUMIFS(allFYsTable[Actual],allFYsTable[Code],SummaryTable[[#This Row],[Code]],allFYsTable[DiffAmount], "&gt;0")/SummaryTable[[#This Row],['# Over]], 0)</f>
        <v>2053</v>
      </c>
      <c r="S116" s="61">
        <f>SummaryTable[[#This Row],[OverAvgAct]]-SummaryTable[[#This Row],[OverAvgBud]]</f>
        <v>2053</v>
      </c>
      <c r="T116" s="54">
        <f>IF(SummaryTable[[#This Row],[OverAvgBud]]=0, IF(SummaryTable[[#This Row],[OverAvgDiff'#]]=0, ZeroBudgetNoSpending, ZeroBudgetWithSpending), SummaryTable[[#This Row],[OverAvgDiff'#]]/SummaryTable[[#This Row],[OverAvgBud]])</f>
        <v>99.99</v>
      </c>
      <c r="U116" s="61">
        <f>IFERROR(SUMIFS(allFYsTable[OriginalBudget],allFYsTable[Code],SummaryTable[[#This Row],[Code]],allFYsTable[DiffAmount], "&lt;0")/SummaryTable[[#This Row],['# Under]], 0)</f>
        <v>0</v>
      </c>
      <c r="V116" s="61">
        <f>IFERROR( SUMIFS(allFYsTable[Actual],allFYsTable[Code],SummaryTable[[#This Row],[Code]],allFYsTable[DiffAmount], "&lt;0")/SummaryTable[[#This Row],['# Under]], 0)</f>
        <v>0</v>
      </c>
      <c r="W116" s="61">
        <f>SummaryTable[[#This Row],[UnderAvgAct]]-SummaryTable[[#This Row],[UnderAvgBud]]</f>
        <v>0</v>
      </c>
      <c r="X116" s="54">
        <f>IF(SummaryTable[[#This Row],[UnderAvgBud]]=0, IF(SummaryTable[[#This Row],[UnderAvgDiff'#]]=0, ZeroBudgetNoSpending, NamedFields!$C$3), SummaryTable[[#This Row],[UnderAvgDiff'#]]/SummaryTable[[#This Row],[UnderAvgBud]])</f>
        <v>0</v>
      </c>
      <c r="Y11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1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16" s="54">
        <f>IF(SummaryTable[[#This Row],[IncreaseYears]]=0, ZeroBudgetNoSpending, SummaryTable[[#This Row],[OSinIncreaseYear'#]]/SummaryTable[[#This Row],[IncreaseYears]])</f>
        <v>0</v>
      </c>
      <c r="AB116" s="58" t="str">
        <f>SummaryTable[[#This Row],[Code]]</f>
        <v>DH0</v>
      </c>
      <c r="AC116" s="62">
        <f>IF(COUNTIFS(allFYsTable[Code], SummaryTable[[#This Row],[Code]], allFYsTable[year2], AC$3)=0, NotFound, SUMIFS(allFYsTable[OriginalBudget], allFYsTable[Code], SummaryTable[[#This Row],[Code]], allFYsTable[year2], AC$3))</f>
        <v>0</v>
      </c>
      <c r="AD116" s="61">
        <f>SummaryTable[[#This Row],[OriginalBudget25]]-SummaryTable[[#This Row],[OriginalBudget24]]</f>
        <v>0</v>
      </c>
      <c r="AE116" s="54" t="e">
        <f>SummaryTable[[#This Row],[BudgetIncreaseAmount25]]/SummaryTable[[#This Row],[OriginalBudget24]]</f>
        <v>#DIV/0!</v>
      </c>
      <c r="AF116" s="61">
        <f>IF(COUNTIFS(allFYsTable[Code], SummaryTable[[#This Row],[Code]], allFYsTable[year2], AC$3)=0, NotFound, SUMIFS(allFYsTable[RevisedBudget], allFYsTable[Code], SummaryTable[[#This Row],[Code]], allFYsTable[year2], AC$3))</f>
        <v>0</v>
      </c>
      <c r="AG116" s="61">
        <f>IF(COUNTIFS(allFYsTable[Code], SummaryTable[[#This Row],[Code]], allFYsTable[year2], AC$3)=0, NotFound, SUMIFS(allFYsTable[Actual], allFYsTable[Code], SummaryTable[[#This Row],[Code]], allFYsTable[year2], AC$3))</f>
        <v>0</v>
      </c>
      <c r="AH116" s="61">
        <f>IF(COUNTIFS(allFYsTable[Code], SummaryTable[[#This Row],[Code]], allFYsTable[year2], AC$3)=0, NotFound, SUMIFS(allFYsTable[DiffAmount], allFYsTable[Code], SummaryTable[[#This Row],[Code]], allFYsTable[year2], AC$3))</f>
        <v>0</v>
      </c>
      <c r="AI116" s="63">
        <f>IF(SummaryTable[[#This Row],[OriginalBudget25]]=0, IF(SummaryTable[[#This Row],[DiffAmount25]]=0, ZeroBudgetNoSpending, ZeroBudgetWithSpending), SummaryTable[[#This Row],[DiffAmount25]]/SummaryTable[[#This Row],[OriginalBudget25]])</f>
        <v>0</v>
      </c>
      <c r="AJ116" s="62">
        <f>IF(COUNTIFS(allFYsTable[Code], SummaryTable[[#This Row],[Code]], allFYsTable[year2], AJ$3)=0, NotFound, SUMIFS(allFYsTable[OriginalBudget], allFYsTable[Code], SummaryTable[[#This Row],[Code]], allFYsTable[year2], AJ$3))</f>
        <v>0</v>
      </c>
      <c r="AK116" s="61">
        <f>SummaryTable[[#This Row],[OriginalBudget24]]-SummaryTable[[#This Row],[OriginalBudget23]]</f>
        <v>0</v>
      </c>
      <c r="AL116" s="54" t="e">
        <f>SummaryTable[[#This Row],[BudgetIncreaseAmount24]]/SummaryTable[[#This Row],[OriginalBudget23]]</f>
        <v>#DIV/0!</v>
      </c>
      <c r="AM116" s="61">
        <f>IF(COUNTIFS(allFYsTable[Code], SummaryTable[[#This Row],[Code]], allFYsTable[year2], AK$3)=0, NotFound, SUMIFS(allFYsTable[RevisedBudget], allFYsTable[Code], SummaryTable[[#This Row],[Code]], allFYsTable[year2], AJ$3))</f>
        <v>0</v>
      </c>
      <c r="AN116" s="61">
        <f>IF(COUNTIFS(allFYsTable[Code], SummaryTable[[#This Row],[Code]], allFYsTable[year2], AJ$3)=0, NotFound, SUMIFS(allFYsTable[Actual], allFYsTable[Code], SummaryTable[[#This Row],[Code]], allFYsTable[year2], AJ$3))</f>
        <v>0</v>
      </c>
      <c r="AO116" s="61">
        <f>IF(COUNTIFS(allFYsTable[Code], SummaryTable[[#This Row],[Code]], allFYsTable[year2], AJ$3)=0, NotFound, SUMIFS(allFYsTable[DiffAmount], allFYsTable[Code], SummaryTable[[#This Row],[Code]], allFYsTable[year2], AJ$3))</f>
        <v>0</v>
      </c>
      <c r="AP116" s="63">
        <f>IF(SummaryTable[[#This Row],[OriginalBudget24]]=0, IF(SummaryTable[[#This Row],[DiffAmount24]]=0, ZeroBudgetNoSpending, ZeroBudgetWithSpending), SummaryTable[[#This Row],[DiffAmount24]]/SummaryTable[[#This Row],[OriginalBudget24]])</f>
        <v>0</v>
      </c>
      <c r="AQ116" s="62">
        <f>IF(COUNTIFS(allFYsTable[Code], SummaryTable[[#This Row],[Code]], allFYsTable[year2], AQ$3)=0, NotFound, SUMIFS(allFYsTable[OriginalBudget], allFYsTable[Code], SummaryTable[[#This Row],[Code]], allFYsTable[year2], AQ$3))</f>
        <v>0</v>
      </c>
      <c r="AR116" s="61">
        <f>SummaryTable[[#This Row],[OriginalBudget23]]-SummaryTable[[#This Row],[OriginalBudget22]]</f>
        <v>0</v>
      </c>
      <c r="AS116" s="54" t="e">
        <f>SummaryTable[[#This Row],[BudgetIncreaseAmount23]]/SummaryTable[[#This Row],[OriginalBudget22]]</f>
        <v>#DIV/0!</v>
      </c>
      <c r="AT116" s="61">
        <f>IF(COUNTIFS(allFYsTable[Code], SummaryTable[[#This Row],[Code]], allFYsTable[year2], AQ$3)=0, NotFound, SUMIFS(allFYsTable[RevisedBudget], allFYsTable[Code], SummaryTable[[#This Row],[Code]], allFYsTable[year2], AQ$3))</f>
        <v>0</v>
      </c>
      <c r="AU116" s="61">
        <f>IF(COUNTIFS(allFYsTable[Code], SummaryTable[[#This Row],[Code]], allFYsTable[year2], AQ$3)=0, NotFound, SUMIFS(allFYsTable[Actual], allFYsTable[Code], SummaryTable[[#This Row],[Code]], allFYsTable[year2], AQ$3))</f>
        <v>0</v>
      </c>
      <c r="AV116" s="61">
        <f>IF(COUNTIFS(allFYsTable[Code], SummaryTable[[#This Row],[Code]], allFYsTable[year2], AQ$3)=0, NotFound, SUMIFS(allFYsTable[DiffAmount], allFYsTable[Code], SummaryTable[[#This Row],[Code]], allFYsTable[year2], AQ$3))</f>
        <v>0</v>
      </c>
      <c r="AW116" s="63">
        <f>IF(SummaryTable[[#This Row],[OriginalBudget23]]=0, IF(SummaryTable[[#This Row],[DiffAmount23]]=0, ZeroBudgetNoSpending, ZeroBudgetWithSpending), SummaryTable[[#This Row],[DiffAmount23]]/SummaryTable[[#This Row],[OriginalBudget23]])</f>
        <v>0</v>
      </c>
      <c r="AX116" s="62">
        <f>IF(COUNTIFS(allFYsTable[Code], SummaryTable[[#This Row],[Code]], allFYsTable[year2], AX$3)=0, NotFound, SUMIFS(allFYsTable[OriginalBudget], allFYsTable[Code], SummaryTable[[#This Row],[Code]], allFYsTable[year2], AX$3))</f>
        <v>0</v>
      </c>
      <c r="AY116" s="61">
        <f>SummaryTable[[#This Row],[OriginalBudget22]]-SummaryTable[[#This Row],[OriginalBudget21]]</f>
        <v>0</v>
      </c>
      <c r="AZ116" s="54" t="e">
        <f>SummaryTable[[#This Row],[BudgetIncreaseAmount22]]/SummaryTable[[#This Row],[OriginalBudget21]]</f>
        <v>#DIV/0!</v>
      </c>
      <c r="BA116" s="61">
        <f>IF(COUNTIFS(allFYsTable[Code], SummaryTable[[#This Row],[Code]], allFYsTable[year2], AX$3)=0, NotFound, SUMIFS(allFYsTable[RevisedBudget], allFYsTable[Code], SummaryTable[[#This Row],[Code]], allFYsTable[year2], AX$3))</f>
        <v>0</v>
      </c>
      <c r="BB116" s="61">
        <f>IF(COUNTIFS(allFYsTable[Code], SummaryTable[[#This Row],[Code]], allFYsTable[year2], AX$3)=0, NotFound, SUMIFS(allFYsTable[Actual], allFYsTable[Code], SummaryTable[[#This Row],[Code]], allFYsTable[year2], AX$3))</f>
        <v>0</v>
      </c>
      <c r="BC116" s="61">
        <f>IF(COUNTIFS(allFYsTable[Code], SummaryTable[[#This Row],[Code]], allFYsTable[year2], AX$3)=0, NotFound, SUMIFS(allFYsTable[DiffAmount], allFYsTable[Code], SummaryTable[[#This Row],[Code]], allFYsTable[year2], AX$3))</f>
        <v>0</v>
      </c>
      <c r="BD116" s="63">
        <f>IF(SummaryTable[[#This Row],[OriginalBudget22]]=0, IF(SummaryTable[[#This Row],[DiffAmount22]]=0, ZeroBudgetNoSpending, ZeroBudgetWithSpending), SummaryTable[[#This Row],[DiffAmount22]]/SummaryTable[[#This Row],[OriginalBudget22]])</f>
        <v>0</v>
      </c>
      <c r="BE116" s="62">
        <f>IF(COUNTIFS(allFYsTable[Code], SummaryTable[[#This Row],[Code]], allFYsTable[year2], BE$3)=0, NotFound, SUMIFS(allFYsTable[OriginalBudget], allFYsTable[Code], SummaryTable[[#This Row],[Code]], allFYsTable[year2], BE$3))</f>
        <v>0</v>
      </c>
      <c r="BF116" s="61">
        <f>SummaryTable[[#This Row],[OriginalBudget21]]-SummaryTable[[#This Row],[OriginalBudget20]]</f>
        <v>0</v>
      </c>
      <c r="BG116" s="54" t="e">
        <f>SummaryTable[[#This Row],[BudgetIncreaseAmount21]]/SummaryTable[[#This Row],[OriginalBudget20]]</f>
        <v>#DIV/0!</v>
      </c>
      <c r="BH116" s="61">
        <f>IF(COUNTIFS(allFYsTable[Code], SummaryTable[[#This Row],[Code]], allFYsTable[year2], BE$3)=0, NotFound, SUMIFS(allFYsTable[RevisedBudget], allFYsTable[Code], SummaryTable[[#This Row],[Code]], allFYsTable[year2], BE$3))</f>
        <v>0</v>
      </c>
      <c r="BI116" s="61">
        <f>IF(COUNTIFS(allFYsTable[Code], SummaryTable[[#This Row],[Code]], allFYsTable[year2], BE$3)=0, NotFound, SUMIFS(allFYsTable[Actual], allFYsTable[Code], SummaryTable[[#This Row],[Code]], allFYsTable[year2], BE$3))</f>
        <v>0</v>
      </c>
      <c r="BJ116" s="61">
        <f>IF(COUNTIFS(allFYsTable[Code], SummaryTable[[#This Row],[Code]], allFYsTable[year2], BE$3)=0, NotFound, SUMIFS(allFYsTable[DiffAmount], allFYsTable[Code], SummaryTable[[#This Row],[Code]], allFYsTable[year2], BE$3))</f>
        <v>0</v>
      </c>
      <c r="BK116" s="63">
        <f>IF(SummaryTable[[#This Row],[OriginalBudget21]]=0, IF(SummaryTable[[#This Row],[DiffAmount21]]=0, ZeroBudgetNoSpending, ZeroBudgetWithSpending), SummaryTable[[#This Row],[DiffAmount21]]/SummaryTable[[#This Row],[OriginalBudget21]])</f>
        <v>0</v>
      </c>
      <c r="BL116" s="62">
        <f>IF(COUNTIFS(allFYsTable[Code], SummaryTable[[#This Row],[Code]], allFYsTable[year2], BL$3)=0, NotFound, SUMIFS(allFYsTable[OriginalBudget], allFYsTable[Code], SummaryTable[[#This Row],[Code]], allFYsTable[year2], BL$3))</f>
        <v>0</v>
      </c>
      <c r="BM116" s="61">
        <f>SummaryTable[[#This Row],[OriginalBudget20]]-SummaryTable[[#This Row],[OriginalBudget19]]</f>
        <v>0</v>
      </c>
      <c r="BN116" s="54" t="e">
        <f>SummaryTable[[#This Row],[BudgetIncreaseAmount20]]/SummaryTable[[#This Row],[OriginalBudget19]]</f>
        <v>#DIV/0!</v>
      </c>
      <c r="BO116" s="61">
        <f>IF(COUNTIFS(allFYsTable[Code], SummaryTable[[#This Row],[Code]], allFYsTable[year2], BL$3)=0, NotFound, SUMIFS(allFYsTable[RevisedBudget], allFYsTable[Code], SummaryTable[[#This Row],[Code]], allFYsTable[year2], BL$3))</f>
        <v>0</v>
      </c>
      <c r="BP116" s="61">
        <f>IF(COUNTIFS(allFYsTable[Code], SummaryTable[[#This Row],[Code]], allFYsTable[year2], BL$3)=0, NotFound, SUMIFS(allFYsTable[Actual], allFYsTable[Code], SummaryTable[[#This Row],[Code]], allFYsTable[year2], BL$3))</f>
        <v>0</v>
      </c>
      <c r="BQ116" s="61">
        <f>IF(COUNTIFS(allFYsTable[Code], SummaryTable[[#This Row],[Code]], allFYsTable[year2], BL$3)=0, NotFound, SUMIFS(allFYsTable[DiffAmount], allFYsTable[Code], SummaryTable[[#This Row],[Code]], allFYsTable[year2], BL$3))</f>
        <v>0</v>
      </c>
      <c r="BR116" s="63">
        <f>IF(SummaryTable[[#This Row],[OriginalBudget20]]=0, IF(SummaryTable[[#This Row],[DiffAmount20]]=0, ZeroBudgetNoSpending, ZeroBudgetWithSpending), SummaryTable[[#This Row],[DiffAmount20]]/SummaryTable[[#This Row],[OriginalBudget20]])</f>
        <v>0</v>
      </c>
      <c r="BS116" s="62">
        <f>IF(COUNTIFS(allFYsTable[Code], SummaryTable[[#This Row],[Code]], allFYsTable[year2], BS$3)=0, NotFound, SUMIFS(allFYsTable[OriginalBudget], allFYsTable[Code], SummaryTable[[#This Row],[Code]], allFYsTable[year2], BS$3))</f>
        <v>0</v>
      </c>
      <c r="BT116" s="61">
        <f>SummaryTable[[#This Row],[OriginalBudget19]]-SummaryTable[[#This Row],[OriginalBudget18]]</f>
        <v>0</v>
      </c>
      <c r="BU116" s="54" t="e">
        <f>SummaryTable[[#This Row],[BudgetIncreaseAmount19]]/SummaryTable[[#This Row],[OriginalBudget18]]</f>
        <v>#DIV/0!</v>
      </c>
      <c r="BV116" s="61">
        <f>IF(COUNTIFS(allFYsTable[Code], SummaryTable[[#This Row],[Code]], allFYsTable[year2], BS$3)=0, NotFound, SUMIFS(allFYsTable[RevisedBudget], allFYsTable[Code], SummaryTable[[#This Row],[Code]], allFYsTable[year2], BS$3))</f>
        <v>0</v>
      </c>
      <c r="BW116" s="61">
        <f>IF(COUNTIFS(allFYsTable[Code], SummaryTable[[#This Row],[Code]], allFYsTable[year2], BS$3)=0, NotFound, SUMIFS(allFYsTable[Actual], allFYsTable[Code], SummaryTable[[#This Row],[Code]], allFYsTable[year2], BS$3))</f>
        <v>0</v>
      </c>
      <c r="BX116" s="61">
        <f>IF(COUNTIFS(allFYsTable[Code], SummaryTable[[#This Row],[Code]], allFYsTable[year2], BS$3)=0, NotFound, SUMIFS(allFYsTable[DiffAmount], allFYsTable[Code], SummaryTable[[#This Row],[Code]], allFYsTable[year2], BS$3))</f>
        <v>0</v>
      </c>
      <c r="BY116" s="63">
        <f>IF(SummaryTable[[#This Row],[OriginalBudget19]]=0, IF(SummaryTable[[#This Row],[DiffAmount19]]=0, ZeroBudgetNoSpending, ZeroBudgetWithSpending), SummaryTable[[#This Row],[DiffAmount19]]/SummaryTable[[#This Row],[OriginalBudget19]])</f>
        <v>0</v>
      </c>
      <c r="BZ116" s="62">
        <f>IF(COUNTIFS(allFYsTable[Code], SummaryTable[[#This Row],[Code]], allFYsTable[year2], BZ$3)=0, NotFound, SUMIFS(allFYsTable[OriginalBudget], allFYsTable[Code], SummaryTable[[#This Row],[Code]], allFYsTable[year2], BZ$3))</f>
        <v>0</v>
      </c>
      <c r="CA116" s="61">
        <f>SummaryTable[[#This Row],[OriginalBudget18]]-SummaryTable[[#This Row],[OriginalBudget17]]</f>
        <v>0</v>
      </c>
      <c r="CB116" s="54" t="e">
        <f>SummaryTable[[#This Row],[BudgetIncreaseAmount18]]/SummaryTable[[#This Row],[OriginalBudget17]]</f>
        <v>#DIV/0!</v>
      </c>
      <c r="CC116" s="61">
        <f>IF(COUNTIFS(allFYsTable[Code], SummaryTable[[#This Row],[Code]], allFYsTable[year2], BZ$3)=0, NotFound, SUMIFS(allFYsTable[RevisedBudget], allFYsTable[Code], SummaryTable[[#This Row],[Code]], allFYsTable[year2], BZ$3))</f>
        <v>0</v>
      </c>
      <c r="CD116" s="61">
        <f>IF(COUNTIFS(allFYsTable[Code], SummaryTable[[#This Row],[Code]], allFYsTable[year2], BZ$3)=0, NotFound, SUMIFS(allFYsTable[Actual], allFYsTable[Code], SummaryTable[[#This Row],[Code]], allFYsTable[year2], BZ$3))</f>
        <v>0</v>
      </c>
      <c r="CE116" s="61">
        <f>IF(COUNTIFS(allFYsTable[Code], SummaryTable[[#This Row],[Code]], allFYsTable[year2], BZ$3)=0, NotFound, SUMIFS(allFYsTable[DiffAmount], allFYsTable[Code], SummaryTable[[#This Row],[Code]], allFYsTable[year2], BZ$3))</f>
        <v>0</v>
      </c>
      <c r="CF116" s="63">
        <f>IF(SummaryTable[[#This Row],[OriginalBudget18]]=0, IF(SummaryTable[[#This Row],[DiffAmount18]]=0, ZeroBudgetNoSpending, ZeroBudgetWithSpending), SummaryTable[[#This Row],[DiffAmount18]]/SummaryTable[[#This Row],[OriginalBudget18]])</f>
        <v>0</v>
      </c>
      <c r="CG116" s="62">
        <f>IF(COUNTIFS(allFYsTable[Code], SummaryTable[[#This Row],[Code]], allFYsTable[year2], CG$3)=0, NotFound, SUMIFS(allFYsTable[OriginalBudget], allFYsTable[Code], SummaryTable[[#This Row],[Code]], allFYsTable[year2], CG$3))</f>
        <v>0</v>
      </c>
      <c r="CH116" s="61">
        <f>SummaryTable[[#This Row],[OriginalBudget17]]-SummaryTable[[#This Row],[OriginalBudget16]]</f>
        <v>0</v>
      </c>
      <c r="CI116" s="54" t="e">
        <f>SummaryTable[[#This Row],[BudgetIncreaseAmount17]]/SummaryTable[[#This Row],[OriginalBudget16]]</f>
        <v>#DIV/0!</v>
      </c>
      <c r="CJ116" s="61">
        <f>IF(COUNTIFS(allFYsTable[Code], SummaryTable[[#This Row],[Code]], allFYsTable[year2], CG$3)=0, NotFound, SUMIFS(allFYsTable[RevisedBudget], allFYsTable[Code], SummaryTable[[#This Row],[Code]], allFYsTable[year2], CG$3))</f>
        <v>0</v>
      </c>
      <c r="CK116" s="61">
        <f>IF(COUNTIFS(allFYsTable[Code], SummaryTable[[#This Row],[Code]], allFYsTable[year2], CG$3)=0, NotFound, SUMIFS(allFYsTable[Actual], allFYsTable[Code], SummaryTable[[#This Row],[Code]], allFYsTable[year2], CG$3))</f>
        <v>0</v>
      </c>
      <c r="CL116" s="61">
        <f>IF(COUNTIFS(allFYsTable[Code], SummaryTable[[#This Row],[Code]], allFYsTable[year2], CG$3)=0, NotFound, SUMIFS(allFYsTable[DiffAmount], allFYsTable[Code], SummaryTable[[#This Row],[Code]], allFYsTable[year2], CG$3))</f>
        <v>0</v>
      </c>
      <c r="CM116" s="63">
        <f>IF(SummaryTable[[#This Row],[OriginalBudget17]]=0, IF(SummaryTable[[#This Row],[DiffAmount17]]=0, ZeroBudgetNoSpending, ZeroBudgetWithSpending), SummaryTable[[#This Row],[DiffAmount17]]/SummaryTable[[#This Row],[OriginalBudget17]])</f>
        <v>0</v>
      </c>
      <c r="CN116" s="62">
        <f>IF(COUNTIFS(allFYsTable[Code], SummaryTable[[#This Row],[Code]], allFYsTable[year2], CN$3)=0, NotFound, SUMIFS(allFYsTable[OriginalBudget], allFYsTable[Code], SummaryTable[[#This Row],[Code]], allFYsTable[year2], CN$3))</f>
        <v>0</v>
      </c>
      <c r="CO116" s="61">
        <f>SummaryTable[[#This Row],[OriginalBudget16]]-SummaryTable[[#This Row],[OriginalBudget15]]</f>
        <v>0</v>
      </c>
      <c r="CP116" s="54" t="e">
        <f>SummaryTable[[#This Row],[BudgetIncreaseAmount16]]/SummaryTable[[#This Row],[OriginalBudget15]]</f>
        <v>#DIV/0!</v>
      </c>
      <c r="CQ116" s="61">
        <f>IF(COUNTIFS(allFYsTable[Code], SummaryTable[[#This Row],[Code]], allFYsTable[year2], CN$3)=0, NotFound, SUMIFS(allFYsTable[RevisedBudget], allFYsTable[Code], SummaryTable[[#This Row],[Code]], allFYsTable[year2], CN$3))</f>
        <v>0</v>
      </c>
      <c r="CR116" s="61">
        <f>IF(COUNTIFS(allFYsTable[Code], SummaryTable[[#This Row],[Code]], allFYsTable[year2], CN$3)=0, NotFound, SUMIFS(allFYsTable[Actual], allFYsTable[Code], SummaryTable[[#This Row],[Code]], allFYsTable[year2], CN$3))</f>
        <v>0</v>
      </c>
      <c r="CS116" s="61">
        <f>IF(COUNTIFS(allFYsTable[Code], SummaryTable[[#This Row],[Code]], allFYsTable[year2], CN$3)=0, NotFound, SUMIFS(allFYsTable[DiffAmount], allFYsTable[Code], SummaryTable[[#This Row],[Code]], allFYsTable[year2], CN$3))</f>
        <v>0</v>
      </c>
      <c r="CT116" s="63">
        <f>IF(SummaryTable[[#This Row],[OriginalBudget16]]=0, IF(SummaryTable[[#This Row],[DiffAmount16]]=0, ZeroBudgetNoSpending, ZeroBudgetWithSpending), SummaryTable[[#This Row],[DiffAmount16]]/SummaryTable[[#This Row],[OriginalBudget16]])</f>
        <v>0</v>
      </c>
      <c r="CU116" s="62">
        <f>IF(COUNTIFS(allFYsTable[Code], SummaryTable[[#This Row],[Code]], allFYsTable[year2], CU$3)=0, NotFound, SUMIFS(allFYsTable[OriginalBudget], allFYsTable[Code], SummaryTable[[#This Row],[Code]], allFYsTable[year2], CU$3))</f>
        <v>0</v>
      </c>
      <c r="CV116" s="61">
        <f>SummaryTable[[#This Row],[OriginalBudget15]]-SummaryTable[[#This Row],[OriginalBudget14]]</f>
        <v>0</v>
      </c>
      <c r="CW116" s="54" t="e">
        <f>SummaryTable[[#This Row],[BudgetIncreaseAmount15]]/SummaryTable[[#This Row],[OriginalBudget14]]</f>
        <v>#DIV/0!</v>
      </c>
      <c r="CX116" s="61">
        <f>IF(COUNTIFS(allFYsTable[Code], SummaryTable[[#This Row],[Code]], allFYsTable[year2], CU$3)=0, NotFound, SUMIFS(allFYsTable[RevisedBudget], allFYsTable[Code], SummaryTable[[#This Row],[Code]], allFYsTable[year2], CU$3))</f>
        <v>0</v>
      </c>
      <c r="CY116" s="61">
        <f>IF(COUNTIFS(allFYsTable[Code], SummaryTable[[#This Row],[Code]], allFYsTable[year2], CU$3)=0, NotFound, SUMIFS(allFYsTable[Actual], allFYsTable[Code], SummaryTable[[#This Row],[Code]], allFYsTable[year2], CU$3))</f>
        <v>0</v>
      </c>
      <c r="CZ116" s="61">
        <f>IF(COUNTIFS(allFYsTable[Code], SummaryTable[[#This Row],[Code]], allFYsTable[year2], CU$3)=0, NotFound, SUMIFS(allFYsTable[DiffAmount], allFYsTable[Code], SummaryTable[[#This Row],[Code]], allFYsTable[year2], CU$3))</f>
        <v>0</v>
      </c>
      <c r="DA116" s="63">
        <f>IF(SummaryTable[[#This Row],[OriginalBudget15]]=0, IF(SummaryTable[[#This Row],[DiffAmount15]]=0, ZeroBudgetNoSpending, ZeroBudgetWithSpending), SummaryTable[[#This Row],[DiffAmount15]]/SummaryTable[[#This Row],[OriginalBudget15]])</f>
        <v>0</v>
      </c>
      <c r="DB116" s="62">
        <f>IF(COUNTIFS(allFYsTable[Code], SummaryTable[[#This Row],[Code]], allFYsTable[year2], DB$3)=0, NotFound, SUMIFS(allFYsTable[OriginalBudget], allFYsTable[Code], SummaryTable[[#This Row],[Code]], allFYsTable[year2], DB$3))</f>
        <v>0</v>
      </c>
      <c r="DC116" s="61">
        <f>SummaryTable[[#This Row],[OriginalBudget14]]-SummaryTable[[#This Row],[OriginalBudget13]]</f>
        <v>0</v>
      </c>
      <c r="DD116" s="54" t="e">
        <f>SummaryTable[[#This Row],[BudgetIncreaseAmount14]]/SummaryTable[[#This Row],[OriginalBudget13]]</f>
        <v>#DIV/0!</v>
      </c>
      <c r="DE116" s="61">
        <f>IF(COUNTIFS(allFYsTable[Code], SummaryTable[[#This Row],[Code]], allFYsTable[year2], DB$3)=0, NotFound, SUMIFS(allFYsTable[RevisedBudget], allFYsTable[Code], SummaryTable[[#This Row],[Code]], allFYsTable[year2], DB$3))</f>
        <v>0</v>
      </c>
      <c r="DF116" s="61">
        <f>IF(COUNTIFS(allFYsTable[Code], SummaryTable[[#This Row],[Code]], allFYsTable[year2], DB$3)=0, NotFound, SUMIFS(allFYsTable[Actual], allFYsTable[Code], SummaryTable[[#This Row],[Code]], allFYsTable[year2], DB$3))</f>
        <v>0</v>
      </c>
      <c r="DG116" s="61">
        <f>IF(COUNTIFS(allFYsTable[Code], SummaryTable[[#This Row],[Code]], allFYsTable[year2], DB$3)=0, NotFound, SUMIFS(allFYsTable[DiffAmount], allFYsTable[Code], SummaryTable[[#This Row],[Code]], allFYsTable[year2], DB$3))</f>
        <v>0</v>
      </c>
      <c r="DH116" s="63">
        <f>IF(SummaryTable[[#This Row],[OriginalBudget14]]=0, IF(SummaryTable[[#This Row],[DiffAmount14]]=0, ZeroBudgetNoSpending, ZeroBudgetWithSpending), SummaryTable[[#This Row],[DiffAmount14]]/SummaryTable[[#This Row],[OriginalBudget14]])</f>
        <v>0</v>
      </c>
      <c r="DI116" s="62">
        <f>IF(COUNTIFS(allFYsTable[Code], SummaryTable[[#This Row],[Code]], allFYsTable[year2], DI$3)=0, NotFound, SUMIFS(allFYsTable[OriginalBudget], allFYsTable[Code], SummaryTable[[#This Row],[Code]], allFYsTable[year2], DI$3))</f>
        <v>0</v>
      </c>
      <c r="DJ116" s="61">
        <f>SummaryTable[[#This Row],[OriginalBudget13]]-SummaryTable[[#This Row],[OriginalBudget12]]</f>
        <v>0</v>
      </c>
      <c r="DK116" s="54" t="e">
        <f>SummaryTable[[#This Row],[BudgetIncreaseAmount13]]/SummaryTable[[#This Row],[OriginalBudget12]]</f>
        <v>#DIV/0!</v>
      </c>
      <c r="DL116" s="61">
        <f>IF(COUNTIFS(allFYsTable[Code], SummaryTable[[#This Row],[Code]], allFYsTable[year2], DI$3)=0, NotFound, SUMIFS(allFYsTable[RevisedBudget], allFYsTable[Code], SummaryTable[[#This Row],[Code]], allFYsTable[year2], DI$3))</f>
        <v>0</v>
      </c>
      <c r="DM116" s="61">
        <f>IF(COUNTIFS(allFYsTable[Code], SummaryTable[[#This Row],[Code]], allFYsTable[year2], DI$3)=0, NotFound, SUMIFS(allFYsTable[Actual], allFYsTable[Code], SummaryTable[[#This Row],[Code]], allFYsTable[year2], DI$3))</f>
        <v>0</v>
      </c>
      <c r="DN116" s="61">
        <f>IF(COUNTIFS(allFYsTable[Code], SummaryTable[[#This Row],[Code]], allFYsTable[year2], DI$3)=0, NotFound, SUMIFS(allFYsTable[DiffAmount], allFYsTable[Code], SummaryTable[[#This Row],[Code]], allFYsTable[year2], DI$3))</f>
        <v>0</v>
      </c>
      <c r="DO116" s="63">
        <f>IF(SummaryTable[[#This Row],[OriginalBudget13]]=0, IF(SummaryTable[[#This Row],[DiffAmount13]]=0, ZeroBudgetNoSpending, ZeroBudgetWithSpending), SummaryTable[[#This Row],[DiffAmount13]]/SummaryTable[[#This Row],[OriginalBudget13]])</f>
        <v>0</v>
      </c>
      <c r="DP116" s="62">
        <f>IF(COUNTIFS(allFYsTable[Code], SummaryTable[[#This Row],[Code]], allFYsTable[year2], DP$3)=0, NotFound, SUMIFS(allFYsTable[OriginalBudget], allFYsTable[Code], SummaryTable[[#This Row],[Code]], allFYsTable[year2], DP$3))</f>
        <v>0</v>
      </c>
      <c r="DQ116" s="61">
        <f>SummaryTable[[#This Row],[OriginalBudget12]]-SummaryTable[[#This Row],[OriginalBudget11]]</f>
        <v>0</v>
      </c>
      <c r="DR116" s="54" t="e">
        <f>SummaryTable[[#This Row],[BudgetIncreaseAmount12]]/SummaryTable[[#This Row],[OriginalBudget11]]</f>
        <v>#DIV/0!</v>
      </c>
      <c r="DS116" s="61">
        <f>IF(COUNTIFS(allFYsTable[Code], SummaryTable[[#This Row],[Code]], allFYsTable[year2], DP$3)=0, NotFound, SUMIFS(allFYsTable[RevisedBudget], allFYsTable[Code], SummaryTable[[#This Row],[Code]], allFYsTable[year2], DP$3))</f>
        <v>0</v>
      </c>
      <c r="DT116" s="61">
        <f>IF(COUNTIFS(allFYsTable[Code], SummaryTable[[#This Row],[Code]], allFYsTable[year2], DP$3)=0, NotFound, SUMIFS(allFYsTable[Actual], allFYsTable[Code], SummaryTable[[#This Row],[Code]], allFYsTable[year2], DP$3))</f>
        <v>0</v>
      </c>
      <c r="DU116" s="61">
        <f>IF(COUNTIFS(allFYsTable[Code], SummaryTable[[#This Row],[Code]], allFYsTable[year2], DP$3)=0, NotFound, SUMIFS(allFYsTable[DiffAmount], allFYsTable[Code], SummaryTable[[#This Row],[Code]], allFYsTable[year2], DP$3))</f>
        <v>0</v>
      </c>
      <c r="DV116" s="63">
        <f>IF(SummaryTable[[#This Row],[OriginalBudget12]]=0, IF(SummaryTable[[#This Row],[DiffAmount12]]=0, ZeroBudgetNoSpending, ZeroBudgetWithSpending), SummaryTable[[#This Row],[DiffAmount12]]/SummaryTable[[#This Row],[OriginalBudget12]])</f>
        <v>0</v>
      </c>
      <c r="DW116" s="62">
        <f>IF(COUNTIFS(allFYsTable[Code], SummaryTable[[#This Row],[Code]], allFYsTable[year2], DW$3)=0, NotFound, SUMIFS(allFYsTable[OriginalBudget], allFYsTable[Code], SummaryTable[[#This Row],[Code]], allFYsTable[year2], DW$3))</f>
        <v>0</v>
      </c>
      <c r="DX116" s="61">
        <f>SummaryTable[[#This Row],[OriginalBudget11]]-SummaryTable[[#This Row],[OriginalBudget10]]</f>
        <v>0</v>
      </c>
      <c r="DY116" s="54" t="e">
        <f>SummaryTable[[#This Row],[BudgetIncreaseAmount11]]/SummaryTable[[#This Row],[OriginalBudget10]]</f>
        <v>#DIV/0!</v>
      </c>
      <c r="DZ116" s="61">
        <f>IF(COUNTIFS(allFYsTable[Code], SummaryTable[[#This Row],[Code]], allFYsTable[year2], DW$3)=0, NotFound, SUMIFS(allFYsTable[RevisedBudget], allFYsTable[Code], SummaryTable[[#This Row],[Code]], allFYsTable[year2], DW$3))</f>
        <v>0</v>
      </c>
      <c r="EA116" s="61">
        <f>IF(COUNTIFS(allFYsTable[Code], SummaryTable[[#This Row],[Code]], allFYsTable[year2], DW$3)=0, NotFound, SUMIFS(allFYsTable[Actual], allFYsTable[Code], SummaryTable[[#This Row],[Code]], allFYsTable[year2], DW$3))</f>
        <v>0</v>
      </c>
      <c r="EB116" s="61">
        <f>IF(COUNTIFS(allFYsTable[Code], SummaryTable[[#This Row],[Code]], allFYsTable[year2], DW$3)=0, NotFound, SUMIFS(allFYsTable[DiffAmount], allFYsTable[Code], SummaryTable[[#This Row],[Code]], allFYsTable[year2], DW$3))</f>
        <v>0</v>
      </c>
      <c r="EC116" s="63">
        <f>IF(SummaryTable[[#This Row],[OriginalBudget11]]=0, IF(SummaryTable[[#This Row],[DiffAmount11]]=0, ZeroBudgetNoSpending, ZeroBudgetWithSpending), SummaryTable[[#This Row],[DiffAmount11]]/SummaryTable[[#This Row],[OriginalBudget11]])</f>
        <v>0</v>
      </c>
      <c r="ED116" s="62">
        <f>IF(COUNTIFS(allFYsTable[Code], SummaryTable[[#This Row],[Code]], allFYsTable[year2], ED$3)=0, NotFound, SUMIFS(allFYsTable[OriginalBudget], allFYsTable[Code], SummaryTable[[#This Row],[Code]], allFYsTable[year2], ED$3))</f>
        <v>0</v>
      </c>
      <c r="EE116" s="61">
        <f>SummaryTable[[#This Row],[OriginalBudget10]]-SummaryTable[[#This Row],[OriginalBudget09]]</f>
        <v>0</v>
      </c>
      <c r="EF116" s="54" t="e">
        <f>SummaryTable[[#This Row],[BudgetIncreaseAmount10]]/SummaryTable[[#This Row],[OriginalBudget09]]</f>
        <v>#DIV/0!</v>
      </c>
      <c r="EG116" s="61">
        <f>IF(COUNTIFS(allFYsTable[Code], SummaryTable[[#This Row],[Code]], allFYsTable[year2], ED$3)=0, NotFound, SUMIFS(allFYsTable[RevisedBudget], allFYsTable[Code], SummaryTable[[#This Row],[Code]], allFYsTable[year2], ED$3))</f>
        <v>0</v>
      </c>
      <c r="EH116" s="61">
        <f>IF(COUNTIFS(allFYsTable[Code], SummaryTable[[#This Row],[Code]], allFYsTable[year2], ED$3)=0, NotFound, SUMIFS(allFYsTable[Actual], allFYsTable[Code], SummaryTable[[#This Row],[Code]], allFYsTable[year2], ED$3))</f>
        <v>0</v>
      </c>
      <c r="EI116" s="61">
        <f>IF(COUNTIFS(allFYsTable[Code], SummaryTable[[#This Row],[Code]], allFYsTable[year2], ED$3)=0, NotFound, SUMIFS(allFYsTable[DiffAmount], allFYsTable[Code], SummaryTable[[#This Row],[Code]], allFYsTable[year2], ED$3))</f>
        <v>0</v>
      </c>
      <c r="EJ116" s="63">
        <f>IF(SummaryTable[[#This Row],[OriginalBudget10]]=0, IF(SummaryTable[[#This Row],[DiffAmount10]]=0, ZeroBudgetNoSpending, ZeroBudgetWithSpending), SummaryTable[[#This Row],[DiffAmount10]]/SummaryTable[[#This Row],[OriginalBudget10]])</f>
        <v>0</v>
      </c>
      <c r="EK116" s="62">
        <f>IF(COUNTIFS(allFYsTable[Code], SummaryTable[[#This Row],[Code]], allFYsTable[year2], EK$3)=0, NotFound, SUMIFS(allFYsTable[OriginalBudget], allFYsTable[Code], SummaryTable[[#This Row],[Code]], allFYsTable[year2], EK$3))</f>
        <v>0</v>
      </c>
      <c r="EL116" s="61">
        <f>SummaryTable[[#This Row],[OriginalBudget09]]-SummaryTable[[#This Row],[OriginalBudget08]]</f>
        <v>0</v>
      </c>
      <c r="EM116" s="54" t="e">
        <f>SummaryTable[[#This Row],[BudgetIncreaseAmount09]]/SummaryTable[[#This Row],[OriginalBudget08]]</f>
        <v>#DIV/0!</v>
      </c>
      <c r="EN116" s="61">
        <f>IF(COUNTIFS(allFYsTable[Code], SummaryTable[[#This Row],[Code]], allFYsTable[year2], EK$3)=0, NotFound, SUMIFS(allFYsTable[RevisedBudget], allFYsTable[Code], SummaryTable[[#This Row],[Code]], allFYsTable[year2], EK$3))</f>
        <v>0</v>
      </c>
      <c r="EO116" s="61">
        <f>IF(COUNTIFS(allFYsTable[Code], SummaryTable[[#This Row],[Code]], allFYsTable[year2], EK$3)=0, NotFound, SUMIFS(allFYsTable[Actual], allFYsTable[Code], SummaryTable[[#This Row],[Code]], allFYsTable[year2], EK$3))</f>
        <v>0</v>
      </c>
      <c r="EP116" s="61">
        <f>IF(COUNTIFS(allFYsTable[Code], SummaryTable[[#This Row],[Code]], allFYsTable[year2], EK$3)=0, NotFound, SUMIFS(allFYsTable[DiffAmount], allFYsTable[Code], SummaryTable[[#This Row],[Code]], allFYsTable[year2], EK$3))</f>
        <v>0</v>
      </c>
      <c r="EQ116" s="63">
        <f>IF(SummaryTable[[#This Row],[OriginalBudget09]]=0, IF(SummaryTable[[#This Row],[DiffAmount09]]=0, ZeroBudgetNoSpending, ZeroBudgetWithSpending), SummaryTable[[#This Row],[DiffAmount09]]/SummaryTable[[#This Row],[OriginalBudget09]])</f>
        <v>0</v>
      </c>
      <c r="ER116" s="62">
        <f>IF(COUNTIFS(allFYsTable[Code], SummaryTable[[#This Row],[Code]], allFYsTable[year2], ER$3)=0, NotFound, SUMIFS(allFYsTable[OriginalBudget], allFYsTable[Code], SummaryTable[[#This Row],[Code]], allFYsTable[year2], ER$3))</f>
        <v>0</v>
      </c>
      <c r="ES116" s="61">
        <f>SummaryTable[[#This Row],[OriginalBudget08]]-SummaryTable[[#This Row],[OriginalBudget07]]</f>
        <v>0</v>
      </c>
      <c r="ET116" s="54" t="e">
        <f>SummaryTable[[#This Row],[BudgetIncreaseAmount08]]/SummaryTable[[#This Row],[OriginalBudget07]]</f>
        <v>#DIV/0!</v>
      </c>
      <c r="EU116" s="61">
        <f>IF(COUNTIFS(allFYsTable[Code], SummaryTable[[#This Row],[Code]], allFYsTable[year2], ER$3)=0, NotFound, SUMIFS(allFYsTable[RevisedBudget], allFYsTable[Code], SummaryTable[[#This Row],[Code]], allFYsTable[year2], ER$3))</f>
        <v>0</v>
      </c>
      <c r="EV116" s="61">
        <f>IF(COUNTIFS(allFYsTable[Code], SummaryTable[[#This Row],[Code]], allFYsTable[year2], ER$3)=0, NotFound, SUMIFS(allFYsTable[Actual], allFYsTable[Code], SummaryTable[[#This Row],[Code]], allFYsTable[year2], ER$3))</f>
        <v>0</v>
      </c>
      <c r="EW116" s="61">
        <f>IF(COUNTIFS(allFYsTable[Code], SummaryTable[[#This Row],[Code]], allFYsTable[year2], ER$3)=0, NotFound, SUMIFS(allFYsTable[DiffAmount], allFYsTable[Code], SummaryTable[[#This Row],[Code]], allFYsTable[year2], ER$3))</f>
        <v>0</v>
      </c>
      <c r="EX116" s="63">
        <f>IF(SummaryTable[[#This Row],[OriginalBudget08]]=0, IF(SummaryTable[[#This Row],[DiffAmount08]]=0, ZeroBudgetNoSpending, ZeroBudgetWithSpending), SummaryTable[[#This Row],[DiffAmount08]]/SummaryTable[[#This Row],[OriginalBudget08]])</f>
        <v>0</v>
      </c>
      <c r="EY116" s="62">
        <f>IF(COUNTIFS(allFYsTable[Code], SummaryTable[[#This Row],[Code]], allFYsTable[year2], EY$3)=0, NotFound, SUMIFS(allFYsTable[OriginalBudget], allFYsTable[Code], SummaryTable[[#This Row],[Code]], allFYsTable[year2], EY$3))</f>
        <v>0</v>
      </c>
      <c r="EZ116" s="61">
        <f>SummaryTable[[#This Row],[OriginalBudget07]]-SummaryTable[[#This Row],[OriginalBudget06]]</f>
        <v>0</v>
      </c>
      <c r="FA116" s="54" t="e">
        <f>SummaryTable[[#This Row],[BudgetIncreaseAmount07]]/SummaryTable[[#This Row],[OriginalBudget06]]</f>
        <v>#DIV/0!</v>
      </c>
      <c r="FB116" s="61">
        <f>IF(COUNTIFS(allFYsTable[Code], SummaryTable[[#This Row],[Code]], allFYsTable[year2], EY$3)=0, NotFound, SUMIFS(allFYsTable[RevisedBudget], allFYsTable[Code], SummaryTable[[#This Row],[Code]], allFYsTable[year2], EY$3))</f>
        <v>0</v>
      </c>
      <c r="FC116" s="61">
        <f>IF(COUNTIFS(allFYsTable[Code], SummaryTable[[#This Row],[Code]], allFYsTable[year2], EY$3)=0, NotFound, SUMIFS(allFYsTable[Actual], allFYsTable[Code], SummaryTable[[#This Row],[Code]], allFYsTable[year2], EY$3))</f>
        <v>0</v>
      </c>
      <c r="FD116" s="61">
        <f>IF(COUNTIFS(allFYsTable[Code], SummaryTable[[#This Row],[Code]], allFYsTable[year2], EY$3)=0, NotFound, SUMIFS(allFYsTable[DiffAmount], allFYsTable[Code], SummaryTable[[#This Row],[Code]], allFYsTable[year2], EY$3))</f>
        <v>0</v>
      </c>
      <c r="FE116" s="63">
        <f>IF(SummaryTable[[#This Row],[OriginalBudget07]]=0, IF(SummaryTable[[#This Row],[DiffAmount07]]=0, ZeroBudgetNoSpending, ZeroBudgetWithSpending), SummaryTable[[#This Row],[DiffAmount07]]/SummaryTable[[#This Row],[OriginalBudget07]])</f>
        <v>0</v>
      </c>
      <c r="FF116" s="62">
        <f>IF(COUNTIFS(allFYsTable[Code], SummaryTable[[#This Row],[Code]], allFYsTable[year2], FF$3)=0, NotFound, SUMIFS(allFYsTable[OriginalBudget], allFYsTable[Code], SummaryTable[[#This Row],[Code]], allFYsTable[year2], FF$3))</f>
        <v>0</v>
      </c>
      <c r="FI116" s="61">
        <f>IF(COUNTIFS(allFYsTable[Code], SummaryTable[[#This Row],[Code]], allFYsTable[year2], FF$3)=0, NotFound, SUMIFS(allFYsTable[RevisedBudget], allFYsTable[Code], SummaryTable[[#This Row],[Code]], allFYsTable[year2], FF$3))</f>
        <v>2053</v>
      </c>
      <c r="FJ116" s="61">
        <f>IF(COUNTIFS(allFYsTable[Code], SummaryTable[[#This Row],[Code]], allFYsTable[year2], FF$3)=0, NotFound, SUMIFS(allFYsTable[Actual], allFYsTable[Code], SummaryTable[[#This Row],[Code]], allFYsTable[year2], FF$3))</f>
        <v>2053</v>
      </c>
      <c r="FK116" s="61">
        <f>IF(COUNTIFS(allFYsTable[Code], SummaryTable[[#This Row],[Code]], allFYsTable[year2], FF$3)=0, NotFound, SUMIFS(allFYsTable[DiffAmount], allFYsTable[Code], SummaryTable[[#This Row],[Code]], allFYsTable[year2], FF$3))</f>
        <v>2053</v>
      </c>
      <c r="FL116" s="63">
        <f>IF(SummaryTable[[#This Row],[OriginalBudget06]]=0, IF(SummaryTable[[#This Row],[DiffAmount06]]=0, ZeroBudgetNoSpending, ZeroBudgetWithSpending), SummaryTable[[#This Row],[DiffAmount06]]/SummaryTable[[#This Row],[OriginalBudget06]])</f>
        <v>99.99</v>
      </c>
    </row>
    <row r="117" spans="1:168" x14ac:dyDescent="0.45">
      <c r="A117" t="s">
        <v>745</v>
      </c>
      <c r="B117">
        <f>_xlfn.MAXIFS(allFYsTable[year2], allFYsTable[Code], SummaryTable[[#This Row],[Code]])</f>
        <v>2025</v>
      </c>
      <c r="C117" t="str">
        <f>_xlfn.XLOOKUP(SummaryTable[[#This Row],[Code]], NameCodingTable[Code], NameCodingTable[Most Recent Category per allFYs])</f>
        <v>Economic development and regulation</v>
      </c>
      <c r="D117" t="str">
        <f>_xlfn.XLOOKUP(SummaryTable[[#This Row],[Code]], NameCodingTable[Code], NameCodingTable[Unit Display Name])</f>
        <v>Real Property Tax Appeals Commission</v>
      </c>
      <c r="E117" t="str">
        <f>_xlfn.XLOOKUP(SummaryTable[[#This Row],[Code]], NameCodingTable[Code], NameCodingTable[Type])</f>
        <v>agency</v>
      </c>
      <c r="F11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1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117" s="54">
        <f>SummaryTable[[#This Row],['# Over]]/SummaryTable[[#This Row],[Count]]</f>
        <v>0.1</v>
      </c>
      <c r="I11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117" s="54">
        <f>SummaryTable[[#This Row],['# Under]]/SummaryTable[[#This Row],[Count]]</f>
        <v>0.85</v>
      </c>
      <c r="K11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17" s="54">
        <f>SummaryTable[[#This Row],['# Equal]]/SummaryTable[[#This Row],[Count]]</f>
        <v>0.05</v>
      </c>
      <c r="M117" s="61">
        <f>SUMIFS(allFYsTable[OriginalBudget],allFYsTable[Code],SummaryTable[[#This Row],[Code]])/SummaryTable[[#This Row],[Count]]</f>
        <v>1488.2</v>
      </c>
      <c r="N117" s="61">
        <f>SUMIFS(allFYsTable[Actual],allFYsTable[Code],SummaryTable[[#This Row],[Code]])/SummaryTable[[#This Row],[Count]]</f>
        <v>1368.4</v>
      </c>
      <c r="O117" s="61">
        <f>SummaryTable[[#This Row],[AvgActAmt]]-SummaryTable[[#This Row],[AvgBudAmt]]</f>
        <v>-119.79999999999995</v>
      </c>
      <c r="P117" s="54">
        <f>IF(SummaryTable[[#This Row],[AvgBudAmt]]=0, IF(SummaryTable[[#This Row],[AvgDiff'#]]=0, 0, NamedFields!$C$3), SummaryTable[[#This Row],[AvgDiff'#]]/SummaryTable[[#This Row],[AvgBudAmt]])</f>
        <v>-8.0499932804730515E-2</v>
      </c>
      <c r="Q117" s="61">
        <f>IFERROR(SUMIFS(allFYsTable[OriginalBudget],allFYsTable[Code],SummaryTable[[#This Row],[Code]],allFYsTable[DiffAmount], "&gt;0")/SummaryTable[[#This Row],['# Over]], 0)</f>
        <v>1710</v>
      </c>
      <c r="R117" s="61">
        <f>IFERROR(SUMIFS(allFYsTable[Actual],allFYsTable[Code],SummaryTable[[#This Row],[Code]],allFYsTable[DiffAmount], "&gt;0")/SummaryTable[[#This Row],['# Over]], 0)</f>
        <v>1736</v>
      </c>
      <c r="S117" s="61">
        <f>SummaryTable[[#This Row],[OverAvgAct]]-SummaryTable[[#This Row],[OverAvgBud]]</f>
        <v>26</v>
      </c>
      <c r="T117" s="54">
        <f>IF(SummaryTable[[#This Row],[OverAvgBud]]=0, IF(SummaryTable[[#This Row],[OverAvgDiff'#]]=0, ZeroBudgetNoSpending, ZeroBudgetWithSpending), SummaryTable[[#This Row],[OverAvgDiff'#]]/SummaryTable[[#This Row],[OverAvgBud]])</f>
        <v>1.5204678362573099E-2</v>
      </c>
      <c r="U117" s="61">
        <f>IFERROR(SUMIFS(allFYsTable[OriginalBudget],allFYsTable[Code],SummaryTable[[#This Row],[Code]],allFYsTable[DiffAmount], "&lt;0")/SummaryTable[[#This Row],['# Under]], 0)</f>
        <v>1445.9411764705883</v>
      </c>
      <c r="V117" s="61">
        <f>IFERROR( SUMIFS(allFYsTable[Actual],allFYsTable[Code],SummaryTable[[#This Row],[Code]],allFYsTable[DiffAmount], "&lt;0")/SummaryTable[[#This Row],['# Under]], 0)</f>
        <v>1301.9411764705883</v>
      </c>
      <c r="W117" s="61">
        <f>SummaryTable[[#This Row],[UnderAvgAct]]-SummaryTable[[#This Row],[UnderAvgBud]]</f>
        <v>-144</v>
      </c>
      <c r="X117" s="54">
        <f>IF(SummaryTable[[#This Row],[UnderAvgBud]]=0, IF(SummaryTable[[#This Row],[UnderAvgDiff'#]]=0, ZeroBudgetNoSpending, NamedFields!$C$3), SummaryTable[[#This Row],[UnderAvgDiff'#]]/SummaryTable[[#This Row],[UnderAvgBud]])</f>
        <v>-9.9589113542980348E-2</v>
      </c>
      <c r="Y11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11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17" s="54">
        <f>IF(SummaryTable[[#This Row],[IncreaseYears]]=0, ZeroBudgetNoSpending, SummaryTable[[#This Row],[OSinIncreaseYear'#]]/SummaryTable[[#This Row],[IncreaseYears]])</f>
        <v>0</v>
      </c>
      <c r="AB117" s="58" t="str">
        <f>SummaryTable[[#This Row],[Code]]</f>
        <v>DA0</v>
      </c>
      <c r="AC117" s="62">
        <f>IF(COUNTIFS(allFYsTable[Code], SummaryTable[[#This Row],[Code]], allFYsTable[year2], AC$3)=0, NotFound, SUMIFS(allFYsTable[OriginalBudget], allFYsTable[Code], SummaryTable[[#This Row],[Code]], allFYsTable[year2], AC$3))</f>
        <v>2020</v>
      </c>
      <c r="AD117" s="61">
        <f>SummaryTable[[#This Row],[OriginalBudget25]]-SummaryTable[[#This Row],[OriginalBudget24]]</f>
        <v>-37</v>
      </c>
      <c r="AE117" s="54">
        <f>SummaryTable[[#This Row],[BudgetIncreaseAmount25]]/SummaryTable[[#This Row],[OriginalBudget24]]</f>
        <v>-1.7987360233349538E-2</v>
      </c>
      <c r="AF117" s="61">
        <f>IF(COUNTIFS(allFYsTable[Code], SummaryTable[[#This Row],[Code]], allFYsTable[year2], AC$3)=0, NotFound, SUMIFS(allFYsTable[RevisedBudget], allFYsTable[Code], SummaryTable[[#This Row],[Code]], allFYsTable[year2], AC$3))</f>
        <v>2023</v>
      </c>
      <c r="AG117" s="61">
        <f>IF(COUNTIFS(allFYsTable[Code], SummaryTable[[#This Row],[Code]], allFYsTable[year2], AC$3)=0, NotFound, SUMIFS(allFYsTable[Actual], allFYsTable[Code], SummaryTable[[#This Row],[Code]], allFYsTable[year2], AC$3))</f>
        <v>2008</v>
      </c>
      <c r="AH117" s="61">
        <f>IF(COUNTIFS(allFYsTable[Code], SummaryTable[[#This Row],[Code]], allFYsTable[year2], AC$3)=0, NotFound, SUMIFS(allFYsTable[DiffAmount], allFYsTable[Code], SummaryTable[[#This Row],[Code]], allFYsTable[year2], AC$3))</f>
        <v>-12</v>
      </c>
      <c r="AI117" s="63">
        <f>IF(SummaryTable[[#This Row],[OriginalBudget25]]=0, IF(SummaryTable[[#This Row],[DiffAmount25]]=0, ZeroBudgetNoSpending, ZeroBudgetWithSpending), SummaryTable[[#This Row],[DiffAmount25]]/SummaryTable[[#This Row],[OriginalBudget25]])</f>
        <v>-5.9405940594059407E-3</v>
      </c>
      <c r="AJ117" s="62">
        <f>IF(COUNTIFS(allFYsTable[Code], SummaryTable[[#This Row],[Code]], allFYsTable[year2], AJ$3)=0, NotFound, SUMIFS(allFYsTable[OriginalBudget], allFYsTable[Code], SummaryTable[[#This Row],[Code]], allFYsTable[year2], AJ$3))</f>
        <v>2057</v>
      </c>
      <c r="AK117" s="61">
        <f>SummaryTable[[#This Row],[OriginalBudget24]]-SummaryTable[[#This Row],[OriginalBudget23]]</f>
        <v>23</v>
      </c>
      <c r="AL117" s="54">
        <f>SummaryTable[[#This Row],[BudgetIncreaseAmount24]]/SummaryTable[[#This Row],[OriginalBudget23]]</f>
        <v>1.1307767944936086E-2</v>
      </c>
      <c r="AM117" s="61">
        <f>IF(COUNTIFS(allFYsTable[Code], SummaryTable[[#This Row],[Code]], allFYsTable[year2], AK$3)=0, NotFound, SUMIFS(allFYsTable[RevisedBudget], allFYsTable[Code], SummaryTable[[#This Row],[Code]], allFYsTable[year2], AJ$3))</f>
        <v>1888</v>
      </c>
      <c r="AN117" s="61">
        <f>IF(COUNTIFS(allFYsTable[Code], SummaryTable[[#This Row],[Code]], allFYsTable[year2], AJ$3)=0, NotFound, SUMIFS(allFYsTable[Actual], allFYsTable[Code], SummaryTable[[#This Row],[Code]], allFYsTable[year2], AJ$3))</f>
        <v>1796</v>
      </c>
      <c r="AO117" s="61">
        <f>IF(COUNTIFS(allFYsTable[Code], SummaryTable[[#This Row],[Code]], allFYsTable[year2], AJ$3)=0, NotFound, SUMIFS(allFYsTable[DiffAmount], allFYsTable[Code], SummaryTable[[#This Row],[Code]], allFYsTable[year2], AJ$3))</f>
        <v>-261</v>
      </c>
      <c r="AP117" s="63">
        <f>IF(SummaryTable[[#This Row],[OriginalBudget24]]=0, IF(SummaryTable[[#This Row],[DiffAmount24]]=0, ZeroBudgetNoSpending, ZeroBudgetWithSpending), SummaryTable[[#This Row],[DiffAmount24]]/SummaryTable[[#This Row],[OriginalBudget24]])</f>
        <v>-0.12688381137579</v>
      </c>
      <c r="AQ117" s="62">
        <f>IF(COUNTIFS(allFYsTable[Code], SummaryTable[[#This Row],[Code]], allFYsTable[year2], AQ$3)=0, NotFound, SUMIFS(allFYsTable[OriginalBudget], allFYsTable[Code], SummaryTable[[#This Row],[Code]], allFYsTable[year2], AQ$3))</f>
        <v>2034</v>
      </c>
      <c r="AR117" s="61">
        <f>SummaryTable[[#This Row],[OriginalBudget23]]-SummaryTable[[#This Row],[OriginalBudget22]]</f>
        <v>258</v>
      </c>
      <c r="AS117" s="54">
        <f>SummaryTable[[#This Row],[BudgetIncreaseAmount23]]/SummaryTable[[#This Row],[OriginalBudget22]]</f>
        <v>0.14527027027027026</v>
      </c>
      <c r="AT117" s="61">
        <f>IF(COUNTIFS(allFYsTable[Code], SummaryTable[[#This Row],[Code]], allFYsTable[year2], AQ$3)=0, NotFound, SUMIFS(allFYsTable[RevisedBudget], allFYsTable[Code], SummaryTable[[#This Row],[Code]], allFYsTable[year2], AQ$3))</f>
        <v>2009</v>
      </c>
      <c r="AU117" s="61">
        <f>IF(COUNTIFS(allFYsTable[Code], SummaryTable[[#This Row],[Code]], allFYsTable[year2], AQ$3)=0, NotFound, SUMIFS(allFYsTable[Actual], allFYsTable[Code], SummaryTable[[#This Row],[Code]], allFYsTable[year2], AQ$3))</f>
        <v>1913</v>
      </c>
      <c r="AV117" s="61">
        <f>IF(COUNTIFS(allFYsTable[Code], SummaryTable[[#This Row],[Code]], allFYsTable[year2], AQ$3)=0, NotFound, SUMIFS(allFYsTable[DiffAmount], allFYsTable[Code], SummaryTable[[#This Row],[Code]], allFYsTable[year2], AQ$3))</f>
        <v>-121</v>
      </c>
      <c r="AW117" s="63">
        <f>IF(SummaryTable[[#This Row],[OriginalBudget23]]=0, IF(SummaryTable[[#This Row],[DiffAmount23]]=0, ZeroBudgetNoSpending, ZeroBudgetWithSpending), SummaryTable[[#This Row],[DiffAmount23]]/SummaryTable[[#This Row],[OriginalBudget23]])</f>
        <v>-5.9488692232055065E-2</v>
      </c>
      <c r="AX117" s="62">
        <f>IF(COUNTIFS(allFYsTable[Code], SummaryTable[[#This Row],[Code]], allFYsTable[year2], AX$3)=0, NotFound, SUMIFS(allFYsTable[OriginalBudget], allFYsTable[Code], SummaryTable[[#This Row],[Code]], allFYsTable[year2], AX$3))</f>
        <v>1776</v>
      </c>
      <c r="AY117" s="61">
        <f>SummaryTable[[#This Row],[OriginalBudget22]]-SummaryTable[[#This Row],[OriginalBudget21]]</f>
        <v>-50</v>
      </c>
      <c r="AZ117" s="54">
        <f>SummaryTable[[#This Row],[BudgetIncreaseAmount22]]/SummaryTable[[#This Row],[OriginalBudget21]]</f>
        <v>-2.7382256297918947E-2</v>
      </c>
      <c r="BA117" s="61">
        <f>IF(COUNTIFS(allFYsTable[Code], SummaryTable[[#This Row],[Code]], allFYsTable[year2], AX$3)=0, NotFound, SUMIFS(allFYsTable[RevisedBudget], allFYsTable[Code], SummaryTable[[#This Row],[Code]], allFYsTable[year2], AX$3))</f>
        <v>1776</v>
      </c>
      <c r="BB117" s="61">
        <f>IF(COUNTIFS(allFYsTable[Code], SummaryTable[[#This Row],[Code]], allFYsTable[year2], AX$3)=0, NotFound, SUMIFS(allFYsTable[Actual], allFYsTable[Code], SummaryTable[[#This Row],[Code]], allFYsTable[year2], AX$3))</f>
        <v>1714</v>
      </c>
      <c r="BC117" s="61">
        <f>IF(COUNTIFS(allFYsTable[Code], SummaryTable[[#This Row],[Code]], allFYsTable[year2], AX$3)=0, NotFound, SUMIFS(allFYsTable[DiffAmount], allFYsTable[Code], SummaryTable[[#This Row],[Code]], allFYsTable[year2], AX$3))</f>
        <v>-62</v>
      </c>
      <c r="BD117" s="63">
        <f>IF(SummaryTable[[#This Row],[OriginalBudget22]]=0, IF(SummaryTable[[#This Row],[DiffAmount22]]=0, ZeroBudgetNoSpending, ZeroBudgetWithSpending), SummaryTable[[#This Row],[DiffAmount22]]/SummaryTable[[#This Row],[OriginalBudget22]])</f>
        <v>-3.4909909909909907E-2</v>
      </c>
      <c r="BE117" s="62">
        <f>IF(COUNTIFS(allFYsTable[Code], SummaryTable[[#This Row],[Code]], allFYsTable[year2], BE$3)=0, NotFound, SUMIFS(allFYsTable[OriginalBudget], allFYsTable[Code], SummaryTable[[#This Row],[Code]], allFYsTable[year2], BE$3))</f>
        <v>1826</v>
      </c>
      <c r="BF117" s="61">
        <f>SummaryTable[[#This Row],[OriginalBudget21]]-SummaryTable[[#This Row],[OriginalBudget20]]</f>
        <v>42</v>
      </c>
      <c r="BG117" s="54">
        <f>SummaryTable[[#This Row],[BudgetIncreaseAmount21]]/SummaryTable[[#This Row],[OriginalBudget20]]</f>
        <v>2.3542600896860985E-2</v>
      </c>
      <c r="BH117" s="61">
        <f>IF(COUNTIFS(allFYsTable[Code], SummaryTable[[#This Row],[Code]], allFYsTable[year2], BE$3)=0, NotFound, SUMIFS(allFYsTable[RevisedBudget], allFYsTable[Code], SummaryTable[[#This Row],[Code]], allFYsTable[year2], BE$3))</f>
        <v>1750</v>
      </c>
      <c r="BI117" s="61">
        <f>IF(COUNTIFS(allFYsTable[Code], SummaryTable[[#This Row],[Code]], allFYsTable[year2], BE$3)=0, NotFound, SUMIFS(allFYsTable[Actual], allFYsTable[Code], SummaryTable[[#This Row],[Code]], allFYsTable[year2], BE$3))</f>
        <v>1734</v>
      </c>
      <c r="BJ117" s="61">
        <f>IF(COUNTIFS(allFYsTable[Code], SummaryTable[[#This Row],[Code]], allFYsTable[year2], BE$3)=0, NotFound, SUMIFS(allFYsTable[DiffAmount], allFYsTable[Code], SummaryTable[[#This Row],[Code]], allFYsTable[year2], BE$3))</f>
        <v>-92</v>
      </c>
      <c r="BK117" s="63">
        <f>IF(SummaryTable[[#This Row],[OriginalBudget21]]=0, IF(SummaryTable[[#This Row],[DiffAmount21]]=0, ZeroBudgetNoSpending, ZeroBudgetWithSpending), SummaryTable[[#This Row],[DiffAmount21]]/SummaryTable[[#This Row],[OriginalBudget21]])</f>
        <v>-5.0383351588170866E-2</v>
      </c>
      <c r="BL117" s="62">
        <f>IF(COUNTIFS(allFYsTable[Code], SummaryTable[[#This Row],[Code]], allFYsTable[year2], BL$3)=0, NotFound, SUMIFS(allFYsTable[OriginalBudget], allFYsTable[Code], SummaryTable[[#This Row],[Code]], allFYsTable[year2], BL$3))</f>
        <v>1784</v>
      </c>
      <c r="BM117" s="61">
        <f>SummaryTable[[#This Row],[OriginalBudget20]]-SummaryTable[[#This Row],[OriginalBudget19]]</f>
        <v>21</v>
      </c>
      <c r="BN117" s="54">
        <f>SummaryTable[[#This Row],[BudgetIncreaseAmount20]]/SummaryTable[[#This Row],[OriginalBudget19]]</f>
        <v>1.1911514463981849E-2</v>
      </c>
      <c r="BO117" s="61">
        <f>IF(COUNTIFS(allFYsTable[Code], SummaryTable[[#This Row],[Code]], allFYsTable[year2], BL$3)=0, NotFound, SUMIFS(allFYsTable[RevisedBudget], allFYsTable[Code], SummaryTable[[#This Row],[Code]], allFYsTable[year2], BL$3))</f>
        <v>1904</v>
      </c>
      <c r="BP117" s="61">
        <f>IF(COUNTIFS(allFYsTable[Code], SummaryTable[[#This Row],[Code]], allFYsTable[year2], BL$3)=0, NotFound, SUMIFS(allFYsTable[Actual], allFYsTable[Code], SummaryTable[[#This Row],[Code]], allFYsTable[year2], BL$3))</f>
        <v>1829</v>
      </c>
      <c r="BQ117" s="61">
        <f>IF(COUNTIFS(allFYsTable[Code], SummaryTable[[#This Row],[Code]], allFYsTable[year2], BL$3)=0, NotFound, SUMIFS(allFYsTable[DiffAmount], allFYsTable[Code], SummaryTable[[#This Row],[Code]], allFYsTable[year2], BL$3))</f>
        <v>45</v>
      </c>
      <c r="BR117" s="63">
        <f>IF(SummaryTable[[#This Row],[OriginalBudget20]]=0, IF(SummaryTable[[#This Row],[DiffAmount20]]=0, ZeroBudgetNoSpending, ZeroBudgetWithSpending), SummaryTable[[#This Row],[DiffAmount20]]/SummaryTable[[#This Row],[OriginalBudget20]])</f>
        <v>2.5224215246636771E-2</v>
      </c>
      <c r="BS117" s="62">
        <f>IF(COUNTIFS(allFYsTable[Code], SummaryTable[[#This Row],[Code]], allFYsTable[year2], BS$3)=0, NotFound, SUMIFS(allFYsTable[OriginalBudget], allFYsTable[Code], SummaryTable[[#This Row],[Code]], allFYsTable[year2], BS$3))</f>
        <v>1763</v>
      </c>
      <c r="BT117" s="61">
        <f>SummaryTable[[#This Row],[OriginalBudget19]]-SummaryTable[[#This Row],[OriginalBudget18]]</f>
        <v>48</v>
      </c>
      <c r="BU117" s="54">
        <f>SummaryTable[[#This Row],[BudgetIncreaseAmount19]]/SummaryTable[[#This Row],[OriginalBudget18]]</f>
        <v>2.7988338192419825E-2</v>
      </c>
      <c r="BV117" s="61">
        <f>IF(COUNTIFS(allFYsTable[Code], SummaryTable[[#This Row],[Code]], allFYsTable[year2], BS$3)=0, NotFound, SUMIFS(allFYsTable[RevisedBudget], allFYsTable[Code], SummaryTable[[#This Row],[Code]], allFYsTable[year2], BS$3))</f>
        <v>1763</v>
      </c>
      <c r="BW117" s="61">
        <f>IF(COUNTIFS(allFYsTable[Code], SummaryTable[[#This Row],[Code]], allFYsTable[year2], BS$3)=0, NotFound, SUMIFS(allFYsTable[Actual], allFYsTable[Code], SummaryTable[[#This Row],[Code]], allFYsTable[year2], BS$3))</f>
        <v>1763</v>
      </c>
      <c r="BX117" s="61">
        <f>IF(COUNTIFS(allFYsTable[Code], SummaryTable[[#This Row],[Code]], allFYsTable[year2], BS$3)=0, NotFound, SUMIFS(allFYsTable[DiffAmount], allFYsTable[Code], SummaryTable[[#This Row],[Code]], allFYsTable[year2], BS$3))</f>
        <v>0</v>
      </c>
      <c r="BY117" s="63">
        <f>IF(SummaryTable[[#This Row],[OriginalBudget19]]=0, IF(SummaryTable[[#This Row],[DiffAmount19]]=0, ZeroBudgetNoSpending, ZeroBudgetWithSpending), SummaryTable[[#This Row],[DiffAmount19]]/SummaryTable[[#This Row],[OriginalBudget19]])</f>
        <v>0</v>
      </c>
      <c r="BZ117" s="62">
        <f>IF(COUNTIFS(allFYsTable[Code], SummaryTable[[#This Row],[Code]], allFYsTable[year2], BZ$3)=0, NotFound, SUMIFS(allFYsTable[OriginalBudget], allFYsTable[Code], SummaryTable[[#This Row],[Code]], allFYsTable[year2], BZ$3))</f>
        <v>1715</v>
      </c>
      <c r="CA117" s="61">
        <f>SummaryTable[[#This Row],[OriginalBudget18]]-SummaryTable[[#This Row],[OriginalBudget17]]</f>
        <v>12</v>
      </c>
      <c r="CB117" s="54">
        <f>SummaryTable[[#This Row],[BudgetIncreaseAmount18]]/SummaryTable[[#This Row],[OriginalBudget17]]</f>
        <v>7.046388725778039E-3</v>
      </c>
      <c r="CC117" s="61">
        <f>IF(COUNTIFS(allFYsTable[Code], SummaryTable[[#This Row],[Code]], allFYsTable[year2], BZ$3)=0, NotFound, SUMIFS(allFYsTable[RevisedBudget], allFYsTable[Code], SummaryTable[[#This Row],[Code]], allFYsTable[year2], BZ$3))</f>
        <v>1715</v>
      </c>
      <c r="CD117" s="61">
        <f>IF(COUNTIFS(allFYsTable[Code], SummaryTable[[#This Row],[Code]], allFYsTable[year2], BZ$3)=0, NotFound, SUMIFS(allFYsTable[Actual], allFYsTable[Code], SummaryTable[[#This Row],[Code]], allFYsTable[year2], BZ$3))</f>
        <v>1712</v>
      </c>
      <c r="CE117" s="61">
        <f>IF(COUNTIFS(allFYsTable[Code], SummaryTable[[#This Row],[Code]], allFYsTable[year2], BZ$3)=0, NotFound, SUMIFS(allFYsTable[DiffAmount], allFYsTable[Code], SummaryTable[[#This Row],[Code]], allFYsTable[year2], BZ$3))</f>
        <v>-3</v>
      </c>
      <c r="CF117" s="63">
        <f>IF(SummaryTable[[#This Row],[OriginalBudget18]]=0, IF(SummaryTable[[#This Row],[DiffAmount18]]=0, ZeroBudgetNoSpending, ZeroBudgetWithSpending), SummaryTable[[#This Row],[DiffAmount18]]/SummaryTable[[#This Row],[OriginalBudget18]])</f>
        <v>-1.749271137026239E-3</v>
      </c>
      <c r="CG117" s="62">
        <f>IF(COUNTIFS(allFYsTable[Code], SummaryTable[[#This Row],[Code]], allFYsTable[year2], CG$3)=0, NotFound, SUMIFS(allFYsTable[OriginalBudget], allFYsTable[Code], SummaryTable[[#This Row],[Code]], allFYsTable[year2], CG$3))</f>
        <v>1703</v>
      </c>
      <c r="CH117" s="61">
        <f>SummaryTable[[#This Row],[OriginalBudget17]]-SummaryTable[[#This Row],[OriginalBudget16]]</f>
        <v>67</v>
      </c>
      <c r="CI117" s="54">
        <f>SummaryTable[[#This Row],[BudgetIncreaseAmount17]]/SummaryTable[[#This Row],[OriginalBudget16]]</f>
        <v>4.095354523227384E-2</v>
      </c>
      <c r="CJ117" s="61">
        <f>IF(COUNTIFS(allFYsTable[Code], SummaryTable[[#This Row],[Code]], allFYsTable[year2], CG$3)=0, NotFound, SUMIFS(allFYsTable[RevisedBudget], allFYsTable[Code], SummaryTable[[#This Row],[Code]], allFYsTable[year2], CG$3))</f>
        <v>1663</v>
      </c>
      <c r="CK117" s="61">
        <f>IF(COUNTIFS(allFYsTable[Code], SummaryTable[[#This Row],[Code]], allFYsTable[year2], CG$3)=0, NotFound, SUMIFS(allFYsTable[Actual], allFYsTable[Code], SummaryTable[[#This Row],[Code]], allFYsTable[year2], CG$3))</f>
        <v>1640</v>
      </c>
      <c r="CL117" s="61">
        <f>IF(COUNTIFS(allFYsTable[Code], SummaryTable[[#This Row],[Code]], allFYsTable[year2], CG$3)=0, NotFound, SUMIFS(allFYsTable[DiffAmount], allFYsTable[Code], SummaryTable[[#This Row],[Code]], allFYsTable[year2], CG$3))</f>
        <v>-63</v>
      </c>
      <c r="CM117" s="63">
        <f>IF(SummaryTable[[#This Row],[OriginalBudget17]]=0, IF(SummaryTable[[#This Row],[DiffAmount17]]=0, ZeroBudgetNoSpending, ZeroBudgetWithSpending), SummaryTable[[#This Row],[DiffAmount17]]/SummaryTable[[#This Row],[OriginalBudget17]])</f>
        <v>-3.69935408103347E-2</v>
      </c>
      <c r="CN117" s="62">
        <f>IF(COUNTIFS(allFYsTable[Code], SummaryTable[[#This Row],[Code]], allFYsTable[year2], CN$3)=0, NotFound, SUMIFS(allFYsTable[OriginalBudget], allFYsTable[Code], SummaryTable[[#This Row],[Code]], allFYsTable[year2], CN$3))</f>
        <v>1636</v>
      </c>
      <c r="CO117" s="61">
        <f>SummaryTable[[#This Row],[OriginalBudget16]]-SummaryTable[[#This Row],[OriginalBudget15]]</f>
        <v>-113</v>
      </c>
      <c r="CP117" s="54">
        <f>SummaryTable[[#This Row],[BudgetIncreaseAmount16]]/SummaryTable[[#This Row],[OriginalBudget15]]</f>
        <v>-6.4608347627215554E-2</v>
      </c>
      <c r="CQ117" s="61">
        <f>IF(COUNTIFS(allFYsTable[Code], SummaryTable[[#This Row],[Code]], allFYsTable[year2], CN$3)=0, NotFound, SUMIFS(allFYsTable[RevisedBudget], allFYsTable[Code], SummaryTable[[#This Row],[Code]], allFYsTable[year2], CN$3))</f>
        <v>1676</v>
      </c>
      <c r="CR117" s="61">
        <f>IF(COUNTIFS(allFYsTable[Code], SummaryTable[[#This Row],[Code]], allFYsTable[year2], CN$3)=0, NotFound, SUMIFS(allFYsTable[Actual], allFYsTable[Code], SummaryTable[[#This Row],[Code]], allFYsTable[year2], CN$3))</f>
        <v>1643</v>
      </c>
      <c r="CS117" s="61">
        <f>IF(COUNTIFS(allFYsTable[Code], SummaryTable[[#This Row],[Code]], allFYsTable[year2], CN$3)=0, NotFound, SUMIFS(allFYsTable[DiffAmount], allFYsTable[Code], SummaryTable[[#This Row],[Code]], allFYsTable[year2], CN$3))</f>
        <v>7</v>
      </c>
      <c r="CT117" s="63">
        <f>IF(SummaryTable[[#This Row],[OriginalBudget16]]=0, IF(SummaryTable[[#This Row],[DiffAmount16]]=0, ZeroBudgetNoSpending, ZeroBudgetWithSpending), SummaryTable[[#This Row],[DiffAmount16]]/SummaryTable[[#This Row],[OriginalBudget16]])</f>
        <v>4.278728606356968E-3</v>
      </c>
      <c r="CU117" s="62">
        <f>IF(COUNTIFS(allFYsTable[Code], SummaryTable[[#This Row],[Code]], allFYsTable[year2], CU$3)=0, NotFound, SUMIFS(allFYsTable[OriginalBudget], allFYsTable[Code], SummaryTable[[#This Row],[Code]], allFYsTable[year2], CU$3))</f>
        <v>1749</v>
      </c>
      <c r="CV117" s="61">
        <f>SummaryTable[[#This Row],[OriginalBudget15]]-SummaryTable[[#This Row],[OriginalBudget14]]</f>
        <v>65</v>
      </c>
      <c r="CW117" s="54">
        <f>SummaryTable[[#This Row],[BudgetIncreaseAmount15]]/SummaryTable[[#This Row],[OriginalBudget14]]</f>
        <v>3.8598574821852728E-2</v>
      </c>
      <c r="CX117" s="61">
        <f>IF(COUNTIFS(allFYsTable[Code], SummaryTable[[#This Row],[Code]], allFYsTable[year2], CU$3)=0, NotFound, SUMIFS(allFYsTable[RevisedBudget], allFYsTable[Code], SummaryTable[[#This Row],[Code]], allFYsTable[year2], CU$3))</f>
        <v>1749</v>
      </c>
      <c r="CY117" s="61">
        <f>IF(COUNTIFS(allFYsTable[Code], SummaryTable[[#This Row],[Code]], allFYsTable[year2], CU$3)=0, NotFound, SUMIFS(allFYsTable[Actual], allFYsTable[Code], SummaryTable[[#This Row],[Code]], allFYsTable[year2], CU$3))</f>
        <v>1680</v>
      </c>
      <c r="CZ117" s="61">
        <f>IF(COUNTIFS(allFYsTable[Code], SummaryTable[[#This Row],[Code]], allFYsTable[year2], CU$3)=0, NotFound, SUMIFS(allFYsTable[DiffAmount], allFYsTable[Code], SummaryTable[[#This Row],[Code]], allFYsTable[year2], CU$3))</f>
        <v>-69</v>
      </c>
      <c r="DA117" s="63">
        <f>IF(SummaryTable[[#This Row],[OriginalBudget15]]=0, IF(SummaryTable[[#This Row],[DiffAmount15]]=0, ZeroBudgetNoSpending, ZeroBudgetWithSpending), SummaryTable[[#This Row],[DiffAmount15]]/SummaryTable[[#This Row],[OriginalBudget15]])</f>
        <v>-3.9451114922813037E-2</v>
      </c>
      <c r="DB117" s="62">
        <f>IF(COUNTIFS(allFYsTable[Code], SummaryTable[[#This Row],[Code]], allFYsTable[year2], DB$3)=0, NotFound, SUMIFS(allFYsTable[OriginalBudget], allFYsTable[Code], SummaryTable[[#This Row],[Code]], allFYsTable[year2], DB$3))</f>
        <v>1684</v>
      </c>
      <c r="DC117" s="61">
        <f>SummaryTable[[#This Row],[OriginalBudget14]]-SummaryTable[[#This Row],[OriginalBudget13]]</f>
        <v>21</v>
      </c>
      <c r="DD117" s="54">
        <f>SummaryTable[[#This Row],[BudgetIncreaseAmount14]]/SummaryTable[[#This Row],[OriginalBudget13]]</f>
        <v>1.2627781118460614E-2</v>
      </c>
      <c r="DE117" s="61">
        <f>IF(COUNTIFS(allFYsTable[Code], SummaryTable[[#This Row],[Code]], allFYsTable[year2], DB$3)=0, NotFound, SUMIFS(allFYsTable[RevisedBudget], allFYsTable[Code], SummaryTable[[#This Row],[Code]], allFYsTable[year2], DB$3))</f>
        <v>1720</v>
      </c>
      <c r="DF117" s="61">
        <f>IF(COUNTIFS(allFYsTable[Code], SummaryTable[[#This Row],[Code]], allFYsTable[year2], DB$3)=0, NotFound, SUMIFS(allFYsTable[Actual], allFYsTable[Code], SummaryTable[[#This Row],[Code]], allFYsTable[year2], DB$3))</f>
        <v>1423</v>
      </c>
      <c r="DG117" s="61">
        <f>IF(COUNTIFS(allFYsTable[Code], SummaryTable[[#This Row],[Code]], allFYsTable[year2], DB$3)=0, NotFound, SUMIFS(allFYsTable[DiffAmount], allFYsTable[Code], SummaryTable[[#This Row],[Code]], allFYsTable[year2], DB$3))</f>
        <v>-261</v>
      </c>
      <c r="DH117" s="63">
        <f>IF(SummaryTable[[#This Row],[OriginalBudget14]]=0, IF(SummaryTable[[#This Row],[DiffAmount14]]=0, ZeroBudgetNoSpending, ZeroBudgetWithSpending), SummaryTable[[#This Row],[DiffAmount14]]/SummaryTable[[#This Row],[OriginalBudget14]])</f>
        <v>-0.15498812351543942</v>
      </c>
      <c r="DI117" s="62">
        <f>IF(COUNTIFS(allFYsTable[Code], SummaryTable[[#This Row],[Code]], allFYsTable[year2], DI$3)=0, NotFound, SUMIFS(allFYsTable[OriginalBudget], allFYsTable[Code], SummaryTable[[#This Row],[Code]], allFYsTable[year2], DI$3))</f>
        <v>1663</v>
      </c>
      <c r="DJ117" s="61">
        <f>SummaryTable[[#This Row],[OriginalBudget13]]-SummaryTable[[#This Row],[OriginalBudget12]]</f>
        <v>32</v>
      </c>
      <c r="DK117" s="54">
        <f>SummaryTable[[#This Row],[BudgetIncreaseAmount13]]/SummaryTable[[#This Row],[OriginalBudget12]]</f>
        <v>1.9619865113427344E-2</v>
      </c>
      <c r="DL117" s="61">
        <f>IF(COUNTIFS(allFYsTable[Code], SummaryTable[[#This Row],[Code]], allFYsTable[year2], DI$3)=0, NotFound, SUMIFS(allFYsTable[RevisedBudget], allFYsTable[Code], SummaryTable[[#This Row],[Code]], allFYsTable[year2], DI$3))</f>
        <v>1551</v>
      </c>
      <c r="DM117" s="61">
        <f>IF(COUNTIFS(allFYsTable[Code], SummaryTable[[#This Row],[Code]], allFYsTable[year2], DI$3)=0, NotFound, SUMIFS(allFYsTable[Actual], allFYsTable[Code], SummaryTable[[#This Row],[Code]], allFYsTable[year2], DI$3))</f>
        <v>1256</v>
      </c>
      <c r="DN117" s="61">
        <f>IF(COUNTIFS(allFYsTable[Code], SummaryTable[[#This Row],[Code]], allFYsTable[year2], DI$3)=0, NotFound, SUMIFS(allFYsTable[DiffAmount], allFYsTable[Code], SummaryTable[[#This Row],[Code]], allFYsTable[year2], DI$3))</f>
        <v>-407</v>
      </c>
      <c r="DO117" s="63">
        <f>IF(SummaryTable[[#This Row],[OriginalBudget13]]=0, IF(SummaryTable[[#This Row],[DiffAmount13]]=0, ZeroBudgetNoSpending, ZeroBudgetWithSpending), SummaryTable[[#This Row],[DiffAmount13]]/SummaryTable[[#This Row],[OriginalBudget13]])</f>
        <v>-0.24473842453397474</v>
      </c>
      <c r="DP117" s="62">
        <f>IF(COUNTIFS(allFYsTable[Code], SummaryTable[[#This Row],[Code]], allFYsTable[year2], DP$3)=0, NotFound, SUMIFS(allFYsTable[OriginalBudget], allFYsTable[Code], SummaryTable[[#This Row],[Code]], allFYsTable[year2], DP$3))</f>
        <v>1631</v>
      </c>
      <c r="DQ117" s="61">
        <f>SummaryTable[[#This Row],[OriginalBudget12]]-SummaryTable[[#This Row],[OriginalBudget11]]</f>
        <v>377</v>
      </c>
      <c r="DR117" s="54">
        <f>SummaryTable[[#This Row],[BudgetIncreaseAmount12]]/SummaryTable[[#This Row],[OriginalBudget11]]</f>
        <v>0.30063795853269537</v>
      </c>
      <c r="DS117" s="61">
        <f>IF(COUNTIFS(allFYsTable[Code], SummaryTable[[#This Row],[Code]], allFYsTable[year2], DP$3)=0, NotFound, SUMIFS(allFYsTable[RevisedBudget], allFYsTable[Code], SummaryTable[[#This Row],[Code]], allFYsTable[year2], DP$3))</f>
        <v>1132</v>
      </c>
      <c r="DT117" s="61">
        <f>IF(COUNTIFS(allFYsTable[Code], SummaryTable[[#This Row],[Code]], allFYsTable[year2], DP$3)=0, NotFound, SUMIFS(allFYsTable[Actual], allFYsTable[Code], SummaryTable[[#This Row],[Code]], allFYsTable[year2], DP$3))</f>
        <v>887</v>
      </c>
      <c r="DU117" s="61">
        <f>IF(COUNTIFS(allFYsTable[Code], SummaryTable[[#This Row],[Code]], allFYsTable[year2], DP$3)=0, NotFound, SUMIFS(allFYsTable[DiffAmount], allFYsTable[Code], SummaryTable[[#This Row],[Code]], allFYsTable[year2], DP$3))</f>
        <v>-744</v>
      </c>
      <c r="DV117" s="63">
        <f>IF(SummaryTable[[#This Row],[OriginalBudget12]]=0, IF(SummaryTable[[#This Row],[DiffAmount12]]=0, ZeroBudgetNoSpending, ZeroBudgetWithSpending), SummaryTable[[#This Row],[DiffAmount12]]/SummaryTable[[#This Row],[OriginalBudget12]])</f>
        <v>-0.45616186388718577</v>
      </c>
      <c r="DW117" s="62">
        <f>IF(COUNTIFS(allFYsTable[Code], SummaryTable[[#This Row],[Code]], allFYsTable[year2], DW$3)=0, NotFound, SUMIFS(allFYsTable[OriginalBudget], allFYsTable[Code], SummaryTable[[#This Row],[Code]], allFYsTable[year2], DW$3))</f>
        <v>1254</v>
      </c>
      <c r="DX117" s="61">
        <f>SummaryTable[[#This Row],[OriginalBudget11]]-SummaryTable[[#This Row],[OriginalBudget10]]</f>
        <v>556</v>
      </c>
      <c r="DY117" s="54">
        <f>SummaryTable[[#This Row],[BudgetIncreaseAmount11]]/SummaryTable[[#This Row],[OriginalBudget10]]</f>
        <v>0.79656160458452718</v>
      </c>
      <c r="DZ117" s="61">
        <f>IF(COUNTIFS(allFYsTable[Code], SummaryTable[[#This Row],[Code]], allFYsTable[year2], DW$3)=0, NotFound, SUMIFS(allFYsTable[RevisedBudget], allFYsTable[Code], SummaryTable[[#This Row],[Code]], allFYsTable[year2], DW$3))</f>
        <v>1254</v>
      </c>
      <c r="EA117" s="61">
        <f>IF(COUNTIFS(allFYsTable[Code], SummaryTable[[#This Row],[Code]], allFYsTable[year2], DW$3)=0, NotFound, SUMIFS(allFYsTable[Actual], allFYsTable[Code], SummaryTable[[#This Row],[Code]], allFYsTable[year2], DW$3))</f>
        <v>1063</v>
      </c>
      <c r="EB117" s="61">
        <f>IF(COUNTIFS(allFYsTable[Code], SummaryTable[[#This Row],[Code]], allFYsTable[year2], DW$3)=0, NotFound, SUMIFS(allFYsTable[DiffAmount], allFYsTable[Code], SummaryTable[[#This Row],[Code]], allFYsTable[year2], DW$3))</f>
        <v>-191</v>
      </c>
      <c r="EC117" s="63">
        <f>IF(SummaryTable[[#This Row],[OriginalBudget11]]=0, IF(SummaryTable[[#This Row],[DiffAmount11]]=0, ZeroBudgetNoSpending, ZeroBudgetWithSpending), SummaryTable[[#This Row],[DiffAmount11]]/SummaryTable[[#This Row],[OriginalBudget11]])</f>
        <v>-0.15231259968102073</v>
      </c>
      <c r="ED117" s="62">
        <f>IF(COUNTIFS(allFYsTable[Code], SummaryTable[[#This Row],[Code]], allFYsTable[year2], ED$3)=0, NotFound, SUMIFS(allFYsTable[OriginalBudget], allFYsTable[Code], SummaryTable[[#This Row],[Code]], allFYsTable[year2], ED$3))</f>
        <v>698</v>
      </c>
      <c r="EE117" s="61">
        <f>SummaryTable[[#This Row],[OriginalBudget10]]-SummaryTable[[#This Row],[OriginalBudget09]]</f>
        <v>-10</v>
      </c>
      <c r="EF117" s="54">
        <f>SummaryTable[[#This Row],[BudgetIncreaseAmount10]]/SummaryTable[[#This Row],[OriginalBudget09]]</f>
        <v>-1.4124293785310734E-2</v>
      </c>
      <c r="EG117" s="61">
        <f>IF(COUNTIFS(allFYsTable[Code], SummaryTable[[#This Row],[Code]], allFYsTable[year2], ED$3)=0, NotFound, SUMIFS(allFYsTable[RevisedBudget], allFYsTable[Code], SummaryTable[[#This Row],[Code]], allFYsTable[year2], ED$3))</f>
        <v>698</v>
      </c>
      <c r="EH117" s="61">
        <f>IF(COUNTIFS(allFYsTable[Code], SummaryTable[[#This Row],[Code]], allFYsTable[year2], ED$3)=0, NotFound, SUMIFS(allFYsTable[Actual], allFYsTable[Code], SummaryTable[[#This Row],[Code]], allFYsTable[year2], ED$3))</f>
        <v>645</v>
      </c>
      <c r="EI117" s="61">
        <f>IF(COUNTIFS(allFYsTable[Code], SummaryTable[[#This Row],[Code]], allFYsTable[year2], ED$3)=0, NotFound, SUMIFS(allFYsTable[DiffAmount], allFYsTable[Code], SummaryTable[[#This Row],[Code]], allFYsTable[year2], ED$3))</f>
        <v>-53</v>
      </c>
      <c r="EJ117" s="63">
        <f>IF(SummaryTable[[#This Row],[OriginalBudget10]]=0, IF(SummaryTable[[#This Row],[DiffAmount10]]=0, ZeroBudgetNoSpending, ZeroBudgetWithSpending), SummaryTable[[#This Row],[DiffAmount10]]/SummaryTable[[#This Row],[OriginalBudget10]])</f>
        <v>-7.5931232091690545E-2</v>
      </c>
      <c r="EK117" s="62">
        <f>IF(COUNTIFS(allFYsTable[Code], SummaryTable[[#This Row],[Code]], allFYsTable[year2], EK$3)=0, NotFound, SUMIFS(allFYsTable[OriginalBudget], allFYsTable[Code], SummaryTable[[#This Row],[Code]], allFYsTable[year2], EK$3))</f>
        <v>708</v>
      </c>
      <c r="EL117" s="61">
        <f>SummaryTable[[#This Row],[OriginalBudget09]]-SummaryTable[[#This Row],[OriginalBudget08]]</f>
        <v>-19</v>
      </c>
      <c r="EM117" s="54">
        <f>SummaryTable[[#This Row],[BudgetIncreaseAmount09]]/SummaryTable[[#This Row],[OriginalBudget08]]</f>
        <v>-2.6134800550206328E-2</v>
      </c>
      <c r="EN117" s="61">
        <f>IF(COUNTIFS(allFYsTable[Code], SummaryTable[[#This Row],[Code]], allFYsTable[year2], EK$3)=0, NotFound, SUMIFS(allFYsTable[RevisedBudget], allFYsTable[Code], SummaryTable[[#This Row],[Code]], allFYsTable[year2], EK$3))</f>
        <v>733</v>
      </c>
      <c r="EO117" s="61">
        <f>IF(COUNTIFS(allFYsTable[Code], SummaryTable[[#This Row],[Code]], allFYsTable[year2], EK$3)=0, NotFound, SUMIFS(allFYsTable[Actual], allFYsTable[Code], SummaryTable[[#This Row],[Code]], allFYsTable[year2], EK$3))</f>
        <v>705</v>
      </c>
      <c r="EP117" s="61">
        <f>IF(COUNTIFS(allFYsTable[Code], SummaryTable[[#This Row],[Code]], allFYsTable[year2], EK$3)=0, NotFound, SUMIFS(allFYsTable[DiffAmount], allFYsTable[Code], SummaryTable[[#This Row],[Code]], allFYsTable[year2], EK$3))</f>
        <v>-3</v>
      </c>
      <c r="EQ117" s="63">
        <f>IF(SummaryTable[[#This Row],[OriginalBudget09]]=0, IF(SummaryTable[[#This Row],[DiffAmount09]]=0, ZeroBudgetNoSpending, ZeroBudgetWithSpending), SummaryTable[[#This Row],[DiffAmount09]]/SummaryTable[[#This Row],[OriginalBudget09]])</f>
        <v>-4.2372881355932203E-3</v>
      </c>
      <c r="ER117" s="62">
        <f>IF(COUNTIFS(allFYsTable[Code], SummaryTable[[#This Row],[Code]], allFYsTable[year2], ER$3)=0, NotFound, SUMIFS(allFYsTable[OriginalBudget], allFYsTable[Code], SummaryTable[[#This Row],[Code]], allFYsTable[year2], ER$3))</f>
        <v>727</v>
      </c>
      <c r="ES117" s="61">
        <f>SummaryTable[[#This Row],[OriginalBudget08]]-SummaryTable[[#This Row],[OriginalBudget07]]</f>
        <v>164</v>
      </c>
      <c r="ET117" s="54">
        <f>SummaryTable[[#This Row],[BudgetIncreaseAmount08]]/SummaryTable[[#This Row],[OriginalBudget07]]</f>
        <v>0.29129662522202487</v>
      </c>
      <c r="EU117" s="61">
        <f>IF(COUNTIFS(allFYsTable[Code], SummaryTable[[#This Row],[Code]], allFYsTable[year2], ER$3)=0, NotFound, SUMIFS(allFYsTable[RevisedBudget], allFYsTable[Code], SummaryTable[[#This Row],[Code]], allFYsTable[year2], ER$3))</f>
        <v>731</v>
      </c>
      <c r="EV117" s="61">
        <f>IF(COUNTIFS(allFYsTable[Code], SummaryTable[[#This Row],[Code]], allFYsTable[year2], ER$3)=0, NotFound, SUMIFS(allFYsTable[Actual], allFYsTable[Code], SummaryTable[[#This Row],[Code]], allFYsTable[year2], ER$3))</f>
        <v>693</v>
      </c>
      <c r="EW117" s="61">
        <f>IF(COUNTIFS(allFYsTable[Code], SummaryTable[[#This Row],[Code]], allFYsTable[year2], ER$3)=0, NotFound, SUMIFS(allFYsTable[DiffAmount], allFYsTable[Code], SummaryTable[[#This Row],[Code]], allFYsTable[year2], ER$3))</f>
        <v>-34</v>
      </c>
      <c r="EX117" s="63">
        <f>IF(SummaryTable[[#This Row],[OriginalBudget08]]=0, IF(SummaryTable[[#This Row],[DiffAmount08]]=0, ZeroBudgetNoSpending, ZeroBudgetWithSpending), SummaryTable[[#This Row],[DiffAmount08]]/SummaryTable[[#This Row],[OriginalBudget08]])</f>
        <v>-4.676753782668501E-2</v>
      </c>
      <c r="EY117" s="62">
        <f>IF(COUNTIFS(allFYsTable[Code], SummaryTable[[#This Row],[Code]], allFYsTable[year2], EY$3)=0, NotFound, SUMIFS(allFYsTable[OriginalBudget], allFYsTable[Code], SummaryTable[[#This Row],[Code]], allFYsTable[year2], EY$3))</f>
        <v>563</v>
      </c>
      <c r="EZ117" s="61">
        <f>SummaryTable[[#This Row],[OriginalBudget07]]-SummaryTable[[#This Row],[OriginalBudget06]]</f>
        <v>132</v>
      </c>
      <c r="FA117" s="54">
        <f>SummaryTable[[#This Row],[BudgetIncreaseAmount07]]/SummaryTable[[#This Row],[OriginalBudget06]]</f>
        <v>0.30626450116009279</v>
      </c>
      <c r="FB117" s="61">
        <f>IF(COUNTIFS(allFYsTable[Code], SummaryTable[[#This Row],[Code]], allFYsTable[year2], EY$3)=0, NotFound, SUMIFS(allFYsTable[RevisedBudget], allFYsTable[Code], SummaryTable[[#This Row],[Code]], allFYsTable[year2], EY$3))</f>
        <v>578</v>
      </c>
      <c r="FC117" s="61">
        <f>IF(COUNTIFS(allFYsTable[Code], SummaryTable[[#This Row],[Code]], allFYsTable[year2], EY$3)=0, NotFound, SUMIFS(allFYsTable[Actual], allFYsTable[Code], SummaryTable[[#This Row],[Code]], allFYsTable[year2], EY$3))</f>
        <v>519</v>
      </c>
      <c r="FD117" s="61">
        <f>IF(COUNTIFS(allFYsTable[Code], SummaryTable[[#This Row],[Code]], allFYsTable[year2], EY$3)=0, NotFound, SUMIFS(allFYsTable[DiffAmount], allFYsTable[Code], SummaryTable[[#This Row],[Code]], allFYsTable[year2], EY$3))</f>
        <v>-44</v>
      </c>
      <c r="FE117" s="63">
        <f>IF(SummaryTable[[#This Row],[OriginalBudget07]]=0, IF(SummaryTable[[#This Row],[DiffAmount07]]=0, ZeroBudgetNoSpending, ZeroBudgetWithSpending), SummaryTable[[#This Row],[DiffAmount07]]/SummaryTable[[#This Row],[OriginalBudget07]])</f>
        <v>-7.8152753108348141E-2</v>
      </c>
      <c r="FF117" s="62">
        <f>IF(COUNTIFS(allFYsTable[Code], SummaryTable[[#This Row],[Code]], allFYsTable[year2], FF$3)=0, NotFound, SUMIFS(allFYsTable[OriginalBudget], allFYsTable[Code], SummaryTable[[#This Row],[Code]], allFYsTable[year2], FF$3))</f>
        <v>431</v>
      </c>
      <c r="FI117" s="61">
        <f>IF(COUNTIFS(allFYsTable[Code], SummaryTable[[#This Row],[Code]], allFYsTable[year2], FF$3)=0, NotFound, SUMIFS(allFYsTable[RevisedBudget], allFYsTable[Code], SummaryTable[[#This Row],[Code]], allFYsTable[year2], FF$3))</f>
        <v>431</v>
      </c>
      <c r="FJ117" s="61">
        <f>IF(COUNTIFS(allFYsTable[Code], SummaryTable[[#This Row],[Code]], allFYsTable[year2], FF$3)=0, NotFound, SUMIFS(allFYsTable[Actual], allFYsTable[Code], SummaryTable[[#This Row],[Code]], allFYsTable[year2], FF$3))</f>
        <v>408</v>
      </c>
      <c r="FK117" s="61">
        <f>IF(COUNTIFS(allFYsTable[Code], SummaryTable[[#This Row],[Code]], allFYsTable[year2], FF$3)=0, NotFound, SUMIFS(allFYsTable[DiffAmount], allFYsTable[Code], SummaryTable[[#This Row],[Code]], allFYsTable[year2], FF$3))</f>
        <v>-23</v>
      </c>
      <c r="FL117" s="63">
        <f>IF(SummaryTable[[#This Row],[OriginalBudget06]]=0, IF(SummaryTable[[#This Row],[DiffAmount06]]=0, ZeroBudgetNoSpending, ZeroBudgetWithSpending), SummaryTable[[#This Row],[DiffAmount06]]/SummaryTable[[#This Row],[OriginalBudget06]])</f>
        <v>-5.336426914153132E-2</v>
      </c>
    </row>
    <row r="118" spans="1:168" x14ac:dyDescent="0.45">
      <c r="A118" t="s">
        <v>735</v>
      </c>
      <c r="B118">
        <f>_xlfn.MAXIFS(allFYsTable[year2], allFYsTable[Code], SummaryTable[[#This Row],[Code]])</f>
        <v>2025</v>
      </c>
      <c r="C118" t="str">
        <f>_xlfn.XLOOKUP(SummaryTable[[#This Row],[Code]], NameCodingTable[Code], NameCodingTable[Most Recent Category per allFYs])</f>
        <v>Economic development and regulation</v>
      </c>
      <c r="D118" t="str">
        <f>_xlfn.XLOOKUP(SummaryTable[[#This Row],[Code]], NameCodingTable[Code], NameCodingTable[Unit Display Name])</f>
        <v>Rental Housing Commission</v>
      </c>
      <c r="E118" t="str">
        <f>_xlfn.XLOOKUP(SummaryTable[[#This Row],[Code]], NameCodingTable[Code], NameCodingTable[Type])</f>
        <v>agency</v>
      </c>
      <c r="F11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6</v>
      </c>
      <c r="G11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18" s="54">
        <f>SummaryTable[[#This Row],['# Over]]/SummaryTable[[#This Row],[Count]]</f>
        <v>0.16666666666666666</v>
      </c>
      <c r="I11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5</v>
      </c>
      <c r="J118" s="54">
        <f>SummaryTable[[#This Row],['# Under]]/SummaryTable[[#This Row],[Count]]</f>
        <v>0.83333333333333337</v>
      </c>
      <c r="K11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18" s="54">
        <f>SummaryTable[[#This Row],['# Equal]]/SummaryTable[[#This Row],[Count]]</f>
        <v>0</v>
      </c>
      <c r="M118" s="61">
        <f>SUMIFS(allFYsTable[OriginalBudget],allFYsTable[Code],SummaryTable[[#This Row],[Code]])/SummaryTable[[#This Row],[Count]]</f>
        <v>1363.8333333333333</v>
      </c>
      <c r="N118" s="61">
        <f>SUMIFS(allFYsTable[Actual],allFYsTable[Code],SummaryTable[[#This Row],[Code]])/SummaryTable[[#This Row],[Count]]</f>
        <v>1324.5</v>
      </c>
      <c r="O118" s="61">
        <f>SummaryTable[[#This Row],[AvgActAmt]]-SummaryTable[[#This Row],[AvgBudAmt]]</f>
        <v>-39.333333333333258</v>
      </c>
      <c r="P118" s="54">
        <f>IF(SummaryTable[[#This Row],[AvgBudAmt]]=0, IF(SummaryTable[[#This Row],[AvgDiff'#]]=0, 0, NamedFields!$C$3), SummaryTable[[#This Row],[AvgDiff'#]]/SummaryTable[[#This Row],[AvgBudAmt]])</f>
        <v>-2.8840278626420576E-2</v>
      </c>
      <c r="Q118" s="61">
        <f>IFERROR(SUMIFS(allFYsTable[OriginalBudget],allFYsTable[Code],SummaryTable[[#This Row],[Code]],allFYsTable[DiffAmount], "&gt;0")/SummaryTable[[#This Row],['# Over]], 0)</f>
        <v>1357</v>
      </c>
      <c r="R118" s="61">
        <f>IFERROR(SUMIFS(allFYsTable[Actual],allFYsTable[Code],SummaryTable[[#This Row],[Code]],allFYsTable[DiffAmount], "&gt;0")/SummaryTable[[#This Row],['# Over]], 0)</f>
        <v>1454</v>
      </c>
      <c r="S118" s="61">
        <f>SummaryTable[[#This Row],[OverAvgAct]]-SummaryTable[[#This Row],[OverAvgBud]]</f>
        <v>97</v>
      </c>
      <c r="T118" s="54">
        <f>IF(SummaryTable[[#This Row],[OverAvgBud]]=0, IF(SummaryTable[[#This Row],[OverAvgDiff'#]]=0, ZeroBudgetNoSpending, ZeroBudgetWithSpending), SummaryTable[[#This Row],[OverAvgDiff'#]]/SummaryTable[[#This Row],[OverAvgBud]])</f>
        <v>7.1481208548268241E-2</v>
      </c>
      <c r="U118" s="61">
        <f>IFERROR(SUMIFS(allFYsTable[OriginalBudget],allFYsTable[Code],SummaryTable[[#This Row],[Code]],allFYsTable[DiffAmount], "&lt;0")/SummaryTable[[#This Row],['# Under]], 0)</f>
        <v>1365.2</v>
      </c>
      <c r="V118" s="61">
        <f>IFERROR( SUMIFS(allFYsTable[Actual],allFYsTable[Code],SummaryTable[[#This Row],[Code]],allFYsTable[DiffAmount], "&lt;0")/SummaryTable[[#This Row],['# Under]], 0)</f>
        <v>1298.5999999999999</v>
      </c>
      <c r="W118" s="61">
        <f>SummaryTable[[#This Row],[UnderAvgAct]]-SummaryTable[[#This Row],[UnderAvgBud]]</f>
        <v>-66.600000000000136</v>
      </c>
      <c r="X118" s="54">
        <f>IF(SummaryTable[[#This Row],[UnderAvgBud]]=0, IF(SummaryTable[[#This Row],[UnderAvgDiff'#]]=0, ZeroBudgetNoSpending, NamedFields!$C$3), SummaryTable[[#This Row],[UnderAvgDiff'#]]/SummaryTable[[#This Row],[UnderAvgBud]])</f>
        <v>-4.8784060943451606E-2</v>
      </c>
      <c r="Y11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1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18" s="54">
        <f>IF(SummaryTable[[#This Row],[IncreaseYears]]=0, ZeroBudgetNoSpending, SummaryTable[[#This Row],[OSinIncreaseYear'#]]/SummaryTable[[#This Row],[IncreaseYears]])</f>
        <v>0</v>
      </c>
      <c r="AB118" s="58" t="str">
        <f>SummaryTable[[#This Row],[Code]]</f>
        <v>DR0</v>
      </c>
      <c r="AC118" s="62">
        <f>IF(COUNTIFS(allFYsTable[Code], SummaryTable[[#This Row],[Code]], allFYsTable[year2], AC$3)=0, NotFound, SUMIFS(allFYsTable[OriginalBudget], allFYsTable[Code], SummaryTable[[#This Row],[Code]], allFYsTable[year2], AC$3))</f>
        <v>1363</v>
      </c>
      <c r="AD118" s="61">
        <f>SummaryTable[[#This Row],[OriginalBudget25]]-SummaryTable[[#This Row],[OriginalBudget24]]</f>
        <v>-14</v>
      </c>
      <c r="AE118" s="54">
        <f>SummaryTable[[#This Row],[BudgetIncreaseAmount25]]/SummaryTable[[#This Row],[OriginalBudget24]]</f>
        <v>-1.0167029774872912E-2</v>
      </c>
      <c r="AF118" s="61">
        <f>IF(COUNTIFS(allFYsTable[Code], SummaryTable[[#This Row],[Code]], allFYsTable[year2], AC$3)=0, NotFound, SUMIFS(allFYsTable[RevisedBudget], allFYsTable[Code], SummaryTable[[#This Row],[Code]], allFYsTable[year2], AC$3))</f>
        <v>1354</v>
      </c>
      <c r="AG118" s="61">
        <f>IF(COUNTIFS(allFYsTable[Code], SummaryTable[[#This Row],[Code]], allFYsTable[year2], AC$3)=0, NotFound, SUMIFS(allFYsTable[Actual], allFYsTable[Code], SummaryTable[[#This Row],[Code]], allFYsTable[year2], AC$3))</f>
        <v>1352</v>
      </c>
      <c r="AH118" s="61">
        <f>IF(COUNTIFS(allFYsTable[Code], SummaryTable[[#This Row],[Code]], allFYsTable[year2], AC$3)=0, NotFound, SUMIFS(allFYsTable[DiffAmount], allFYsTable[Code], SummaryTable[[#This Row],[Code]], allFYsTable[year2], AC$3))</f>
        <v>-11</v>
      </c>
      <c r="AI118" s="63">
        <f>IF(SummaryTable[[#This Row],[OriginalBudget25]]=0, IF(SummaryTable[[#This Row],[DiffAmount25]]=0, ZeroBudgetNoSpending, ZeroBudgetWithSpending), SummaryTable[[#This Row],[DiffAmount25]]/SummaryTable[[#This Row],[OriginalBudget25]])</f>
        <v>-8.0704328686720464E-3</v>
      </c>
      <c r="AJ118" s="62">
        <f>IF(COUNTIFS(allFYsTable[Code], SummaryTable[[#This Row],[Code]], allFYsTable[year2], AJ$3)=0, NotFound, SUMIFS(allFYsTable[OriginalBudget], allFYsTable[Code], SummaryTable[[#This Row],[Code]], allFYsTable[year2], AJ$3))</f>
        <v>1377</v>
      </c>
      <c r="AK118" s="61">
        <f>SummaryTable[[#This Row],[OriginalBudget24]]-SummaryTable[[#This Row],[OriginalBudget23]]</f>
        <v>20</v>
      </c>
      <c r="AL118" s="54">
        <f>SummaryTable[[#This Row],[BudgetIncreaseAmount24]]/SummaryTable[[#This Row],[OriginalBudget23]]</f>
        <v>1.4738393515106854E-2</v>
      </c>
      <c r="AM118" s="61">
        <f>IF(COUNTIFS(allFYsTable[Code], SummaryTable[[#This Row],[Code]], allFYsTable[year2], AK$3)=0, NotFound, SUMIFS(allFYsTable[RevisedBudget], allFYsTable[Code], SummaryTable[[#This Row],[Code]], allFYsTable[year2], AJ$3))</f>
        <v>1366</v>
      </c>
      <c r="AN118" s="61">
        <f>IF(COUNTIFS(allFYsTable[Code], SummaryTable[[#This Row],[Code]], allFYsTable[year2], AJ$3)=0, NotFound, SUMIFS(allFYsTable[Actual], allFYsTable[Code], SummaryTable[[#This Row],[Code]], allFYsTable[year2], AJ$3))</f>
        <v>1361</v>
      </c>
      <c r="AO118" s="61">
        <f>IF(COUNTIFS(allFYsTable[Code], SummaryTable[[#This Row],[Code]], allFYsTable[year2], AJ$3)=0, NotFound, SUMIFS(allFYsTable[DiffAmount], allFYsTable[Code], SummaryTable[[#This Row],[Code]], allFYsTable[year2], AJ$3))</f>
        <v>-16</v>
      </c>
      <c r="AP118" s="63">
        <f>IF(SummaryTable[[#This Row],[OriginalBudget24]]=0, IF(SummaryTable[[#This Row],[DiffAmount24]]=0, ZeroBudgetNoSpending, ZeroBudgetWithSpending), SummaryTable[[#This Row],[DiffAmount24]]/SummaryTable[[#This Row],[OriginalBudget24]])</f>
        <v>-1.1619462599854757E-2</v>
      </c>
      <c r="AQ118" s="62">
        <f>IF(COUNTIFS(allFYsTable[Code], SummaryTable[[#This Row],[Code]], allFYsTable[year2], AQ$3)=0, NotFound, SUMIFS(allFYsTable[OriginalBudget], allFYsTable[Code], SummaryTable[[#This Row],[Code]], allFYsTable[year2], AQ$3))</f>
        <v>1357</v>
      </c>
      <c r="AR118" s="61">
        <f>SummaryTable[[#This Row],[OriginalBudget23]]-SummaryTable[[#This Row],[OriginalBudget22]]</f>
        <v>-3</v>
      </c>
      <c r="AS118" s="54">
        <f>SummaryTable[[#This Row],[BudgetIncreaseAmount23]]/SummaryTable[[#This Row],[OriginalBudget22]]</f>
        <v>-2.2058823529411764E-3</v>
      </c>
      <c r="AT118" s="61">
        <f>IF(COUNTIFS(allFYsTable[Code], SummaryTable[[#This Row],[Code]], allFYsTable[year2], AQ$3)=0, NotFound, SUMIFS(allFYsTable[RevisedBudget], allFYsTable[Code], SummaryTable[[#This Row],[Code]], allFYsTable[year2], AQ$3))</f>
        <v>1454</v>
      </c>
      <c r="AU118" s="61">
        <f>IF(COUNTIFS(allFYsTable[Code], SummaryTable[[#This Row],[Code]], allFYsTable[year2], AQ$3)=0, NotFound, SUMIFS(allFYsTable[Actual], allFYsTable[Code], SummaryTable[[#This Row],[Code]], allFYsTable[year2], AQ$3))</f>
        <v>1454</v>
      </c>
      <c r="AV118" s="61">
        <f>IF(COUNTIFS(allFYsTable[Code], SummaryTable[[#This Row],[Code]], allFYsTable[year2], AQ$3)=0, NotFound, SUMIFS(allFYsTable[DiffAmount], allFYsTable[Code], SummaryTable[[#This Row],[Code]], allFYsTable[year2], AQ$3))</f>
        <v>97</v>
      </c>
      <c r="AW118" s="63">
        <f>IF(SummaryTable[[#This Row],[OriginalBudget23]]=0, IF(SummaryTable[[#This Row],[DiffAmount23]]=0, ZeroBudgetNoSpending, ZeroBudgetWithSpending), SummaryTable[[#This Row],[DiffAmount23]]/SummaryTable[[#This Row],[OriginalBudget23]])</f>
        <v>7.1481208548268241E-2</v>
      </c>
      <c r="AX118" s="62">
        <f>IF(COUNTIFS(allFYsTable[Code], SummaryTable[[#This Row],[Code]], allFYsTable[year2], AX$3)=0, NotFound, SUMIFS(allFYsTable[OriginalBudget], allFYsTable[Code], SummaryTable[[#This Row],[Code]], allFYsTable[year2], AX$3))</f>
        <v>1360</v>
      </c>
      <c r="AY118" s="61">
        <f>SummaryTable[[#This Row],[OriginalBudget22]]-SummaryTable[[#This Row],[OriginalBudget21]]</f>
        <v>32</v>
      </c>
      <c r="AZ118" s="54">
        <f>SummaryTable[[#This Row],[BudgetIncreaseAmount22]]/SummaryTable[[#This Row],[OriginalBudget21]]</f>
        <v>2.4096385542168676E-2</v>
      </c>
      <c r="BA118" s="61">
        <f>IF(COUNTIFS(allFYsTable[Code], SummaryTable[[#This Row],[Code]], allFYsTable[year2], AX$3)=0, NotFound, SUMIFS(allFYsTable[RevisedBudget], allFYsTable[Code], SummaryTable[[#This Row],[Code]], allFYsTable[year2], AX$3))</f>
        <v>1350</v>
      </c>
      <c r="BB118" s="61">
        <f>IF(COUNTIFS(allFYsTable[Code], SummaryTable[[#This Row],[Code]], allFYsTable[year2], AX$3)=0, NotFound, SUMIFS(allFYsTable[Actual], allFYsTable[Code], SummaryTable[[#This Row],[Code]], allFYsTable[year2], AX$3))</f>
        <v>1294</v>
      </c>
      <c r="BC118" s="61">
        <f>IF(COUNTIFS(allFYsTable[Code], SummaryTable[[#This Row],[Code]], allFYsTable[year2], AX$3)=0, NotFound, SUMIFS(allFYsTable[DiffAmount], allFYsTable[Code], SummaryTable[[#This Row],[Code]], allFYsTable[year2], AX$3))</f>
        <v>-66</v>
      </c>
      <c r="BD118" s="63">
        <f>IF(SummaryTable[[#This Row],[OriginalBudget22]]=0, IF(SummaryTable[[#This Row],[DiffAmount22]]=0, ZeroBudgetNoSpending, ZeroBudgetWithSpending), SummaryTable[[#This Row],[DiffAmount22]]/SummaryTable[[#This Row],[OriginalBudget22]])</f>
        <v>-4.8529411764705883E-2</v>
      </c>
      <c r="BE118" s="62">
        <f>IF(COUNTIFS(allFYsTable[Code], SummaryTable[[#This Row],[Code]], allFYsTable[year2], BE$3)=0, NotFound, SUMIFS(allFYsTable[OriginalBudget], allFYsTable[Code], SummaryTable[[#This Row],[Code]], allFYsTable[year2], BE$3))</f>
        <v>1328</v>
      </c>
      <c r="BF118" s="61">
        <f>SummaryTable[[#This Row],[OriginalBudget21]]-SummaryTable[[#This Row],[OriginalBudget20]]</f>
        <v>-70</v>
      </c>
      <c r="BG118" s="54">
        <f>SummaryTable[[#This Row],[BudgetIncreaseAmount21]]/SummaryTable[[#This Row],[OriginalBudget20]]</f>
        <v>-5.007153075822604E-2</v>
      </c>
      <c r="BH118" s="61">
        <f>IF(COUNTIFS(allFYsTable[Code], SummaryTable[[#This Row],[Code]], allFYsTable[year2], BE$3)=0, NotFound, SUMIFS(allFYsTable[RevisedBudget], allFYsTable[Code], SummaryTable[[#This Row],[Code]], allFYsTable[year2], BE$3))</f>
        <v>1230</v>
      </c>
      <c r="BI118" s="61">
        <f>IF(COUNTIFS(allFYsTable[Code], SummaryTable[[#This Row],[Code]], allFYsTable[year2], BE$3)=0, NotFound, SUMIFS(allFYsTable[Actual], allFYsTable[Code], SummaryTable[[#This Row],[Code]], allFYsTable[year2], BE$3))</f>
        <v>1228</v>
      </c>
      <c r="BJ118" s="61">
        <f>IF(COUNTIFS(allFYsTable[Code], SummaryTable[[#This Row],[Code]], allFYsTable[year2], BE$3)=0, NotFound, SUMIFS(allFYsTable[DiffAmount], allFYsTable[Code], SummaryTable[[#This Row],[Code]], allFYsTable[year2], BE$3))</f>
        <v>-100</v>
      </c>
      <c r="BK118" s="63">
        <f>IF(SummaryTable[[#This Row],[OriginalBudget21]]=0, IF(SummaryTable[[#This Row],[DiffAmount21]]=0, ZeroBudgetNoSpending, ZeroBudgetWithSpending), SummaryTable[[#This Row],[DiffAmount21]]/SummaryTable[[#This Row],[OriginalBudget21]])</f>
        <v>-7.5301204819277115E-2</v>
      </c>
      <c r="BL118" s="62">
        <f>IF(COUNTIFS(allFYsTable[Code], SummaryTable[[#This Row],[Code]], allFYsTable[year2], BL$3)=0, NotFound, SUMIFS(allFYsTable[OriginalBudget], allFYsTable[Code], SummaryTable[[#This Row],[Code]], allFYsTable[year2], BL$3))</f>
        <v>1398</v>
      </c>
      <c r="BM118" s="61" t="e">
        <f>SummaryTable[[#This Row],[OriginalBudget20]]-SummaryTable[[#This Row],[OriginalBudget19]]</f>
        <v>#N/A</v>
      </c>
      <c r="BN118" s="54" t="e">
        <f>SummaryTable[[#This Row],[BudgetIncreaseAmount20]]/SummaryTable[[#This Row],[OriginalBudget19]]</f>
        <v>#N/A</v>
      </c>
      <c r="BO118" s="61">
        <f>IF(COUNTIFS(allFYsTable[Code], SummaryTable[[#This Row],[Code]], allFYsTable[year2], BL$3)=0, NotFound, SUMIFS(allFYsTable[RevisedBudget], allFYsTable[Code], SummaryTable[[#This Row],[Code]], allFYsTable[year2], BL$3))</f>
        <v>1333</v>
      </c>
      <c r="BP118" s="61">
        <f>IF(COUNTIFS(allFYsTable[Code], SummaryTable[[#This Row],[Code]], allFYsTable[year2], BL$3)=0, NotFound, SUMIFS(allFYsTable[Actual], allFYsTable[Code], SummaryTable[[#This Row],[Code]], allFYsTable[year2], BL$3))</f>
        <v>1258</v>
      </c>
      <c r="BQ118" s="61">
        <f>IF(COUNTIFS(allFYsTable[Code], SummaryTable[[#This Row],[Code]], allFYsTable[year2], BL$3)=0, NotFound, SUMIFS(allFYsTable[DiffAmount], allFYsTable[Code], SummaryTable[[#This Row],[Code]], allFYsTable[year2], BL$3))</f>
        <v>-140</v>
      </c>
      <c r="BR118" s="63">
        <f>IF(SummaryTable[[#This Row],[OriginalBudget20]]=0, IF(SummaryTable[[#This Row],[DiffAmount20]]=0, ZeroBudgetNoSpending, ZeroBudgetWithSpending), SummaryTable[[#This Row],[DiffAmount20]]/SummaryTable[[#This Row],[OriginalBudget20]])</f>
        <v>-0.10014306151645208</v>
      </c>
      <c r="BS118" s="62" t="e">
        <f>IF(COUNTIFS(allFYsTable[Code], SummaryTable[[#This Row],[Code]], allFYsTable[year2], BS$3)=0, NotFound, SUMIFS(allFYsTable[OriginalBudget], allFYsTable[Code], SummaryTable[[#This Row],[Code]], allFYsTable[year2], BS$3))</f>
        <v>#N/A</v>
      </c>
      <c r="BT118" s="61" t="e">
        <f>SummaryTable[[#This Row],[OriginalBudget19]]-SummaryTable[[#This Row],[OriginalBudget18]]</f>
        <v>#N/A</v>
      </c>
      <c r="BU118" s="54" t="e">
        <f>SummaryTable[[#This Row],[BudgetIncreaseAmount19]]/SummaryTable[[#This Row],[OriginalBudget18]]</f>
        <v>#N/A</v>
      </c>
      <c r="BV118" s="61" t="e">
        <f>IF(COUNTIFS(allFYsTable[Code], SummaryTable[[#This Row],[Code]], allFYsTable[year2], BS$3)=0, NotFound, SUMIFS(allFYsTable[RevisedBudget], allFYsTable[Code], SummaryTable[[#This Row],[Code]], allFYsTable[year2], BS$3))</f>
        <v>#N/A</v>
      </c>
      <c r="BW118" s="61" t="e">
        <f>IF(COUNTIFS(allFYsTable[Code], SummaryTable[[#This Row],[Code]], allFYsTable[year2], BS$3)=0, NotFound, SUMIFS(allFYsTable[Actual], allFYsTable[Code], SummaryTable[[#This Row],[Code]], allFYsTable[year2], BS$3))</f>
        <v>#N/A</v>
      </c>
      <c r="BX118" s="61" t="e">
        <f>IF(COUNTIFS(allFYsTable[Code], SummaryTable[[#This Row],[Code]], allFYsTable[year2], BS$3)=0, NotFound, SUMIFS(allFYsTable[DiffAmount], allFYsTable[Code], SummaryTable[[#This Row],[Code]], allFYsTable[year2], BS$3))</f>
        <v>#N/A</v>
      </c>
      <c r="BY118" s="63" t="e">
        <f>IF(SummaryTable[[#This Row],[OriginalBudget19]]=0, IF(SummaryTable[[#This Row],[DiffAmount19]]=0, ZeroBudgetNoSpending, ZeroBudgetWithSpending), SummaryTable[[#This Row],[DiffAmount19]]/SummaryTable[[#This Row],[OriginalBudget19]])</f>
        <v>#N/A</v>
      </c>
      <c r="BZ118" s="62" t="e">
        <f>IF(COUNTIFS(allFYsTable[Code], SummaryTable[[#This Row],[Code]], allFYsTable[year2], BZ$3)=0, NotFound, SUMIFS(allFYsTable[OriginalBudget], allFYsTable[Code], SummaryTable[[#This Row],[Code]], allFYsTable[year2], BZ$3))</f>
        <v>#N/A</v>
      </c>
      <c r="CA118" s="61" t="e">
        <f>SummaryTable[[#This Row],[OriginalBudget18]]-SummaryTable[[#This Row],[OriginalBudget17]]</f>
        <v>#N/A</v>
      </c>
      <c r="CB118" s="54" t="e">
        <f>SummaryTable[[#This Row],[BudgetIncreaseAmount18]]/SummaryTable[[#This Row],[OriginalBudget17]]</f>
        <v>#N/A</v>
      </c>
      <c r="CC118" s="61" t="e">
        <f>IF(COUNTIFS(allFYsTable[Code], SummaryTable[[#This Row],[Code]], allFYsTable[year2], BZ$3)=0, NotFound, SUMIFS(allFYsTable[RevisedBudget], allFYsTable[Code], SummaryTable[[#This Row],[Code]], allFYsTable[year2], BZ$3))</f>
        <v>#N/A</v>
      </c>
      <c r="CD118" s="61" t="e">
        <f>IF(COUNTIFS(allFYsTable[Code], SummaryTable[[#This Row],[Code]], allFYsTable[year2], BZ$3)=0, NotFound, SUMIFS(allFYsTable[Actual], allFYsTable[Code], SummaryTable[[#This Row],[Code]], allFYsTable[year2], BZ$3))</f>
        <v>#N/A</v>
      </c>
      <c r="CE118" s="61" t="e">
        <f>IF(COUNTIFS(allFYsTable[Code], SummaryTable[[#This Row],[Code]], allFYsTable[year2], BZ$3)=0, NotFound, SUMIFS(allFYsTable[DiffAmount], allFYsTable[Code], SummaryTable[[#This Row],[Code]], allFYsTable[year2], BZ$3))</f>
        <v>#N/A</v>
      </c>
      <c r="CF118" s="63" t="e">
        <f>IF(SummaryTable[[#This Row],[OriginalBudget18]]=0, IF(SummaryTable[[#This Row],[DiffAmount18]]=0, ZeroBudgetNoSpending, ZeroBudgetWithSpending), SummaryTable[[#This Row],[DiffAmount18]]/SummaryTable[[#This Row],[OriginalBudget18]])</f>
        <v>#N/A</v>
      </c>
      <c r="CG118" s="62" t="e">
        <f>IF(COUNTIFS(allFYsTable[Code], SummaryTable[[#This Row],[Code]], allFYsTable[year2], CG$3)=0, NotFound, SUMIFS(allFYsTable[OriginalBudget], allFYsTable[Code], SummaryTable[[#This Row],[Code]], allFYsTable[year2], CG$3))</f>
        <v>#N/A</v>
      </c>
      <c r="CH118" s="61" t="e">
        <f>SummaryTable[[#This Row],[OriginalBudget17]]-SummaryTable[[#This Row],[OriginalBudget16]]</f>
        <v>#N/A</v>
      </c>
      <c r="CI118" s="54" t="e">
        <f>SummaryTable[[#This Row],[BudgetIncreaseAmount17]]/SummaryTable[[#This Row],[OriginalBudget16]]</f>
        <v>#N/A</v>
      </c>
      <c r="CJ118" s="61" t="e">
        <f>IF(COUNTIFS(allFYsTable[Code], SummaryTable[[#This Row],[Code]], allFYsTable[year2], CG$3)=0, NotFound, SUMIFS(allFYsTable[RevisedBudget], allFYsTable[Code], SummaryTable[[#This Row],[Code]], allFYsTable[year2], CG$3))</f>
        <v>#N/A</v>
      </c>
      <c r="CK118" s="61" t="e">
        <f>IF(COUNTIFS(allFYsTable[Code], SummaryTable[[#This Row],[Code]], allFYsTable[year2], CG$3)=0, NotFound, SUMIFS(allFYsTable[Actual], allFYsTable[Code], SummaryTable[[#This Row],[Code]], allFYsTable[year2], CG$3))</f>
        <v>#N/A</v>
      </c>
      <c r="CL118" s="61" t="e">
        <f>IF(COUNTIFS(allFYsTable[Code], SummaryTable[[#This Row],[Code]], allFYsTable[year2], CG$3)=0, NotFound, SUMIFS(allFYsTable[DiffAmount], allFYsTable[Code], SummaryTable[[#This Row],[Code]], allFYsTable[year2], CG$3))</f>
        <v>#N/A</v>
      </c>
      <c r="CM118" s="63" t="e">
        <f>IF(SummaryTable[[#This Row],[OriginalBudget17]]=0, IF(SummaryTable[[#This Row],[DiffAmount17]]=0, ZeroBudgetNoSpending, ZeroBudgetWithSpending), SummaryTable[[#This Row],[DiffAmount17]]/SummaryTable[[#This Row],[OriginalBudget17]])</f>
        <v>#N/A</v>
      </c>
      <c r="CN118" s="62" t="e">
        <f>IF(COUNTIFS(allFYsTable[Code], SummaryTable[[#This Row],[Code]], allFYsTable[year2], CN$3)=0, NotFound, SUMIFS(allFYsTable[OriginalBudget], allFYsTable[Code], SummaryTable[[#This Row],[Code]], allFYsTable[year2], CN$3))</f>
        <v>#N/A</v>
      </c>
      <c r="CO118" s="61" t="e">
        <f>SummaryTable[[#This Row],[OriginalBudget16]]-SummaryTable[[#This Row],[OriginalBudget15]]</f>
        <v>#N/A</v>
      </c>
      <c r="CP118" s="54" t="e">
        <f>SummaryTable[[#This Row],[BudgetIncreaseAmount16]]/SummaryTable[[#This Row],[OriginalBudget15]]</f>
        <v>#N/A</v>
      </c>
      <c r="CQ118" s="61" t="e">
        <f>IF(COUNTIFS(allFYsTable[Code], SummaryTable[[#This Row],[Code]], allFYsTable[year2], CN$3)=0, NotFound, SUMIFS(allFYsTable[RevisedBudget], allFYsTable[Code], SummaryTable[[#This Row],[Code]], allFYsTable[year2], CN$3))</f>
        <v>#N/A</v>
      </c>
      <c r="CR118" s="61" t="e">
        <f>IF(COUNTIFS(allFYsTable[Code], SummaryTable[[#This Row],[Code]], allFYsTable[year2], CN$3)=0, NotFound, SUMIFS(allFYsTable[Actual], allFYsTable[Code], SummaryTable[[#This Row],[Code]], allFYsTable[year2], CN$3))</f>
        <v>#N/A</v>
      </c>
      <c r="CS118" s="61" t="e">
        <f>IF(COUNTIFS(allFYsTable[Code], SummaryTable[[#This Row],[Code]], allFYsTable[year2], CN$3)=0, NotFound, SUMIFS(allFYsTable[DiffAmount], allFYsTable[Code], SummaryTable[[#This Row],[Code]], allFYsTable[year2], CN$3))</f>
        <v>#N/A</v>
      </c>
      <c r="CT118" s="63" t="e">
        <f>IF(SummaryTable[[#This Row],[OriginalBudget16]]=0, IF(SummaryTable[[#This Row],[DiffAmount16]]=0, ZeroBudgetNoSpending, ZeroBudgetWithSpending), SummaryTable[[#This Row],[DiffAmount16]]/SummaryTable[[#This Row],[OriginalBudget16]])</f>
        <v>#N/A</v>
      </c>
      <c r="CU118" s="62" t="e">
        <f>IF(COUNTIFS(allFYsTable[Code], SummaryTable[[#This Row],[Code]], allFYsTable[year2], CU$3)=0, NotFound, SUMIFS(allFYsTable[OriginalBudget], allFYsTable[Code], SummaryTable[[#This Row],[Code]], allFYsTable[year2], CU$3))</f>
        <v>#N/A</v>
      </c>
      <c r="CV118" s="61" t="e">
        <f>SummaryTable[[#This Row],[OriginalBudget15]]-SummaryTable[[#This Row],[OriginalBudget14]]</f>
        <v>#N/A</v>
      </c>
      <c r="CW118" s="54" t="e">
        <f>SummaryTable[[#This Row],[BudgetIncreaseAmount15]]/SummaryTable[[#This Row],[OriginalBudget14]]</f>
        <v>#N/A</v>
      </c>
      <c r="CX118" s="61" t="e">
        <f>IF(COUNTIFS(allFYsTable[Code], SummaryTable[[#This Row],[Code]], allFYsTable[year2], CU$3)=0, NotFound, SUMIFS(allFYsTable[RevisedBudget], allFYsTable[Code], SummaryTable[[#This Row],[Code]], allFYsTable[year2], CU$3))</f>
        <v>#N/A</v>
      </c>
      <c r="CY118" s="61" t="e">
        <f>IF(COUNTIFS(allFYsTable[Code], SummaryTable[[#This Row],[Code]], allFYsTable[year2], CU$3)=0, NotFound, SUMIFS(allFYsTable[Actual], allFYsTable[Code], SummaryTable[[#This Row],[Code]], allFYsTable[year2], CU$3))</f>
        <v>#N/A</v>
      </c>
      <c r="CZ118" s="61" t="e">
        <f>IF(COUNTIFS(allFYsTable[Code], SummaryTable[[#This Row],[Code]], allFYsTable[year2], CU$3)=0, NotFound, SUMIFS(allFYsTable[DiffAmount], allFYsTable[Code], SummaryTable[[#This Row],[Code]], allFYsTable[year2], CU$3))</f>
        <v>#N/A</v>
      </c>
      <c r="DA118" s="63" t="e">
        <f>IF(SummaryTable[[#This Row],[OriginalBudget15]]=0, IF(SummaryTable[[#This Row],[DiffAmount15]]=0, ZeroBudgetNoSpending, ZeroBudgetWithSpending), SummaryTable[[#This Row],[DiffAmount15]]/SummaryTable[[#This Row],[OriginalBudget15]])</f>
        <v>#N/A</v>
      </c>
      <c r="DB118" s="62" t="e">
        <f>IF(COUNTIFS(allFYsTable[Code], SummaryTable[[#This Row],[Code]], allFYsTable[year2], DB$3)=0, NotFound, SUMIFS(allFYsTable[OriginalBudget], allFYsTable[Code], SummaryTable[[#This Row],[Code]], allFYsTable[year2], DB$3))</f>
        <v>#N/A</v>
      </c>
      <c r="DC118" s="61" t="e">
        <f>SummaryTable[[#This Row],[OriginalBudget14]]-SummaryTable[[#This Row],[OriginalBudget13]]</f>
        <v>#N/A</v>
      </c>
      <c r="DD118" s="54" t="e">
        <f>SummaryTable[[#This Row],[BudgetIncreaseAmount14]]/SummaryTable[[#This Row],[OriginalBudget13]]</f>
        <v>#N/A</v>
      </c>
      <c r="DE118" s="61" t="e">
        <f>IF(COUNTIFS(allFYsTable[Code], SummaryTable[[#This Row],[Code]], allFYsTable[year2], DB$3)=0, NotFound, SUMIFS(allFYsTable[RevisedBudget], allFYsTable[Code], SummaryTable[[#This Row],[Code]], allFYsTable[year2], DB$3))</f>
        <v>#N/A</v>
      </c>
      <c r="DF118" s="61" t="e">
        <f>IF(COUNTIFS(allFYsTable[Code], SummaryTable[[#This Row],[Code]], allFYsTable[year2], DB$3)=0, NotFound, SUMIFS(allFYsTable[Actual], allFYsTable[Code], SummaryTable[[#This Row],[Code]], allFYsTable[year2], DB$3))</f>
        <v>#N/A</v>
      </c>
      <c r="DG118" s="61" t="e">
        <f>IF(COUNTIFS(allFYsTable[Code], SummaryTable[[#This Row],[Code]], allFYsTable[year2], DB$3)=0, NotFound, SUMIFS(allFYsTable[DiffAmount], allFYsTable[Code], SummaryTable[[#This Row],[Code]], allFYsTable[year2], DB$3))</f>
        <v>#N/A</v>
      </c>
      <c r="DH118" s="63" t="e">
        <f>IF(SummaryTable[[#This Row],[OriginalBudget14]]=0, IF(SummaryTable[[#This Row],[DiffAmount14]]=0, ZeroBudgetNoSpending, ZeroBudgetWithSpending), SummaryTable[[#This Row],[DiffAmount14]]/SummaryTable[[#This Row],[OriginalBudget14]])</f>
        <v>#N/A</v>
      </c>
      <c r="DI118" s="62" t="e">
        <f>IF(COUNTIFS(allFYsTable[Code], SummaryTable[[#This Row],[Code]], allFYsTable[year2], DI$3)=0, NotFound, SUMIFS(allFYsTable[OriginalBudget], allFYsTable[Code], SummaryTable[[#This Row],[Code]], allFYsTable[year2], DI$3))</f>
        <v>#N/A</v>
      </c>
      <c r="DJ118" s="61" t="e">
        <f>SummaryTable[[#This Row],[OriginalBudget13]]-SummaryTable[[#This Row],[OriginalBudget12]]</f>
        <v>#N/A</v>
      </c>
      <c r="DK118" s="54" t="e">
        <f>SummaryTable[[#This Row],[BudgetIncreaseAmount13]]/SummaryTable[[#This Row],[OriginalBudget12]]</f>
        <v>#N/A</v>
      </c>
      <c r="DL118" s="61" t="e">
        <f>IF(COUNTIFS(allFYsTable[Code], SummaryTable[[#This Row],[Code]], allFYsTable[year2], DI$3)=0, NotFound, SUMIFS(allFYsTable[RevisedBudget], allFYsTable[Code], SummaryTable[[#This Row],[Code]], allFYsTable[year2], DI$3))</f>
        <v>#N/A</v>
      </c>
      <c r="DM118" s="61" t="e">
        <f>IF(COUNTIFS(allFYsTable[Code], SummaryTable[[#This Row],[Code]], allFYsTable[year2], DI$3)=0, NotFound, SUMIFS(allFYsTable[Actual], allFYsTable[Code], SummaryTable[[#This Row],[Code]], allFYsTable[year2], DI$3))</f>
        <v>#N/A</v>
      </c>
      <c r="DN118" s="61" t="e">
        <f>IF(COUNTIFS(allFYsTable[Code], SummaryTable[[#This Row],[Code]], allFYsTable[year2], DI$3)=0, NotFound, SUMIFS(allFYsTable[DiffAmount], allFYsTable[Code], SummaryTable[[#This Row],[Code]], allFYsTable[year2], DI$3))</f>
        <v>#N/A</v>
      </c>
      <c r="DO118" s="63" t="e">
        <f>IF(SummaryTable[[#This Row],[OriginalBudget13]]=0, IF(SummaryTable[[#This Row],[DiffAmount13]]=0, ZeroBudgetNoSpending, ZeroBudgetWithSpending), SummaryTable[[#This Row],[DiffAmount13]]/SummaryTable[[#This Row],[OriginalBudget13]])</f>
        <v>#N/A</v>
      </c>
      <c r="DP118" s="62" t="e">
        <f>IF(COUNTIFS(allFYsTable[Code], SummaryTable[[#This Row],[Code]], allFYsTable[year2], DP$3)=0, NotFound, SUMIFS(allFYsTable[OriginalBudget], allFYsTable[Code], SummaryTable[[#This Row],[Code]], allFYsTable[year2], DP$3))</f>
        <v>#N/A</v>
      </c>
      <c r="DQ118" s="61" t="e">
        <f>SummaryTable[[#This Row],[OriginalBudget12]]-SummaryTable[[#This Row],[OriginalBudget11]]</f>
        <v>#N/A</v>
      </c>
      <c r="DR118" s="54" t="e">
        <f>SummaryTable[[#This Row],[BudgetIncreaseAmount12]]/SummaryTable[[#This Row],[OriginalBudget11]]</f>
        <v>#N/A</v>
      </c>
      <c r="DS118" s="61" t="e">
        <f>IF(COUNTIFS(allFYsTable[Code], SummaryTable[[#This Row],[Code]], allFYsTable[year2], DP$3)=0, NotFound, SUMIFS(allFYsTable[RevisedBudget], allFYsTable[Code], SummaryTable[[#This Row],[Code]], allFYsTable[year2], DP$3))</f>
        <v>#N/A</v>
      </c>
      <c r="DT118" s="61" t="e">
        <f>IF(COUNTIFS(allFYsTable[Code], SummaryTable[[#This Row],[Code]], allFYsTable[year2], DP$3)=0, NotFound, SUMIFS(allFYsTable[Actual], allFYsTable[Code], SummaryTable[[#This Row],[Code]], allFYsTable[year2], DP$3))</f>
        <v>#N/A</v>
      </c>
      <c r="DU118" s="61" t="e">
        <f>IF(COUNTIFS(allFYsTable[Code], SummaryTable[[#This Row],[Code]], allFYsTable[year2], DP$3)=0, NotFound, SUMIFS(allFYsTable[DiffAmount], allFYsTable[Code], SummaryTable[[#This Row],[Code]], allFYsTable[year2], DP$3))</f>
        <v>#N/A</v>
      </c>
      <c r="DV118" s="63" t="e">
        <f>IF(SummaryTable[[#This Row],[OriginalBudget12]]=0, IF(SummaryTable[[#This Row],[DiffAmount12]]=0, ZeroBudgetNoSpending, ZeroBudgetWithSpending), SummaryTable[[#This Row],[DiffAmount12]]/SummaryTable[[#This Row],[OriginalBudget12]])</f>
        <v>#N/A</v>
      </c>
      <c r="DW118" s="62" t="e">
        <f>IF(COUNTIFS(allFYsTable[Code], SummaryTable[[#This Row],[Code]], allFYsTable[year2], DW$3)=0, NotFound, SUMIFS(allFYsTable[OriginalBudget], allFYsTable[Code], SummaryTable[[#This Row],[Code]], allFYsTable[year2], DW$3))</f>
        <v>#N/A</v>
      </c>
      <c r="DX118" s="61" t="e">
        <f>SummaryTable[[#This Row],[OriginalBudget11]]-SummaryTable[[#This Row],[OriginalBudget10]]</f>
        <v>#N/A</v>
      </c>
      <c r="DY118" s="54" t="e">
        <f>SummaryTable[[#This Row],[BudgetIncreaseAmount11]]/SummaryTable[[#This Row],[OriginalBudget10]]</f>
        <v>#N/A</v>
      </c>
      <c r="DZ118" s="61" t="e">
        <f>IF(COUNTIFS(allFYsTable[Code], SummaryTable[[#This Row],[Code]], allFYsTable[year2], DW$3)=0, NotFound, SUMIFS(allFYsTable[RevisedBudget], allFYsTable[Code], SummaryTable[[#This Row],[Code]], allFYsTable[year2], DW$3))</f>
        <v>#N/A</v>
      </c>
      <c r="EA118" s="61" t="e">
        <f>IF(COUNTIFS(allFYsTable[Code], SummaryTable[[#This Row],[Code]], allFYsTable[year2], DW$3)=0, NotFound, SUMIFS(allFYsTable[Actual], allFYsTable[Code], SummaryTable[[#This Row],[Code]], allFYsTable[year2], DW$3))</f>
        <v>#N/A</v>
      </c>
      <c r="EB118" s="61" t="e">
        <f>IF(COUNTIFS(allFYsTable[Code], SummaryTable[[#This Row],[Code]], allFYsTable[year2], DW$3)=0, NotFound, SUMIFS(allFYsTable[DiffAmount], allFYsTable[Code], SummaryTable[[#This Row],[Code]], allFYsTable[year2], DW$3))</f>
        <v>#N/A</v>
      </c>
      <c r="EC118" s="63" t="e">
        <f>IF(SummaryTable[[#This Row],[OriginalBudget11]]=0, IF(SummaryTable[[#This Row],[DiffAmount11]]=0, ZeroBudgetNoSpending, ZeroBudgetWithSpending), SummaryTable[[#This Row],[DiffAmount11]]/SummaryTable[[#This Row],[OriginalBudget11]])</f>
        <v>#N/A</v>
      </c>
      <c r="ED118" s="62" t="e">
        <f>IF(COUNTIFS(allFYsTable[Code], SummaryTable[[#This Row],[Code]], allFYsTable[year2], ED$3)=0, NotFound, SUMIFS(allFYsTable[OriginalBudget], allFYsTable[Code], SummaryTable[[#This Row],[Code]], allFYsTable[year2], ED$3))</f>
        <v>#N/A</v>
      </c>
      <c r="EE118" s="61" t="e">
        <f>SummaryTable[[#This Row],[OriginalBudget10]]-SummaryTable[[#This Row],[OriginalBudget09]]</f>
        <v>#N/A</v>
      </c>
      <c r="EF118" s="54" t="e">
        <f>SummaryTable[[#This Row],[BudgetIncreaseAmount10]]/SummaryTable[[#This Row],[OriginalBudget09]]</f>
        <v>#N/A</v>
      </c>
      <c r="EG118" s="61" t="e">
        <f>IF(COUNTIFS(allFYsTable[Code], SummaryTable[[#This Row],[Code]], allFYsTable[year2], ED$3)=0, NotFound, SUMIFS(allFYsTable[RevisedBudget], allFYsTable[Code], SummaryTable[[#This Row],[Code]], allFYsTable[year2], ED$3))</f>
        <v>#N/A</v>
      </c>
      <c r="EH118" s="61" t="e">
        <f>IF(COUNTIFS(allFYsTable[Code], SummaryTable[[#This Row],[Code]], allFYsTable[year2], ED$3)=0, NotFound, SUMIFS(allFYsTable[Actual], allFYsTable[Code], SummaryTable[[#This Row],[Code]], allFYsTable[year2], ED$3))</f>
        <v>#N/A</v>
      </c>
      <c r="EI118" s="61" t="e">
        <f>IF(COUNTIFS(allFYsTable[Code], SummaryTable[[#This Row],[Code]], allFYsTable[year2], ED$3)=0, NotFound, SUMIFS(allFYsTable[DiffAmount], allFYsTable[Code], SummaryTable[[#This Row],[Code]], allFYsTable[year2], ED$3))</f>
        <v>#N/A</v>
      </c>
      <c r="EJ118" s="63" t="e">
        <f>IF(SummaryTable[[#This Row],[OriginalBudget10]]=0, IF(SummaryTable[[#This Row],[DiffAmount10]]=0, ZeroBudgetNoSpending, ZeroBudgetWithSpending), SummaryTable[[#This Row],[DiffAmount10]]/SummaryTable[[#This Row],[OriginalBudget10]])</f>
        <v>#N/A</v>
      </c>
      <c r="EK118" s="62" t="e">
        <f>IF(COUNTIFS(allFYsTable[Code], SummaryTable[[#This Row],[Code]], allFYsTable[year2], EK$3)=0, NotFound, SUMIFS(allFYsTable[OriginalBudget], allFYsTable[Code], SummaryTable[[#This Row],[Code]], allFYsTable[year2], EK$3))</f>
        <v>#N/A</v>
      </c>
      <c r="EL118" s="61" t="e">
        <f>SummaryTable[[#This Row],[OriginalBudget09]]-SummaryTable[[#This Row],[OriginalBudget08]]</f>
        <v>#N/A</v>
      </c>
      <c r="EM118" s="54" t="e">
        <f>SummaryTable[[#This Row],[BudgetIncreaseAmount09]]/SummaryTable[[#This Row],[OriginalBudget08]]</f>
        <v>#N/A</v>
      </c>
      <c r="EN118" s="61" t="e">
        <f>IF(COUNTIFS(allFYsTable[Code], SummaryTable[[#This Row],[Code]], allFYsTable[year2], EK$3)=0, NotFound, SUMIFS(allFYsTable[RevisedBudget], allFYsTable[Code], SummaryTable[[#This Row],[Code]], allFYsTable[year2], EK$3))</f>
        <v>#N/A</v>
      </c>
      <c r="EO118" s="61" t="e">
        <f>IF(COUNTIFS(allFYsTable[Code], SummaryTable[[#This Row],[Code]], allFYsTable[year2], EK$3)=0, NotFound, SUMIFS(allFYsTable[Actual], allFYsTable[Code], SummaryTable[[#This Row],[Code]], allFYsTable[year2], EK$3))</f>
        <v>#N/A</v>
      </c>
      <c r="EP118" s="61" t="e">
        <f>IF(COUNTIFS(allFYsTable[Code], SummaryTable[[#This Row],[Code]], allFYsTable[year2], EK$3)=0, NotFound, SUMIFS(allFYsTable[DiffAmount], allFYsTable[Code], SummaryTable[[#This Row],[Code]], allFYsTable[year2], EK$3))</f>
        <v>#N/A</v>
      </c>
      <c r="EQ118" s="63" t="e">
        <f>IF(SummaryTable[[#This Row],[OriginalBudget09]]=0, IF(SummaryTable[[#This Row],[DiffAmount09]]=0, ZeroBudgetNoSpending, ZeroBudgetWithSpending), SummaryTable[[#This Row],[DiffAmount09]]/SummaryTable[[#This Row],[OriginalBudget09]])</f>
        <v>#N/A</v>
      </c>
      <c r="ER118" s="62" t="e">
        <f>IF(COUNTIFS(allFYsTable[Code], SummaryTable[[#This Row],[Code]], allFYsTable[year2], ER$3)=0, NotFound, SUMIFS(allFYsTable[OriginalBudget], allFYsTable[Code], SummaryTable[[#This Row],[Code]], allFYsTable[year2], ER$3))</f>
        <v>#N/A</v>
      </c>
      <c r="ES118" s="61" t="e">
        <f>SummaryTable[[#This Row],[OriginalBudget08]]-SummaryTable[[#This Row],[OriginalBudget07]]</f>
        <v>#N/A</v>
      </c>
      <c r="ET118" s="54" t="e">
        <f>SummaryTable[[#This Row],[BudgetIncreaseAmount08]]/SummaryTable[[#This Row],[OriginalBudget07]]</f>
        <v>#N/A</v>
      </c>
      <c r="EU118" s="61" t="e">
        <f>IF(COUNTIFS(allFYsTable[Code], SummaryTable[[#This Row],[Code]], allFYsTable[year2], ER$3)=0, NotFound, SUMIFS(allFYsTable[RevisedBudget], allFYsTable[Code], SummaryTable[[#This Row],[Code]], allFYsTable[year2], ER$3))</f>
        <v>#N/A</v>
      </c>
      <c r="EV118" s="61" t="e">
        <f>IF(COUNTIFS(allFYsTable[Code], SummaryTable[[#This Row],[Code]], allFYsTable[year2], ER$3)=0, NotFound, SUMIFS(allFYsTable[Actual], allFYsTable[Code], SummaryTable[[#This Row],[Code]], allFYsTable[year2], ER$3))</f>
        <v>#N/A</v>
      </c>
      <c r="EW118" s="61" t="e">
        <f>IF(COUNTIFS(allFYsTable[Code], SummaryTable[[#This Row],[Code]], allFYsTable[year2], ER$3)=0, NotFound, SUMIFS(allFYsTable[DiffAmount], allFYsTable[Code], SummaryTable[[#This Row],[Code]], allFYsTable[year2], ER$3))</f>
        <v>#N/A</v>
      </c>
      <c r="EX118" s="63" t="e">
        <f>IF(SummaryTable[[#This Row],[OriginalBudget08]]=0, IF(SummaryTable[[#This Row],[DiffAmount08]]=0, ZeroBudgetNoSpending, ZeroBudgetWithSpending), SummaryTable[[#This Row],[DiffAmount08]]/SummaryTable[[#This Row],[OriginalBudget08]])</f>
        <v>#N/A</v>
      </c>
      <c r="EY118" s="62" t="e">
        <f>IF(COUNTIFS(allFYsTable[Code], SummaryTable[[#This Row],[Code]], allFYsTable[year2], EY$3)=0, NotFound, SUMIFS(allFYsTable[OriginalBudget], allFYsTable[Code], SummaryTable[[#This Row],[Code]], allFYsTable[year2], EY$3))</f>
        <v>#N/A</v>
      </c>
      <c r="EZ118" s="61" t="e">
        <f>SummaryTable[[#This Row],[OriginalBudget07]]-SummaryTable[[#This Row],[OriginalBudget06]]</f>
        <v>#N/A</v>
      </c>
      <c r="FA118" s="54" t="e">
        <f>SummaryTable[[#This Row],[BudgetIncreaseAmount07]]/SummaryTable[[#This Row],[OriginalBudget06]]</f>
        <v>#N/A</v>
      </c>
      <c r="FB118" s="61" t="e">
        <f>IF(COUNTIFS(allFYsTable[Code], SummaryTable[[#This Row],[Code]], allFYsTable[year2], EY$3)=0, NotFound, SUMIFS(allFYsTable[RevisedBudget], allFYsTable[Code], SummaryTable[[#This Row],[Code]], allFYsTable[year2], EY$3))</f>
        <v>#N/A</v>
      </c>
      <c r="FC118" s="61" t="e">
        <f>IF(COUNTIFS(allFYsTable[Code], SummaryTable[[#This Row],[Code]], allFYsTable[year2], EY$3)=0, NotFound, SUMIFS(allFYsTable[Actual], allFYsTable[Code], SummaryTable[[#This Row],[Code]], allFYsTable[year2], EY$3))</f>
        <v>#N/A</v>
      </c>
      <c r="FD118" s="61" t="e">
        <f>IF(COUNTIFS(allFYsTable[Code], SummaryTable[[#This Row],[Code]], allFYsTable[year2], EY$3)=0, NotFound, SUMIFS(allFYsTable[DiffAmount], allFYsTable[Code], SummaryTable[[#This Row],[Code]], allFYsTable[year2], EY$3))</f>
        <v>#N/A</v>
      </c>
      <c r="FE118" s="63" t="e">
        <f>IF(SummaryTable[[#This Row],[OriginalBudget07]]=0, IF(SummaryTable[[#This Row],[DiffAmount07]]=0, ZeroBudgetNoSpending, ZeroBudgetWithSpending), SummaryTable[[#This Row],[DiffAmount07]]/SummaryTable[[#This Row],[OriginalBudget07]])</f>
        <v>#N/A</v>
      </c>
      <c r="FF118" s="62" t="e">
        <f>IF(COUNTIFS(allFYsTable[Code], SummaryTable[[#This Row],[Code]], allFYsTable[year2], FF$3)=0, NotFound, SUMIFS(allFYsTable[OriginalBudget], allFYsTable[Code], SummaryTable[[#This Row],[Code]], allFYsTable[year2], FF$3))</f>
        <v>#N/A</v>
      </c>
      <c r="FI118" s="61" t="e">
        <f>IF(COUNTIFS(allFYsTable[Code], SummaryTable[[#This Row],[Code]], allFYsTable[year2], FF$3)=0, NotFound, SUMIFS(allFYsTable[RevisedBudget], allFYsTable[Code], SummaryTable[[#This Row],[Code]], allFYsTable[year2], FF$3))</f>
        <v>#N/A</v>
      </c>
      <c r="FJ118" s="61" t="e">
        <f>IF(COUNTIFS(allFYsTable[Code], SummaryTable[[#This Row],[Code]], allFYsTable[year2], FF$3)=0, NotFound, SUMIFS(allFYsTable[Actual], allFYsTable[Code], SummaryTable[[#This Row],[Code]], allFYsTable[year2], FF$3))</f>
        <v>#N/A</v>
      </c>
      <c r="FK118" s="61" t="e">
        <f>IF(COUNTIFS(allFYsTable[Code], SummaryTable[[#This Row],[Code]], allFYsTable[year2], FF$3)=0, NotFound, SUMIFS(allFYsTable[DiffAmount], allFYsTable[Code], SummaryTable[[#This Row],[Code]], allFYsTable[year2], FF$3))</f>
        <v>#N/A</v>
      </c>
      <c r="FL118" s="63" t="e">
        <f>IF(SummaryTable[[#This Row],[OriginalBudget06]]=0, IF(SummaryTable[[#This Row],[DiffAmount06]]=0, ZeroBudgetNoSpending, ZeroBudgetWithSpending), SummaryTable[[#This Row],[DiffAmount06]]/SummaryTable[[#This Row],[OriginalBudget06]])</f>
        <v>#N/A</v>
      </c>
    </row>
    <row r="119" spans="1:168" x14ac:dyDescent="0.45">
      <c r="A119" t="s">
        <v>775</v>
      </c>
      <c r="B119">
        <f>_xlfn.MAXIFS(allFYsTable[year2], allFYsTable[Code], SummaryTable[[#This Row],[Code]])</f>
        <v>2025</v>
      </c>
      <c r="C119" t="str">
        <f>_xlfn.XLOOKUP(SummaryTable[[#This Row],[Code]], NameCodingTable[Code], NameCodingTable[Most Recent Category per allFYs])</f>
        <v>Debt service - issuance costs</v>
      </c>
      <c r="D119" t="str">
        <f>_xlfn.XLOOKUP(SummaryTable[[#This Row],[Code]], NameCodingTable[Code], NameCodingTable[Unit Display Name])</f>
        <v>Repayment of Loans and Interest</v>
      </c>
      <c r="E119" t="str">
        <f>_xlfn.XLOOKUP(SummaryTable[[#This Row],[Code]], NameCodingTable[Code], NameCodingTable[Type])</f>
        <v>xother</v>
      </c>
      <c r="F11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1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19" s="54">
        <f>SummaryTable[[#This Row],['# Over]]/SummaryTable[[#This Row],[Count]]</f>
        <v>0</v>
      </c>
      <c r="I11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20</v>
      </c>
      <c r="J119" s="54">
        <f>SummaryTable[[#This Row],['# Under]]/SummaryTable[[#This Row],[Count]]</f>
        <v>1</v>
      </c>
      <c r="K11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19" s="54">
        <f>SummaryTable[[#This Row],['# Equal]]/SummaryTable[[#This Row],[Count]]</f>
        <v>0</v>
      </c>
      <c r="M119" s="61">
        <f>SUMIFS(allFYsTable[OriginalBudget],allFYsTable[Code],SummaryTable[[#This Row],[Code]])/SummaryTable[[#This Row],[Count]]</f>
        <v>664056.19999999995</v>
      </c>
      <c r="N119" s="61">
        <f>SUMIFS(allFYsTable[Actual],allFYsTable[Code],SummaryTable[[#This Row],[Code]])/SummaryTable[[#This Row],[Count]]</f>
        <v>627225.85</v>
      </c>
      <c r="O119" s="61">
        <f>SummaryTable[[#This Row],[AvgActAmt]]-SummaryTable[[#This Row],[AvgBudAmt]]</f>
        <v>-36830.349999999977</v>
      </c>
      <c r="P119" s="54">
        <f>IF(SummaryTable[[#This Row],[AvgBudAmt]]=0, IF(SummaryTable[[#This Row],[AvgDiff'#]]=0, 0, NamedFields!$C$3), SummaryTable[[#This Row],[AvgDiff'#]]/SummaryTable[[#This Row],[AvgBudAmt]])</f>
        <v>-5.5462700295547243E-2</v>
      </c>
      <c r="Q119" s="61">
        <f>IFERROR(SUMIFS(allFYsTable[OriginalBudget],allFYsTable[Code],SummaryTable[[#This Row],[Code]],allFYsTable[DiffAmount], "&gt;0")/SummaryTable[[#This Row],['# Over]], 0)</f>
        <v>0</v>
      </c>
      <c r="R119" s="61">
        <f>IFERROR(SUMIFS(allFYsTable[Actual],allFYsTable[Code],SummaryTable[[#This Row],[Code]],allFYsTable[DiffAmount], "&gt;0")/SummaryTable[[#This Row],['# Over]], 0)</f>
        <v>0</v>
      </c>
      <c r="S119" s="61">
        <f>SummaryTable[[#This Row],[OverAvgAct]]-SummaryTable[[#This Row],[OverAvgBud]]</f>
        <v>0</v>
      </c>
      <c r="T119" s="54">
        <f>IF(SummaryTable[[#This Row],[OverAvgBud]]=0, IF(SummaryTable[[#This Row],[OverAvgDiff'#]]=0, ZeroBudgetNoSpending, ZeroBudgetWithSpending), SummaryTable[[#This Row],[OverAvgDiff'#]]/SummaryTable[[#This Row],[OverAvgBud]])</f>
        <v>0</v>
      </c>
      <c r="U119" s="61">
        <f>IFERROR(SUMIFS(allFYsTable[OriginalBudget],allFYsTable[Code],SummaryTable[[#This Row],[Code]],allFYsTable[DiffAmount], "&lt;0")/SummaryTable[[#This Row],['# Under]], 0)</f>
        <v>664056.19999999995</v>
      </c>
      <c r="V119" s="61">
        <f>IFERROR( SUMIFS(allFYsTable[Actual],allFYsTable[Code],SummaryTable[[#This Row],[Code]],allFYsTable[DiffAmount], "&lt;0")/SummaryTable[[#This Row],['# Under]], 0)</f>
        <v>627225.85</v>
      </c>
      <c r="W119" s="61">
        <f>SummaryTable[[#This Row],[UnderAvgAct]]-SummaryTable[[#This Row],[UnderAvgBud]]</f>
        <v>-36830.349999999977</v>
      </c>
      <c r="X119" s="54">
        <f>IF(SummaryTable[[#This Row],[UnderAvgBud]]=0, IF(SummaryTable[[#This Row],[UnderAvgDiff'#]]=0, ZeroBudgetNoSpending, NamedFields!$C$3), SummaryTable[[#This Row],[UnderAvgDiff'#]]/SummaryTable[[#This Row],[UnderAvgBud]])</f>
        <v>-5.5462700295547243E-2</v>
      </c>
      <c r="Y11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11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19" s="54">
        <f>IF(SummaryTable[[#This Row],[IncreaseYears]]=0, ZeroBudgetNoSpending, SummaryTable[[#This Row],[OSinIncreaseYear'#]]/SummaryTable[[#This Row],[IncreaseYears]])</f>
        <v>0</v>
      </c>
      <c r="AB119" s="58" t="str">
        <f>SummaryTable[[#This Row],[Code]]</f>
        <v>DS0</v>
      </c>
      <c r="AC119" s="62">
        <f>IF(COUNTIFS(allFYsTable[Code], SummaryTable[[#This Row],[Code]], allFYsTable[year2], AC$3)=0, NotFound, SUMIFS(allFYsTable[OriginalBudget], allFYsTable[Code], SummaryTable[[#This Row],[Code]], allFYsTable[year2], AC$3))</f>
        <v>1229364</v>
      </c>
      <c r="AD119" s="61">
        <f>SummaryTable[[#This Row],[OriginalBudget25]]-SummaryTable[[#This Row],[OriginalBudget24]]</f>
        <v>118435</v>
      </c>
      <c r="AE119" s="54">
        <f>SummaryTable[[#This Row],[BudgetIncreaseAmount25]]/SummaryTable[[#This Row],[OriginalBudget24]]</f>
        <v>0.10660897321070924</v>
      </c>
      <c r="AF119" s="61">
        <f>IF(COUNTIFS(allFYsTable[Code], SummaryTable[[#This Row],[Code]], allFYsTable[year2], AC$3)=0, NotFound, SUMIFS(allFYsTable[RevisedBudget], allFYsTable[Code], SummaryTable[[#This Row],[Code]], allFYsTable[year2], AC$3))</f>
        <v>1052666</v>
      </c>
      <c r="AG119" s="61">
        <f>IF(COUNTIFS(allFYsTable[Code], SummaryTable[[#This Row],[Code]], allFYsTable[year2], AC$3)=0, NotFound, SUMIFS(allFYsTable[Actual], allFYsTable[Code], SummaryTable[[#This Row],[Code]], allFYsTable[year2], AC$3))</f>
        <v>1052598</v>
      </c>
      <c r="AH119" s="61">
        <f>IF(COUNTIFS(allFYsTable[Code], SummaryTable[[#This Row],[Code]], allFYsTable[year2], AC$3)=0, NotFound, SUMIFS(allFYsTable[DiffAmount], allFYsTable[Code], SummaryTable[[#This Row],[Code]], allFYsTable[year2], AC$3))</f>
        <v>-176766</v>
      </c>
      <c r="AI119" s="63">
        <f>IF(SummaryTable[[#This Row],[OriginalBudget25]]=0, IF(SummaryTable[[#This Row],[DiffAmount25]]=0, ZeroBudgetNoSpending, ZeroBudgetWithSpending), SummaryTable[[#This Row],[DiffAmount25]]/SummaryTable[[#This Row],[OriginalBudget25]])</f>
        <v>-0.14378654328579657</v>
      </c>
      <c r="AJ119" s="62">
        <f>IF(COUNTIFS(allFYsTable[Code], SummaryTable[[#This Row],[Code]], allFYsTable[year2], AJ$3)=0, NotFound, SUMIFS(allFYsTable[OriginalBudget], allFYsTable[Code], SummaryTable[[#This Row],[Code]], allFYsTable[year2], AJ$3))</f>
        <v>1110929</v>
      </c>
      <c r="AK119" s="61">
        <f>SummaryTable[[#This Row],[OriginalBudget24]]-SummaryTable[[#This Row],[OriginalBudget23]]</f>
        <v>108613</v>
      </c>
      <c r="AL119" s="54">
        <f>SummaryTable[[#This Row],[BudgetIncreaseAmount24]]/SummaryTable[[#This Row],[OriginalBudget23]]</f>
        <v>0.10836203353034372</v>
      </c>
      <c r="AM119" s="61">
        <f>IF(COUNTIFS(allFYsTable[Code], SummaryTable[[#This Row],[Code]], allFYsTable[year2], AK$3)=0, NotFound, SUMIFS(allFYsTable[RevisedBudget], allFYsTable[Code], SummaryTable[[#This Row],[Code]], allFYsTable[year2], AJ$3))</f>
        <v>1007141</v>
      </c>
      <c r="AN119" s="61">
        <f>IF(COUNTIFS(allFYsTable[Code], SummaryTable[[#This Row],[Code]], allFYsTable[year2], AJ$3)=0, NotFound, SUMIFS(allFYsTable[Actual], allFYsTable[Code], SummaryTable[[#This Row],[Code]], allFYsTable[year2], AJ$3))</f>
        <v>1006399</v>
      </c>
      <c r="AO119" s="61">
        <f>IF(COUNTIFS(allFYsTable[Code], SummaryTable[[#This Row],[Code]], allFYsTable[year2], AJ$3)=0, NotFound, SUMIFS(allFYsTable[DiffAmount], allFYsTable[Code], SummaryTable[[#This Row],[Code]], allFYsTable[year2], AJ$3))</f>
        <v>-104530</v>
      </c>
      <c r="AP119" s="63">
        <f>IF(SummaryTable[[#This Row],[OriginalBudget24]]=0, IF(SummaryTable[[#This Row],[DiffAmount24]]=0, ZeroBudgetNoSpending, ZeroBudgetWithSpending), SummaryTable[[#This Row],[DiffAmount24]]/SummaryTable[[#This Row],[OriginalBudget24]])</f>
        <v>-9.4092421747924482E-2</v>
      </c>
      <c r="AQ119" s="62">
        <f>IF(COUNTIFS(allFYsTable[Code], SummaryTable[[#This Row],[Code]], allFYsTable[year2], AQ$3)=0, NotFound, SUMIFS(allFYsTable[OriginalBudget], allFYsTable[Code], SummaryTable[[#This Row],[Code]], allFYsTable[year2], AQ$3))</f>
        <v>1002316</v>
      </c>
      <c r="AR119" s="61">
        <f>SummaryTable[[#This Row],[OriginalBudget23]]-SummaryTable[[#This Row],[OriginalBudget22]]</f>
        <v>163100</v>
      </c>
      <c r="AS119" s="54">
        <f>SummaryTable[[#This Row],[BudgetIncreaseAmount23]]/SummaryTable[[#This Row],[OriginalBudget22]]</f>
        <v>0.19434805818764181</v>
      </c>
      <c r="AT119" s="61">
        <f>IF(COUNTIFS(allFYsTable[Code], SummaryTable[[#This Row],[Code]], allFYsTable[year2], AQ$3)=0, NotFound, SUMIFS(allFYsTable[RevisedBudget], allFYsTable[Code], SummaryTable[[#This Row],[Code]], allFYsTable[year2], AQ$3))</f>
        <v>959183</v>
      </c>
      <c r="AU119" s="61">
        <f>IF(COUNTIFS(allFYsTable[Code], SummaryTable[[#This Row],[Code]], allFYsTable[year2], AQ$3)=0, NotFound, SUMIFS(allFYsTable[Actual], allFYsTable[Code], SummaryTable[[#This Row],[Code]], allFYsTable[year2], AQ$3))</f>
        <v>959183</v>
      </c>
      <c r="AV119" s="61">
        <f>IF(COUNTIFS(allFYsTable[Code], SummaryTable[[#This Row],[Code]], allFYsTable[year2], AQ$3)=0, NotFound, SUMIFS(allFYsTable[DiffAmount], allFYsTable[Code], SummaryTable[[#This Row],[Code]], allFYsTable[year2], AQ$3))</f>
        <v>-43133</v>
      </c>
      <c r="AW119" s="63">
        <f>IF(SummaryTable[[#This Row],[OriginalBudget23]]=0, IF(SummaryTable[[#This Row],[DiffAmount23]]=0, ZeroBudgetNoSpending, ZeroBudgetWithSpending), SummaryTable[[#This Row],[DiffAmount23]]/SummaryTable[[#This Row],[OriginalBudget23]])</f>
        <v>-4.3033334796611047E-2</v>
      </c>
      <c r="AX119" s="62">
        <f>IF(COUNTIFS(allFYsTable[Code], SummaryTable[[#This Row],[Code]], allFYsTable[year2], AX$3)=0, NotFound, SUMIFS(allFYsTable[OriginalBudget], allFYsTable[Code], SummaryTable[[#This Row],[Code]], allFYsTable[year2], AX$3))</f>
        <v>839216</v>
      </c>
      <c r="AY119" s="61">
        <f>SummaryTable[[#This Row],[OriginalBudget22]]-SummaryTable[[#This Row],[OriginalBudget21]]</f>
        <v>54316</v>
      </c>
      <c r="AZ119" s="54">
        <f>SummaryTable[[#This Row],[BudgetIncreaseAmount22]]/SummaryTable[[#This Row],[OriginalBudget21]]</f>
        <v>6.9201172123837432E-2</v>
      </c>
      <c r="BA119" s="61">
        <f>IF(COUNTIFS(allFYsTable[Code], SummaryTable[[#This Row],[Code]], allFYsTable[year2], AX$3)=0, NotFound, SUMIFS(allFYsTable[RevisedBudget], allFYsTable[Code], SummaryTable[[#This Row],[Code]], allFYsTable[year2], AX$3))</f>
        <v>809491</v>
      </c>
      <c r="BB119" s="61">
        <f>IF(COUNTIFS(allFYsTable[Code], SummaryTable[[#This Row],[Code]], allFYsTable[year2], AX$3)=0, NotFound, SUMIFS(allFYsTable[Actual], allFYsTable[Code], SummaryTable[[#This Row],[Code]], allFYsTable[year2], AX$3))</f>
        <v>809491</v>
      </c>
      <c r="BC119" s="61">
        <f>IF(COUNTIFS(allFYsTable[Code], SummaryTable[[#This Row],[Code]], allFYsTable[year2], AX$3)=0, NotFound, SUMIFS(allFYsTable[DiffAmount], allFYsTable[Code], SummaryTable[[#This Row],[Code]], allFYsTable[year2], AX$3))</f>
        <v>-29725</v>
      </c>
      <c r="BD119" s="63">
        <f>IF(SummaryTable[[#This Row],[OriginalBudget22]]=0, IF(SummaryTable[[#This Row],[DiffAmount22]]=0, ZeroBudgetNoSpending, ZeroBudgetWithSpending), SummaryTable[[#This Row],[DiffAmount22]]/SummaryTable[[#This Row],[OriginalBudget22]])</f>
        <v>-3.5419963394406208E-2</v>
      </c>
      <c r="BE119" s="62">
        <f>IF(COUNTIFS(allFYsTable[Code], SummaryTable[[#This Row],[Code]], allFYsTable[year2], BE$3)=0, NotFound, SUMIFS(allFYsTable[OriginalBudget], allFYsTable[Code], SummaryTable[[#This Row],[Code]], allFYsTable[year2], BE$3))</f>
        <v>784900</v>
      </c>
      <c r="BF119" s="61">
        <f>SummaryTable[[#This Row],[OriginalBudget21]]-SummaryTable[[#This Row],[OriginalBudget20]]</f>
        <v>-8884</v>
      </c>
      <c r="BG119" s="54">
        <f>SummaryTable[[#This Row],[BudgetIncreaseAmount21]]/SummaryTable[[#This Row],[OriginalBudget20]]</f>
        <v>-1.119196154117493E-2</v>
      </c>
      <c r="BH119" s="61">
        <f>IF(COUNTIFS(allFYsTable[Code], SummaryTable[[#This Row],[Code]], allFYsTable[year2], BE$3)=0, NotFound, SUMIFS(allFYsTable[RevisedBudget], allFYsTable[Code], SummaryTable[[#This Row],[Code]], allFYsTable[year2], BE$3))</f>
        <v>781209</v>
      </c>
      <c r="BI119" s="61">
        <f>IF(COUNTIFS(allFYsTable[Code], SummaryTable[[#This Row],[Code]], allFYsTable[year2], BE$3)=0, NotFound, SUMIFS(allFYsTable[Actual], allFYsTable[Code], SummaryTable[[#This Row],[Code]], allFYsTable[year2], BE$3))</f>
        <v>781209</v>
      </c>
      <c r="BJ119" s="61">
        <f>IF(COUNTIFS(allFYsTable[Code], SummaryTable[[#This Row],[Code]], allFYsTable[year2], BE$3)=0, NotFound, SUMIFS(allFYsTable[DiffAmount], allFYsTable[Code], SummaryTable[[#This Row],[Code]], allFYsTable[year2], BE$3))</f>
        <v>-3691</v>
      </c>
      <c r="BK119" s="63">
        <f>IF(SummaryTable[[#This Row],[OriginalBudget21]]=0, IF(SummaryTable[[#This Row],[DiffAmount21]]=0, ZeroBudgetNoSpending, ZeroBudgetWithSpending), SummaryTable[[#This Row],[DiffAmount21]]/SummaryTable[[#This Row],[OriginalBudget21]])</f>
        <v>-4.702509873869283E-3</v>
      </c>
      <c r="BL119" s="62">
        <f>IF(COUNTIFS(allFYsTable[Code], SummaryTable[[#This Row],[Code]], allFYsTable[year2], BL$3)=0, NotFound, SUMIFS(allFYsTable[OriginalBudget], allFYsTable[Code], SummaryTable[[#This Row],[Code]], allFYsTable[year2], BL$3))</f>
        <v>793784</v>
      </c>
      <c r="BM119" s="61">
        <f>SummaryTable[[#This Row],[OriginalBudget20]]-SummaryTable[[#This Row],[OriginalBudget19]]</f>
        <v>58174</v>
      </c>
      <c r="BN119" s="54">
        <f>SummaryTable[[#This Row],[BudgetIncreaseAmount20]]/SummaryTable[[#This Row],[OriginalBudget19]]</f>
        <v>7.908266608664917E-2</v>
      </c>
      <c r="BO119" s="61">
        <f>IF(COUNTIFS(allFYsTable[Code], SummaryTable[[#This Row],[Code]], allFYsTable[year2], BL$3)=0, NotFound, SUMIFS(allFYsTable[RevisedBudget], allFYsTable[Code], SummaryTable[[#This Row],[Code]], allFYsTable[year2], BL$3))</f>
        <v>782461</v>
      </c>
      <c r="BP119" s="61">
        <f>IF(COUNTIFS(allFYsTable[Code], SummaryTable[[#This Row],[Code]], allFYsTable[year2], BL$3)=0, NotFound, SUMIFS(allFYsTable[Actual], allFYsTable[Code], SummaryTable[[#This Row],[Code]], allFYsTable[year2], BL$3))</f>
        <v>781731</v>
      </c>
      <c r="BQ119" s="61">
        <f>IF(COUNTIFS(allFYsTable[Code], SummaryTable[[#This Row],[Code]], allFYsTable[year2], BL$3)=0, NotFound, SUMIFS(allFYsTable[DiffAmount], allFYsTable[Code], SummaryTable[[#This Row],[Code]], allFYsTable[year2], BL$3))</f>
        <v>-12053</v>
      </c>
      <c r="BR119" s="63">
        <f>IF(SummaryTable[[#This Row],[OriginalBudget20]]=0, IF(SummaryTable[[#This Row],[DiffAmount20]]=0, ZeroBudgetNoSpending, ZeroBudgetWithSpending), SummaryTable[[#This Row],[DiffAmount20]]/SummaryTable[[#This Row],[OriginalBudget20]])</f>
        <v>-1.5184231478588633E-2</v>
      </c>
      <c r="BS119" s="62">
        <f>IF(COUNTIFS(allFYsTable[Code], SummaryTable[[#This Row],[Code]], allFYsTable[year2], BS$3)=0, NotFound, SUMIFS(allFYsTable[OriginalBudget], allFYsTable[Code], SummaryTable[[#This Row],[Code]], allFYsTable[year2], BS$3))</f>
        <v>735610</v>
      </c>
      <c r="BT119" s="61">
        <f>SummaryTable[[#This Row],[OriginalBudget19]]-SummaryTable[[#This Row],[OriginalBudget18]]</f>
        <v>48641</v>
      </c>
      <c r="BU119" s="54">
        <f>SummaryTable[[#This Row],[BudgetIncreaseAmount19]]/SummaryTable[[#This Row],[OriginalBudget18]]</f>
        <v>7.0805232841656615E-2</v>
      </c>
      <c r="BV119" s="61">
        <f>IF(COUNTIFS(allFYsTable[Code], SummaryTable[[#This Row],[Code]], allFYsTable[year2], BS$3)=0, NotFound, SUMIFS(allFYsTable[RevisedBudget], allFYsTable[Code], SummaryTable[[#This Row],[Code]], allFYsTable[year2], BS$3))</f>
        <v>698043</v>
      </c>
      <c r="BW119" s="61">
        <f>IF(COUNTIFS(allFYsTable[Code], SummaryTable[[#This Row],[Code]], allFYsTable[year2], BS$3)=0, NotFound, SUMIFS(allFYsTable[Actual], allFYsTable[Code], SummaryTable[[#This Row],[Code]], allFYsTable[year2], BS$3))</f>
        <v>698043</v>
      </c>
      <c r="BX119" s="61">
        <f>IF(COUNTIFS(allFYsTable[Code], SummaryTable[[#This Row],[Code]], allFYsTable[year2], BS$3)=0, NotFound, SUMIFS(allFYsTable[DiffAmount], allFYsTable[Code], SummaryTable[[#This Row],[Code]], allFYsTable[year2], BS$3))</f>
        <v>-37567</v>
      </c>
      <c r="BY119" s="63">
        <f>IF(SummaryTable[[#This Row],[OriginalBudget19]]=0, IF(SummaryTable[[#This Row],[DiffAmount19]]=0, ZeroBudgetNoSpending, ZeroBudgetWithSpending), SummaryTable[[#This Row],[DiffAmount19]]/SummaryTable[[#This Row],[OriginalBudget19]])</f>
        <v>-5.1069180679979884E-2</v>
      </c>
      <c r="BZ119" s="62">
        <f>IF(COUNTIFS(allFYsTable[Code], SummaryTable[[#This Row],[Code]], allFYsTable[year2], BZ$3)=0, NotFound, SUMIFS(allFYsTable[OriginalBudget], allFYsTable[Code], SummaryTable[[#This Row],[Code]], allFYsTable[year2], BZ$3))</f>
        <v>686969</v>
      </c>
      <c r="CA119" s="61">
        <f>SummaryTable[[#This Row],[OriginalBudget18]]-SummaryTable[[#This Row],[OriginalBudget17]]</f>
        <v>67869</v>
      </c>
      <c r="CB119" s="54">
        <f>SummaryTable[[#This Row],[BudgetIncreaseAmount18]]/SummaryTable[[#This Row],[OriginalBudget17]]</f>
        <v>0.10962526247779034</v>
      </c>
      <c r="CC119" s="61">
        <f>IF(COUNTIFS(allFYsTable[Code], SummaryTable[[#This Row],[Code]], allFYsTable[year2], BZ$3)=0, NotFound, SUMIFS(allFYsTable[RevisedBudget], allFYsTable[Code], SummaryTable[[#This Row],[Code]], allFYsTable[year2], BZ$3))</f>
        <v>679528</v>
      </c>
      <c r="CD119" s="61">
        <f>IF(COUNTIFS(allFYsTable[Code], SummaryTable[[#This Row],[Code]], allFYsTable[year2], BZ$3)=0, NotFound, SUMIFS(allFYsTable[Actual], allFYsTable[Code], SummaryTable[[#This Row],[Code]], allFYsTable[year2], BZ$3))</f>
        <v>679528</v>
      </c>
      <c r="CE119" s="61">
        <f>IF(COUNTIFS(allFYsTable[Code], SummaryTable[[#This Row],[Code]], allFYsTable[year2], BZ$3)=0, NotFound, SUMIFS(allFYsTable[DiffAmount], allFYsTable[Code], SummaryTable[[#This Row],[Code]], allFYsTable[year2], BZ$3))</f>
        <v>-7441</v>
      </c>
      <c r="CF119" s="63">
        <f>IF(SummaryTable[[#This Row],[OriginalBudget18]]=0, IF(SummaryTable[[#This Row],[DiffAmount18]]=0, ZeroBudgetNoSpending, ZeroBudgetWithSpending), SummaryTable[[#This Row],[DiffAmount18]]/SummaryTable[[#This Row],[OriginalBudget18]])</f>
        <v>-1.0831638691119978E-2</v>
      </c>
      <c r="CG119" s="62">
        <f>IF(COUNTIFS(allFYsTable[Code], SummaryTable[[#This Row],[Code]], allFYsTable[year2], CG$3)=0, NotFound, SUMIFS(allFYsTable[OriginalBudget], allFYsTable[Code], SummaryTable[[#This Row],[Code]], allFYsTable[year2], CG$3))</f>
        <v>619100</v>
      </c>
      <c r="CH119" s="61">
        <f>SummaryTable[[#This Row],[OriginalBudget17]]-SummaryTable[[#This Row],[OriginalBudget16]]</f>
        <v>27473</v>
      </c>
      <c r="CI119" s="54">
        <f>SummaryTable[[#This Row],[BudgetIncreaseAmount17]]/SummaryTable[[#This Row],[OriginalBudget16]]</f>
        <v>4.6436352634345625E-2</v>
      </c>
      <c r="CJ119" s="61">
        <f>IF(COUNTIFS(allFYsTable[Code], SummaryTable[[#This Row],[Code]], allFYsTable[year2], CG$3)=0, NotFound, SUMIFS(allFYsTable[RevisedBudget], allFYsTable[Code], SummaryTable[[#This Row],[Code]], allFYsTable[year2], CG$3))</f>
        <v>616832</v>
      </c>
      <c r="CK119" s="61">
        <f>IF(COUNTIFS(allFYsTable[Code], SummaryTable[[#This Row],[Code]], allFYsTable[year2], CG$3)=0, NotFound, SUMIFS(allFYsTable[Actual], allFYsTable[Code], SummaryTable[[#This Row],[Code]], allFYsTable[year2], CG$3))</f>
        <v>616832</v>
      </c>
      <c r="CL119" s="61">
        <f>IF(COUNTIFS(allFYsTable[Code], SummaryTable[[#This Row],[Code]], allFYsTable[year2], CG$3)=0, NotFound, SUMIFS(allFYsTable[DiffAmount], allFYsTable[Code], SummaryTable[[#This Row],[Code]], allFYsTable[year2], CG$3))</f>
        <v>-2268</v>
      </c>
      <c r="CM119" s="63">
        <f>IF(SummaryTable[[#This Row],[OriginalBudget17]]=0, IF(SummaryTable[[#This Row],[DiffAmount17]]=0, ZeroBudgetNoSpending, ZeroBudgetWithSpending), SummaryTable[[#This Row],[DiffAmount17]]/SummaryTable[[#This Row],[OriginalBudget17]])</f>
        <v>-3.6633823291875303E-3</v>
      </c>
      <c r="CN119" s="62">
        <f>IF(COUNTIFS(allFYsTable[Code], SummaryTable[[#This Row],[Code]], allFYsTable[year2], CN$3)=0, NotFound, SUMIFS(allFYsTable[OriginalBudget], allFYsTable[Code], SummaryTable[[#This Row],[Code]], allFYsTable[year2], CN$3))</f>
        <v>591627</v>
      </c>
      <c r="CO119" s="61">
        <f>SummaryTable[[#This Row],[OriginalBudget16]]-SummaryTable[[#This Row],[OriginalBudget15]]</f>
        <v>20851</v>
      </c>
      <c r="CP119" s="54">
        <f>SummaryTable[[#This Row],[BudgetIncreaseAmount16]]/SummaryTable[[#This Row],[OriginalBudget15]]</f>
        <v>3.6530968365873828E-2</v>
      </c>
      <c r="CQ119" s="61">
        <f>IF(COUNTIFS(allFYsTable[Code], SummaryTable[[#This Row],[Code]], allFYsTable[year2], CN$3)=0, NotFound, SUMIFS(allFYsTable[RevisedBudget], allFYsTable[Code], SummaryTable[[#This Row],[Code]], allFYsTable[year2], CN$3))</f>
        <v>555097</v>
      </c>
      <c r="CR119" s="61">
        <f>IF(COUNTIFS(allFYsTable[Code], SummaryTable[[#This Row],[Code]], allFYsTable[year2], CN$3)=0, NotFound, SUMIFS(allFYsTable[Actual], allFYsTable[Code], SummaryTable[[#This Row],[Code]], allFYsTable[year2], CN$3))</f>
        <v>555097</v>
      </c>
      <c r="CS119" s="61">
        <f>IF(COUNTIFS(allFYsTable[Code], SummaryTable[[#This Row],[Code]], allFYsTable[year2], CN$3)=0, NotFound, SUMIFS(allFYsTable[DiffAmount], allFYsTable[Code], SummaryTable[[#This Row],[Code]], allFYsTable[year2], CN$3))</f>
        <v>-36530</v>
      </c>
      <c r="CT119" s="63">
        <f>IF(SummaryTable[[#This Row],[OriginalBudget16]]=0, IF(SummaryTable[[#This Row],[DiffAmount16]]=0, ZeroBudgetNoSpending, ZeroBudgetWithSpending), SummaryTable[[#This Row],[DiffAmount16]]/SummaryTable[[#This Row],[OriginalBudget16]])</f>
        <v>-6.1744984593333302E-2</v>
      </c>
      <c r="CU119" s="62">
        <f>IF(COUNTIFS(allFYsTable[Code], SummaryTable[[#This Row],[Code]], allFYsTable[year2], CU$3)=0, NotFound, SUMIFS(allFYsTable[OriginalBudget], allFYsTable[Code], SummaryTable[[#This Row],[Code]], allFYsTable[year2], CU$3))</f>
        <v>570776</v>
      </c>
      <c r="CV119" s="61">
        <f>SummaryTable[[#This Row],[OriginalBudget15]]-SummaryTable[[#This Row],[OriginalBudget14]]</f>
        <v>51422</v>
      </c>
      <c r="CW119" s="54">
        <f>SummaryTable[[#This Row],[BudgetIncreaseAmount15]]/SummaryTable[[#This Row],[OriginalBudget14]]</f>
        <v>9.9011464242116168E-2</v>
      </c>
      <c r="CX119" s="61">
        <f>IF(COUNTIFS(allFYsTable[Code], SummaryTable[[#This Row],[Code]], allFYsTable[year2], CU$3)=0, NotFound, SUMIFS(allFYsTable[RevisedBudget], allFYsTable[Code], SummaryTable[[#This Row],[Code]], allFYsTable[year2], CU$3))</f>
        <v>538213</v>
      </c>
      <c r="CY119" s="61">
        <f>IF(COUNTIFS(allFYsTable[Code], SummaryTable[[#This Row],[Code]], allFYsTable[year2], CU$3)=0, NotFound, SUMIFS(allFYsTable[Actual], allFYsTable[Code], SummaryTable[[#This Row],[Code]], allFYsTable[year2], CU$3))</f>
        <v>538213</v>
      </c>
      <c r="CZ119" s="61">
        <f>IF(COUNTIFS(allFYsTable[Code], SummaryTable[[#This Row],[Code]], allFYsTable[year2], CU$3)=0, NotFound, SUMIFS(allFYsTable[DiffAmount], allFYsTable[Code], SummaryTable[[#This Row],[Code]], allFYsTable[year2], CU$3))</f>
        <v>-32563</v>
      </c>
      <c r="DA119" s="63">
        <f>IF(SummaryTable[[#This Row],[OriginalBudget15]]=0, IF(SummaryTable[[#This Row],[DiffAmount15]]=0, ZeroBudgetNoSpending, ZeroBudgetWithSpending), SummaryTable[[#This Row],[DiffAmount15]]/SummaryTable[[#This Row],[OriginalBudget15]])</f>
        <v>-5.7050401558579898E-2</v>
      </c>
      <c r="DB119" s="62">
        <f>IF(COUNTIFS(allFYsTable[Code], SummaryTable[[#This Row],[Code]], allFYsTable[year2], DB$3)=0, NotFound, SUMIFS(allFYsTable[OriginalBudget], allFYsTable[Code], SummaryTable[[#This Row],[Code]], allFYsTable[year2], DB$3))</f>
        <v>519354</v>
      </c>
      <c r="DC119" s="61">
        <f>SummaryTable[[#This Row],[OriginalBudget14]]-SummaryTable[[#This Row],[OriginalBudget13]]</f>
        <v>56477</v>
      </c>
      <c r="DD119" s="54">
        <f>SummaryTable[[#This Row],[BudgetIncreaseAmount14]]/SummaryTable[[#This Row],[OriginalBudget13]]</f>
        <v>0.12201297536926657</v>
      </c>
      <c r="DE119" s="61">
        <f>IF(COUNTIFS(allFYsTable[Code], SummaryTable[[#This Row],[Code]], allFYsTable[year2], DB$3)=0, NotFound, SUMIFS(allFYsTable[RevisedBudget], allFYsTable[Code], SummaryTable[[#This Row],[Code]], allFYsTable[year2], DB$3))</f>
        <v>503179</v>
      </c>
      <c r="DF119" s="61">
        <f>IF(COUNTIFS(allFYsTable[Code], SummaryTable[[#This Row],[Code]], allFYsTable[year2], DB$3)=0, NotFound, SUMIFS(allFYsTable[Actual], allFYsTable[Code], SummaryTable[[#This Row],[Code]], allFYsTable[year2], DB$3))</f>
        <v>497173</v>
      </c>
      <c r="DG119" s="61">
        <f>IF(COUNTIFS(allFYsTable[Code], SummaryTable[[#This Row],[Code]], allFYsTable[year2], DB$3)=0, NotFound, SUMIFS(allFYsTable[DiffAmount], allFYsTable[Code], SummaryTable[[#This Row],[Code]], allFYsTable[year2], DB$3))</f>
        <v>-22181</v>
      </c>
      <c r="DH119" s="63">
        <f>IF(SummaryTable[[#This Row],[OriginalBudget14]]=0, IF(SummaryTable[[#This Row],[DiffAmount14]]=0, ZeroBudgetNoSpending, ZeroBudgetWithSpending), SummaryTable[[#This Row],[DiffAmount14]]/SummaryTable[[#This Row],[OriginalBudget14]])</f>
        <v>-4.2708826734751251E-2</v>
      </c>
      <c r="DI119" s="62">
        <f>IF(COUNTIFS(allFYsTable[Code], SummaryTable[[#This Row],[Code]], allFYsTable[year2], DI$3)=0, NotFound, SUMIFS(allFYsTable[OriginalBudget], allFYsTable[Code], SummaryTable[[#This Row],[Code]], allFYsTable[year2], DI$3))</f>
        <v>462877</v>
      </c>
      <c r="DJ119" s="61">
        <f>SummaryTable[[#This Row],[OriginalBudget13]]-SummaryTable[[#This Row],[OriginalBudget12]]</f>
        <v>24805</v>
      </c>
      <c r="DK119" s="54">
        <f>SummaryTable[[#This Row],[BudgetIncreaseAmount13]]/SummaryTable[[#This Row],[OriginalBudget12]]</f>
        <v>5.662311218247229E-2</v>
      </c>
      <c r="DL119" s="61">
        <f>IF(COUNTIFS(allFYsTable[Code], SummaryTable[[#This Row],[Code]], allFYsTable[year2], DI$3)=0, NotFound, SUMIFS(allFYsTable[RevisedBudget], allFYsTable[Code], SummaryTable[[#This Row],[Code]], allFYsTable[year2], DI$3))</f>
        <v>458732</v>
      </c>
      <c r="DM119" s="61">
        <f>IF(COUNTIFS(allFYsTable[Code], SummaryTable[[#This Row],[Code]], allFYsTable[year2], DI$3)=0, NotFound, SUMIFS(allFYsTable[Actual], allFYsTable[Code], SummaryTable[[#This Row],[Code]], allFYsTable[year2], DI$3))</f>
        <v>455081</v>
      </c>
      <c r="DN119" s="61">
        <f>IF(COUNTIFS(allFYsTable[Code], SummaryTable[[#This Row],[Code]], allFYsTable[year2], DI$3)=0, NotFound, SUMIFS(allFYsTable[DiffAmount], allFYsTable[Code], SummaryTable[[#This Row],[Code]], allFYsTable[year2], DI$3))</f>
        <v>-7796</v>
      </c>
      <c r="DO119" s="63">
        <f>IF(SummaryTable[[#This Row],[OriginalBudget13]]=0, IF(SummaryTable[[#This Row],[DiffAmount13]]=0, ZeroBudgetNoSpending, ZeroBudgetWithSpending), SummaryTable[[#This Row],[DiffAmount13]]/SummaryTable[[#This Row],[OriginalBudget13]])</f>
        <v>-1.6842487313044285E-2</v>
      </c>
      <c r="DP119" s="62">
        <f>IF(COUNTIFS(allFYsTable[Code], SummaryTable[[#This Row],[Code]], allFYsTable[year2], DP$3)=0, NotFound, SUMIFS(allFYsTable[OriginalBudget], allFYsTable[Code], SummaryTable[[#This Row],[Code]], allFYsTable[year2], DP$3))</f>
        <v>438072</v>
      </c>
      <c r="DQ119" s="61">
        <f>SummaryTable[[#This Row],[OriginalBudget12]]-SummaryTable[[#This Row],[OriginalBudget11]]</f>
        <v>31367</v>
      </c>
      <c r="DR119" s="54">
        <f>SummaryTable[[#This Row],[BudgetIncreaseAmount12]]/SummaryTable[[#This Row],[OriginalBudget11]]</f>
        <v>7.7124697262143327E-2</v>
      </c>
      <c r="DS119" s="61">
        <f>IF(COUNTIFS(allFYsTable[Code], SummaryTable[[#This Row],[Code]], allFYsTable[year2], DP$3)=0, NotFound, SUMIFS(allFYsTable[RevisedBudget], allFYsTable[Code], SummaryTable[[#This Row],[Code]], allFYsTable[year2], DP$3))</f>
        <v>410253</v>
      </c>
      <c r="DT119" s="61">
        <f>IF(COUNTIFS(allFYsTable[Code], SummaryTable[[#This Row],[Code]], allFYsTable[year2], DP$3)=0, NotFound, SUMIFS(allFYsTable[Actual], allFYsTable[Code], SummaryTable[[#This Row],[Code]], allFYsTable[year2], DP$3))</f>
        <v>409855</v>
      </c>
      <c r="DU119" s="61">
        <f>IF(COUNTIFS(allFYsTable[Code], SummaryTable[[#This Row],[Code]], allFYsTable[year2], DP$3)=0, NotFound, SUMIFS(allFYsTable[DiffAmount], allFYsTable[Code], SummaryTable[[#This Row],[Code]], allFYsTable[year2], DP$3))</f>
        <v>-28217</v>
      </c>
      <c r="DV119" s="63">
        <f>IF(SummaryTable[[#This Row],[OriginalBudget12]]=0, IF(SummaryTable[[#This Row],[DiffAmount12]]=0, ZeroBudgetNoSpending, ZeroBudgetWithSpending), SummaryTable[[#This Row],[DiffAmount12]]/SummaryTable[[#This Row],[OriginalBudget12]])</f>
        <v>-6.4411786190397932E-2</v>
      </c>
      <c r="DW119" s="62">
        <f>IF(COUNTIFS(allFYsTable[Code], SummaryTable[[#This Row],[Code]], allFYsTable[year2], DW$3)=0, NotFound, SUMIFS(allFYsTable[OriginalBudget], allFYsTable[Code], SummaryTable[[#This Row],[Code]], allFYsTable[year2], DW$3))</f>
        <v>406705</v>
      </c>
      <c r="DX119" s="61">
        <f>SummaryTable[[#This Row],[OriginalBudget11]]-SummaryTable[[#This Row],[OriginalBudget10]]</f>
        <v>-61891</v>
      </c>
      <c r="DY119" s="54">
        <f>SummaryTable[[#This Row],[BudgetIncreaseAmount11]]/SummaryTable[[#This Row],[OriginalBudget10]]</f>
        <v>-0.13207752520294669</v>
      </c>
      <c r="DZ119" s="61">
        <f>IF(COUNTIFS(allFYsTable[Code], SummaryTable[[#This Row],[Code]], allFYsTable[year2], DW$3)=0, NotFound, SUMIFS(allFYsTable[RevisedBudget], allFYsTable[Code], SummaryTable[[#This Row],[Code]], allFYsTable[year2], DW$3))</f>
        <v>401863</v>
      </c>
      <c r="EA119" s="61">
        <f>IF(COUNTIFS(allFYsTable[Code], SummaryTable[[#This Row],[Code]], allFYsTable[year2], DW$3)=0, NotFound, SUMIFS(allFYsTable[Actual], allFYsTable[Code], SummaryTable[[#This Row],[Code]], allFYsTable[year2], DW$3))</f>
        <v>400564</v>
      </c>
      <c r="EB119" s="61">
        <f>IF(COUNTIFS(allFYsTable[Code], SummaryTable[[#This Row],[Code]], allFYsTable[year2], DW$3)=0, NotFound, SUMIFS(allFYsTable[DiffAmount], allFYsTable[Code], SummaryTable[[#This Row],[Code]], allFYsTable[year2], DW$3))</f>
        <v>-6141</v>
      </c>
      <c r="EC119" s="63">
        <f>IF(SummaryTable[[#This Row],[OriginalBudget11]]=0, IF(SummaryTable[[#This Row],[DiffAmount11]]=0, ZeroBudgetNoSpending, ZeroBudgetWithSpending), SummaryTable[[#This Row],[DiffAmount11]]/SummaryTable[[#This Row],[OriginalBudget11]])</f>
        <v>-1.5099396368375113E-2</v>
      </c>
      <c r="ED119" s="62">
        <f>IF(COUNTIFS(allFYsTable[Code], SummaryTable[[#This Row],[Code]], allFYsTable[year2], ED$3)=0, NotFound, SUMIFS(allFYsTable[OriginalBudget], allFYsTable[Code], SummaryTable[[#This Row],[Code]], allFYsTable[year2], ED$3))</f>
        <v>468596</v>
      </c>
      <c r="EE119" s="61">
        <f>SummaryTable[[#This Row],[OriginalBudget10]]-SummaryTable[[#This Row],[OriginalBudget09]]</f>
        <v>11966</v>
      </c>
      <c r="EF119" s="54">
        <f>SummaryTable[[#This Row],[BudgetIncreaseAmount10]]/SummaryTable[[#This Row],[OriginalBudget09]]</f>
        <v>2.6205023761031909E-2</v>
      </c>
      <c r="EG119" s="61">
        <f>IF(COUNTIFS(allFYsTable[Code], SummaryTable[[#This Row],[Code]], allFYsTable[year2], ED$3)=0, NotFound, SUMIFS(allFYsTable[RevisedBudget], allFYsTable[Code], SummaryTable[[#This Row],[Code]], allFYsTable[year2], ED$3))</f>
        <v>367330</v>
      </c>
      <c r="EH119" s="61">
        <f>IF(COUNTIFS(allFYsTable[Code], SummaryTable[[#This Row],[Code]], allFYsTable[year2], ED$3)=0, NotFound, SUMIFS(allFYsTable[Actual], allFYsTable[Code], SummaryTable[[#This Row],[Code]], allFYsTable[year2], ED$3))</f>
        <v>348351</v>
      </c>
      <c r="EI119" s="61">
        <f>IF(COUNTIFS(allFYsTable[Code], SummaryTable[[#This Row],[Code]], allFYsTable[year2], ED$3)=0, NotFound, SUMIFS(allFYsTable[DiffAmount], allFYsTable[Code], SummaryTable[[#This Row],[Code]], allFYsTable[year2], ED$3))</f>
        <v>-120245</v>
      </c>
      <c r="EJ119" s="63">
        <f>IF(SummaryTable[[#This Row],[OriginalBudget10]]=0, IF(SummaryTable[[#This Row],[DiffAmount10]]=0, ZeroBudgetNoSpending, ZeroBudgetWithSpending), SummaryTable[[#This Row],[DiffAmount10]]/SummaryTable[[#This Row],[OriginalBudget10]])</f>
        <v>-0.25660697061007776</v>
      </c>
      <c r="EK119" s="62">
        <f>IF(COUNTIFS(allFYsTable[Code], SummaryTable[[#This Row],[Code]], allFYsTable[year2], EK$3)=0, NotFound, SUMIFS(allFYsTable[OriginalBudget], allFYsTable[Code], SummaryTable[[#This Row],[Code]], allFYsTable[year2], EK$3))</f>
        <v>456630</v>
      </c>
      <c r="EL119" s="61">
        <f>SummaryTable[[#This Row],[OriginalBudget09]]-SummaryTable[[#This Row],[OriginalBudget08]]</f>
        <v>15923</v>
      </c>
      <c r="EM119" s="54">
        <f>SummaryTable[[#This Row],[BudgetIncreaseAmount09]]/SummaryTable[[#This Row],[OriginalBudget08]]</f>
        <v>3.6130581089022867E-2</v>
      </c>
      <c r="EN119" s="61">
        <f>IF(COUNTIFS(allFYsTable[Code], SummaryTable[[#This Row],[Code]], allFYsTable[year2], EK$3)=0, NotFound, SUMIFS(allFYsTable[RevisedBudget], allFYsTable[Code], SummaryTable[[#This Row],[Code]], allFYsTable[year2], EK$3))</f>
        <v>435585</v>
      </c>
      <c r="EO119" s="61">
        <f>IF(COUNTIFS(allFYsTable[Code], SummaryTable[[#This Row],[Code]], allFYsTable[year2], EK$3)=0, NotFound, SUMIFS(allFYsTable[Actual], allFYsTable[Code], SummaryTable[[#This Row],[Code]], allFYsTable[year2], EK$3))</f>
        <v>435286</v>
      </c>
      <c r="EP119" s="61">
        <f>IF(COUNTIFS(allFYsTable[Code], SummaryTable[[#This Row],[Code]], allFYsTable[year2], EK$3)=0, NotFound, SUMIFS(allFYsTable[DiffAmount], allFYsTable[Code], SummaryTable[[#This Row],[Code]], allFYsTable[year2], EK$3))</f>
        <v>-21344</v>
      </c>
      <c r="EQ119" s="63">
        <f>IF(SummaryTable[[#This Row],[OriginalBudget09]]=0, IF(SummaryTable[[#This Row],[DiffAmount09]]=0, ZeroBudgetNoSpending, ZeroBudgetWithSpending), SummaryTable[[#This Row],[DiffAmount09]]/SummaryTable[[#This Row],[OriginalBudget09]])</f>
        <v>-4.6742439173948276E-2</v>
      </c>
      <c r="ER119" s="62">
        <f>IF(COUNTIFS(allFYsTable[Code], SummaryTable[[#This Row],[Code]], allFYsTable[year2], ER$3)=0, NotFound, SUMIFS(allFYsTable[OriginalBudget], allFYsTable[Code], SummaryTable[[#This Row],[Code]], allFYsTable[year2], ER$3))</f>
        <v>440707</v>
      </c>
      <c r="ES119" s="61">
        <f>SummaryTable[[#This Row],[OriginalBudget08]]-SummaryTable[[#This Row],[OriginalBudget07]]</f>
        <v>35593</v>
      </c>
      <c r="ET119" s="54">
        <f>SummaryTable[[#This Row],[BudgetIncreaseAmount08]]/SummaryTable[[#This Row],[OriginalBudget07]]</f>
        <v>8.7859219873912028E-2</v>
      </c>
      <c r="EU119" s="61">
        <f>IF(COUNTIFS(allFYsTable[Code], SummaryTable[[#This Row],[Code]], allFYsTable[year2], ER$3)=0, NotFound, SUMIFS(allFYsTable[RevisedBudget], allFYsTable[Code], SummaryTable[[#This Row],[Code]], allFYsTable[year2], ER$3))</f>
        <v>421552</v>
      </c>
      <c r="EV119" s="61">
        <f>IF(COUNTIFS(allFYsTable[Code], SummaryTable[[#This Row],[Code]], allFYsTable[year2], ER$3)=0, NotFound, SUMIFS(allFYsTable[Actual], allFYsTable[Code], SummaryTable[[#This Row],[Code]], allFYsTable[year2], ER$3))</f>
        <v>420827</v>
      </c>
      <c r="EW119" s="61">
        <f>IF(COUNTIFS(allFYsTable[Code], SummaryTable[[#This Row],[Code]], allFYsTable[year2], ER$3)=0, NotFound, SUMIFS(allFYsTable[DiffAmount], allFYsTable[Code], SummaryTable[[#This Row],[Code]], allFYsTable[year2], ER$3))</f>
        <v>-19880</v>
      </c>
      <c r="EX119" s="63">
        <f>IF(SummaryTable[[#This Row],[OriginalBudget08]]=0, IF(SummaryTable[[#This Row],[DiffAmount08]]=0, ZeroBudgetNoSpending, ZeroBudgetWithSpending), SummaryTable[[#This Row],[DiffAmount08]]/SummaryTable[[#This Row],[OriginalBudget08]])</f>
        <v>-4.5109335681076092E-2</v>
      </c>
      <c r="EY119" s="62">
        <f>IF(COUNTIFS(allFYsTable[Code], SummaryTable[[#This Row],[Code]], allFYsTable[year2], EY$3)=0, NotFound, SUMIFS(allFYsTable[OriginalBudget], allFYsTable[Code], SummaryTable[[#This Row],[Code]], allFYsTable[year2], EY$3))</f>
        <v>405114</v>
      </c>
      <c r="EZ119" s="61">
        <f>SummaryTable[[#This Row],[OriginalBudget07]]-SummaryTable[[#This Row],[OriginalBudget06]]</f>
        <v>34336</v>
      </c>
      <c r="FA119" s="54">
        <f>SummaryTable[[#This Row],[BudgetIncreaseAmount07]]/SummaryTable[[#This Row],[OriginalBudget06]]</f>
        <v>9.2605278630339447E-2</v>
      </c>
      <c r="FB119" s="61">
        <f>IF(COUNTIFS(allFYsTable[Code], SummaryTable[[#This Row],[Code]], allFYsTable[year2], EY$3)=0, NotFound, SUMIFS(allFYsTable[RevisedBudget], allFYsTable[Code], SummaryTable[[#This Row],[Code]], allFYsTable[year2], EY$3))</f>
        <v>389016</v>
      </c>
      <c r="FC119" s="61">
        <f>IF(COUNTIFS(allFYsTable[Code], SummaryTable[[#This Row],[Code]], allFYsTable[year2], EY$3)=0, NotFound, SUMIFS(allFYsTable[Actual], allFYsTable[Code], SummaryTable[[#This Row],[Code]], allFYsTable[year2], EY$3))</f>
        <v>386245</v>
      </c>
      <c r="FD119" s="61">
        <f>IF(COUNTIFS(allFYsTable[Code], SummaryTable[[#This Row],[Code]], allFYsTable[year2], EY$3)=0, NotFound, SUMIFS(allFYsTable[DiffAmount], allFYsTable[Code], SummaryTable[[#This Row],[Code]], allFYsTable[year2], EY$3))</f>
        <v>-18869</v>
      </c>
      <c r="FE119" s="63">
        <f>IF(SummaryTable[[#This Row],[OriginalBudget07]]=0, IF(SummaryTable[[#This Row],[DiffAmount07]]=0, ZeroBudgetNoSpending, ZeroBudgetWithSpending), SummaryTable[[#This Row],[DiffAmount07]]/SummaryTable[[#This Row],[OriginalBudget07]])</f>
        <v>-4.6577012890198811E-2</v>
      </c>
      <c r="FF119" s="62">
        <f>IF(COUNTIFS(allFYsTable[Code], SummaryTable[[#This Row],[Code]], allFYsTable[year2], FF$3)=0, NotFound, SUMIFS(allFYsTable[OriginalBudget], allFYsTable[Code], SummaryTable[[#This Row],[Code]], allFYsTable[year2], FF$3))</f>
        <v>370778</v>
      </c>
      <c r="FI119" s="61">
        <f>IF(COUNTIFS(allFYsTable[Code], SummaryTable[[#This Row],[Code]], allFYsTable[year2], FF$3)=0, NotFound, SUMIFS(allFYsTable[RevisedBudget], allFYsTable[Code], SummaryTable[[#This Row],[Code]], allFYsTable[year2], FF$3))</f>
        <v>370163</v>
      </c>
      <c r="FJ119" s="61">
        <f>IF(COUNTIFS(allFYsTable[Code], SummaryTable[[#This Row],[Code]], allFYsTable[year2], FF$3)=0, NotFound, SUMIFS(allFYsTable[Actual], allFYsTable[Code], SummaryTable[[#This Row],[Code]], allFYsTable[year2], FF$3))</f>
        <v>370128</v>
      </c>
      <c r="FK119" s="61">
        <f>IF(COUNTIFS(allFYsTable[Code], SummaryTable[[#This Row],[Code]], allFYsTable[year2], FF$3)=0, NotFound, SUMIFS(allFYsTable[DiffAmount], allFYsTable[Code], SummaryTable[[#This Row],[Code]], allFYsTable[year2], FF$3))</f>
        <v>-650</v>
      </c>
      <c r="FL119" s="63">
        <f>IF(SummaryTable[[#This Row],[OriginalBudget06]]=0, IF(SummaryTable[[#This Row],[DiffAmount06]]=0, ZeroBudgetNoSpending, ZeroBudgetWithSpending), SummaryTable[[#This Row],[DiffAmount06]]/SummaryTable[[#This Row],[OriginalBudget06]])</f>
        <v>-1.7530705705300746E-3</v>
      </c>
    </row>
    <row r="120" spans="1:168" x14ac:dyDescent="0.45">
      <c r="A120" t="s">
        <v>829</v>
      </c>
      <c r="B120">
        <f>_xlfn.MAXIFS(allFYsTable[year2], allFYsTable[Code], SummaryTable[[#This Row],[Code]])</f>
        <v>2025</v>
      </c>
      <c r="C120" t="str">
        <f>_xlfn.XLOOKUP(SummaryTable[[#This Row],[Code]], NameCodingTable[Code], NameCodingTable[Most Recent Category per allFYs])</f>
        <v>Debt service - issuance costs</v>
      </c>
      <c r="D120" t="str">
        <f>_xlfn.XLOOKUP(SummaryTable[[#This Row],[Code]], NameCodingTable[Code], NameCodingTable[Unit Display Name])</f>
        <v>Repayment of Revenue Bonds</v>
      </c>
      <c r="E120" t="str">
        <f>_xlfn.XLOOKUP(SummaryTable[[#This Row],[Code]], NameCodingTable[Code], NameCodingTable[Type])</f>
        <v>xother</v>
      </c>
      <c r="F12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19</v>
      </c>
      <c r="G12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20" s="54">
        <f>SummaryTable[[#This Row],['# Over]]/SummaryTable[[#This Row],[Count]]</f>
        <v>0</v>
      </c>
      <c r="I12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18</v>
      </c>
      <c r="J120" s="54">
        <f>SummaryTable[[#This Row],['# Under]]/SummaryTable[[#This Row],[Count]]</f>
        <v>0.94736842105263153</v>
      </c>
      <c r="K12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20" s="54">
        <f>SummaryTable[[#This Row],['# Equal]]/SummaryTable[[#This Row],[Count]]</f>
        <v>5.2631578947368418E-2</v>
      </c>
      <c r="M120" s="61">
        <f>SUMIFS(allFYsTable[OriginalBudget],allFYsTable[Code],SummaryTable[[#This Row],[Code]])/SummaryTable[[#This Row],[Count]]</f>
        <v>6523.9473684210525</v>
      </c>
      <c r="N120" s="61">
        <f>SUMIFS(allFYsTable[Actual],allFYsTable[Code],SummaryTable[[#This Row],[Code]])/SummaryTable[[#This Row],[Count]]</f>
        <v>4888.2631578947367</v>
      </c>
      <c r="O120" s="61">
        <f>SummaryTable[[#This Row],[AvgActAmt]]-SummaryTable[[#This Row],[AvgBudAmt]]</f>
        <v>-1635.6842105263158</v>
      </c>
      <c r="P120" s="54">
        <f>IF(SummaryTable[[#This Row],[AvgBudAmt]]=0, IF(SummaryTable[[#This Row],[AvgDiff'#]]=0, 0, NamedFields!$C$3), SummaryTable[[#This Row],[AvgDiff'#]]/SummaryTable[[#This Row],[AvgBudAmt]])</f>
        <v>-0.25072001936186522</v>
      </c>
      <c r="Q120" s="61">
        <f>IFERROR(SUMIFS(allFYsTable[OriginalBudget],allFYsTable[Code],SummaryTable[[#This Row],[Code]],allFYsTable[DiffAmount], "&gt;0")/SummaryTable[[#This Row],['# Over]], 0)</f>
        <v>0</v>
      </c>
      <c r="R120" s="61">
        <f>IFERROR(SUMIFS(allFYsTable[Actual],allFYsTable[Code],SummaryTable[[#This Row],[Code]],allFYsTable[DiffAmount], "&gt;0")/SummaryTable[[#This Row],['# Over]], 0)</f>
        <v>0</v>
      </c>
      <c r="S120" s="61">
        <f>SummaryTable[[#This Row],[OverAvgAct]]-SummaryTable[[#This Row],[OverAvgBud]]</f>
        <v>0</v>
      </c>
      <c r="T120" s="54">
        <f>IF(SummaryTable[[#This Row],[OverAvgBud]]=0, IF(SummaryTable[[#This Row],[OverAvgDiff'#]]=0, ZeroBudgetNoSpending, ZeroBudgetWithSpending), SummaryTable[[#This Row],[OverAvgDiff'#]]/SummaryTable[[#This Row],[OverAvgBud]])</f>
        <v>0</v>
      </c>
      <c r="U120" s="61">
        <f>IFERROR(SUMIFS(allFYsTable[OriginalBudget],allFYsTable[Code],SummaryTable[[#This Row],[Code]],allFYsTable[DiffAmount], "&lt;0")/SummaryTable[[#This Row],['# Under]], 0)</f>
        <v>6451.7222222222226</v>
      </c>
      <c r="V120" s="61">
        <f>IFERROR( SUMIFS(allFYsTable[Actual],allFYsTable[Code],SummaryTable[[#This Row],[Code]],allFYsTable[DiffAmount], "&lt;0")/SummaryTable[[#This Row],['# Under]], 0)</f>
        <v>4725.166666666667</v>
      </c>
      <c r="W120" s="61">
        <f>SummaryTable[[#This Row],[UnderAvgAct]]-SummaryTable[[#This Row],[UnderAvgBud]]</f>
        <v>-1726.5555555555557</v>
      </c>
      <c r="X120" s="54">
        <f>IF(SummaryTable[[#This Row],[UnderAvgBud]]=0, IF(SummaryTable[[#This Row],[UnderAvgDiff'#]]=0, ZeroBudgetNoSpending, NamedFields!$C$3), SummaryTable[[#This Row],[UnderAvgDiff'#]]/SummaryTable[[#This Row],[UnderAvgBud]])</f>
        <v>-0.26761157658161905</v>
      </c>
      <c r="Y12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12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20" s="54">
        <f>IF(SummaryTable[[#This Row],[IncreaseYears]]=0, ZeroBudgetNoSpending, SummaryTable[[#This Row],[OSinIncreaseYear'#]]/SummaryTable[[#This Row],[IncreaseYears]])</f>
        <v>0</v>
      </c>
      <c r="AB120" s="58" t="str">
        <f>SummaryTable[[#This Row],[Code]]</f>
        <v>DT0</v>
      </c>
      <c r="AC120" s="62">
        <f>IF(COUNTIFS(allFYsTable[Code], SummaryTable[[#This Row],[Code]], allFYsTable[year2], AC$3)=0, NotFound, SUMIFS(allFYsTable[OriginalBudget], allFYsTable[Code], SummaryTable[[#This Row],[Code]], allFYsTable[year2], AC$3))</f>
        <v>2257</v>
      </c>
      <c r="AD120" s="61">
        <f>SummaryTable[[#This Row],[OriginalBudget25]]-SummaryTable[[#This Row],[OriginalBudget24]]</f>
        <v>-6</v>
      </c>
      <c r="AE120" s="54">
        <f>SummaryTable[[#This Row],[BudgetIncreaseAmount25]]/SummaryTable[[#This Row],[OriginalBudget24]]</f>
        <v>-2.6513477684489617E-3</v>
      </c>
      <c r="AF120" s="61">
        <f>IF(COUNTIFS(allFYsTable[Code], SummaryTable[[#This Row],[Code]], allFYsTable[year2], AC$3)=0, NotFound, SUMIFS(allFYsTable[RevisedBudget], allFYsTable[Code], SummaryTable[[#This Row],[Code]], allFYsTable[year2], AC$3))</f>
        <v>2257</v>
      </c>
      <c r="AG120" s="61">
        <f>IF(COUNTIFS(allFYsTable[Code], SummaryTable[[#This Row],[Code]], allFYsTable[year2], AC$3)=0, NotFound, SUMIFS(allFYsTable[Actual], allFYsTable[Code], SummaryTable[[#This Row],[Code]], allFYsTable[year2], AC$3))</f>
        <v>2247</v>
      </c>
      <c r="AH120" s="61">
        <f>IF(COUNTIFS(allFYsTable[Code], SummaryTable[[#This Row],[Code]], allFYsTable[year2], AC$3)=0, NotFound, SUMIFS(allFYsTable[DiffAmount], allFYsTable[Code], SummaryTable[[#This Row],[Code]], allFYsTable[year2], AC$3))</f>
        <v>-10</v>
      </c>
      <c r="AI120" s="63">
        <f>IF(SummaryTable[[#This Row],[OriginalBudget25]]=0, IF(SummaryTable[[#This Row],[DiffAmount25]]=0, ZeroBudgetNoSpending, ZeroBudgetWithSpending), SummaryTable[[#This Row],[DiffAmount25]]/SummaryTable[[#This Row],[OriginalBudget25]])</f>
        <v>-4.4306601683650861E-3</v>
      </c>
      <c r="AJ120" s="62">
        <f>IF(COUNTIFS(allFYsTable[Code], SummaryTable[[#This Row],[Code]], allFYsTable[year2], AJ$3)=0, NotFound, SUMIFS(allFYsTable[OriginalBudget], allFYsTable[Code], SummaryTable[[#This Row],[Code]], allFYsTable[year2], AJ$3))</f>
        <v>2263</v>
      </c>
      <c r="AK120" s="61">
        <f>SummaryTable[[#This Row],[OriginalBudget24]]-SummaryTable[[#This Row],[OriginalBudget23]]</f>
        <v>-1512</v>
      </c>
      <c r="AL120" s="54">
        <f>SummaryTable[[#This Row],[BudgetIncreaseAmount24]]/SummaryTable[[#This Row],[OriginalBudget23]]</f>
        <v>-0.40052980132450333</v>
      </c>
      <c r="AM120" s="61">
        <f>IF(COUNTIFS(allFYsTable[Code], SummaryTable[[#This Row],[Code]], allFYsTable[year2], AK$3)=0, NotFound, SUMIFS(allFYsTable[RevisedBudget], allFYsTable[Code], SummaryTable[[#This Row],[Code]], allFYsTable[year2], AJ$3))</f>
        <v>2263</v>
      </c>
      <c r="AN120" s="61">
        <f>IF(COUNTIFS(allFYsTable[Code], SummaryTable[[#This Row],[Code]], allFYsTable[year2], AJ$3)=0, NotFound, SUMIFS(allFYsTable[Actual], allFYsTable[Code], SummaryTable[[#This Row],[Code]], allFYsTable[year2], AJ$3))</f>
        <v>2253</v>
      </c>
      <c r="AO120" s="61">
        <f>IF(COUNTIFS(allFYsTable[Code], SummaryTable[[#This Row],[Code]], allFYsTable[year2], AJ$3)=0, NotFound, SUMIFS(allFYsTable[DiffAmount], allFYsTable[Code], SummaryTable[[#This Row],[Code]], allFYsTable[year2], AJ$3))</f>
        <v>-10</v>
      </c>
      <c r="AP120" s="63">
        <f>IF(SummaryTable[[#This Row],[OriginalBudget24]]=0, IF(SummaryTable[[#This Row],[DiffAmount24]]=0, ZeroBudgetNoSpending, ZeroBudgetWithSpending), SummaryTable[[#This Row],[DiffAmount24]]/SummaryTable[[#This Row],[OriginalBudget24]])</f>
        <v>-4.4189129474149361E-3</v>
      </c>
      <c r="AQ120" s="62">
        <f>IF(COUNTIFS(allFYsTable[Code], SummaryTable[[#This Row],[Code]], allFYsTable[year2], AQ$3)=0, NotFound, SUMIFS(allFYsTable[OriginalBudget], allFYsTable[Code], SummaryTable[[#This Row],[Code]], allFYsTable[year2], AQ$3))</f>
        <v>3775</v>
      </c>
      <c r="AR120" s="61">
        <f>SummaryTable[[#This Row],[OriginalBudget23]]-SummaryTable[[#This Row],[OriginalBudget22]]</f>
        <v>-6</v>
      </c>
      <c r="AS120" s="54">
        <f>SummaryTable[[#This Row],[BudgetIncreaseAmount23]]/SummaryTable[[#This Row],[OriginalBudget22]]</f>
        <v>-1.5868817773075905E-3</v>
      </c>
      <c r="AT120" s="61">
        <f>IF(COUNTIFS(allFYsTable[Code], SummaryTable[[#This Row],[Code]], allFYsTable[year2], AQ$3)=0, NotFound, SUMIFS(allFYsTable[RevisedBudget], allFYsTable[Code], SummaryTable[[#This Row],[Code]], allFYsTable[year2], AQ$3))</f>
        <v>3765</v>
      </c>
      <c r="AU120" s="61">
        <f>IF(COUNTIFS(allFYsTable[Code], SummaryTable[[#This Row],[Code]], allFYsTable[year2], AQ$3)=0, NotFound, SUMIFS(allFYsTable[Actual], allFYsTable[Code], SummaryTable[[#This Row],[Code]], allFYsTable[year2], AQ$3))</f>
        <v>3765</v>
      </c>
      <c r="AV120" s="61">
        <f>IF(COUNTIFS(allFYsTable[Code], SummaryTable[[#This Row],[Code]], allFYsTable[year2], AQ$3)=0, NotFound, SUMIFS(allFYsTable[DiffAmount], allFYsTable[Code], SummaryTable[[#This Row],[Code]], allFYsTable[year2], AQ$3))</f>
        <v>-10</v>
      </c>
      <c r="AW120" s="63">
        <f>IF(SummaryTable[[#This Row],[OriginalBudget23]]=0, IF(SummaryTable[[#This Row],[DiffAmount23]]=0, ZeroBudgetNoSpending, ZeroBudgetWithSpending), SummaryTable[[#This Row],[DiffAmount23]]/SummaryTable[[#This Row],[OriginalBudget23]])</f>
        <v>-2.6490066225165563E-3</v>
      </c>
      <c r="AX120" s="62">
        <f>IF(COUNTIFS(allFYsTable[Code], SummaryTable[[#This Row],[Code]], allFYsTable[year2], AX$3)=0, NotFound, SUMIFS(allFYsTable[OriginalBudget], allFYsTable[Code], SummaryTable[[#This Row],[Code]], allFYsTable[year2], AX$3))</f>
        <v>3781</v>
      </c>
      <c r="AY120" s="61">
        <f>SummaryTable[[#This Row],[OriginalBudget22]]-SummaryTable[[#This Row],[OriginalBudget21]]</f>
        <v>-1910</v>
      </c>
      <c r="AZ120" s="54">
        <f>SummaryTable[[#This Row],[BudgetIncreaseAmount22]]/SummaryTable[[#This Row],[OriginalBudget21]]</f>
        <v>-0.33561764189070464</v>
      </c>
      <c r="BA120" s="61">
        <f>IF(COUNTIFS(allFYsTable[Code], SummaryTable[[#This Row],[Code]], allFYsTable[year2], AX$3)=0, NotFound, SUMIFS(allFYsTable[RevisedBudget], allFYsTable[Code], SummaryTable[[#This Row],[Code]], allFYsTable[year2], AX$3))</f>
        <v>3781</v>
      </c>
      <c r="BB120" s="61">
        <f>IF(COUNTIFS(allFYsTable[Code], SummaryTable[[#This Row],[Code]], allFYsTable[year2], AX$3)=0, NotFound, SUMIFS(allFYsTable[Actual], allFYsTable[Code], SummaryTable[[#This Row],[Code]], allFYsTable[year2], AX$3))</f>
        <v>3771</v>
      </c>
      <c r="BC120" s="61">
        <f>IF(COUNTIFS(allFYsTable[Code], SummaryTable[[#This Row],[Code]], allFYsTable[year2], AX$3)=0, NotFound, SUMIFS(allFYsTable[DiffAmount], allFYsTable[Code], SummaryTable[[#This Row],[Code]], allFYsTable[year2], AX$3))</f>
        <v>-10</v>
      </c>
      <c r="BD120" s="63">
        <f>IF(SummaryTable[[#This Row],[OriginalBudget22]]=0, IF(SummaryTable[[#This Row],[DiffAmount22]]=0, ZeroBudgetNoSpending, ZeroBudgetWithSpending), SummaryTable[[#This Row],[DiffAmount22]]/SummaryTable[[#This Row],[OriginalBudget22]])</f>
        <v>-2.6448029621793175E-3</v>
      </c>
      <c r="BE120" s="62">
        <f>IF(COUNTIFS(allFYsTable[Code], SummaryTable[[#This Row],[Code]], allFYsTable[year2], BE$3)=0, NotFound, SUMIFS(allFYsTable[OriginalBudget], allFYsTable[Code], SummaryTable[[#This Row],[Code]], allFYsTable[year2], BE$3))</f>
        <v>5691</v>
      </c>
      <c r="BF120" s="61">
        <f>SummaryTable[[#This Row],[OriginalBudget21]]-SummaryTable[[#This Row],[OriginalBudget20]]</f>
        <v>-2148</v>
      </c>
      <c r="BG120" s="54">
        <f>SummaryTable[[#This Row],[BudgetIncreaseAmount21]]/SummaryTable[[#This Row],[OriginalBudget20]]</f>
        <v>-0.27401454267125908</v>
      </c>
      <c r="BH120" s="61">
        <f>IF(COUNTIFS(allFYsTable[Code], SummaryTable[[#This Row],[Code]], allFYsTable[year2], BE$3)=0, NotFound, SUMIFS(allFYsTable[RevisedBudget], allFYsTable[Code], SummaryTable[[#This Row],[Code]], allFYsTable[year2], BE$3))</f>
        <v>5691</v>
      </c>
      <c r="BI120" s="61">
        <f>IF(COUNTIFS(allFYsTable[Code], SummaryTable[[#This Row],[Code]], allFYsTable[year2], BE$3)=0, NotFound, SUMIFS(allFYsTable[Actual], allFYsTable[Code], SummaryTable[[#This Row],[Code]], allFYsTable[year2], BE$3))</f>
        <v>3771</v>
      </c>
      <c r="BJ120" s="61">
        <f>IF(COUNTIFS(allFYsTable[Code], SummaryTable[[#This Row],[Code]], allFYsTable[year2], BE$3)=0, NotFound, SUMIFS(allFYsTable[DiffAmount], allFYsTable[Code], SummaryTable[[#This Row],[Code]], allFYsTable[year2], BE$3))</f>
        <v>-1920</v>
      </c>
      <c r="BK120" s="63">
        <f>IF(SummaryTable[[#This Row],[OriginalBudget21]]=0, IF(SummaryTable[[#This Row],[DiffAmount21]]=0, ZeroBudgetNoSpending, ZeroBudgetWithSpending), SummaryTable[[#This Row],[DiffAmount21]]/SummaryTable[[#This Row],[OriginalBudget21]])</f>
        <v>-0.33737480231945177</v>
      </c>
      <c r="BL120" s="62">
        <f>IF(COUNTIFS(allFYsTable[Code], SummaryTable[[#This Row],[Code]], allFYsTable[year2], BL$3)=0, NotFound, SUMIFS(allFYsTable[OriginalBudget], allFYsTable[Code], SummaryTable[[#This Row],[Code]], allFYsTable[year2], BL$3))</f>
        <v>7839</v>
      </c>
      <c r="BM120" s="61">
        <f>SummaryTable[[#This Row],[OriginalBudget20]]-SummaryTable[[#This Row],[OriginalBudget19]]</f>
        <v>0</v>
      </c>
      <c r="BN120" s="54">
        <f>SummaryTable[[#This Row],[BudgetIncreaseAmount20]]/SummaryTable[[#This Row],[OriginalBudget19]]</f>
        <v>0</v>
      </c>
      <c r="BO120" s="61">
        <f>IF(COUNTIFS(allFYsTable[Code], SummaryTable[[#This Row],[Code]], allFYsTable[year2], BL$3)=0, NotFound, SUMIFS(allFYsTable[RevisedBudget], allFYsTable[Code], SummaryTable[[#This Row],[Code]], allFYsTable[year2], BL$3))</f>
        <v>7839</v>
      </c>
      <c r="BP120" s="61">
        <f>IF(COUNTIFS(allFYsTable[Code], SummaryTable[[#This Row],[Code]], allFYsTable[year2], BL$3)=0, NotFound, SUMIFS(allFYsTable[Actual], allFYsTable[Code], SummaryTable[[#This Row],[Code]], allFYsTable[year2], BL$3))</f>
        <v>6293</v>
      </c>
      <c r="BQ120" s="61">
        <f>IF(COUNTIFS(allFYsTable[Code], SummaryTable[[#This Row],[Code]], allFYsTable[year2], BL$3)=0, NotFound, SUMIFS(allFYsTable[DiffAmount], allFYsTable[Code], SummaryTable[[#This Row],[Code]], allFYsTable[year2], BL$3))</f>
        <v>-1546</v>
      </c>
      <c r="BR120" s="63">
        <f>IF(SummaryTable[[#This Row],[OriginalBudget20]]=0, IF(SummaryTable[[#This Row],[DiffAmount20]]=0, ZeroBudgetNoSpending, ZeroBudgetWithSpending), SummaryTable[[#This Row],[DiffAmount20]]/SummaryTable[[#This Row],[OriginalBudget20]])</f>
        <v>-0.19721903303992855</v>
      </c>
      <c r="BS120" s="62">
        <f>IF(COUNTIFS(allFYsTable[Code], SummaryTable[[#This Row],[Code]], allFYsTable[year2], BS$3)=0, NotFound, SUMIFS(allFYsTable[OriginalBudget], allFYsTable[Code], SummaryTable[[#This Row],[Code]], allFYsTable[year2], BS$3))</f>
        <v>7839</v>
      </c>
      <c r="BT120" s="61">
        <f>SummaryTable[[#This Row],[OriginalBudget19]]-SummaryTable[[#This Row],[OriginalBudget18]]</f>
        <v>7</v>
      </c>
      <c r="BU120" s="54">
        <f>SummaryTable[[#This Row],[BudgetIncreaseAmount19]]/SummaryTable[[#This Row],[OriginalBudget18]]</f>
        <v>8.9376915219611854E-4</v>
      </c>
      <c r="BV120" s="61">
        <f>IF(COUNTIFS(allFYsTable[Code], SummaryTable[[#This Row],[Code]], allFYsTable[year2], BS$3)=0, NotFound, SUMIFS(allFYsTable[RevisedBudget], allFYsTable[Code], SummaryTable[[#This Row],[Code]], allFYsTable[year2], BS$3))</f>
        <v>7829</v>
      </c>
      <c r="BW120" s="61">
        <f>IF(COUNTIFS(allFYsTable[Code], SummaryTable[[#This Row],[Code]], allFYsTable[year2], BS$3)=0, NotFound, SUMIFS(allFYsTable[Actual], allFYsTable[Code], SummaryTable[[#This Row],[Code]], allFYsTable[year2], BS$3))</f>
        <v>7829</v>
      </c>
      <c r="BX120" s="61">
        <f>IF(COUNTIFS(allFYsTable[Code], SummaryTable[[#This Row],[Code]], allFYsTable[year2], BS$3)=0, NotFound, SUMIFS(allFYsTable[DiffAmount], allFYsTable[Code], SummaryTable[[#This Row],[Code]], allFYsTable[year2], BS$3))</f>
        <v>-10</v>
      </c>
      <c r="BY120" s="63">
        <f>IF(SummaryTable[[#This Row],[OriginalBudget19]]=0, IF(SummaryTable[[#This Row],[DiffAmount19]]=0, ZeroBudgetNoSpending, ZeroBudgetWithSpending), SummaryTable[[#This Row],[DiffAmount19]]/SummaryTable[[#This Row],[OriginalBudget19]])</f>
        <v>-1.2756729174639623E-3</v>
      </c>
      <c r="BZ120" s="62">
        <f>IF(COUNTIFS(allFYsTable[Code], SummaryTable[[#This Row],[Code]], allFYsTable[year2], BZ$3)=0, NotFound, SUMIFS(allFYsTable[OriginalBudget], allFYsTable[Code], SummaryTable[[#This Row],[Code]], allFYsTable[year2], BZ$3))</f>
        <v>7832</v>
      </c>
      <c r="CA120" s="61">
        <f>SummaryTable[[#This Row],[OriginalBudget18]]-SummaryTable[[#This Row],[OriginalBudget17]]</f>
        <v>-3</v>
      </c>
      <c r="CB120" s="54">
        <f>SummaryTable[[#This Row],[BudgetIncreaseAmount18]]/SummaryTable[[#This Row],[OriginalBudget17]]</f>
        <v>-3.8289725590299936E-4</v>
      </c>
      <c r="CC120" s="61">
        <f>IF(COUNTIFS(allFYsTable[Code], SummaryTable[[#This Row],[Code]], allFYsTable[year2], BZ$3)=0, NotFound, SUMIFS(allFYsTable[RevisedBudget], allFYsTable[Code], SummaryTable[[#This Row],[Code]], allFYsTable[year2], BZ$3))</f>
        <v>7832</v>
      </c>
      <c r="CD120" s="61">
        <f>IF(COUNTIFS(allFYsTable[Code], SummaryTable[[#This Row],[Code]], allFYsTable[year2], BZ$3)=0, NotFound, SUMIFS(allFYsTable[Actual], allFYsTable[Code], SummaryTable[[#This Row],[Code]], allFYsTable[year2], BZ$3))</f>
        <v>7822</v>
      </c>
      <c r="CE120" s="61">
        <f>IF(COUNTIFS(allFYsTable[Code], SummaryTable[[#This Row],[Code]], allFYsTable[year2], BZ$3)=0, NotFound, SUMIFS(allFYsTable[DiffAmount], allFYsTable[Code], SummaryTable[[#This Row],[Code]], allFYsTable[year2], BZ$3))</f>
        <v>-10</v>
      </c>
      <c r="CF120" s="63">
        <f>IF(SummaryTable[[#This Row],[OriginalBudget18]]=0, IF(SummaryTable[[#This Row],[DiffAmount18]]=0, ZeroBudgetNoSpending, ZeroBudgetWithSpending), SummaryTable[[#This Row],[DiffAmount18]]/SummaryTable[[#This Row],[OriginalBudget18]])</f>
        <v>-1.2768130745658835E-3</v>
      </c>
      <c r="CG120" s="62">
        <f>IF(COUNTIFS(allFYsTable[Code], SummaryTable[[#This Row],[Code]], allFYsTable[year2], CG$3)=0, NotFound, SUMIFS(allFYsTable[OriginalBudget], allFYsTable[Code], SummaryTable[[#This Row],[Code]], allFYsTable[year2], CG$3))</f>
        <v>7835</v>
      </c>
      <c r="CH120" s="61">
        <f>SummaryTable[[#This Row],[OriginalBudget17]]-SummaryTable[[#This Row],[OriginalBudget16]]</f>
        <v>3</v>
      </c>
      <c r="CI120" s="54">
        <f>SummaryTable[[#This Row],[BudgetIncreaseAmount17]]/SummaryTable[[#This Row],[OriginalBudget16]]</f>
        <v>3.8304392236976505E-4</v>
      </c>
      <c r="CJ120" s="61">
        <f>IF(COUNTIFS(allFYsTable[Code], SummaryTable[[#This Row],[Code]], allFYsTable[year2], CG$3)=0, NotFound, SUMIFS(allFYsTable[RevisedBudget], allFYsTable[Code], SummaryTable[[#This Row],[Code]], allFYsTable[year2], CG$3))</f>
        <v>7835</v>
      </c>
      <c r="CK120" s="61">
        <f>IF(COUNTIFS(allFYsTable[Code], SummaryTable[[#This Row],[Code]], allFYsTable[year2], CG$3)=0, NotFound, SUMIFS(allFYsTable[Actual], allFYsTable[Code], SummaryTable[[#This Row],[Code]], allFYsTable[year2], CG$3))</f>
        <v>7825</v>
      </c>
      <c r="CL120" s="61">
        <f>IF(COUNTIFS(allFYsTable[Code], SummaryTable[[#This Row],[Code]], allFYsTable[year2], CG$3)=0, NotFound, SUMIFS(allFYsTable[DiffAmount], allFYsTable[Code], SummaryTable[[#This Row],[Code]], allFYsTable[year2], CG$3))</f>
        <v>-10</v>
      </c>
      <c r="CM120" s="63">
        <f>IF(SummaryTable[[#This Row],[OriginalBudget17]]=0, IF(SummaryTable[[#This Row],[DiffAmount17]]=0, ZeroBudgetNoSpending, ZeroBudgetWithSpending), SummaryTable[[#This Row],[DiffAmount17]]/SummaryTable[[#This Row],[OriginalBudget17]])</f>
        <v>-1.2763241863433313E-3</v>
      </c>
      <c r="CN120" s="62">
        <f>IF(COUNTIFS(allFYsTable[Code], SummaryTable[[#This Row],[Code]], allFYsTable[year2], CN$3)=0, NotFound, SUMIFS(allFYsTable[OriginalBudget], allFYsTable[Code], SummaryTable[[#This Row],[Code]], allFYsTable[year2], CN$3))</f>
        <v>7832</v>
      </c>
      <c r="CO120" s="61">
        <f>SummaryTable[[#This Row],[OriginalBudget16]]-SummaryTable[[#This Row],[OriginalBudget15]]</f>
        <v>-7</v>
      </c>
      <c r="CP120" s="54">
        <f>SummaryTable[[#This Row],[BudgetIncreaseAmount16]]/SummaryTable[[#This Row],[OriginalBudget15]]</f>
        <v>-8.9297104222477359E-4</v>
      </c>
      <c r="CQ120" s="61">
        <f>IF(COUNTIFS(allFYsTable[Code], SummaryTable[[#This Row],[Code]], allFYsTable[year2], CN$3)=0, NotFound, SUMIFS(allFYsTable[RevisedBudget], allFYsTable[Code], SummaryTable[[#This Row],[Code]], allFYsTable[year2], CN$3))</f>
        <v>7822</v>
      </c>
      <c r="CR120" s="61">
        <f>IF(COUNTIFS(allFYsTable[Code], SummaryTable[[#This Row],[Code]], allFYsTable[year2], CN$3)=0, NotFound, SUMIFS(allFYsTable[Actual], allFYsTable[Code], SummaryTable[[#This Row],[Code]], allFYsTable[year2], CN$3))</f>
        <v>7822</v>
      </c>
      <c r="CS120" s="61">
        <f>IF(COUNTIFS(allFYsTable[Code], SummaryTable[[#This Row],[Code]], allFYsTable[year2], CN$3)=0, NotFound, SUMIFS(allFYsTable[DiffAmount], allFYsTable[Code], SummaryTable[[#This Row],[Code]], allFYsTable[year2], CN$3))</f>
        <v>-10</v>
      </c>
      <c r="CT120" s="63">
        <f>IF(SummaryTable[[#This Row],[OriginalBudget16]]=0, IF(SummaryTable[[#This Row],[DiffAmount16]]=0, ZeroBudgetNoSpending, ZeroBudgetWithSpending), SummaryTable[[#This Row],[DiffAmount16]]/SummaryTable[[#This Row],[OriginalBudget16]])</f>
        <v>-1.2768130745658835E-3</v>
      </c>
      <c r="CU120" s="62">
        <f>IF(COUNTIFS(allFYsTable[Code], SummaryTable[[#This Row],[Code]], allFYsTable[year2], CU$3)=0, NotFound, SUMIFS(allFYsTable[OriginalBudget], allFYsTable[Code], SummaryTable[[#This Row],[Code]], allFYsTable[year2], CU$3))</f>
        <v>7839</v>
      </c>
      <c r="CV120" s="61">
        <f>SummaryTable[[#This Row],[OriginalBudget15]]-SummaryTable[[#This Row],[OriginalBudget14]]</f>
        <v>15</v>
      </c>
      <c r="CW120" s="54">
        <f>SummaryTable[[#This Row],[BudgetIncreaseAmount15]]/SummaryTable[[#This Row],[OriginalBudget14]]</f>
        <v>1.9171779141104294E-3</v>
      </c>
      <c r="CX120" s="61">
        <f>IF(COUNTIFS(allFYsTable[Code], SummaryTable[[#This Row],[Code]], allFYsTable[year2], CU$3)=0, NotFound, SUMIFS(allFYsTable[RevisedBudget], allFYsTable[Code], SummaryTable[[#This Row],[Code]], allFYsTable[year2], CU$3))</f>
        <v>7829</v>
      </c>
      <c r="CY120" s="61">
        <f>IF(COUNTIFS(allFYsTable[Code], SummaryTable[[#This Row],[Code]], allFYsTable[year2], CU$3)=0, NotFound, SUMIFS(allFYsTable[Actual], allFYsTable[Code], SummaryTable[[#This Row],[Code]], allFYsTable[year2], CU$3))</f>
        <v>7829</v>
      </c>
      <c r="CZ120" s="61">
        <f>IF(COUNTIFS(allFYsTable[Code], SummaryTable[[#This Row],[Code]], allFYsTable[year2], CU$3)=0, NotFound, SUMIFS(allFYsTable[DiffAmount], allFYsTable[Code], SummaryTable[[#This Row],[Code]], allFYsTable[year2], CU$3))</f>
        <v>-10</v>
      </c>
      <c r="DA120" s="63">
        <f>IF(SummaryTable[[#This Row],[OriginalBudget15]]=0, IF(SummaryTable[[#This Row],[DiffAmount15]]=0, ZeroBudgetNoSpending, ZeroBudgetWithSpending), SummaryTable[[#This Row],[DiffAmount15]]/SummaryTable[[#This Row],[OriginalBudget15]])</f>
        <v>-1.2756729174639623E-3</v>
      </c>
      <c r="DB120" s="62">
        <f>IF(COUNTIFS(allFYsTable[Code], SummaryTable[[#This Row],[Code]], allFYsTable[year2], DB$3)=0, NotFound, SUMIFS(allFYsTable[OriginalBudget], allFYsTable[Code], SummaryTable[[#This Row],[Code]], allFYsTable[year2], DB$3))</f>
        <v>7824</v>
      </c>
      <c r="DC120" s="61">
        <f>SummaryTable[[#This Row],[OriginalBudget14]]-SummaryTable[[#This Row],[OriginalBudget13]]</f>
        <v>-398</v>
      </c>
      <c r="DD120" s="54">
        <f>SummaryTable[[#This Row],[BudgetIncreaseAmount14]]/SummaryTable[[#This Row],[OriginalBudget13]]</f>
        <v>-4.8406713694964729E-2</v>
      </c>
      <c r="DE120" s="61">
        <f>IF(COUNTIFS(allFYsTable[Code], SummaryTable[[#This Row],[Code]], allFYsTable[year2], DB$3)=0, NotFound, SUMIFS(allFYsTable[RevisedBudget], allFYsTable[Code], SummaryTable[[#This Row],[Code]], allFYsTable[year2], DB$3))</f>
        <v>7824</v>
      </c>
      <c r="DF120" s="61">
        <f>IF(COUNTIFS(allFYsTable[Code], SummaryTable[[#This Row],[Code]], allFYsTable[year2], DB$3)=0, NotFound, SUMIFS(allFYsTable[Actual], allFYsTable[Code], SummaryTable[[#This Row],[Code]], allFYsTable[year2], DB$3))</f>
        <v>7824</v>
      </c>
      <c r="DG120" s="61">
        <f>IF(COUNTIFS(allFYsTable[Code], SummaryTable[[#This Row],[Code]], allFYsTable[year2], DB$3)=0, NotFound, SUMIFS(allFYsTable[DiffAmount], allFYsTable[Code], SummaryTable[[#This Row],[Code]], allFYsTable[year2], DB$3))</f>
        <v>0</v>
      </c>
      <c r="DH120" s="63">
        <f>IF(SummaryTable[[#This Row],[OriginalBudget14]]=0, IF(SummaryTable[[#This Row],[DiffAmount14]]=0, ZeroBudgetNoSpending, ZeroBudgetWithSpending), SummaryTable[[#This Row],[DiffAmount14]]/SummaryTable[[#This Row],[OriginalBudget14]])</f>
        <v>0</v>
      </c>
      <c r="DI120" s="62">
        <f>IF(COUNTIFS(allFYsTable[Code], SummaryTable[[#This Row],[Code]], allFYsTable[year2], DI$3)=0, NotFound, SUMIFS(allFYsTable[OriginalBudget], allFYsTable[Code], SummaryTable[[#This Row],[Code]], allFYsTable[year2], DI$3))</f>
        <v>8222</v>
      </c>
      <c r="DJ120" s="61">
        <f>SummaryTable[[#This Row],[OriginalBudget13]]-SummaryTable[[#This Row],[OriginalBudget12]]</f>
        <v>1531</v>
      </c>
      <c r="DK120" s="54">
        <f>SummaryTable[[#This Row],[BudgetIncreaseAmount13]]/SummaryTable[[#This Row],[OriginalBudget12]]</f>
        <v>0.22881482588551785</v>
      </c>
      <c r="DL120" s="61">
        <f>IF(COUNTIFS(allFYsTable[Code], SummaryTable[[#This Row],[Code]], allFYsTable[year2], DI$3)=0, NotFound, SUMIFS(allFYsTable[RevisedBudget], allFYsTable[Code], SummaryTable[[#This Row],[Code]], allFYsTable[year2], DI$3))</f>
        <v>6665</v>
      </c>
      <c r="DM120" s="61">
        <f>IF(COUNTIFS(allFYsTable[Code], SummaryTable[[#This Row],[Code]], allFYsTable[year2], DI$3)=0, NotFound, SUMIFS(allFYsTable[Actual], allFYsTable[Code], SummaryTable[[#This Row],[Code]], allFYsTable[year2], DI$3))</f>
        <v>6665</v>
      </c>
      <c r="DN120" s="61">
        <f>IF(COUNTIFS(allFYsTable[Code], SummaryTable[[#This Row],[Code]], allFYsTable[year2], DI$3)=0, NotFound, SUMIFS(allFYsTable[DiffAmount], allFYsTable[Code], SummaryTable[[#This Row],[Code]], allFYsTable[year2], DI$3))</f>
        <v>-1557</v>
      </c>
      <c r="DO120" s="63">
        <f>IF(SummaryTable[[#This Row],[OriginalBudget13]]=0, IF(SummaryTable[[#This Row],[DiffAmount13]]=0, ZeroBudgetNoSpending, ZeroBudgetWithSpending), SummaryTable[[#This Row],[DiffAmount13]]/SummaryTable[[#This Row],[OriginalBudget13]])</f>
        <v>-0.18936998297251276</v>
      </c>
      <c r="DP120" s="62">
        <f>IF(COUNTIFS(allFYsTable[Code], SummaryTable[[#This Row],[Code]], allFYsTable[year2], DP$3)=0, NotFound, SUMIFS(allFYsTable[OriginalBudget], allFYsTable[Code], SummaryTable[[#This Row],[Code]], allFYsTable[year2], DP$3))</f>
        <v>6691</v>
      </c>
      <c r="DQ120" s="61">
        <f>SummaryTable[[#This Row],[OriginalBudget12]]-SummaryTable[[#This Row],[OriginalBudget11]]</f>
        <v>-883</v>
      </c>
      <c r="DR120" s="54">
        <f>SummaryTable[[#This Row],[BudgetIncreaseAmount12]]/SummaryTable[[#This Row],[OriginalBudget11]]</f>
        <v>-0.11658304726696593</v>
      </c>
      <c r="DS120" s="61">
        <f>IF(COUNTIFS(allFYsTable[Code], SummaryTable[[#This Row],[Code]], allFYsTable[year2], DP$3)=0, NotFound, SUMIFS(allFYsTable[RevisedBudget], allFYsTable[Code], SummaryTable[[#This Row],[Code]], allFYsTable[year2], DP$3))</f>
        <v>5574</v>
      </c>
      <c r="DT120" s="61">
        <f>IF(COUNTIFS(allFYsTable[Code], SummaryTable[[#This Row],[Code]], allFYsTable[year2], DP$3)=0, NotFound, SUMIFS(allFYsTable[Actual], allFYsTable[Code], SummaryTable[[#This Row],[Code]], allFYsTable[year2], DP$3))</f>
        <v>5574</v>
      </c>
      <c r="DU120" s="61">
        <f>IF(COUNTIFS(allFYsTable[Code], SummaryTable[[#This Row],[Code]], allFYsTable[year2], DP$3)=0, NotFound, SUMIFS(allFYsTable[DiffAmount], allFYsTable[Code], SummaryTable[[#This Row],[Code]], allFYsTable[year2], DP$3))</f>
        <v>-1117</v>
      </c>
      <c r="DV120" s="63">
        <f>IF(SummaryTable[[#This Row],[OriginalBudget12]]=0, IF(SummaryTable[[#This Row],[DiffAmount12]]=0, ZeroBudgetNoSpending, ZeroBudgetWithSpending), SummaryTable[[#This Row],[DiffAmount12]]/SummaryTable[[#This Row],[OriginalBudget12]])</f>
        <v>-0.16694066656703033</v>
      </c>
      <c r="DW120" s="62">
        <f>IF(COUNTIFS(allFYsTable[Code], SummaryTable[[#This Row],[Code]], allFYsTable[year2], DW$3)=0, NotFound, SUMIFS(allFYsTable[OriginalBudget], allFYsTable[Code], SummaryTable[[#This Row],[Code]], allFYsTable[year2], DW$3))</f>
        <v>7574</v>
      </c>
      <c r="DX120" s="61">
        <f>SummaryTable[[#This Row],[OriginalBudget11]]-SummaryTable[[#This Row],[OriginalBudget10]]</f>
        <v>2713</v>
      </c>
      <c r="DY120" s="54">
        <f>SummaryTable[[#This Row],[BudgetIncreaseAmount11]]/SummaryTable[[#This Row],[OriginalBudget10]]</f>
        <v>0.55811561407117882</v>
      </c>
      <c r="DZ120" s="61">
        <f>IF(COUNTIFS(allFYsTable[Code], SummaryTable[[#This Row],[Code]], allFYsTable[year2], DW$3)=0, NotFound, SUMIFS(allFYsTable[RevisedBudget], allFYsTable[Code], SummaryTable[[#This Row],[Code]], allFYsTable[year2], DW$3))</f>
        <v>7574</v>
      </c>
      <c r="EA120" s="61">
        <f>IF(COUNTIFS(allFYsTable[Code], SummaryTable[[#This Row],[Code]], allFYsTable[year2], DW$3)=0, NotFound, SUMIFS(allFYsTable[Actual], allFYsTable[Code], SummaryTable[[#This Row],[Code]], allFYsTable[year2], DW$3))</f>
        <v>4782</v>
      </c>
      <c r="EB120" s="61">
        <f>IF(COUNTIFS(allFYsTable[Code], SummaryTable[[#This Row],[Code]], allFYsTable[year2], DW$3)=0, NotFound, SUMIFS(allFYsTable[DiffAmount], allFYsTable[Code], SummaryTable[[#This Row],[Code]], allFYsTable[year2], DW$3))</f>
        <v>-2792</v>
      </c>
      <c r="EC120" s="63">
        <f>IF(SummaryTable[[#This Row],[OriginalBudget11]]=0, IF(SummaryTable[[#This Row],[DiffAmount11]]=0, ZeroBudgetNoSpending, ZeroBudgetWithSpending), SummaryTable[[#This Row],[DiffAmount11]]/SummaryTable[[#This Row],[OriginalBudget11]])</f>
        <v>-0.36862952204911542</v>
      </c>
      <c r="ED120" s="62">
        <f>IF(COUNTIFS(allFYsTable[Code], SummaryTable[[#This Row],[Code]], allFYsTable[year2], ED$3)=0, NotFound, SUMIFS(allFYsTable[OriginalBudget], allFYsTable[Code], SummaryTable[[#This Row],[Code]], allFYsTable[year2], ED$3))</f>
        <v>4861</v>
      </c>
      <c r="EE120" s="61">
        <f>SummaryTable[[#This Row],[OriginalBudget10]]-SummaryTable[[#This Row],[OriginalBudget09]]</f>
        <v>-1139</v>
      </c>
      <c r="EF120" s="54">
        <f>SummaryTable[[#This Row],[BudgetIncreaseAmount10]]/SummaryTable[[#This Row],[OriginalBudget09]]</f>
        <v>-0.18983333333333333</v>
      </c>
      <c r="EG120" s="61">
        <f>IF(COUNTIFS(allFYsTable[Code], SummaryTable[[#This Row],[Code]], allFYsTable[year2], ED$3)=0, NotFound, SUMIFS(allFYsTable[RevisedBudget], allFYsTable[Code], SummaryTable[[#This Row],[Code]], allFYsTable[year2], ED$3))</f>
        <v>4861</v>
      </c>
      <c r="EH120" s="61">
        <f>IF(COUNTIFS(allFYsTable[Code], SummaryTable[[#This Row],[Code]], allFYsTable[year2], ED$3)=0, NotFound, SUMIFS(allFYsTable[Actual], allFYsTable[Code], SummaryTable[[#This Row],[Code]], allFYsTable[year2], ED$3))</f>
        <v>2149</v>
      </c>
      <c r="EI120" s="61">
        <f>IF(COUNTIFS(allFYsTable[Code], SummaryTable[[#This Row],[Code]], allFYsTable[year2], ED$3)=0, NotFound, SUMIFS(allFYsTable[DiffAmount], allFYsTable[Code], SummaryTable[[#This Row],[Code]], allFYsTable[year2], ED$3))</f>
        <v>-2712</v>
      </c>
      <c r="EJ120" s="63">
        <f>IF(SummaryTable[[#This Row],[OriginalBudget10]]=0, IF(SummaryTable[[#This Row],[DiffAmount10]]=0, ZeroBudgetNoSpending, ZeroBudgetWithSpending), SummaryTable[[#This Row],[DiffAmount10]]/SummaryTable[[#This Row],[OriginalBudget10]])</f>
        <v>-0.55790989508331623</v>
      </c>
      <c r="EK120" s="62">
        <f>IF(COUNTIFS(allFYsTable[Code], SummaryTable[[#This Row],[Code]], allFYsTable[year2], EK$3)=0, NotFound, SUMIFS(allFYsTable[OriginalBudget], allFYsTable[Code], SummaryTable[[#This Row],[Code]], allFYsTable[year2], EK$3))</f>
        <v>6000</v>
      </c>
      <c r="EL120" s="61">
        <f>SummaryTable[[#This Row],[OriginalBudget09]]-SummaryTable[[#This Row],[OriginalBudget08]]</f>
        <v>-6000</v>
      </c>
      <c r="EM120" s="54">
        <f>SummaryTable[[#This Row],[BudgetIncreaseAmount09]]/SummaryTable[[#This Row],[OriginalBudget08]]</f>
        <v>-0.5</v>
      </c>
      <c r="EN120" s="61">
        <f>IF(COUNTIFS(allFYsTable[Code], SummaryTable[[#This Row],[Code]], allFYsTable[year2], EK$3)=0, NotFound, SUMIFS(allFYsTable[RevisedBudget], allFYsTable[Code], SummaryTable[[#This Row],[Code]], allFYsTable[year2], EK$3))</f>
        <v>2500</v>
      </c>
      <c r="EO120" s="61">
        <f>IF(COUNTIFS(allFYsTable[Code], SummaryTable[[#This Row],[Code]], allFYsTable[year2], EK$3)=0, NotFound, SUMIFS(allFYsTable[Actual], allFYsTable[Code], SummaryTable[[#This Row],[Code]], allFYsTable[year2], EK$3))</f>
        <v>2144</v>
      </c>
      <c r="EP120" s="61">
        <f>IF(COUNTIFS(allFYsTable[Code], SummaryTable[[#This Row],[Code]], allFYsTable[year2], EK$3)=0, NotFound, SUMIFS(allFYsTable[DiffAmount], allFYsTable[Code], SummaryTable[[#This Row],[Code]], allFYsTable[year2], EK$3))</f>
        <v>-3856</v>
      </c>
      <c r="EQ120" s="63">
        <f>IF(SummaryTable[[#This Row],[OriginalBudget09]]=0, IF(SummaryTable[[#This Row],[DiffAmount09]]=0, ZeroBudgetNoSpending, ZeroBudgetWithSpending), SummaryTable[[#This Row],[DiffAmount09]]/SummaryTable[[#This Row],[OriginalBudget09]])</f>
        <v>-0.64266666666666672</v>
      </c>
      <c r="ER120" s="62">
        <f>IF(COUNTIFS(allFYsTable[Code], SummaryTable[[#This Row],[Code]], allFYsTable[year2], ER$3)=0, NotFound, SUMIFS(allFYsTable[OriginalBudget], allFYsTable[Code], SummaryTable[[#This Row],[Code]], allFYsTable[year2], ER$3))</f>
        <v>12000</v>
      </c>
      <c r="ES120" s="61">
        <f>SummaryTable[[#This Row],[OriginalBudget08]]-SummaryTable[[#This Row],[OriginalBudget07]]</f>
        <v>6000</v>
      </c>
      <c r="ET120" s="54">
        <f>SummaryTable[[#This Row],[BudgetIncreaseAmount08]]/SummaryTable[[#This Row],[OriginalBudget07]]</f>
        <v>1</v>
      </c>
      <c r="EU120" s="61">
        <f>IF(COUNTIFS(allFYsTable[Code], SummaryTable[[#This Row],[Code]], allFYsTable[year2], ER$3)=0, NotFound, SUMIFS(allFYsTable[RevisedBudget], allFYsTable[Code], SummaryTable[[#This Row],[Code]], allFYsTable[year2], ER$3))</f>
        <v>12000</v>
      </c>
      <c r="EV120" s="61">
        <f>IF(COUNTIFS(allFYsTable[Code], SummaryTable[[#This Row],[Code]], allFYsTable[year2], ER$3)=0, NotFound, SUMIFS(allFYsTable[Actual], allFYsTable[Code], SummaryTable[[#This Row],[Code]], allFYsTable[year2], ER$3))</f>
        <v>2512</v>
      </c>
      <c r="EW120" s="61">
        <f>IF(COUNTIFS(allFYsTable[Code], SummaryTable[[#This Row],[Code]], allFYsTable[year2], ER$3)=0, NotFound, SUMIFS(allFYsTable[DiffAmount], allFYsTable[Code], SummaryTable[[#This Row],[Code]], allFYsTable[year2], ER$3))</f>
        <v>-9488</v>
      </c>
      <c r="EX120" s="63">
        <f>IF(SummaryTable[[#This Row],[OriginalBudget08]]=0, IF(SummaryTable[[#This Row],[DiffAmount08]]=0, ZeroBudgetNoSpending, ZeroBudgetWithSpending), SummaryTable[[#This Row],[DiffAmount08]]/SummaryTable[[#This Row],[OriginalBudget08]])</f>
        <v>-0.79066666666666663</v>
      </c>
      <c r="EY120" s="62">
        <f>IF(COUNTIFS(allFYsTable[Code], SummaryTable[[#This Row],[Code]], allFYsTable[year2], EY$3)=0, NotFound, SUMIFS(allFYsTable[OriginalBudget], allFYsTable[Code], SummaryTable[[#This Row],[Code]], allFYsTable[year2], EY$3))</f>
        <v>6000</v>
      </c>
      <c r="EZ120" s="61" t="e">
        <f>SummaryTable[[#This Row],[OriginalBudget07]]-SummaryTable[[#This Row],[OriginalBudget06]]</f>
        <v>#N/A</v>
      </c>
      <c r="FA120" s="54" t="e">
        <f>SummaryTable[[#This Row],[BudgetIncreaseAmount07]]/SummaryTable[[#This Row],[OriginalBudget06]]</f>
        <v>#N/A</v>
      </c>
      <c r="FB120" s="61">
        <f>IF(COUNTIFS(allFYsTable[Code], SummaryTable[[#This Row],[Code]], allFYsTable[year2], EY$3)=0, NotFound, SUMIFS(allFYsTable[RevisedBudget], allFYsTable[Code], SummaryTable[[#This Row],[Code]], allFYsTable[year2], EY$3))</f>
        <v>4750</v>
      </c>
      <c r="FC120" s="61">
        <f>IF(COUNTIFS(allFYsTable[Code], SummaryTable[[#This Row],[Code]], allFYsTable[year2], EY$3)=0, NotFound, SUMIFS(allFYsTable[Actual], allFYsTable[Code], SummaryTable[[#This Row],[Code]], allFYsTable[year2], EY$3))</f>
        <v>0</v>
      </c>
      <c r="FD120" s="61">
        <f>IF(COUNTIFS(allFYsTable[Code], SummaryTable[[#This Row],[Code]], allFYsTable[year2], EY$3)=0, NotFound, SUMIFS(allFYsTable[DiffAmount], allFYsTable[Code], SummaryTable[[#This Row],[Code]], allFYsTable[year2], EY$3))</f>
        <v>-6000</v>
      </c>
      <c r="FE120" s="63">
        <f>IF(SummaryTable[[#This Row],[OriginalBudget07]]=0, IF(SummaryTable[[#This Row],[DiffAmount07]]=0, ZeroBudgetNoSpending, ZeroBudgetWithSpending), SummaryTable[[#This Row],[DiffAmount07]]/SummaryTable[[#This Row],[OriginalBudget07]])</f>
        <v>-1</v>
      </c>
      <c r="FF120" s="62" t="e">
        <f>IF(COUNTIFS(allFYsTable[Code], SummaryTable[[#This Row],[Code]], allFYsTable[year2], FF$3)=0, NotFound, SUMIFS(allFYsTable[OriginalBudget], allFYsTable[Code], SummaryTable[[#This Row],[Code]], allFYsTable[year2], FF$3))</f>
        <v>#N/A</v>
      </c>
      <c r="FI120" s="61" t="e">
        <f>IF(COUNTIFS(allFYsTable[Code], SummaryTable[[#This Row],[Code]], allFYsTable[year2], FF$3)=0, NotFound, SUMIFS(allFYsTable[RevisedBudget], allFYsTable[Code], SummaryTable[[#This Row],[Code]], allFYsTable[year2], FF$3))</f>
        <v>#N/A</v>
      </c>
      <c r="FJ120" s="61" t="e">
        <f>IF(COUNTIFS(allFYsTable[Code], SummaryTable[[#This Row],[Code]], allFYsTable[year2], FF$3)=0, NotFound, SUMIFS(allFYsTable[Actual], allFYsTable[Code], SummaryTable[[#This Row],[Code]], allFYsTable[year2], FF$3))</f>
        <v>#N/A</v>
      </c>
      <c r="FK120" s="61" t="e">
        <f>IF(COUNTIFS(allFYsTable[Code], SummaryTable[[#This Row],[Code]], allFYsTable[year2], FF$3)=0, NotFound, SUMIFS(allFYsTable[DiffAmount], allFYsTable[Code], SummaryTable[[#This Row],[Code]], allFYsTable[year2], FF$3))</f>
        <v>#N/A</v>
      </c>
      <c r="FL120" s="63" t="e">
        <f>IF(SummaryTable[[#This Row],[OriginalBudget06]]=0, IF(SummaryTable[[#This Row],[DiffAmount06]]=0, ZeroBudgetNoSpending, ZeroBudgetWithSpending), SummaryTable[[#This Row],[DiffAmount06]]/SummaryTable[[#This Row],[OriginalBudget06]])</f>
        <v>#N/A</v>
      </c>
    </row>
    <row r="121" spans="1:168" x14ac:dyDescent="0.45">
      <c r="A121" t="s">
        <v>819</v>
      </c>
      <c r="B121">
        <f>_xlfn.MAXIFS(allFYsTable[year2], allFYsTable[Code], SummaryTable[[#This Row],[Code]])</f>
        <v>2025</v>
      </c>
      <c r="C121" t="str">
        <f>_xlfn.XLOOKUP(SummaryTable[[#This Row],[Code]], NameCodingTable[Code], NameCodingTable[Most Recent Category per allFYs])</f>
        <v>Governmental direction and support</v>
      </c>
      <c r="D121" t="str">
        <f>_xlfn.XLOOKUP(SummaryTable[[#This Row],[Code]], NameCodingTable[Code], NameCodingTable[Unit Display Name])</f>
        <v>Settlements and Judgments</v>
      </c>
      <c r="E121" t="str">
        <f>_xlfn.XLOOKUP(SummaryTable[[#This Row],[Code]], NameCodingTable[Code], NameCodingTable[Type])</f>
        <v>xother</v>
      </c>
      <c r="F12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2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5</v>
      </c>
      <c r="H121" s="54">
        <f>SummaryTable[[#This Row],['# Over]]/SummaryTable[[#This Row],[Count]]</f>
        <v>0.25</v>
      </c>
      <c r="I12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121" s="54">
        <f>SummaryTable[[#This Row],['# Under]]/SummaryTable[[#This Row],[Count]]</f>
        <v>0.5</v>
      </c>
      <c r="K12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5</v>
      </c>
      <c r="L121" s="54">
        <f>SummaryTable[[#This Row],['# Equal]]/SummaryTable[[#This Row],[Count]]</f>
        <v>0.25</v>
      </c>
      <c r="M121" s="61">
        <f>SUMIFS(allFYsTable[OriginalBudget],allFYsTable[Code],SummaryTable[[#This Row],[Code]])/SummaryTable[[#This Row],[Count]]</f>
        <v>23397.4</v>
      </c>
      <c r="N121" s="61">
        <f>SUMIFS(allFYsTable[Actual],allFYsTable[Code],SummaryTable[[#This Row],[Code]])/SummaryTable[[#This Row],[Count]]</f>
        <v>22379.7</v>
      </c>
      <c r="O121" s="61">
        <f>SummaryTable[[#This Row],[AvgActAmt]]-SummaryTable[[#This Row],[AvgBudAmt]]</f>
        <v>-1017.7000000000007</v>
      </c>
      <c r="P121" s="54">
        <f>IF(SummaryTable[[#This Row],[AvgBudAmt]]=0, IF(SummaryTable[[#This Row],[AvgDiff'#]]=0, 0, NamedFields!$C$3), SummaryTable[[#This Row],[AvgDiff'#]]/SummaryTable[[#This Row],[AvgBudAmt]])</f>
        <v>-4.3496285912109918E-2</v>
      </c>
      <c r="Q121" s="61">
        <f>IFERROR(SUMIFS(allFYsTable[OriginalBudget],allFYsTable[Code],SummaryTable[[#This Row],[Code]],allFYsTable[DiffAmount], "&gt;0")/SummaryTable[[#This Row],['# Over]], 0)</f>
        <v>20020.8</v>
      </c>
      <c r="R121" s="61">
        <f>IFERROR(SUMIFS(allFYsTable[Actual],allFYsTable[Code],SummaryTable[[#This Row],[Code]],allFYsTable[DiffAmount], "&gt;0")/SummaryTable[[#This Row],['# Over]], 0)</f>
        <v>30499.4</v>
      </c>
      <c r="S121" s="61">
        <f>SummaryTable[[#This Row],[OverAvgAct]]-SummaryTable[[#This Row],[OverAvgBud]]</f>
        <v>10478.600000000002</v>
      </c>
      <c r="T121" s="54">
        <f>IF(SummaryTable[[#This Row],[OverAvgBud]]=0, IF(SummaryTable[[#This Row],[OverAvgDiff'#]]=0, ZeroBudgetNoSpending, ZeroBudgetWithSpending), SummaryTable[[#This Row],[OverAvgDiff'#]]/SummaryTable[[#This Row],[OverAvgBud]])</f>
        <v>0.52338567889395038</v>
      </c>
      <c r="U121" s="61">
        <f>IFERROR(SUMIFS(allFYsTable[OriginalBudget],allFYsTable[Code],SummaryTable[[#This Row],[Code]],allFYsTable[DiffAmount], "&lt;0")/SummaryTable[[#This Row],['# Under]], 0)</f>
        <v>26094.3</v>
      </c>
      <c r="V121" s="61">
        <f>IFERROR( SUMIFS(allFYsTable[Actual],allFYsTable[Code],SummaryTable[[#This Row],[Code]],allFYsTable[DiffAmount], "&lt;0")/SummaryTable[[#This Row],['# Under]], 0)</f>
        <v>18819.599999999999</v>
      </c>
      <c r="W121" s="61">
        <f>SummaryTable[[#This Row],[UnderAvgAct]]-SummaryTable[[#This Row],[UnderAvgBud]]</f>
        <v>-7274.7000000000007</v>
      </c>
      <c r="X121" s="54">
        <f>IF(SummaryTable[[#This Row],[UnderAvgBud]]=0, IF(SummaryTable[[#This Row],[UnderAvgDiff'#]]=0, ZeroBudgetNoSpending, NamedFields!$C$3), SummaryTable[[#This Row],[UnderAvgDiff'#]]/SummaryTable[[#This Row],[UnderAvgBud]])</f>
        <v>-0.27878502201630245</v>
      </c>
      <c r="Y12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12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21" s="54">
        <f>IF(SummaryTable[[#This Row],[IncreaseYears]]=0, ZeroBudgetNoSpending, SummaryTable[[#This Row],[OSinIncreaseYear'#]]/SummaryTable[[#This Row],[IncreaseYears]])</f>
        <v>0</v>
      </c>
      <c r="AB121" s="58" t="str">
        <f>SummaryTable[[#This Row],[Code]]</f>
        <v>ZH0</v>
      </c>
      <c r="AC121" s="62">
        <f>IF(COUNTIFS(allFYsTable[Code], SummaryTable[[#This Row],[Code]], allFYsTable[year2], AC$3)=0, NotFound, SUMIFS(allFYsTable[OriginalBudget], allFYsTable[Code], SummaryTable[[#This Row],[Code]], allFYsTable[year2], AC$3))</f>
        <v>21025</v>
      </c>
      <c r="AD121" s="61">
        <f>SummaryTable[[#This Row],[OriginalBudget25]]-SummaryTable[[#This Row],[OriginalBudget24]]</f>
        <v>0</v>
      </c>
      <c r="AE121" s="54">
        <f>SummaryTable[[#This Row],[BudgetIncreaseAmount25]]/SummaryTable[[#This Row],[OriginalBudget24]]</f>
        <v>0</v>
      </c>
      <c r="AF121" s="61">
        <f>IF(COUNTIFS(allFYsTable[Code], SummaryTable[[#This Row],[Code]], allFYsTable[year2], AC$3)=0, NotFound, SUMIFS(allFYsTable[RevisedBudget], allFYsTable[Code], SummaryTable[[#This Row],[Code]], allFYsTable[year2], AC$3))</f>
        <v>40303</v>
      </c>
      <c r="AG121" s="61">
        <f>IF(COUNTIFS(allFYsTable[Code], SummaryTable[[#This Row],[Code]], allFYsTable[year2], AC$3)=0, NotFound, SUMIFS(allFYsTable[Actual], allFYsTable[Code], SummaryTable[[#This Row],[Code]], allFYsTable[year2], AC$3))</f>
        <v>40222</v>
      </c>
      <c r="AH121" s="61">
        <f>IF(COUNTIFS(allFYsTable[Code], SummaryTable[[#This Row],[Code]], allFYsTable[year2], AC$3)=0, NotFound, SUMIFS(allFYsTable[DiffAmount], allFYsTable[Code], SummaryTable[[#This Row],[Code]], allFYsTable[year2], AC$3))</f>
        <v>19197</v>
      </c>
      <c r="AI121" s="63">
        <f>IF(SummaryTable[[#This Row],[OriginalBudget25]]=0, IF(SummaryTable[[#This Row],[DiffAmount25]]=0, ZeroBudgetNoSpending, ZeroBudgetWithSpending), SummaryTable[[#This Row],[DiffAmount25]]/SummaryTable[[#This Row],[OriginalBudget25]])</f>
        <v>0.91305588585017838</v>
      </c>
      <c r="AJ121" s="62">
        <f>IF(COUNTIFS(allFYsTable[Code], SummaryTable[[#This Row],[Code]], allFYsTable[year2], AJ$3)=0, NotFound, SUMIFS(allFYsTable[OriginalBudget], allFYsTable[Code], SummaryTable[[#This Row],[Code]], allFYsTable[year2], AJ$3))</f>
        <v>21025</v>
      </c>
      <c r="AK121" s="61">
        <f>SummaryTable[[#This Row],[OriginalBudget24]]-SummaryTable[[#This Row],[OriginalBudget23]]</f>
        <v>-7000</v>
      </c>
      <c r="AL121" s="54">
        <f>SummaryTable[[#This Row],[BudgetIncreaseAmount24]]/SummaryTable[[#This Row],[OriginalBudget23]]</f>
        <v>-0.24977698483496877</v>
      </c>
      <c r="AM121" s="61">
        <f>IF(COUNTIFS(allFYsTable[Code], SummaryTable[[#This Row],[Code]], allFYsTable[year2], AK$3)=0, NotFound, SUMIFS(allFYsTable[RevisedBudget], allFYsTable[Code], SummaryTable[[#This Row],[Code]], allFYsTable[year2], AJ$3))</f>
        <v>21025</v>
      </c>
      <c r="AN121" s="61">
        <f>IF(COUNTIFS(allFYsTable[Code], SummaryTable[[#This Row],[Code]], allFYsTable[year2], AJ$3)=0, NotFound, SUMIFS(allFYsTable[Actual], allFYsTable[Code], SummaryTable[[#This Row],[Code]], allFYsTable[year2], AJ$3))</f>
        <v>21023</v>
      </c>
      <c r="AO121" s="61">
        <f>IF(COUNTIFS(allFYsTable[Code], SummaryTable[[#This Row],[Code]], allFYsTable[year2], AJ$3)=0, NotFound, SUMIFS(allFYsTable[DiffAmount], allFYsTable[Code], SummaryTable[[#This Row],[Code]], allFYsTable[year2], AJ$3))</f>
        <v>-2</v>
      </c>
      <c r="AP121" s="63">
        <f>IF(SummaryTable[[#This Row],[OriginalBudget24]]=0, IF(SummaryTable[[#This Row],[DiffAmount24]]=0, ZeroBudgetNoSpending, ZeroBudgetWithSpending), SummaryTable[[#This Row],[DiffAmount24]]/SummaryTable[[#This Row],[OriginalBudget24]])</f>
        <v>-9.5124851367419739E-5</v>
      </c>
      <c r="AQ121" s="62">
        <f>IF(COUNTIFS(allFYsTable[Code], SummaryTable[[#This Row],[Code]], allFYsTable[year2], AQ$3)=0, NotFound, SUMIFS(allFYsTable[OriginalBudget], allFYsTable[Code], SummaryTable[[#This Row],[Code]], allFYsTable[year2], AQ$3))</f>
        <v>28025</v>
      </c>
      <c r="AR121" s="61">
        <f>SummaryTable[[#This Row],[OriginalBudget23]]-SummaryTable[[#This Row],[OriginalBudget22]]</f>
        <v>0</v>
      </c>
      <c r="AS121" s="54">
        <f>SummaryTable[[#This Row],[BudgetIncreaseAmount23]]/SummaryTable[[#This Row],[OriginalBudget22]]</f>
        <v>0</v>
      </c>
      <c r="AT121" s="61">
        <f>IF(COUNTIFS(allFYsTable[Code], SummaryTable[[#This Row],[Code]], allFYsTable[year2], AQ$3)=0, NotFound, SUMIFS(allFYsTable[RevisedBudget], allFYsTable[Code], SummaryTable[[#This Row],[Code]], allFYsTable[year2], AQ$3))</f>
        <v>14050</v>
      </c>
      <c r="AU121" s="61">
        <f>IF(COUNTIFS(allFYsTable[Code], SummaryTable[[#This Row],[Code]], allFYsTable[year2], AQ$3)=0, NotFound, SUMIFS(allFYsTable[Actual], allFYsTable[Code], SummaryTable[[#This Row],[Code]], allFYsTable[year2], AQ$3))</f>
        <v>12566</v>
      </c>
      <c r="AV121" s="61">
        <f>IF(COUNTIFS(allFYsTable[Code], SummaryTable[[#This Row],[Code]], allFYsTable[year2], AQ$3)=0, NotFound, SUMIFS(allFYsTable[DiffAmount], allFYsTable[Code], SummaryTable[[#This Row],[Code]], allFYsTable[year2], AQ$3))</f>
        <v>-15459</v>
      </c>
      <c r="AW121" s="63">
        <f>IF(SummaryTable[[#This Row],[OriginalBudget23]]=0, IF(SummaryTable[[#This Row],[DiffAmount23]]=0, ZeroBudgetNoSpending, ZeroBudgetWithSpending), SummaryTable[[#This Row],[DiffAmount23]]/SummaryTable[[#This Row],[OriginalBudget23]])</f>
        <v>-0.55161462979482601</v>
      </c>
      <c r="AX121" s="62">
        <f>IF(COUNTIFS(allFYsTable[Code], SummaryTable[[#This Row],[Code]], allFYsTable[year2], AX$3)=0, NotFound, SUMIFS(allFYsTable[OriginalBudget], allFYsTable[Code], SummaryTable[[#This Row],[Code]], allFYsTable[year2], AX$3))</f>
        <v>28025</v>
      </c>
      <c r="AY121" s="61">
        <f>SummaryTable[[#This Row],[OriginalBudget22]]-SummaryTable[[#This Row],[OriginalBudget21]]</f>
        <v>0</v>
      </c>
      <c r="AZ121" s="54">
        <f>SummaryTable[[#This Row],[BudgetIncreaseAmount22]]/SummaryTable[[#This Row],[OriginalBudget21]]</f>
        <v>0</v>
      </c>
      <c r="BA121" s="61">
        <f>IF(COUNTIFS(allFYsTable[Code], SummaryTable[[#This Row],[Code]], allFYsTable[year2], AX$3)=0, NotFound, SUMIFS(allFYsTable[RevisedBudget], allFYsTable[Code], SummaryTable[[#This Row],[Code]], allFYsTable[year2], AX$3))</f>
        <v>14625</v>
      </c>
      <c r="BB121" s="61">
        <f>IF(COUNTIFS(allFYsTable[Code], SummaryTable[[#This Row],[Code]], allFYsTable[year2], AX$3)=0, NotFound, SUMIFS(allFYsTable[Actual], allFYsTable[Code], SummaryTable[[#This Row],[Code]], allFYsTable[year2], AX$3))</f>
        <v>13535</v>
      </c>
      <c r="BC121" s="61">
        <f>IF(COUNTIFS(allFYsTable[Code], SummaryTable[[#This Row],[Code]], allFYsTable[year2], AX$3)=0, NotFound, SUMIFS(allFYsTable[DiffAmount], allFYsTable[Code], SummaryTable[[#This Row],[Code]], allFYsTable[year2], AX$3))</f>
        <v>-14490</v>
      </c>
      <c r="BD121" s="63">
        <f>IF(SummaryTable[[#This Row],[OriginalBudget22]]=0, IF(SummaryTable[[#This Row],[DiffAmount22]]=0, ZeroBudgetNoSpending, ZeroBudgetWithSpending), SummaryTable[[#This Row],[DiffAmount22]]/SummaryTable[[#This Row],[OriginalBudget22]])</f>
        <v>-0.51703835860838532</v>
      </c>
      <c r="BE121" s="62">
        <f>IF(COUNTIFS(allFYsTable[Code], SummaryTable[[#This Row],[Code]], allFYsTable[year2], BE$3)=0, NotFound, SUMIFS(allFYsTable[OriginalBudget], allFYsTable[Code], SummaryTable[[#This Row],[Code]], allFYsTable[year2], BE$3))</f>
        <v>28025</v>
      </c>
      <c r="BF121" s="61">
        <f>SummaryTable[[#This Row],[OriginalBudget21]]-SummaryTable[[#This Row],[OriginalBudget20]]</f>
        <v>0</v>
      </c>
      <c r="BG121" s="54">
        <f>SummaryTable[[#This Row],[BudgetIncreaseAmount21]]/SummaryTable[[#This Row],[OriginalBudget20]]</f>
        <v>0</v>
      </c>
      <c r="BH121" s="61">
        <f>IF(COUNTIFS(allFYsTable[Code], SummaryTable[[#This Row],[Code]], allFYsTable[year2], BE$3)=0, NotFound, SUMIFS(allFYsTable[RevisedBudget], allFYsTable[Code], SummaryTable[[#This Row],[Code]], allFYsTable[year2], BE$3))</f>
        <v>18225</v>
      </c>
      <c r="BI121" s="61">
        <f>IF(COUNTIFS(allFYsTable[Code], SummaryTable[[#This Row],[Code]], allFYsTable[year2], BE$3)=0, NotFound, SUMIFS(allFYsTable[Actual], allFYsTable[Code], SummaryTable[[#This Row],[Code]], allFYsTable[year2], BE$3))</f>
        <v>18029</v>
      </c>
      <c r="BJ121" s="61">
        <f>IF(COUNTIFS(allFYsTable[Code], SummaryTable[[#This Row],[Code]], allFYsTable[year2], BE$3)=0, NotFound, SUMIFS(allFYsTable[DiffAmount], allFYsTable[Code], SummaryTable[[#This Row],[Code]], allFYsTable[year2], BE$3))</f>
        <v>-9996</v>
      </c>
      <c r="BK121" s="63">
        <f>IF(SummaryTable[[#This Row],[OriginalBudget21]]=0, IF(SummaryTable[[#This Row],[DiffAmount21]]=0, ZeroBudgetNoSpending, ZeroBudgetWithSpending), SummaryTable[[#This Row],[DiffAmount21]]/SummaryTable[[#This Row],[OriginalBudget21]])</f>
        <v>-0.35668153434433542</v>
      </c>
      <c r="BL121" s="62">
        <f>IF(COUNTIFS(allFYsTable[Code], SummaryTable[[#This Row],[Code]], allFYsTable[year2], BL$3)=0, NotFound, SUMIFS(allFYsTable[OriginalBudget], allFYsTable[Code], SummaryTable[[#This Row],[Code]], allFYsTable[year2], BL$3))</f>
        <v>28025</v>
      </c>
      <c r="BM121" s="61">
        <f>SummaryTable[[#This Row],[OriginalBudget20]]-SummaryTable[[#This Row],[OriginalBudget19]]</f>
        <v>6200</v>
      </c>
      <c r="BN121" s="54">
        <f>SummaryTable[[#This Row],[BudgetIncreaseAmount20]]/SummaryTable[[#This Row],[OriginalBudget19]]</f>
        <v>0.284077892325315</v>
      </c>
      <c r="BO121" s="61">
        <f>IF(COUNTIFS(allFYsTable[Code], SummaryTable[[#This Row],[Code]], allFYsTable[year2], BL$3)=0, NotFound, SUMIFS(allFYsTable[RevisedBudget], allFYsTable[Code], SummaryTable[[#This Row],[Code]], allFYsTable[year2], BL$3))</f>
        <v>16478</v>
      </c>
      <c r="BP121" s="61">
        <f>IF(COUNTIFS(allFYsTable[Code], SummaryTable[[#This Row],[Code]], allFYsTable[year2], BL$3)=0, NotFound, SUMIFS(allFYsTable[Actual], allFYsTable[Code], SummaryTable[[#This Row],[Code]], allFYsTable[year2], BL$3))</f>
        <v>16154</v>
      </c>
      <c r="BQ121" s="61">
        <f>IF(COUNTIFS(allFYsTable[Code], SummaryTable[[#This Row],[Code]], allFYsTable[year2], BL$3)=0, NotFound, SUMIFS(allFYsTable[DiffAmount], allFYsTable[Code], SummaryTable[[#This Row],[Code]], allFYsTable[year2], BL$3))</f>
        <v>-11871</v>
      </c>
      <c r="BR121" s="63">
        <f>IF(SummaryTable[[#This Row],[OriginalBudget20]]=0, IF(SummaryTable[[#This Row],[DiffAmount20]]=0, ZeroBudgetNoSpending, ZeroBudgetWithSpending), SummaryTable[[#This Row],[DiffAmount20]]/SummaryTable[[#This Row],[OriginalBudget20]])</f>
        <v>-0.42358608385370206</v>
      </c>
      <c r="BS121" s="62">
        <f>IF(COUNTIFS(allFYsTable[Code], SummaryTable[[#This Row],[Code]], allFYsTable[year2], BS$3)=0, NotFound, SUMIFS(allFYsTable[OriginalBudget], allFYsTable[Code], SummaryTable[[#This Row],[Code]], allFYsTable[year2], BS$3))</f>
        <v>21825</v>
      </c>
      <c r="BT121" s="61">
        <f>SummaryTable[[#This Row],[OriginalBudget19]]-SummaryTable[[#This Row],[OriginalBudget18]]</f>
        <v>0</v>
      </c>
      <c r="BU121" s="54">
        <f>SummaryTable[[#This Row],[BudgetIncreaseAmount19]]/SummaryTable[[#This Row],[OriginalBudget18]]</f>
        <v>0</v>
      </c>
      <c r="BV121" s="61">
        <f>IF(COUNTIFS(allFYsTable[Code], SummaryTable[[#This Row],[Code]], allFYsTable[year2], BS$3)=0, NotFound, SUMIFS(allFYsTable[RevisedBudget], allFYsTable[Code], SummaryTable[[#This Row],[Code]], allFYsTable[year2], BS$3))</f>
        <v>21825</v>
      </c>
      <c r="BW121" s="61">
        <f>IF(COUNTIFS(allFYsTable[Code], SummaryTable[[#This Row],[Code]], allFYsTable[year2], BS$3)=0, NotFound, SUMIFS(allFYsTable[Actual], allFYsTable[Code], SummaryTable[[#This Row],[Code]], allFYsTable[year2], BS$3))</f>
        <v>21825</v>
      </c>
      <c r="BX121" s="61">
        <f>IF(COUNTIFS(allFYsTable[Code], SummaryTable[[#This Row],[Code]], allFYsTable[year2], BS$3)=0, NotFound, SUMIFS(allFYsTable[DiffAmount], allFYsTable[Code], SummaryTable[[#This Row],[Code]], allFYsTable[year2], BS$3))</f>
        <v>0</v>
      </c>
      <c r="BY121" s="63">
        <f>IF(SummaryTable[[#This Row],[OriginalBudget19]]=0, IF(SummaryTable[[#This Row],[DiffAmount19]]=0, ZeroBudgetNoSpending, ZeroBudgetWithSpending), SummaryTable[[#This Row],[DiffAmount19]]/SummaryTable[[#This Row],[OriginalBudget19]])</f>
        <v>0</v>
      </c>
      <c r="BZ121" s="62">
        <f>IF(COUNTIFS(allFYsTable[Code], SummaryTable[[#This Row],[Code]], allFYsTable[year2], BZ$3)=0, NotFound, SUMIFS(allFYsTable[OriginalBudget], allFYsTable[Code], SummaryTable[[#This Row],[Code]], allFYsTable[year2], BZ$3))</f>
        <v>21825</v>
      </c>
      <c r="CA121" s="61">
        <f>SummaryTable[[#This Row],[OriginalBudget18]]-SummaryTable[[#This Row],[OriginalBudget17]]</f>
        <v>533</v>
      </c>
      <c r="CB121" s="54">
        <f>SummaryTable[[#This Row],[BudgetIncreaseAmount18]]/SummaryTable[[#This Row],[OriginalBudget17]]</f>
        <v>2.5032876197632913E-2</v>
      </c>
      <c r="CC121" s="61">
        <f>IF(COUNTIFS(allFYsTable[Code], SummaryTable[[#This Row],[Code]], allFYsTable[year2], BZ$3)=0, NotFound, SUMIFS(allFYsTable[RevisedBudget], allFYsTable[Code], SummaryTable[[#This Row],[Code]], allFYsTable[year2], BZ$3))</f>
        <v>16021</v>
      </c>
      <c r="CD121" s="61">
        <f>IF(COUNTIFS(allFYsTable[Code], SummaryTable[[#This Row],[Code]], allFYsTable[year2], BZ$3)=0, NotFound, SUMIFS(allFYsTable[Actual], allFYsTable[Code], SummaryTable[[#This Row],[Code]], allFYsTable[year2], BZ$3))</f>
        <v>15959</v>
      </c>
      <c r="CE121" s="61">
        <f>IF(COUNTIFS(allFYsTable[Code], SummaryTable[[#This Row],[Code]], allFYsTable[year2], BZ$3)=0, NotFound, SUMIFS(allFYsTable[DiffAmount], allFYsTable[Code], SummaryTable[[#This Row],[Code]], allFYsTable[year2], BZ$3))</f>
        <v>-5866</v>
      </c>
      <c r="CF121" s="63">
        <f>IF(SummaryTable[[#This Row],[OriginalBudget18]]=0, IF(SummaryTable[[#This Row],[DiffAmount18]]=0, ZeroBudgetNoSpending, ZeroBudgetWithSpending), SummaryTable[[#This Row],[DiffAmount18]]/SummaryTable[[#This Row],[OriginalBudget18]])</f>
        <v>-0.26877434135166095</v>
      </c>
      <c r="CG121" s="62">
        <f>IF(COUNTIFS(allFYsTable[Code], SummaryTable[[#This Row],[Code]], allFYsTable[year2], CG$3)=0, NotFound, SUMIFS(allFYsTable[OriginalBudget], allFYsTable[Code], SummaryTable[[#This Row],[Code]], allFYsTable[year2], CG$3))</f>
        <v>21292</v>
      </c>
      <c r="CH121" s="61">
        <f>SummaryTable[[#This Row],[OriginalBudget17]]-SummaryTable[[#This Row],[OriginalBudget16]]</f>
        <v>0</v>
      </c>
      <c r="CI121" s="54">
        <f>SummaryTable[[#This Row],[BudgetIncreaseAmount17]]/SummaryTable[[#This Row],[OriginalBudget16]]</f>
        <v>0</v>
      </c>
      <c r="CJ121" s="61">
        <f>IF(COUNTIFS(allFYsTable[Code], SummaryTable[[#This Row],[Code]], allFYsTable[year2], CG$3)=0, NotFound, SUMIFS(allFYsTable[RevisedBudget], allFYsTable[Code], SummaryTable[[#This Row],[Code]], allFYsTable[year2], CG$3))</f>
        <v>21292</v>
      </c>
      <c r="CK121" s="61">
        <f>IF(COUNTIFS(allFYsTable[Code], SummaryTable[[#This Row],[Code]], allFYsTable[year2], CG$3)=0, NotFound, SUMIFS(allFYsTable[Actual], allFYsTable[Code], SummaryTable[[#This Row],[Code]], allFYsTable[year2], CG$3))</f>
        <v>21292</v>
      </c>
      <c r="CL121" s="61">
        <f>IF(COUNTIFS(allFYsTable[Code], SummaryTable[[#This Row],[Code]], allFYsTable[year2], CG$3)=0, NotFound, SUMIFS(allFYsTable[DiffAmount], allFYsTable[Code], SummaryTable[[#This Row],[Code]], allFYsTable[year2], CG$3))</f>
        <v>0</v>
      </c>
      <c r="CM121" s="63">
        <f>IF(SummaryTable[[#This Row],[OriginalBudget17]]=0, IF(SummaryTable[[#This Row],[DiffAmount17]]=0, ZeroBudgetNoSpending, ZeroBudgetWithSpending), SummaryTable[[#This Row],[DiffAmount17]]/SummaryTable[[#This Row],[OriginalBudget17]])</f>
        <v>0</v>
      </c>
      <c r="CN121" s="62">
        <f>IF(COUNTIFS(allFYsTable[Code], SummaryTable[[#This Row],[Code]], allFYsTable[year2], CN$3)=0, NotFound, SUMIFS(allFYsTable[OriginalBudget], allFYsTable[Code], SummaryTable[[#This Row],[Code]], allFYsTable[year2], CN$3))</f>
        <v>21292</v>
      </c>
      <c r="CO121" s="61">
        <f>SummaryTable[[#This Row],[OriginalBudget16]]-SummaryTable[[#This Row],[OriginalBudget15]]</f>
        <v>0</v>
      </c>
      <c r="CP121" s="54">
        <f>SummaryTable[[#This Row],[BudgetIncreaseAmount16]]/SummaryTable[[#This Row],[OriginalBudget15]]</f>
        <v>0</v>
      </c>
      <c r="CQ121" s="61">
        <f>IF(COUNTIFS(allFYsTable[Code], SummaryTable[[#This Row],[Code]], allFYsTable[year2], CN$3)=0, NotFound, SUMIFS(allFYsTable[RevisedBudget], allFYsTable[Code], SummaryTable[[#This Row],[Code]], allFYsTable[year2], CN$3))</f>
        <v>33292</v>
      </c>
      <c r="CR121" s="61">
        <f>IF(COUNTIFS(allFYsTable[Code], SummaryTable[[#This Row],[Code]], allFYsTable[year2], CN$3)=0, NotFound, SUMIFS(allFYsTable[Actual], allFYsTable[Code], SummaryTable[[#This Row],[Code]], allFYsTable[year2], CN$3))</f>
        <v>32953</v>
      </c>
      <c r="CS121" s="61">
        <f>IF(COUNTIFS(allFYsTable[Code], SummaryTable[[#This Row],[Code]], allFYsTable[year2], CN$3)=0, NotFound, SUMIFS(allFYsTable[DiffAmount], allFYsTable[Code], SummaryTable[[#This Row],[Code]], allFYsTable[year2], CN$3))</f>
        <v>11661</v>
      </c>
      <c r="CT121" s="63">
        <f>IF(SummaryTable[[#This Row],[OriginalBudget16]]=0, IF(SummaryTable[[#This Row],[DiffAmount16]]=0, ZeroBudgetNoSpending, ZeroBudgetWithSpending), SummaryTable[[#This Row],[DiffAmount16]]/SummaryTable[[#This Row],[OriginalBudget16]])</f>
        <v>0.54767048656772499</v>
      </c>
      <c r="CU121" s="62">
        <f>IF(COUNTIFS(allFYsTable[Code], SummaryTable[[#This Row],[Code]], allFYsTable[year2], CU$3)=0, NotFound, SUMIFS(allFYsTable[OriginalBudget], allFYsTable[Code], SummaryTable[[#This Row],[Code]], allFYsTable[year2], CU$3))</f>
        <v>21292</v>
      </c>
      <c r="CV121" s="61">
        <f>SummaryTable[[#This Row],[OriginalBudget15]]-SummaryTable[[#This Row],[OriginalBudget14]]</f>
        <v>0</v>
      </c>
      <c r="CW121" s="54">
        <f>SummaryTable[[#This Row],[BudgetIncreaseAmount15]]/SummaryTable[[#This Row],[OriginalBudget14]]</f>
        <v>0</v>
      </c>
      <c r="CX121" s="61">
        <f>IF(COUNTIFS(allFYsTable[Code], SummaryTable[[#This Row],[Code]], allFYsTable[year2], CU$3)=0, NotFound, SUMIFS(allFYsTable[RevisedBudget], allFYsTable[Code], SummaryTable[[#This Row],[Code]], allFYsTable[year2], CU$3))</f>
        <v>21292</v>
      </c>
      <c r="CY121" s="61">
        <f>IF(COUNTIFS(allFYsTable[Code], SummaryTable[[#This Row],[Code]], allFYsTable[year2], CU$3)=0, NotFound, SUMIFS(allFYsTable[Actual], allFYsTable[Code], SummaryTable[[#This Row],[Code]], allFYsTable[year2], CU$3))</f>
        <v>17222</v>
      </c>
      <c r="CZ121" s="61">
        <f>IF(COUNTIFS(allFYsTable[Code], SummaryTable[[#This Row],[Code]], allFYsTable[year2], CU$3)=0, NotFound, SUMIFS(allFYsTable[DiffAmount], allFYsTable[Code], SummaryTable[[#This Row],[Code]], allFYsTable[year2], CU$3))</f>
        <v>-4070</v>
      </c>
      <c r="DA121" s="63">
        <f>IF(SummaryTable[[#This Row],[OriginalBudget15]]=0, IF(SummaryTable[[#This Row],[DiffAmount15]]=0, ZeroBudgetNoSpending, ZeroBudgetWithSpending), SummaryTable[[#This Row],[DiffAmount15]]/SummaryTable[[#This Row],[OriginalBudget15]])</f>
        <v>-0.19115160623708435</v>
      </c>
      <c r="DB121" s="62">
        <f>IF(COUNTIFS(allFYsTable[Code], SummaryTable[[#This Row],[Code]], allFYsTable[year2], DB$3)=0, NotFound, SUMIFS(allFYsTable[OriginalBudget], allFYsTable[Code], SummaryTable[[#This Row],[Code]], allFYsTable[year2], DB$3))</f>
        <v>21292</v>
      </c>
      <c r="DC121" s="61">
        <f>SummaryTable[[#This Row],[OriginalBudget14]]-SummaryTable[[#This Row],[OriginalBudget13]]</f>
        <v>-185</v>
      </c>
      <c r="DD121" s="54">
        <f>SummaryTable[[#This Row],[BudgetIncreaseAmount14]]/SummaryTable[[#This Row],[OriginalBudget13]]</f>
        <v>-8.6138659961819616E-3</v>
      </c>
      <c r="DE121" s="61">
        <f>IF(COUNTIFS(allFYsTable[Code], SummaryTable[[#This Row],[Code]], allFYsTable[year2], DB$3)=0, NotFound, SUMIFS(allFYsTable[RevisedBudget], allFYsTable[Code], SummaryTable[[#This Row],[Code]], allFYsTable[year2], DB$3))</f>
        <v>21292</v>
      </c>
      <c r="DF121" s="61">
        <f>IF(COUNTIFS(allFYsTable[Code], SummaryTable[[#This Row],[Code]], allFYsTable[year2], DB$3)=0, NotFound, SUMIFS(allFYsTable[Actual], allFYsTable[Code], SummaryTable[[#This Row],[Code]], allFYsTable[year2], DB$3))</f>
        <v>21292</v>
      </c>
      <c r="DG121" s="61">
        <f>IF(COUNTIFS(allFYsTable[Code], SummaryTable[[#This Row],[Code]], allFYsTable[year2], DB$3)=0, NotFound, SUMIFS(allFYsTable[DiffAmount], allFYsTable[Code], SummaryTable[[#This Row],[Code]], allFYsTable[year2], DB$3))</f>
        <v>0</v>
      </c>
      <c r="DH121" s="63">
        <f>IF(SummaryTable[[#This Row],[OriginalBudget14]]=0, IF(SummaryTable[[#This Row],[DiffAmount14]]=0, ZeroBudgetNoSpending, ZeroBudgetWithSpending), SummaryTable[[#This Row],[DiffAmount14]]/SummaryTable[[#This Row],[OriginalBudget14]])</f>
        <v>0</v>
      </c>
      <c r="DI121" s="62">
        <f>IF(COUNTIFS(allFYsTable[Code], SummaryTable[[#This Row],[Code]], allFYsTable[year2], DI$3)=0, NotFound, SUMIFS(allFYsTable[OriginalBudget], allFYsTable[Code], SummaryTable[[#This Row],[Code]], allFYsTable[year2], DI$3))</f>
        <v>21477</v>
      </c>
      <c r="DJ121" s="61">
        <f>SummaryTable[[#This Row],[OriginalBudget13]]-SummaryTable[[#This Row],[OriginalBudget12]]</f>
        <v>0</v>
      </c>
      <c r="DK121" s="54">
        <f>SummaryTable[[#This Row],[BudgetIncreaseAmount13]]/SummaryTable[[#This Row],[OriginalBudget12]]</f>
        <v>0</v>
      </c>
      <c r="DL121" s="61">
        <f>IF(COUNTIFS(allFYsTable[Code], SummaryTable[[#This Row],[Code]], allFYsTable[year2], DI$3)=0, NotFound, SUMIFS(allFYsTable[RevisedBudget], allFYsTable[Code], SummaryTable[[#This Row],[Code]], allFYsTable[year2], DI$3))</f>
        <v>20977</v>
      </c>
      <c r="DM121" s="61">
        <f>IF(COUNTIFS(allFYsTable[Code], SummaryTable[[#This Row],[Code]], allFYsTable[year2], DI$3)=0, NotFound, SUMIFS(allFYsTable[Actual], allFYsTable[Code], SummaryTable[[#This Row],[Code]], allFYsTable[year2], DI$3))</f>
        <v>15590</v>
      </c>
      <c r="DN121" s="61">
        <f>IF(COUNTIFS(allFYsTable[Code], SummaryTable[[#This Row],[Code]], allFYsTable[year2], DI$3)=0, NotFound, SUMIFS(allFYsTable[DiffAmount], allFYsTable[Code], SummaryTable[[#This Row],[Code]], allFYsTable[year2], DI$3))</f>
        <v>-5887</v>
      </c>
      <c r="DO121" s="63">
        <f>IF(SummaryTable[[#This Row],[OriginalBudget13]]=0, IF(SummaryTable[[#This Row],[DiffAmount13]]=0, ZeroBudgetNoSpending, ZeroBudgetWithSpending), SummaryTable[[#This Row],[DiffAmount13]]/SummaryTable[[#This Row],[OriginalBudget13]])</f>
        <v>-0.27410718442985521</v>
      </c>
      <c r="DP121" s="62">
        <f>IF(COUNTIFS(allFYsTable[Code], SummaryTable[[#This Row],[Code]], allFYsTable[year2], DP$3)=0, NotFound, SUMIFS(allFYsTable[OriginalBudget], allFYsTable[Code], SummaryTable[[#This Row],[Code]], allFYsTable[year2], DP$3))</f>
        <v>21477</v>
      </c>
      <c r="DQ121" s="61">
        <f>SummaryTable[[#This Row],[OriginalBudget12]]-SummaryTable[[#This Row],[OriginalBudget11]]</f>
        <v>0</v>
      </c>
      <c r="DR121" s="54">
        <f>SummaryTable[[#This Row],[BudgetIncreaseAmount12]]/SummaryTable[[#This Row],[OriginalBudget11]]</f>
        <v>0</v>
      </c>
      <c r="DS121" s="61">
        <f>IF(COUNTIFS(allFYsTable[Code], SummaryTable[[#This Row],[Code]], allFYsTable[year2], DP$3)=0, NotFound, SUMIFS(allFYsTable[RevisedBudget], allFYsTable[Code], SummaryTable[[#This Row],[Code]], allFYsTable[year2], DP$3))</f>
        <v>24337</v>
      </c>
      <c r="DT121" s="61">
        <f>IF(COUNTIFS(allFYsTable[Code], SummaryTable[[#This Row],[Code]], allFYsTable[year2], DP$3)=0, NotFound, SUMIFS(allFYsTable[Actual], allFYsTable[Code], SummaryTable[[#This Row],[Code]], allFYsTable[year2], DP$3))</f>
        <v>24337</v>
      </c>
      <c r="DU121" s="61">
        <f>IF(COUNTIFS(allFYsTable[Code], SummaryTable[[#This Row],[Code]], allFYsTable[year2], DP$3)=0, NotFound, SUMIFS(allFYsTable[DiffAmount], allFYsTable[Code], SummaryTable[[#This Row],[Code]], allFYsTable[year2], DP$3))</f>
        <v>2860</v>
      </c>
      <c r="DV121" s="63">
        <f>IF(SummaryTable[[#This Row],[OriginalBudget12]]=0, IF(SummaryTable[[#This Row],[DiffAmount12]]=0, ZeroBudgetNoSpending, ZeroBudgetWithSpending), SummaryTable[[#This Row],[DiffAmount12]]/SummaryTable[[#This Row],[OriginalBudget12]])</f>
        <v>0.13316571215719142</v>
      </c>
      <c r="DW121" s="62">
        <f>IF(COUNTIFS(allFYsTable[Code], SummaryTable[[#This Row],[Code]], allFYsTable[year2], DW$3)=0, NotFound, SUMIFS(allFYsTable[OriginalBudget], allFYsTable[Code], SummaryTable[[#This Row],[Code]], allFYsTable[year2], DW$3))</f>
        <v>21477</v>
      </c>
      <c r="DX121" s="61">
        <f>SummaryTable[[#This Row],[OriginalBudget11]]-SummaryTable[[#This Row],[OriginalBudget10]]</f>
        <v>0</v>
      </c>
      <c r="DY121" s="54">
        <f>SummaryTable[[#This Row],[BudgetIncreaseAmount11]]/SummaryTable[[#This Row],[OriginalBudget10]]</f>
        <v>0</v>
      </c>
      <c r="DZ121" s="61">
        <f>IF(COUNTIFS(allFYsTable[Code], SummaryTable[[#This Row],[Code]], allFYsTable[year2], DW$3)=0, NotFound, SUMIFS(allFYsTable[RevisedBudget], allFYsTable[Code], SummaryTable[[#This Row],[Code]], allFYsTable[year2], DW$3))</f>
        <v>21477</v>
      </c>
      <c r="EA121" s="61">
        <f>IF(COUNTIFS(allFYsTable[Code], SummaryTable[[#This Row],[Code]], allFYsTable[year2], DW$3)=0, NotFound, SUMIFS(allFYsTable[Actual], allFYsTable[Code], SummaryTable[[#This Row],[Code]], allFYsTable[year2], DW$3))</f>
        <v>21477</v>
      </c>
      <c r="EB121" s="61">
        <f>IF(COUNTIFS(allFYsTable[Code], SummaryTable[[#This Row],[Code]], allFYsTable[year2], DW$3)=0, NotFound, SUMIFS(allFYsTable[DiffAmount], allFYsTable[Code], SummaryTable[[#This Row],[Code]], allFYsTable[year2], DW$3))</f>
        <v>0</v>
      </c>
      <c r="EC121" s="63">
        <f>IF(SummaryTable[[#This Row],[OriginalBudget11]]=0, IF(SummaryTable[[#This Row],[DiffAmount11]]=0, ZeroBudgetNoSpending, ZeroBudgetWithSpending), SummaryTable[[#This Row],[DiffAmount11]]/SummaryTable[[#This Row],[OriginalBudget11]])</f>
        <v>0</v>
      </c>
      <c r="ED121" s="62">
        <f>IF(COUNTIFS(allFYsTable[Code], SummaryTable[[#This Row],[Code]], allFYsTable[year2], ED$3)=0, NotFound, SUMIFS(allFYsTable[OriginalBudget], allFYsTable[Code], SummaryTable[[#This Row],[Code]], allFYsTable[year2], ED$3))</f>
        <v>21477</v>
      </c>
      <c r="EE121" s="61">
        <f>SummaryTable[[#This Row],[OriginalBudget10]]-SummaryTable[[#This Row],[OriginalBudget09]]</f>
        <v>0</v>
      </c>
      <c r="EF121" s="54">
        <f>SummaryTable[[#This Row],[BudgetIncreaseAmount10]]/SummaryTable[[#This Row],[OriginalBudget09]]</f>
        <v>0</v>
      </c>
      <c r="EG121" s="61">
        <f>IF(COUNTIFS(allFYsTable[Code], SummaryTable[[#This Row],[Code]], allFYsTable[year2], ED$3)=0, NotFound, SUMIFS(allFYsTable[RevisedBudget], allFYsTable[Code], SummaryTable[[#This Row],[Code]], allFYsTable[year2], ED$3))</f>
        <v>21477</v>
      </c>
      <c r="EH121" s="61">
        <f>IF(COUNTIFS(allFYsTable[Code], SummaryTable[[#This Row],[Code]], allFYsTable[year2], ED$3)=0, NotFound, SUMIFS(allFYsTable[Actual], allFYsTable[Code], SummaryTable[[#This Row],[Code]], allFYsTable[year2], ED$3))</f>
        <v>21470</v>
      </c>
      <c r="EI121" s="61">
        <f>IF(COUNTIFS(allFYsTable[Code], SummaryTable[[#This Row],[Code]], allFYsTable[year2], ED$3)=0, NotFound, SUMIFS(allFYsTable[DiffAmount], allFYsTable[Code], SummaryTable[[#This Row],[Code]], allFYsTable[year2], ED$3))</f>
        <v>-7</v>
      </c>
      <c r="EJ121" s="63">
        <f>IF(SummaryTable[[#This Row],[OriginalBudget10]]=0, IF(SummaryTable[[#This Row],[DiffAmount10]]=0, ZeroBudgetNoSpending, ZeroBudgetWithSpending), SummaryTable[[#This Row],[DiffAmount10]]/SummaryTable[[#This Row],[OriginalBudget10]])</f>
        <v>-3.2593006472039857E-4</v>
      </c>
      <c r="EK121" s="62">
        <f>IF(COUNTIFS(allFYsTable[Code], SummaryTable[[#This Row],[Code]], allFYsTable[year2], EK$3)=0, NotFound, SUMIFS(allFYsTable[OriginalBudget], allFYsTable[Code], SummaryTable[[#This Row],[Code]], allFYsTable[year2], EK$3))</f>
        <v>21477</v>
      </c>
      <c r="EL121" s="61">
        <f>SummaryTable[[#This Row],[OriginalBudget09]]-SummaryTable[[#This Row],[OriginalBudget08]]</f>
        <v>462</v>
      </c>
      <c r="EM121" s="54">
        <f>SummaryTable[[#This Row],[BudgetIncreaseAmount09]]/SummaryTable[[#This Row],[OriginalBudget08]]</f>
        <v>2.1984296930763741E-2</v>
      </c>
      <c r="EN121" s="61">
        <f>IF(COUNTIFS(allFYsTable[Code], SummaryTable[[#This Row],[Code]], allFYsTable[year2], EK$3)=0, NotFound, SUMIFS(allFYsTable[RevisedBudget], allFYsTable[Code], SummaryTable[[#This Row],[Code]], allFYsTable[year2], EK$3))</f>
        <v>17326</v>
      </c>
      <c r="EO121" s="61">
        <f>IF(COUNTIFS(allFYsTable[Code], SummaryTable[[#This Row],[Code]], allFYsTable[year2], EK$3)=0, NotFound, SUMIFS(allFYsTable[Actual], allFYsTable[Code], SummaryTable[[#This Row],[Code]], allFYsTable[year2], EK$3))</f>
        <v>17325</v>
      </c>
      <c r="EP121" s="61">
        <f>IF(COUNTIFS(allFYsTable[Code], SummaryTable[[#This Row],[Code]], allFYsTable[year2], EK$3)=0, NotFound, SUMIFS(allFYsTable[DiffAmount], allFYsTable[Code], SummaryTable[[#This Row],[Code]], allFYsTable[year2], EK$3))</f>
        <v>-4152</v>
      </c>
      <c r="EQ121" s="63">
        <f>IF(SummaryTable[[#This Row],[OriginalBudget09]]=0, IF(SummaryTable[[#This Row],[DiffAmount09]]=0, ZeroBudgetNoSpending, ZeroBudgetWithSpending), SummaryTable[[#This Row],[DiffAmount09]]/SummaryTable[[#This Row],[OriginalBudget09]])</f>
        <v>-0.19332308981701354</v>
      </c>
      <c r="ER121" s="62">
        <f>IF(COUNTIFS(allFYsTable[Code], SummaryTable[[#This Row],[Code]], allFYsTable[year2], ER$3)=0, NotFound, SUMIFS(allFYsTable[OriginalBudget], allFYsTable[Code], SummaryTable[[#This Row],[Code]], allFYsTable[year2], ER$3))</f>
        <v>21015</v>
      </c>
      <c r="ES121" s="61">
        <f>SummaryTable[[#This Row],[OriginalBudget08]]-SummaryTable[[#This Row],[OriginalBudget07]]</f>
        <v>5360</v>
      </c>
      <c r="ET121" s="54">
        <f>SummaryTable[[#This Row],[BudgetIncreaseAmount08]]/SummaryTable[[#This Row],[OriginalBudget07]]</f>
        <v>0.34238262535931013</v>
      </c>
      <c r="EU121" s="61">
        <f>IF(COUNTIFS(allFYsTable[Code], SummaryTable[[#This Row],[Code]], allFYsTable[year2], ER$3)=0, NotFound, SUMIFS(allFYsTable[RevisedBudget], allFYsTable[Code], SummaryTable[[#This Row],[Code]], allFYsTable[year2], ER$3))</f>
        <v>21015</v>
      </c>
      <c r="EV121" s="61">
        <f>IF(COUNTIFS(allFYsTable[Code], SummaryTable[[#This Row],[Code]], allFYsTable[year2], ER$3)=0, NotFound, SUMIFS(allFYsTable[Actual], allFYsTable[Code], SummaryTable[[#This Row],[Code]], allFYsTable[year2], ER$3))</f>
        <v>21015</v>
      </c>
      <c r="EW121" s="61">
        <f>IF(COUNTIFS(allFYsTable[Code], SummaryTable[[#This Row],[Code]], allFYsTable[year2], ER$3)=0, NotFound, SUMIFS(allFYsTable[DiffAmount], allFYsTable[Code], SummaryTable[[#This Row],[Code]], allFYsTable[year2], ER$3))</f>
        <v>0</v>
      </c>
      <c r="EX121" s="63">
        <f>IF(SummaryTable[[#This Row],[OriginalBudget08]]=0, IF(SummaryTable[[#This Row],[DiffAmount08]]=0, ZeroBudgetNoSpending, ZeroBudgetWithSpending), SummaryTable[[#This Row],[DiffAmount08]]/SummaryTable[[#This Row],[OriginalBudget08]])</f>
        <v>0</v>
      </c>
      <c r="EY121" s="62">
        <f>IF(COUNTIFS(allFYsTable[Code], SummaryTable[[#This Row],[Code]], allFYsTable[year2], EY$3)=0, NotFound, SUMIFS(allFYsTable[OriginalBudget], allFYsTable[Code], SummaryTable[[#This Row],[Code]], allFYsTable[year2], EY$3))</f>
        <v>15655</v>
      </c>
      <c r="EZ121" s="61">
        <f>SummaryTable[[#This Row],[OriginalBudget07]]-SummaryTable[[#This Row],[OriginalBudget06]]</f>
        <v>-5000</v>
      </c>
      <c r="FA121" s="54">
        <f>SummaryTable[[#This Row],[BudgetIncreaseAmount07]]/SummaryTable[[#This Row],[OriginalBudget06]]</f>
        <v>-0.24207213749697409</v>
      </c>
      <c r="FB121" s="61">
        <f>IF(COUNTIFS(allFYsTable[Code], SummaryTable[[#This Row],[Code]], allFYsTable[year2], EY$3)=0, NotFound, SUMIFS(allFYsTable[RevisedBudget], allFYsTable[Code], SummaryTable[[#This Row],[Code]], allFYsTable[year2], EY$3))</f>
        <v>25047</v>
      </c>
      <c r="FC121" s="61">
        <f>IF(COUNTIFS(allFYsTable[Code], SummaryTable[[#This Row],[Code]], allFYsTable[year2], EY$3)=0, NotFound, SUMIFS(allFYsTable[Actual], allFYsTable[Code], SummaryTable[[#This Row],[Code]], allFYsTable[year2], EY$3))</f>
        <v>25029</v>
      </c>
      <c r="FD121" s="61">
        <f>IF(COUNTIFS(allFYsTable[Code], SummaryTable[[#This Row],[Code]], allFYsTable[year2], EY$3)=0, NotFound, SUMIFS(allFYsTable[DiffAmount], allFYsTable[Code], SummaryTable[[#This Row],[Code]], allFYsTable[year2], EY$3))</f>
        <v>9374</v>
      </c>
      <c r="FE121" s="63">
        <f>IF(SummaryTable[[#This Row],[OriginalBudget07]]=0, IF(SummaryTable[[#This Row],[DiffAmount07]]=0, ZeroBudgetNoSpending, ZeroBudgetWithSpending), SummaryTable[[#This Row],[DiffAmount07]]/SummaryTable[[#This Row],[OriginalBudget07]])</f>
        <v>0.59878633024592787</v>
      </c>
      <c r="FF121" s="62">
        <f>IF(COUNTIFS(allFYsTable[Code], SummaryTable[[#This Row],[Code]], allFYsTable[year2], FF$3)=0, NotFound, SUMIFS(allFYsTable[OriginalBudget], allFYsTable[Code], SummaryTable[[#This Row],[Code]], allFYsTable[year2], FF$3))</f>
        <v>20655</v>
      </c>
      <c r="FI121" s="61">
        <f>IF(COUNTIFS(allFYsTable[Code], SummaryTable[[#This Row],[Code]], allFYsTable[year2], FF$3)=0, NotFound, SUMIFS(allFYsTable[RevisedBudget], allFYsTable[Code], SummaryTable[[#This Row],[Code]], allFYsTable[year2], FF$3))</f>
        <v>29956</v>
      </c>
      <c r="FJ121" s="61">
        <f>IF(COUNTIFS(allFYsTable[Code], SummaryTable[[#This Row],[Code]], allFYsTable[year2], FF$3)=0, NotFound, SUMIFS(allFYsTable[Actual], allFYsTable[Code], SummaryTable[[#This Row],[Code]], allFYsTable[year2], FF$3))</f>
        <v>29956</v>
      </c>
      <c r="FK121" s="61">
        <f>IF(COUNTIFS(allFYsTable[Code], SummaryTable[[#This Row],[Code]], allFYsTable[year2], FF$3)=0, NotFound, SUMIFS(allFYsTable[DiffAmount], allFYsTable[Code], SummaryTable[[#This Row],[Code]], allFYsTable[year2], FF$3))</f>
        <v>9301</v>
      </c>
      <c r="FL121" s="63">
        <f>IF(SummaryTable[[#This Row],[OriginalBudget06]]=0, IF(SummaryTable[[#This Row],[DiffAmount06]]=0, ZeroBudgetNoSpending, ZeroBudgetWithSpending), SummaryTable[[#This Row],[DiffAmount06]]/SummaryTable[[#This Row],[OriginalBudget06]])</f>
        <v>0.45030259017187124</v>
      </c>
    </row>
    <row r="122" spans="1:168" x14ac:dyDescent="0.45">
      <c r="A122" t="s">
        <v>780</v>
      </c>
      <c r="B122">
        <f>_xlfn.MAXIFS(allFYsTable[year2], allFYsTable[Code], SummaryTable[[#This Row],[Code]])</f>
        <v>2025</v>
      </c>
      <c r="C122" t="str">
        <f>_xlfn.XLOOKUP(SummaryTable[[#This Row],[Code]], NameCodingTable[Code], NameCodingTable[Most Recent Category per allFYs])</f>
        <v>Public education system</v>
      </c>
      <c r="D122" t="str">
        <f>_xlfn.XLOOKUP(SummaryTable[[#This Row],[Code]], NameCodingTable[Code], NameCodingTable[Unit Display Name])</f>
        <v>Special Education Transportation</v>
      </c>
      <c r="E122" t="str">
        <f>_xlfn.XLOOKUP(SummaryTable[[#This Row],[Code]], NameCodingTable[Code], NameCodingTable[Type])</f>
        <v>agency</v>
      </c>
      <c r="F12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16</v>
      </c>
      <c r="G12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8</v>
      </c>
      <c r="H122" s="54">
        <f>SummaryTable[[#This Row],['# Over]]/SummaryTable[[#This Row],[Count]]</f>
        <v>0.5</v>
      </c>
      <c r="I12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8</v>
      </c>
      <c r="J122" s="54">
        <f>SummaryTable[[#This Row],['# Under]]/SummaryTable[[#This Row],[Count]]</f>
        <v>0.5</v>
      </c>
      <c r="K12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22" s="54">
        <f>SummaryTable[[#This Row],['# Equal]]/SummaryTable[[#This Row],[Count]]</f>
        <v>0</v>
      </c>
      <c r="M122" s="61">
        <f>SUMIFS(allFYsTable[OriginalBudget],allFYsTable[Code],SummaryTable[[#This Row],[Code]])/SummaryTable[[#This Row],[Count]]</f>
        <v>95262.3125</v>
      </c>
      <c r="N122" s="61">
        <f>SUMIFS(allFYsTable[Actual],allFYsTable[Code],SummaryTable[[#This Row],[Code]])/SummaryTable[[#This Row],[Count]]</f>
        <v>98514.9375</v>
      </c>
      <c r="O122" s="61">
        <f>SummaryTable[[#This Row],[AvgActAmt]]-SummaryTable[[#This Row],[AvgBudAmt]]</f>
        <v>3252.625</v>
      </c>
      <c r="P122" s="54">
        <f>IF(SummaryTable[[#This Row],[AvgBudAmt]]=0, IF(SummaryTable[[#This Row],[AvgDiff'#]]=0, 0, NamedFields!$C$3), SummaryTable[[#This Row],[AvgDiff'#]]/SummaryTable[[#This Row],[AvgBudAmt]])</f>
        <v>3.4143880351424391E-2</v>
      </c>
      <c r="Q122" s="61">
        <f>IFERROR(SUMIFS(allFYsTable[OriginalBudget],allFYsTable[Code],SummaryTable[[#This Row],[Code]],allFYsTable[DiffAmount], "&gt;0")/SummaryTable[[#This Row],['# Over]], 0)</f>
        <v>93515.125</v>
      </c>
      <c r="R122" s="61">
        <f>IFERROR(SUMIFS(allFYsTable[Actual],allFYsTable[Code],SummaryTable[[#This Row],[Code]],allFYsTable[DiffAmount], "&gt;0")/SummaryTable[[#This Row],['# Over]], 0)</f>
        <v>104257.375</v>
      </c>
      <c r="S122" s="61">
        <f>SummaryTable[[#This Row],[OverAvgAct]]-SummaryTable[[#This Row],[OverAvgBud]]</f>
        <v>10742.25</v>
      </c>
      <c r="T122" s="54">
        <f>IF(SummaryTable[[#This Row],[OverAvgBud]]=0, IF(SummaryTable[[#This Row],[OverAvgDiff'#]]=0, ZeroBudgetNoSpending, ZeroBudgetWithSpending), SummaryTable[[#This Row],[OverAvgDiff'#]]/SummaryTable[[#This Row],[OverAvgBud]])</f>
        <v>0.11487179212988273</v>
      </c>
      <c r="U122" s="61">
        <f>IFERROR(SUMIFS(allFYsTable[OriginalBudget],allFYsTable[Code],SummaryTable[[#This Row],[Code]],allFYsTable[DiffAmount], "&lt;0")/SummaryTable[[#This Row],['# Under]], 0)</f>
        <v>97009.5</v>
      </c>
      <c r="V122" s="61">
        <f>IFERROR( SUMIFS(allFYsTable[Actual],allFYsTable[Code],SummaryTable[[#This Row],[Code]],allFYsTable[DiffAmount], "&lt;0")/SummaryTable[[#This Row],['# Under]], 0)</f>
        <v>92772.5</v>
      </c>
      <c r="W122" s="61">
        <f>SummaryTable[[#This Row],[UnderAvgAct]]-SummaryTable[[#This Row],[UnderAvgBud]]</f>
        <v>-4237</v>
      </c>
      <c r="X122" s="54">
        <f>IF(SummaryTable[[#This Row],[UnderAvgBud]]=0, IF(SummaryTable[[#This Row],[UnderAvgDiff'#]]=0, ZeroBudgetNoSpending, NamedFields!$C$3), SummaryTable[[#This Row],[UnderAvgDiff'#]]/SummaryTable[[#This Row],[UnderAvgBud]])</f>
        <v>-4.3676134811539077E-2</v>
      </c>
      <c r="Y12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12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122" s="54">
        <f>IF(SummaryTable[[#This Row],[IncreaseYears]]=0, ZeroBudgetNoSpending, SummaryTable[[#This Row],[OSinIncreaseYear'#]]/SummaryTable[[#This Row],[IncreaseYears]])</f>
        <v>0.33333333333333331</v>
      </c>
      <c r="AB122" s="58" t="str">
        <f>SummaryTable[[#This Row],[Code]]</f>
        <v>GO0</v>
      </c>
      <c r="AC122" s="62">
        <f>IF(COUNTIFS(allFYsTable[Code], SummaryTable[[#This Row],[Code]], allFYsTable[year2], AC$3)=0, NotFound, SUMIFS(allFYsTable[OriginalBudget], allFYsTable[Code], SummaryTable[[#This Row],[Code]], allFYsTable[year2], AC$3))</f>
        <v>120760</v>
      </c>
      <c r="AD122" s="61">
        <f>SummaryTable[[#This Row],[OriginalBudget25]]-SummaryTable[[#This Row],[OriginalBudget24]]</f>
        <v>13337</v>
      </c>
      <c r="AE122" s="54">
        <f>SummaryTable[[#This Row],[BudgetIncreaseAmount25]]/SummaryTable[[#This Row],[OriginalBudget24]]</f>
        <v>0.12415404522309002</v>
      </c>
      <c r="AF122" s="61">
        <f>IF(COUNTIFS(allFYsTable[Code], SummaryTable[[#This Row],[Code]], allFYsTable[year2], AC$3)=0, NotFound, SUMIFS(allFYsTable[RevisedBudget], allFYsTable[Code], SummaryTable[[#This Row],[Code]], allFYsTable[year2], AC$3))</f>
        <v>137830</v>
      </c>
      <c r="AG122" s="61">
        <f>IF(COUNTIFS(allFYsTable[Code], SummaryTable[[#This Row],[Code]], allFYsTable[year2], AC$3)=0, NotFound, SUMIFS(allFYsTable[Actual], allFYsTable[Code], SummaryTable[[#This Row],[Code]], allFYsTable[year2], AC$3))</f>
        <v>137343</v>
      </c>
      <c r="AH122" s="61">
        <f>IF(COUNTIFS(allFYsTable[Code], SummaryTable[[#This Row],[Code]], allFYsTable[year2], AC$3)=0, NotFound, SUMIFS(allFYsTable[DiffAmount], allFYsTable[Code], SummaryTable[[#This Row],[Code]], allFYsTable[year2], AC$3))</f>
        <v>16583</v>
      </c>
      <c r="AI122" s="63">
        <f>IF(SummaryTable[[#This Row],[OriginalBudget25]]=0, IF(SummaryTable[[#This Row],[DiffAmount25]]=0, ZeroBudgetNoSpending, ZeroBudgetWithSpending), SummaryTable[[#This Row],[DiffAmount25]]/SummaryTable[[#This Row],[OriginalBudget25]])</f>
        <v>0.13732196091421001</v>
      </c>
      <c r="AJ122" s="62">
        <f>IF(COUNTIFS(allFYsTable[Code], SummaryTable[[#This Row],[Code]], allFYsTable[year2], AJ$3)=0, NotFound, SUMIFS(allFYsTable[OriginalBudget], allFYsTable[Code], SummaryTable[[#This Row],[Code]], allFYsTable[year2], AJ$3))</f>
        <v>107423</v>
      </c>
      <c r="AK122" s="61">
        <f>SummaryTable[[#This Row],[OriginalBudget24]]-SummaryTable[[#This Row],[OriginalBudget23]]</f>
        <v>-5679</v>
      </c>
      <c r="AL122" s="54">
        <f>SummaryTable[[#This Row],[BudgetIncreaseAmount24]]/SummaryTable[[#This Row],[OriginalBudget23]]</f>
        <v>-5.0211313681455677E-2</v>
      </c>
      <c r="AM122" s="61">
        <f>IF(COUNTIFS(allFYsTable[Code], SummaryTable[[#This Row],[Code]], allFYsTable[year2], AK$3)=0, NotFound, SUMIFS(allFYsTable[RevisedBudget], allFYsTable[Code], SummaryTable[[#This Row],[Code]], allFYsTable[year2], AJ$3))</f>
        <v>119956</v>
      </c>
      <c r="AN122" s="61">
        <f>IF(COUNTIFS(allFYsTable[Code], SummaryTable[[#This Row],[Code]], allFYsTable[year2], AJ$3)=0, NotFound, SUMIFS(allFYsTable[Actual], allFYsTable[Code], SummaryTable[[#This Row],[Code]], allFYsTable[year2], AJ$3))</f>
        <v>119885</v>
      </c>
      <c r="AO122" s="61">
        <f>IF(COUNTIFS(allFYsTable[Code], SummaryTable[[#This Row],[Code]], allFYsTable[year2], AJ$3)=0, NotFound, SUMIFS(allFYsTable[DiffAmount], allFYsTable[Code], SummaryTable[[#This Row],[Code]], allFYsTable[year2], AJ$3))</f>
        <v>12462</v>
      </c>
      <c r="AP122" s="63">
        <f>IF(SummaryTable[[#This Row],[OriginalBudget24]]=0, IF(SummaryTable[[#This Row],[DiffAmount24]]=0, ZeroBudgetNoSpending, ZeroBudgetWithSpending), SummaryTable[[#This Row],[DiffAmount24]]/SummaryTable[[#This Row],[OriginalBudget24]])</f>
        <v>0.11600867598186608</v>
      </c>
      <c r="AQ122" s="62">
        <f>IF(COUNTIFS(allFYsTable[Code], SummaryTable[[#This Row],[Code]], allFYsTable[year2], AQ$3)=0, NotFound, SUMIFS(allFYsTable[OriginalBudget], allFYsTable[Code], SummaryTable[[#This Row],[Code]], allFYsTable[year2], AQ$3))</f>
        <v>113102</v>
      </c>
      <c r="AR122" s="61" t="e">
        <f>SummaryTable[[#This Row],[OriginalBudget23]]-SummaryTable[[#This Row],[OriginalBudget22]]</f>
        <v>#N/A</v>
      </c>
      <c r="AS122" s="54" t="e">
        <f>SummaryTable[[#This Row],[BudgetIncreaseAmount23]]/SummaryTable[[#This Row],[OriginalBudget22]]</f>
        <v>#N/A</v>
      </c>
      <c r="AT122" s="61">
        <f>IF(COUNTIFS(allFYsTable[Code], SummaryTable[[#This Row],[Code]], allFYsTable[year2], AQ$3)=0, NotFound, SUMIFS(allFYsTable[RevisedBudget], allFYsTable[Code], SummaryTable[[#This Row],[Code]], allFYsTable[year2], AQ$3))</f>
        <v>111002</v>
      </c>
      <c r="AU122" s="61">
        <f>IF(COUNTIFS(allFYsTable[Code], SummaryTable[[#This Row],[Code]], allFYsTable[year2], AQ$3)=0, NotFound, SUMIFS(allFYsTable[Actual], allFYsTable[Code], SummaryTable[[#This Row],[Code]], allFYsTable[year2], AQ$3))</f>
        <v>111002</v>
      </c>
      <c r="AV122" s="61">
        <f>IF(COUNTIFS(allFYsTable[Code], SummaryTable[[#This Row],[Code]], allFYsTable[year2], AQ$3)=0, NotFound, SUMIFS(allFYsTable[DiffAmount], allFYsTable[Code], SummaryTable[[#This Row],[Code]], allFYsTable[year2], AQ$3))</f>
        <v>-2100</v>
      </c>
      <c r="AW122" s="63">
        <f>IF(SummaryTable[[#This Row],[OriginalBudget23]]=0, IF(SummaryTable[[#This Row],[DiffAmount23]]=0, ZeroBudgetNoSpending, ZeroBudgetWithSpending), SummaryTable[[#This Row],[DiffAmount23]]/SummaryTable[[#This Row],[OriginalBudget23]])</f>
        <v>-1.8567310922883769E-2</v>
      </c>
      <c r="AX122" s="62" t="e">
        <f>IF(COUNTIFS(allFYsTable[Code], SummaryTable[[#This Row],[Code]], allFYsTable[year2], AX$3)=0, NotFound, SUMIFS(allFYsTable[OriginalBudget], allFYsTable[Code], SummaryTable[[#This Row],[Code]], allFYsTable[year2], AX$3))</f>
        <v>#N/A</v>
      </c>
      <c r="AY122" s="61" t="e">
        <f>SummaryTable[[#This Row],[OriginalBudget22]]-SummaryTable[[#This Row],[OriginalBudget21]]</f>
        <v>#N/A</v>
      </c>
      <c r="AZ122" s="54" t="e">
        <f>SummaryTable[[#This Row],[BudgetIncreaseAmount22]]/SummaryTable[[#This Row],[OriginalBudget21]]</f>
        <v>#N/A</v>
      </c>
      <c r="BA122" s="61" t="e">
        <f>IF(COUNTIFS(allFYsTable[Code], SummaryTable[[#This Row],[Code]], allFYsTable[year2], AX$3)=0, NotFound, SUMIFS(allFYsTable[RevisedBudget], allFYsTable[Code], SummaryTable[[#This Row],[Code]], allFYsTable[year2], AX$3))</f>
        <v>#N/A</v>
      </c>
      <c r="BB122" s="61" t="e">
        <f>IF(COUNTIFS(allFYsTable[Code], SummaryTable[[#This Row],[Code]], allFYsTable[year2], AX$3)=0, NotFound, SUMIFS(allFYsTable[Actual], allFYsTable[Code], SummaryTable[[#This Row],[Code]], allFYsTable[year2], AX$3))</f>
        <v>#N/A</v>
      </c>
      <c r="BC122" s="61" t="e">
        <f>IF(COUNTIFS(allFYsTable[Code], SummaryTable[[#This Row],[Code]], allFYsTable[year2], AX$3)=0, NotFound, SUMIFS(allFYsTable[DiffAmount], allFYsTable[Code], SummaryTable[[#This Row],[Code]], allFYsTable[year2], AX$3))</f>
        <v>#N/A</v>
      </c>
      <c r="BD122" s="63" t="e">
        <f>IF(SummaryTable[[#This Row],[OriginalBudget22]]=0, IF(SummaryTable[[#This Row],[DiffAmount22]]=0, ZeroBudgetNoSpending, ZeroBudgetWithSpending), SummaryTable[[#This Row],[DiffAmount22]]/SummaryTable[[#This Row],[OriginalBudget22]])</f>
        <v>#N/A</v>
      </c>
      <c r="BE122" s="62">
        <f>IF(COUNTIFS(allFYsTable[Code], SummaryTable[[#This Row],[Code]], allFYsTable[year2], BE$3)=0, NotFound, SUMIFS(allFYsTable[OriginalBudget], allFYsTable[Code], SummaryTable[[#This Row],[Code]], allFYsTable[year2], BE$3))</f>
        <v>111123</v>
      </c>
      <c r="BF122" s="61">
        <f>SummaryTable[[#This Row],[OriginalBudget21]]-SummaryTable[[#This Row],[OriginalBudget20]]</f>
        <v>16577</v>
      </c>
      <c r="BG122" s="54">
        <f>SummaryTable[[#This Row],[BudgetIncreaseAmount21]]/SummaryTable[[#This Row],[OriginalBudget20]]</f>
        <v>0.17533264231167897</v>
      </c>
      <c r="BH122" s="61">
        <f>IF(COUNTIFS(allFYsTable[Code], SummaryTable[[#This Row],[Code]], allFYsTable[year2], BE$3)=0, NotFound, SUMIFS(allFYsTable[RevisedBudget], allFYsTable[Code], SummaryTable[[#This Row],[Code]], allFYsTable[year2], BE$3))</f>
        <v>108214</v>
      </c>
      <c r="BI122" s="61">
        <f>IF(COUNTIFS(allFYsTable[Code], SummaryTable[[#This Row],[Code]], allFYsTable[year2], BE$3)=0, NotFound, SUMIFS(allFYsTable[Actual], allFYsTable[Code], SummaryTable[[#This Row],[Code]], allFYsTable[year2], BE$3))</f>
        <v>104959</v>
      </c>
      <c r="BJ122" s="61">
        <f>IF(COUNTIFS(allFYsTable[Code], SummaryTable[[#This Row],[Code]], allFYsTable[year2], BE$3)=0, NotFound, SUMIFS(allFYsTable[DiffAmount], allFYsTable[Code], SummaryTable[[#This Row],[Code]], allFYsTable[year2], BE$3))</f>
        <v>-6164</v>
      </c>
      <c r="BK122" s="63">
        <f>IF(SummaryTable[[#This Row],[OriginalBudget21]]=0, IF(SummaryTable[[#This Row],[DiffAmount21]]=0, ZeroBudgetNoSpending, ZeroBudgetWithSpending), SummaryTable[[#This Row],[DiffAmount21]]/SummaryTable[[#This Row],[OriginalBudget21]])</f>
        <v>-5.547006470307677E-2</v>
      </c>
      <c r="BL122" s="62">
        <f>IF(COUNTIFS(allFYsTable[Code], SummaryTable[[#This Row],[Code]], allFYsTable[year2], BL$3)=0, NotFound, SUMIFS(allFYsTable[OriginalBudget], allFYsTable[Code], SummaryTable[[#This Row],[Code]], allFYsTable[year2], BL$3))</f>
        <v>94546</v>
      </c>
      <c r="BM122" s="61">
        <f>SummaryTable[[#This Row],[OriginalBudget20]]-SummaryTable[[#This Row],[OriginalBudget19]]</f>
        <v>4507</v>
      </c>
      <c r="BN122" s="54">
        <f>SummaryTable[[#This Row],[BudgetIncreaseAmount20]]/SummaryTable[[#This Row],[OriginalBudget19]]</f>
        <v>5.0056086806828153E-2</v>
      </c>
      <c r="BO122" s="61">
        <f>IF(COUNTIFS(allFYsTable[Code], SummaryTable[[#This Row],[Code]], allFYsTable[year2], BL$3)=0, NotFound, SUMIFS(allFYsTable[RevisedBudget], allFYsTable[Code], SummaryTable[[#This Row],[Code]], allFYsTable[year2], BL$3))</f>
        <v>107741</v>
      </c>
      <c r="BP122" s="61">
        <f>IF(COUNTIFS(allFYsTable[Code], SummaryTable[[#This Row],[Code]], allFYsTable[year2], BL$3)=0, NotFound, SUMIFS(allFYsTable[Actual], allFYsTable[Code], SummaryTable[[#This Row],[Code]], allFYsTable[year2], BL$3))</f>
        <v>106944</v>
      </c>
      <c r="BQ122" s="61">
        <f>IF(COUNTIFS(allFYsTable[Code], SummaryTable[[#This Row],[Code]], allFYsTable[year2], BL$3)=0, NotFound, SUMIFS(allFYsTable[DiffAmount], allFYsTable[Code], SummaryTable[[#This Row],[Code]], allFYsTable[year2], BL$3))</f>
        <v>12398</v>
      </c>
      <c r="BR122" s="63">
        <f>IF(SummaryTable[[#This Row],[OriginalBudget20]]=0, IF(SummaryTable[[#This Row],[DiffAmount20]]=0, ZeroBudgetNoSpending, ZeroBudgetWithSpending), SummaryTable[[#This Row],[DiffAmount20]]/SummaryTable[[#This Row],[OriginalBudget20]])</f>
        <v>0.1311319357772936</v>
      </c>
      <c r="BS122" s="62">
        <f>IF(COUNTIFS(allFYsTable[Code], SummaryTable[[#This Row],[Code]], allFYsTable[year2], BS$3)=0, NotFound, SUMIFS(allFYsTable[OriginalBudget], allFYsTable[Code], SummaryTable[[#This Row],[Code]], allFYsTable[year2], BS$3))</f>
        <v>90039</v>
      </c>
      <c r="BT122" s="61">
        <f>SummaryTable[[#This Row],[OriginalBudget19]]-SummaryTable[[#This Row],[OriginalBudget18]]</f>
        <v>-2253</v>
      </c>
      <c r="BU122" s="54">
        <f>SummaryTable[[#This Row],[BudgetIncreaseAmount19]]/SummaryTable[[#This Row],[OriginalBudget18]]</f>
        <v>-2.4411649980496684E-2</v>
      </c>
      <c r="BV122" s="61">
        <f>IF(COUNTIFS(allFYsTable[Code], SummaryTable[[#This Row],[Code]], allFYsTable[year2], BS$3)=0, NotFound, SUMIFS(allFYsTable[RevisedBudget], allFYsTable[Code], SummaryTable[[#This Row],[Code]], allFYsTable[year2], BS$3))</f>
        <v>100061</v>
      </c>
      <c r="BW122" s="61">
        <f>IF(COUNTIFS(allFYsTable[Code], SummaryTable[[#This Row],[Code]], allFYsTable[year2], BS$3)=0, NotFound, SUMIFS(allFYsTable[Actual], allFYsTable[Code], SummaryTable[[#This Row],[Code]], allFYsTable[year2], BS$3))</f>
        <v>100010</v>
      </c>
      <c r="BX122" s="61">
        <f>IF(COUNTIFS(allFYsTable[Code], SummaryTable[[#This Row],[Code]], allFYsTable[year2], BS$3)=0, NotFound, SUMIFS(allFYsTable[DiffAmount], allFYsTable[Code], SummaryTable[[#This Row],[Code]], allFYsTable[year2], BS$3))</f>
        <v>9971</v>
      </c>
      <c r="BY122" s="63">
        <f>IF(SummaryTable[[#This Row],[OriginalBudget19]]=0, IF(SummaryTable[[#This Row],[DiffAmount19]]=0, ZeroBudgetNoSpending, ZeroBudgetWithSpending), SummaryTable[[#This Row],[DiffAmount19]]/SummaryTable[[#This Row],[OriginalBudget19]])</f>
        <v>0.1107409011650507</v>
      </c>
      <c r="BZ122" s="62">
        <f>IF(COUNTIFS(allFYsTable[Code], SummaryTable[[#This Row],[Code]], allFYsTable[year2], BZ$3)=0, NotFound, SUMIFS(allFYsTable[OriginalBudget], allFYsTable[Code], SummaryTable[[#This Row],[Code]], allFYsTable[year2], BZ$3))</f>
        <v>92292</v>
      </c>
      <c r="CA122" s="61">
        <f>SummaryTable[[#This Row],[OriginalBudget18]]-SummaryTable[[#This Row],[OriginalBudget17]]</f>
        <v>-2022</v>
      </c>
      <c r="CB122" s="54">
        <f>SummaryTable[[#This Row],[BudgetIncreaseAmount18]]/SummaryTable[[#This Row],[OriginalBudget17]]</f>
        <v>-2.1439022838602963E-2</v>
      </c>
      <c r="CC122" s="61">
        <f>IF(COUNTIFS(allFYsTable[Code], SummaryTable[[#This Row],[Code]], allFYsTable[year2], BZ$3)=0, NotFound, SUMIFS(allFYsTable[RevisedBudget], allFYsTable[Code], SummaryTable[[#This Row],[Code]], allFYsTable[year2], BZ$3))</f>
        <v>89292</v>
      </c>
      <c r="CD122" s="61">
        <f>IF(COUNTIFS(allFYsTable[Code], SummaryTable[[#This Row],[Code]], allFYsTable[year2], BZ$3)=0, NotFound, SUMIFS(allFYsTable[Actual], allFYsTable[Code], SummaryTable[[#This Row],[Code]], allFYsTable[year2], BZ$3))</f>
        <v>89258</v>
      </c>
      <c r="CE122" s="61">
        <f>IF(COUNTIFS(allFYsTable[Code], SummaryTable[[#This Row],[Code]], allFYsTable[year2], BZ$3)=0, NotFound, SUMIFS(allFYsTable[DiffAmount], allFYsTable[Code], SummaryTable[[#This Row],[Code]], allFYsTable[year2], BZ$3))</f>
        <v>-3034</v>
      </c>
      <c r="CF122" s="63">
        <f>IF(SummaryTable[[#This Row],[OriginalBudget18]]=0, IF(SummaryTable[[#This Row],[DiffAmount18]]=0, ZeroBudgetNoSpending, ZeroBudgetWithSpending), SummaryTable[[#This Row],[DiffAmount18]]/SummaryTable[[#This Row],[OriginalBudget18]])</f>
        <v>-3.2873921900056342E-2</v>
      </c>
      <c r="CG122" s="62">
        <f>IF(COUNTIFS(allFYsTable[Code], SummaryTable[[#This Row],[Code]], allFYsTable[year2], CG$3)=0, NotFound, SUMIFS(allFYsTable[OriginalBudget], allFYsTable[Code], SummaryTable[[#This Row],[Code]], allFYsTable[year2], CG$3))</f>
        <v>94314</v>
      </c>
      <c r="CH122" s="61">
        <f>SummaryTable[[#This Row],[OriginalBudget17]]-SummaryTable[[#This Row],[OriginalBudget16]]</f>
        <v>509</v>
      </c>
      <c r="CI122" s="54">
        <f>SummaryTable[[#This Row],[BudgetIncreaseAmount17]]/SummaryTable[[#This Row],[OriginalBudget16]]</f>
        <v>5.426149992004691E-3</v>
      </c>
      <c r="CJ122" s="61">
        <f>IF(COUNTIFS(allFYsTable[Code], SummaryTable[[#This Row],[Code]], allFYsTable[year2], CG$3)=0, NotFound, SUMIFS(allFYsTable[RevisedBudget], allFYsTable[Code], SummaryTable[[#This Row],[Code]], allFYsTable[year2], CG$3))</f>
        <v>92064</v>
      </c>
      <c r="CK122" s="61">
        <f>IF(COUNTIFS(allFYsTable[Code], SummaryTable[[#This Row],[Code]], allFYsTable[year2], CG$3)=0, NotFound, SUMIFS(allFYsTable[Actual], allFYsTable[Code], SummaryTable[[#This Row],[Code]], allFYsTable[year2], CG$3))</f>
        <v>89300</v>
      </c>
      <c r="CL122" s="61">
        <f>IF(COUNTIFS(allFYsTable[Code], SummaryTable[[#This Row],[Code]], allFYsTable[year2], CG$3)=0, NotFound, SUMIFS(allFYsTable[DiffAmount], allFYsTable[Code], SummaryTable[[#This Row],[Code]], allFYsTable[year2], CG$3))</f>
        <v>-5014</v>
      </c>
      <c r="CM122" s="63">
        <f>IF(SummaryTable[[#This Row],[OriginalBudget17]]=0, IF(SummaryTable[[#This Row],[DiffAmount17]]=0, ZeroBudgetNoSpending, ZeroBudgetWithSpending), SummaryTable[[#This Row],[DiffAmount17]]/SummaryTable[[#This Row],[OriginalBudget17]])</f>
        <v>-5.3162839027079752E-2</v>
      </c>
      <c r="CN122" s="62">
        <f>IF(COUNTIFS(allFYsTable[Code], SummaryTable[[#This Row],[Code]], allFYsTable[year2], CN$3)=0, NotFound, SUMIFS(allFYsTable[OriginalBudget], allFYsTable[Code], SummaryTable[[#This Row],[Code]], allFYsTable[year2], CN$3))</f>
        <v>93805</v>
      </c>
      <c r="CO122" s="61">
        <f>SummaryTable[[#This Row],[OriginalBudget16]]-SummaryTable[[#This Row],[OriginalBudget15]]</f>
        <v>243</v>
      </c>
      <c r="CP122" s="54">
        <f>SummaryTable[[#This Row],[BudgetIncreaseAmount16]]/SummaryTable[[#This Row],[OriginalBudget15]]</f>
        <v>2.5972082683140591E-3</v>
      </c>
      <c r="CQ122" s="61">
        <f>IF(COUNTIFS(allFYsTable[Code], SummaryTable[[#This Row],[Code]], allFYsTable[year2], CN$3)=0, NotFound, SUMIFS(allFYsTable[RevisedBudget], allFYsTable[Code], SummaryTable[[#This Row],[Code]], allFYsTable[year2], CN$3))</f>
        <v>86571</v>
      </c>
      <c r="CR122" s="61">
        <f>IF(COUNTIFS(allFYsTable[Code], SummaryTable[[#This Row],[Code]], allFYsTable[year2], CN$3)=0, NotFound, SUMIFS(allFYsTable[Actual], allFYsTable[Code], SummaryTable[[#This Row],[Code]], allFYsTable[year2], CN$3))</f>
        <v>85649</v>
      </c>
      <c r="CS122" s="61">
        <f>IF(COUNTIFS(allFYsTable[Code], SummaryTable[[#This Row],[Code]], allFYsTable[year2], CN$3)=0, NotFound, SUMIFS(allFYsTable[DiffAmount], allFYsTable[Code], SummaryTable[[#This Row],[Code]], allFYsTable[year2], CN$3))</f>
        <v>-8156</v>
      </c>
      <c r="CT122" s="63">
        <f>IF(SummaryTable[[#This Row],[OriginalBudget16]]=0, IF(SummaryTable[[#This Row],[DiffAmount16]]=0, ZeroBudgetNoSpending, ZeroBudgetWithSpending), SummaryTable[[#This Row],[DiffAmount16]]/SummaryTable[[#This Row],[OriginalBudget16]])</f>
        <v>-8.6946324822770635E-2</v>
      </c>
      <c r="CU122" s="62">
        <f>IF(COUNTIFS(allFYsTable[Code], SummaryTable[[#This Row],[Code]], allFYsTable[year2], CU$3)=0, NotFound, SUMIFS(allFYsTable[OriginalBudget], allFYsTable[Code], SummaryTable[[#This Row],[Code]], allFYsTable[year2], CU$3))</f>
        <v>93562</v>
      </c>
      <c r="CV122" s="61">
        <f>SummaryTable[[#This Row],[OriginalBudget15]]-SummaryTable[[#This Row],[OriginalBudget14]]</f>
        <v>6874</v>
      </c>
      <c r="CW122" s="54">
        <f>SummaryTable[[#This Row],[BudgetIncreaseAmount15]]/SummaryTable[[#This Row],[OriginalBudget14]]</f>
        <v>7.9295865633074933E-2</v>
      </c>
      <c r="CX122" s="61">
        <f>IF(COUNTIFS(allFYsTable[Code], SummaryTable[[#This Row],[Code]], allFYsTable[year2], CU$3)=0, NotFound, SUMIFS(allFYsTable[RevisedBudget], allFYsTable[Code], SummaryTable[[#This Row],[Code]], allFYsTable[year2], CU$3))</f>
        <v>87957</v>
      </c>
      <c r="CY122" s="61">
        <f>IF(COUNTIFS(allFYsTable[Code], SummaryTable[[#This Row],[Code]], allFYsTable[year2], CU$3)=0, NotFound, SUMIFS(allFYsTable[Actual], allFYsTable[Code], SummaryTable[[#This Row],[Code]], allFYsTable[year2], CU$3))</f>
        <v>86222</v>
      </c>
      <c r="CZ122" s="61">
        <f>IF(COUNTIFS(allFYsTable[Code], SummaryTable[[#This Row],[Code]], allFYsTable[year2], CU$3)=0, NotFound, SUMIFS(allFYsTable[DiffAmount], allFYsTable[Code], SummaryTable[[#This Row],[Code]], allFYsTable[year2], CU$3))</f>
        <v>-7340</v>
      </c>
      <c r="DA122" s="63">
        <f>IF(SummaryTable[[#This Row],[OriginalBudget15]]=0, IF(SummaryTable[[#This Row],[DiffAmount15]]=0, ZeroBudgetNoSpending, ZeroBudgetWithSpending), SummaryTable[[#This Row],[DiffAmount15]]/SummaryTable[[#This Row],[OriginalBudget15]])</f>
        <v>-7.8450653042902038E-2</v>
      </c>
      <c r="DB122" s="62">
        <f>IF(COUNTIFS(allFYsTable[Code], SummaryTable[[#This Row],[Code]], allFYsTable[year2], DB$3)=0, NotFound, SUMIFS(allFYsTable[OriginalBudget], allFYsTable[Code], SummaryTable[[#This Row],[Code]], allFYsTable[year2], DB$3))</f>
        <v>86688</v>
      </c>
      <c r="DC122" s="61">
        <f>SummaryTable[[#This Row],[OriginalBudget14]]-SummaryTable[[#This Row],[OriginalBudget13]]</f>
        <v>-4502</v>
      </c>
      <c r="DD122" s="54">
        <f>SummaryTable[[#This Row],[BudgetIncreaseAmount14]]/SummaryTable[[#This Row],[OriginalBudget13]]</f>
        <v>-4.9369448404430312E-2</v>
      </c>
      <c r="DE122" s="61">
        <f>IF(COUNTIFS(allFYsTable[Code], SummaryTable[[#This Row],[Code]], allFYsTable[year2], DB$3)=0, NotFound, SUMIFS(allFYsTable[RevisedBudget], allFYsTable[Code], SummaryTable[[#This Row],[Code]], allFYsTable[year2], DB$3))</f>
        <v>87203</v>
      </c>
      <c r="DF122" s="61">
        <f>IF(COUNTIFS(allFYsTable[Code], SummaryTable[[#This Row],[Code]], allFYsTable[year2], DB$3)=0, NotFound, SUMIFS(allFYsTable[Actual], allFYsTable[Code], SummaryTable[[#This Row],[Code]], allFYsTable[year2], DB$3))</f>
        <v>86052</v>
      </c>
      <c r="DG122" s="61">
        <f>IF(COUNTIFS(allFYsTable[Code], SummaryTable[[#This Row],[Code]], allFYsTable[year2], DB$3)=0, NotFound, SUMIFS(allFYsTable[DiffAmount], allFYsTable[Code], SummaryTable[[#This Row],[Code]], allFYsTable[year2], DB$3))</f>
        <v>-636</v>
      </c>
      <c r="DH122" s="63">
        <f>IF(SummaryTable[[#This Row],[OriginalBudget14]]=0, IF(SummaryTable[[#This Row],[DiffAmount14]]=0, ZeroBudgetNoSpending, ZeroBudgetWithSpending), SummaryTable[[#This Row],[DiffAmount14]]/SummaryTable[[#This Row],[OriginalBudget14]])</f>
        <v>-7.3366555924695457E-3</v>
      </c>
      <c r="DI122" s="62">
        <f>IF(COUNTIFS(allFYsTable[Code], SummaryTable[[#This Row],[Code]], allFYsTable[year2], DI$3)=0, NotFound, SUMIFS(allFYsTable[OriginalBudget], allFYsTable[Code], SummaryTable[[#This Row],[Code]], allFYsTable[year2], DI$3))</f>
        <v>91190</v>
      </c>
      <c r="DJ122" s="61">
        <f>SummaryTable[[#This Row],[OriginalBudget13]]-SummaryTable[[#This Row],[OriginalBudget12]]</f>
        <v>2430</v>
      </c>
      <c r="DK122" s="54">
        <f>SummaryTable[[#This Row],[BudgetIncreaseAmount13]]/SummaryTable[[#This Row],[OriginalBudget12]]</f>
        <v>2.7377196935556555E-2</v>
      </c>
      <c r="DL122" s="61">
        <f>IF(COUNTIFS(allFYsTable[Code], SummaryTable[[#This Row],[Code]], allFYsTable[year2], DI$3)=0, NotFound, SUMIFS(allFYsTable[RevisedBudget], allFYsTable[Code], SummaryTable[[#This Row],[Code]], allFYsTable[year2], DI$3))</f>
        <v>92260</v>
      </c>
      <c r="DM122" s="61">
        <f>IF(COUNTIFS(allFYsTable[Code], SummaryTable[[#This Row],[Code]], allFYsTable[year2], DI$3)=0, NotFound, SUMIFS(allFYsTable[Actual], allFYsTable[Code], SummaryTable[[#This Row],[Code]], allFYsTable[year2], DI$3))</f>
        <v>89738</v>
      </c>
      <c r="DN122" s="61">
        <f>IF(COUNTIFS(allFYsTable[Code], SummaryTable[[#This Row],[Code]], allFYsTable[year2], DI$3)=0, NotFound, SUMIFS(allFYsTable[DiffAmount], allFYsTable[Code], SummaryTable[[#This Row],[Code]], allFYsTable[year2], DI$3))</f>
        <v>-1452</v>
      </c>
      <c r="DO122" s="63">
        <f>IF(SummaryTable[[#This Row],[OriginalBudget13]]=0, IF(SummaryTable[[#This Row],[DiffAmount13]]=0, ZeroBudgetNoSpending, ZeroBudgetWithSpending), SummaryTable[[#This Row],[DiffAmount13]]/SummaryTable[[#This Row],[OriginalBudget13]])</f>
        <v>-1.5922798552472858E-2</v>
      </c>
      <c r="DP122" s="62">
        <f>IF(COUNTIFS(allFYsTable[Code], SummaryTable[[#This Row],[Code]], allFYsTable[year2], DP$3)=0, NotFound, SUMIFS(allFYsTable[OriginalBudget], allFYsTable[Code], SummaryTable[[#This Row],[Code]], allFYsTable[year2], DP$3))</f>
        <v>88760</v>
      </c>
      <c r="DQ122" s="61">
        <f>SummaryTable[[#This Row],[OriginalBudget12]]-SummaryTable[[#This Row],[OriginalBudget11]]</f>
        <v>-4844</v>
      </c>
      <c r="DR122" s="54">
        <f>SummaryTable[[#This Row],[BudgetIncreaseAmount12]]/SummaryTable[[#This Row],[OriginalBudget11]]</f>
        <v>-5.1749925216871072E-2</v>
      </c>
      <c r="DS122" s="61">
        <f>IF(COUNTIFS(allFYsTable[Code], SummaryTable[[#This Row],[Code]], allFYsTable[year2], DP$3)=0, NotFound, SUMIFS(allFYsTable[RevisedBudget], allFYsTable[Code], SummaryTable[[#This Row],[Code]], allFYsTable[year2], DP$3))</f>
        <v>93067</v>
      </c>
      <c r="DT122" s="61">
        <f>IF(COUNTIFS(allFYsTable[Code], SummaryTable[[#This Row],[Code]], allFYsTable[year2], DP$3)=0, NotFound, SUMIFS(allFYsTable[Actual], allFYsTable[Code], SummaryTable[[#This Row],[Code]], allFYsTable[year2], DP$3))</f>
        <v>93059</v>
      </c>
      <c r="DU122" s="61">
        <f>IF(COUNTIFS(allFYsTable[Code], SummaryTable[[#This Row],[Code]], allFYsTable[year2], DP$3)=0, NotFound, SUMIFS(allFYsTable[DiffAmount], allFYsTable[Code], SummaryTable[[#This Row],[Code]], allFYsTable[year2], DP$3))</f>
        <v>4299</v>
      </c>
      <c r="DV122" s="63">
        <f>IF(SummaryTable[[#This Row],[OriginalBudget12]]=0, IF(SummaryTable[[#This Row],[DiffAmount12]]=0, ZeroBudgetNoSpending, ZeroBudgetWithSpending), SummaryTable[[#This Row],[DiffAmount12]]/SummaryTable[[#This Row],[OriginalBudget12]])</f>
        <v>4.8433979269941418E-2</v>
      </c>
      <c r="DW122" s="62">
        <f>IF(COUNTIFS(allFYsTable[Code], SummaryTable[[#This Row],[Code]], allFYsTable[year2], DW$3)=0, NotFound, SUMIFS(allFYsTable[OriginalBudget], allFYsTable[Code], SummaryTable[[#This Row],[Code]], allFYsTable[year2], DW$3))</f>
        <v>93604</v>
      </c>
      <c r="DX122" s="61">
        <f>SummaryTable[[#This Row],[OriginalBudget11]]-SummaryTable[[#This Row],[OriginalBudget10]]</f>
        <v>16173</v>
      </c>
      <c r="DY122" s="54">
        <f>SummaryTable[[#This Row],[BudgetIncreaseAmount11]]/SummaryTable[[#This Row],[OriginalBudget10]]</f>
        <v>0.20886983249602872</v>
      </c>
      <c r="DZ122" s="61">
        <f>IF(COUNTIFS(allFYsTable[Code], SummaryTable[[#This Row],[Code]], allFYsTable[year2], DW$3)=0, NotFound, SUMIFS(allFYsTable[RevisedBudget], allFYsTable[Code], SummaryTable[[#This Row],[Code]], allFYsTable[year2], DW$3))</f>
        <v>96779</v>
      </c>
      <c r="EA122" s="61">
        <f>IF(COUNTIFS(allFYsTable[Code], SummaryTable[[#This Row],[Code]], allFYsTable[year2], DW$3)=0, NotFound, SUMIFS(allFYsTable[Actual], allFYsTable[Code], SummaryTable[[#This Row],[Code]], allFYsTable[year2], DW$3))</f>
        <v>95973</v>
      </c>
      <c r="EB122" s="61">
        <f>IF(COUNTIFS(allFYsTable[Code], SummaryTable[[#This Row],[Code]], allFYsTable[year2], DW$3)=0, NotFound, SUMIFS(allFYsTable[DiffAmount], allFYsTable[Code], SummaryTable[[#This Row],[Code]], allFYsTable[year2], DW$3))</f>
        <v>2369</v>
      </c>
      <c r="EC122" s="63">
        <f>IF(SummaryTable[[#This Row],[OriginalBudget11]]=0, IF(SummaryTable[[#This Row],[DiffAmount11]]=0, ZeroBudgetNoSpending, ZeroBudgetWithSpending), SummaryTable[[#This Row],[DiffAmount11]]/SummaryTable[[#This Row],[OriginalBudget11]])</f>
        <v>2.5308747489423529E-2</v>
      </c>
      <c r="ED122" s="62">
        <f>IF(COUNTIFS(allFYsTable[Code], SummaryTable[[#This Row],[Code]], allFYsTable[year2], ED$3)=0, NotFound, SUMIFS(allFYsTable[OriginalBudget], allFYsTable[Code], SummaryTable[[#This Row],[Code]], allFYsTable[year2], ED$3))</f>
        <v>77431</v>
      </c>
      <c r="EE122" s="61">
        <f>SummaryTable[[#This Row],[OriginalBudget10]]-SummaryTable[[#This Row],[OriginalBudget09]]</f>
        <v>1873</v>
      </c>
      <c r="EF122" s="54">
        <f>SummaryTable[[#This Row],[BudgetIncreaseAmount10]]/SummaryTable[[#This Row],[OriginalBudget09]]</f>
        <v>2.4788903888403612E-2</v>
      </c>
      <c r="EG122" s="61">
        <f>IF(COUNTIFS(allFYsTable[Code], SummaryTable[[#This Row],[Code]], allFYsTable[year2], ED$3)=0, NotFound, SUMIFS(allFYsTable[RevisedBudget], allFYsTable[Code], SummaryTable[[#This Row],[Code]], allFYsTable[year2], ED$3))</f>
        <v>93282</v>
      </c>
      <c r="EH122" s="61">
        <f>IF(COUNTIFS(allFYsTable[Code], SummaryTable[[#This Row],[Code]], allFYsTable[year2], ED$3)=0, NotFound, SUMIFS(allFYsTable[Actual], allFYsTable[Code], SummaryTable[[#This Row],[Code]], allFYsTable[year2], ED$3))</f>
        <v>93066</v>
      </c>
      <c r="EI122" s="61">
        <f>IF(COUNTIFS(allFYsTable[Code], SummaryTable[[#This Row],[Code]], allFYsTable[year2], ED$3)=0, NotFound, SUMIFS(allFYsTable[DiffAmount], allFYsTable[Code], SummaryTable[[#This Row],[Code]], allFYsTable[year2], ED$3))</f>
        <v>15635</v>
      </c>
      <c r="EJ122" s="63">
        <f>IF(SummaryTable[[#This Row],[OriginalBudget10]]=0, IF(SummaryTable[[#This Row],[DiffAmount10]]=0, ZeroBudgetNoSpending, ZeroBudgetWithSpending), SummaryTable[[#This Row],[DiffAmount10]]/SummaryTable[[#This Row],[OriginalBudget10]])</f>
        <v>0.20192171094264572</v>
      </c>
      <c r="EK122" s="62">
        <f>IF(COUNTIFS(allFYsTable[Code], SummaryTable[[#This Row],[Code]], allFYsTable[year2], EK$3)=0, NotFound, SUMIFS(allFYsTable[OriginalBudget], allFYsTable[Code], SummaryTable[[#This Row],[Code]], allFYsTable[year2], EK$3))</f>
        <v>75558</v>
      </c>
      <c r="EL122" s="61" t="e">
        <f>SummaryTable[[#This Row],[OriginalBudget09]]-SummaryTable[[#This Row],[OriginalBudget08]]</f>
        <v>#N/A</v>
      </c>
      <c r="EM122" s="54" t="e">
        <f>SummaryTable[[#This Row],[BudgetIncreaseAmount09]]/SummaryTable[[#This Row],[OriginalBudget08]]</f>
        <v>#N/A</v>
      </c>
      <c r="EN122" s="61">
        <f>IF(COUNTIFS(allFYsTable[Code], SummaryTable[[#This Row],[Code]], allFYsTable[year2], EK$3)=0, NotFound, SUMIFS(allFYsTable[RevisedBudget], allFYsTable[Code], SummaryTable[[#This Row],[Code]], allFYsTable[year2], EK$3))</f>
        <v>87929</v>
      </c>
      <c r="EO122" s="61">
        <f>IF(COUNTIFS(allFYsTable[Code], SummaryTable[[#This Row],[Code]], allFYsTable[year2], EK$3)=0, NotFound, SUMIFS(allFYsTable[Actual], allFYsTable[Code], SummaryTable[[#This Row],[Code]], allFYsTable[year2], EK$3))</f>
        <v>87779</v>
      </c>
      <c r="EP122" s="61">
        <f>IF(COUNTIFS(allFYsTable[Code], SummaryTable[[#This Row],[Code]], allFYsTable[year2], EK$3)=0, NotFound, SUMIFS(allFYsTable[DiffAmount], allFYsTable[Code], SummaryTable[[#This Row],[Code]], allFYsTable[year2], EK$3))</f>
        <v>12221</v>
      </c>
      <c r="EQ122" s="63">
        <f>IF(SummaryTable[[#This Row],[OriginalBudget09]]=0, IF(SummaryTable[[#This Row],[DiffAmount09]]=0, ZeroBudgetNoSpending, ZeroBudgetWithSpending), SummaryTable[[#This Row],[DiffAmount09]]/SummaryTable[[#This Row],[OriginalBudget09]])</f>
        <v>0.16174329654040603</v>
      </c>
      <c r="ER122" s="62" t="e">
        <f>IF(COUNTIFS(allFYsTable[Code], SummaryTable[[#This Row],[Code]], allFYsTable[year2], ER$3)=0, NotFound, SUMIFS(allFYsTable[OriginalBudget], allFYsTable[Code], SummaryTable[[#This Row],[Code]], allFYsTable[year2], ER$3))</f>
        <v>#N/A</v>
      </c>
      <c r="ES122" s="61" t="e">
        <f>SummaryTable[[#This Row],[OriginalBudget08]]-SummaryTable[[#This Row],[OriginalBudget07]]</f>
        <v>#N/A</v>
      </c>
      <c r="ET122" s="54" t="e">
        <f>SummaryTable[[#This Row],[BudgetIncreaseAmount08]]/SummaryTable[[#This Row],[OriginalBudget07]]</f>
        <v>#N/A</v>
      </c>
      <c r="EU122" s="61" t="e">
        <f>IF(COUNTIFS(allFYsTable[Code], SummaryTable[[#This Row],[Code]], allFYsTable[year2], ER$3)=0, NotFound, SUMIFS(allFYsTable[RevisedBudget], allFYsTable[Code], SummaryTable[[#This Row],[Code]], allFYsTable[year2], ER$3))</f>
        <v>#N/A</v>
      </c>
      <c r="EV122" s="61" t="e">
        <f>IF(COUNTIFS(allFYsTable[Code], SummaryTable[[#This Row],[Code]], allFYsTable[year2], ER$3)=0, NotFound, SUMIFS(allFYsTable[Actual], allFYsTable[Code], SummaryTable[[#This Row],[Code]], allFYsTable[year2], ER$3))</f>
        <v>#N/A</v>
      </c>
      <c r="EW122" s="61" t="e">
        <f>IF(COUNTIFS(allFYsTable[Code], SummaryTable[[#This Row],[Code]], allFYsTable[year2], ER$3)=0, NotFound, SUMIFS(allFYsTable[DiffAmount], allFYsTable[Code], SummaryTable[[#This Row],[Code]], allFYsTable[year2], ER$3))</f>
        <v>#N/A</v>
      </c>
      <c r="EX122" s="63" t="e">
        <f>IF(SummaryTable[[#This Row],[OriginalBudget08]]=0, IF(SummaryTable[[#This Row],[DiffAmount08]]=0, ZeroBudgetNoSpending, ZeroBudgetWithSpending), SummaryTable[[#This Row],[DiffAmount08]]/SummaryTable[[#This Row],[OriginalBudget08]])</f>
        <v>#N/A</v>
      </c>
      <c r="EY122" s="62" t="e">
        <f>IF(COUNTIFS(allFYsTable[Code], SummaryTable[[#This Row],[Code]], allFYsTable[year2], EY$3)=0, NotFound, SUMIFS(allFYsTable[OriginalBudget], allFYsTable[Code], SummaryTable[[#This Row],[Code]], allFYsTable[year2], EY$3))</f>
        <v>#N/A</v>
      </c>
      <c r="EZ122" s="61" t="e">
        <f>SummaryTable[[#This Row],[OriginalBudget07]]-SummaryTable[[#This Row],[OriginalBudget06]]</f>
        <v>#N/A</v>
      </c>
      <c r="FA122" s="54" t="e">
        <f>SummaryTable[[#This Row],[BudgetIncreaseAmount07]]/SummaryTable[[#This Row],[OriginalBudget06]]</f>
        <v>#N/A</v>
      </c>
      <c r="FB122" s="61" t="e">
        <f>IF(COUNTIFS(allFYsTable[Code], SummaryTable[[#This Row],[Code]], allFYsTable[year2], EY$3)=0, NotFound, SUMIFS(allFYsTable[RevisedBudget], allFYsTable[Code], SummaryTable[[#This Row],[Code]], allFYsTable[year2], EY$3))</f>
        <v>#N/A</v>
      </c>
      <c r="FC122" s="61" t="e">
        <f>IF(COUNTIFS(allFYsTable[Code], SummaryTable[[#This Row],[Code]], allFYsTable[year2], EY$3)=0, NotFound, SUMIFS(allFYsTable[Actual], allFYsTable[Code], SummaryTable[[#This Row],[Code]], allFYsTable[year2], EY$3))</f>
        <v>#N/A</v>
      </c>
      <c r="FD122" s="61" t="e">
        <f>IF(COUNTIFS(allFYsTable[Code], SummaryTable[[#This Row],[Code]], allFYsTable[year2], EY$3)=0, NotFound, SUMIFS(allFYsTable[DiffAmount], allFYsTable[Code], SummaryTable[[#This Row],[Code]], allFYsTable[year2], EY$3))</f>
        <v>#N/A</v>
      </c>
      <c r="FE122" s="63" t="e">
        <f>IF(SummaryTable[[#This Row],[OriginalBudget07]]=0, IF(SummaryTable[[#This Row],[DiffAmount07]]=0, ZeroBudgetNoSpending, ZeroBudgetWithSpending), SummaryTable[[#This Row],[DiffAmount07]]/SummaryTable[[#This Row],[OriginalBudget07]])</f>
        <v>#N/A</v>
      </c>
      <c r="FF122" s="62" t="e">
        <f>IF(COUNTIFS(allFYsTable[Code], SummaryTable[[#This Row],[Code]], allFYsTable[year2], FF$3)=0, NotFound, SUMIFS(allFYsTable[OriginalBudget], allFYsTable[Code], SummaryTable[[#This Row],[Code]], allFYsTable[year2], FF$3))</f>
        <v>#N/A</v>
      </c>
      <c r="FI122" s="61" t="e">
        <f>IF(COUNTIFS(allFYsTable[Code], SummaryTable[[#This Row],[Code]], allFYsTable[year2], FF$3)=0, NotFound, SUMIFS(allFYsTable[RevisedBudget], allFYsTable[Code], SummaryTable[[#This Row],[Code]], allFYsTable[year2], FF$3))</f>
        <v>#N/A</v>
      </c>
      <c r="FJ122" s="61" t="e">
        <f>IF(COUNTIFS(allFYsTable[Code], SummaryTable[[#This Row],[Code]], allFYsTable[year2], FF$3)=0, NotFound, SUMIFS(allFYsTable[Actual], allFYsTable[Code], SummaryTable[[#This Row],[Code]], allFYsTable[year2], FF$3))</f>
        <v>#N/A</v>
      </c>
      <c r="FK122" s="61" t="e">
        <f>IF(COUNTIFS(allFYsTable[Code], SummaryTable[[#This Row],[Code]], allFYsTable[year2], FF$3)=0, NotFound, SUMIFS(allFYsTable[DiffAmount], allFYsTable[Code], SummaryTable[[#This Row],[Code]], allFYsTable[year2], FF$3))</f>
        <v>#N/A</v>
      </c>
      <c r="FL122" s="63" t="e">
        <f>IF(SummaryTable[[#This Row],[OriginalBudget06]]=0, IF(SummaryTable[[#This Row],[DiffAmount06]]=0, ZeroBudgetNoSpending, ZeroBudgetWithSpending), SummaryTable[[#This Row],[DiffAmount06]]/SummaryTable[[#This Row],[OriginalBudget06]])</f>
        <v>#N/A</v>
      </c>
    </row>
    <row r="123" spans="1:168" x14ac:dyDescent="0.45">
      <c r="A123" t="s">
        <v>781</v>
      </c>
      <c r="B123">
        <f>_xlfn.MAXIFS(allFYsTable[year2], allFYsTable[Code], SummaryTable[[#This Row],[Code]])</f>
        <v>2025</v>
      </c>
      <c r="C123" t="str">
        <f>_xlfn.XLOOKUP(SummaryTable[[#This Row],[Code]], NameCodingTable[Code], NameCodingTable[Most Recent Category per allFYs])</f>
        <v>Public education system</v>
      </c>
      <c r="D123" t="str">
        <f>_xlfn.XLOOKUP(SummaryTable[[#This Row],[Code]], NameCodingTable[Code], NameCodingTable[Unit Display Name])</f>
        <v>State Board of Education</v>
      </c>
      <c r="E123" t="str">
        <f>_xlfn.XLOOKUP(SummaryTable[[#This Row],[Code]], NameCodingTable[Code], NameCodingTable[Type])</f>
        <v>agency</v>
      </c>
      <c r="F12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13</v>
      </c>
      <c r="G12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23" s="54">
        <f>SummaryTable[[#This Row],['# Over]]/SummaryTable[[#This Row],[Count]]</f>
        <v>7.6923076923076927E-2</v>
      </c>
      <c r="I12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12</v>
      </c>
      <c r="J123" s="54">
        <f>SummaryTable[[#This Row],['# Under]]/SummaryTable[[#This Row],[Count]]</f>
        <v>0.92307692307692313</v>
      </c>
      <c r="K12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23" s="54">
        <f>SummaryTable[[#This Row],['# Equal]]/SummaryTable[[#This Row],[Count]]</f>
        <v>0</v>
      </c>
      <c r="M123" s="61">
        <f>SUMIFS(allFYsTable[OriginalBudget],allFYsTable[Code],SummaryTable[[#This Row],[Code]])/SummaryTable[[#This Row],[Count]]</f>
        <v>1872.3846153846155</v>
      </c>
      <c r="N123" s="61">
        <f>SUMIFS(allFYsTable[Actual],allFYsTable[Code],SummaryTable[[#This Row],[Code]])/SummaryTable[[#This Row],[Count]]</f>
        <v>1755.0769230769231</v>
      </c>
      <c r="O123" s="61">
        <f>SummaryTable[[#This Row],[AvgActAmt]]-SummaryTable[[#This Row],[AvgBudAmt]]</f>
        <v>-117.30769230769238</v>
      </c>
      <c r="P123" s="54">
        <f>IF(SummaryTable[[#This Row],[AvgBudAmt]]=0, IF(SummaryTable[[#This Row],[AvgDiff'#]]=0, 0, NamedFields!$C$3), SummaryTable[[#This Row],[AvgDiff'#]]/SummaryTable[[#This Row],[AvgBudAmt]])</f>
        <v>-6.2651493365104186E-2</v>
      </c>
      <c r="Q123" s="61">
        <f>IFERROR(SUMIFS(allFYsTable[OriginalBudget],allFYsTable[Code],SummaryTable[[#This Row],[Code]],allFYsTable[DiffAmount], "&gt;0")/SummaryTable[[#This Row],['# Over]], 0)</f>
        <v>0</v>
      </c>
      <c r="R123" s="61">
        <f>IFERROR(SUMIFS(allFYsTable[Actual],allFYsTable[Code],SummaryTable[[#This Row],[Code]],allFYsTable[DiffAmount], "&gt;0")/SummaryTable[[#This Row],['# Over]], 0)</f>
        <v>159</v>
      </c>
      <c r="S123" s="61">
        <f>SummaryTable[[#This Row],[OverAvgAct]]-SummaryTable[[#This Row],[OverAvgBud]]</f>
        <v>159</v>
      </c>
      <c r="T123" s="54">
        <f>IF(SummaryTable[[#This Row],[OverAvgBud]]=0, IF(SummaryTable[[#This Row],[OverAvgDiff'#]]=0, ZeroBudgetNoSpending, ZeroBudgetWithSpending), SummaryTable[[#This Row],[OverAvgDiff'#]]/SummaryTable[[#This Row],[OverAvgBud]])</f>
        <v>99.99</v>
      </c>
      <c r="U123" s="61">
        <f>IFERROR(SUMIFS(allFYsTable[OriginalBudget],allFYsTable[Code],SummaryTable[[#This Row],[Code]],allFYsTable[DiffAmount], "&lt;0")/SummaryTable[[#This Row],['# Under]], 0)</f>
        <v>2028.4166666666667</v>
      </c>
      <c r="V123" s="61">
        <f>IFERROR( SUMIFS(allFYsTable[Actual],allFYsTable[Code],SummaryTable[[#This Row],[Code]],allFYsTable[DiffAmount], "&lt;0")/SummaryTable[[#This Row],['# Under]], 0)</f>
        <v>1888.0833333333333</v>
      </c>
      <c r="W123" s="61">
        <f>SummaryTable[[#This Row],[UnderAvgAct]]-SummaryTable[[#This Row],[UnderAvgBud]]</f>
        <v>-140.33333333333348</v>
      </c>
      <c r="X123" s="54">
        <f>IF(SummaryTable[[#This Row],[UnderAvgBud]]=0, IF(SummaryTable[[#This Row],[UnderAvgDiff'#]]=0, ZeroBudgetNoSpending, NamedFields!$C$3), SummaryTable[[#This Row],[UnderAvgDiff'#]]/SummaryTable[[#This Row],[UnderAvgBud]])</f>
        <v>-6.9183681853662624E-2</v>
      </c>
      <c r="Y12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6</v>
      </c>
      <c r="Z12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23" s="54">
        <f>IF(SummaryTable[[#This Row],[IncreaseYears]]=0, ZeroBudgetNoSpending, SummaryTable[[#This Row],[OSinIncreaseYear'#]]/SummaryTable[[#This Row],[IncreaseYears]])</f>
        <v>0</v>
      </c>
      <c r="AB123" s="58" t="str">
        <f>SummaryTable[[#This Row],[Code]]</f>
        <v>GE0</v>
      </c>
      <c r="AC123" s="62">
        <f>IF(COUNTIFS(allFYsTable[Code], SummaryTable[[#This Row],[Code]], allFYsTable[year2], AC$3)=0, NotFound, SUMIFS(allFYsTable[OriginalBudget], allFYsTable[Code], SummaryTable[[#This Row],[Code]], allFYsTable[year2], AC$3))</f>
        <v>3747</v>
      </c>
      <c r="AD123" s="61">
        <f>SummaryTable[[#This Row],[OriginalBudget25]]-SummaryTable[[#This Row],[OriginalBudget24]]</f>
        <v>791</v>
      </c>
      <c r="AE123" s="54">
        <f>SummaryTable[[#This Row],[BudgetIncreaseAmount25]]/SummaryTable[[#This Row],[OriginalBudget24]]</f>
        <v>0.26759133964817322</v>
      </c>
      <c r="AF123" s="61">
        <f>IF(COUNTIFS(allFYsTable[Code], SummaryTable[[#This Row],[Code]], allFYsTable[year2], AC$3)=0, NotFound, SUMIFS(allFYsTable[RevisedBudget], allFYsTable[Code], SummaryTable[[#This Row],[Code]], allFYsTable[year2], AC$3))</f>
        <v>3700</v>
      </c>
      <c r="AG123" s="61">
        <f>IF(COUNTIFS(allFYsTable[Code], SummaryTable[[#This Row],[Code]], allFYsTable[year2], AC$3)=0, NotFound, SUMIFS(allFYsTable[Actual], allFYsTable[Code], SummaryTable[[#This Row],[Code]], allFYsTable[year2], AC$3))</f>
        <v>3696</v>
      </c>
      <c r="AH123" s="61">
        <f>IF(COUNTIFS(allFYsTable[Code], SummaryTable[[#This Row],[Code]], allFYsTable[year2], AC$3)=0, NotFound, SUMIFS(allFYsTable[DiffAmount], allFYsTable[Code], SummaryTable[[#This Row],[Code]], allFYsTable[year2], AC$3))</f>
        <v>-51</v>
      </c>
      <c r="AI123" s="63">
        <f>IF(SummaryTable[[#This Row],[OriginalBudget25]]=0, IF(SummaryTable[[#This Row],[DiffAmount25]]=0, ZeroBudgetNoSpending, ZeroBudgetWithSpending), SummaryTable[[#This Row],[DiffAmount25]]/SummaryTable[[#This Row],[OriginalBudget25]])</f>
        <v>-1.3610888710968775E-2</v>
      </c>
      <c r="AJ123" s="62">
        <f>IF(COUNTIFS(allFYsTable[Code], SummaryTable[[#This Row],[Code]], allFYsTable[year2], AJ$3)=0, NotFound, SUMIFS(allFYsTable[OriginalBudget], allFYsTable[Code], SummaryTable[[#This Row],[Code]], allFYsTable[year2], AJ$3))</f>
        <v>2956</v>
      </c>
      <c r="AK123" s="61">
        <f>SummaryTable[[#This Row],[OriginalBudget24]]-SummaryTable[[#This Row],[OriginalBudget23]]</f>
        <v>239</v>
      </c>
      <c r="AL123" s="54">
        <f>SummaryTable[[#This Row],[BudgetIncreaseAmount24]]/SummaryTable[[#This Row],[OriginalBudget23]]</f>
        <v>8.7964666912035333E-2</v>
      </c>
      <c r="AM123" s="61">
        <f>IF(COUNTIFS(allFYsTable[Code], SummaryTable[[#This Row],[Code]], allFYsTable[year2], AK$3)=0, NotFound, SUMIFS(allFYsTable[RevisedBudget], allFYsTable[Code], SummaryTable[[#This Row],[Code]], allFYsTable[year2], AJ$3))</f>
        <v>2699</v>
      </c>
      <c r="AN123" s="61">
        <f>IF(COUNTIFS(allFYsTable[Code], SummaryTable[[#This Row],[Code]], allFYsTable[year2], AJ$3)=0, NotFound, SUMIFS(allFYsTable[Actual], allFYsTable[Code], SummaryTable[[#This Row],[Code]], allFYsTable[year2], AJ$3))</f>
        <v>2699</v>
      </c>
      <c r="AO123" s="61">
        <f>IF(COUNTIFS(allFYsTable[Code], SummaryTable[[#This Row],[Code]], allFYsTable[year2], AJ$3)=0, NotFound, SUMIFS(allFYsTable[DiffAmount], allFYsTable[Code], SummaryTable[[#This Row],[Code]], allFYsTable[year2], AJ$3))</f>
        <v>-257</v>
      </c>
      <c r="AP123" s="63">
        <f>IF(SummaryTable[[#This Row],[OriginalBudget24]]=0, IF(SummaryTable[[#This Row],[DiffAmount24]]=0, ZeroBudgetNoSpending, ZeroBudgetWithSpending), SummaryTable[[#This Row],[DiffAmount24]]/SummaryTable[[#This Row],[OriginalBudget24]])</f>
        <v>-8.6941813261163736E-2</v>
      </c>
      <c r="AQ123" s="62">
        <f>IF(COUNTIFS(allFYsTable[Code], SummaryTable[[#This Row],[Code]], allFYsTable[year2], AQ$3)=0, NotFound, SUMIFS(allFYsTable[OriginalBudget], allFYsTable[Code], SummaryTable[[#This Row],[Code]], allFYsTable[year2], AQ$3))</f>
        <v>2717</v>
      </c>
      <c r="AR123" s="61">
        <f>SummaryTable[[#This Row],[OriginalBudget23]]-SummaryTable[[#This Row],[OriginalBudget22]]</f>
        <v>356</v>
      </c>
      <c r="AS123" s="54">
        <f>SummaryTable[[#This Row],[BudgetIncreaseAmount23]]/SummaryTable[[#This Row],[OriginalBudget22]]</f>
        <v>0.15078356628547226</v>
      </c>
      <c r="AT123" s="61">
        <f>IF(COUNTIFS(allFYsTable[Code], SummaryTable[[#This Row],[Code]], allFYsTable[year2], AQ$3)=0, NotFound, SUMIFS(allFYsTable[RevisedBudget], allFYsTable[Code], SummaryTable[[#This Row],[Code]], allFYsTable[year2], AQ$3))</f>
        <v>2762</v>
      </c>
      <c r="AU123" s="61">
        <f>IF(COUNTIFS(allFYsTable[Code], SummaryTable[[#This Row],[Code]], allFYsTable[year2], AQ$3)=0, NotFound, SUMIFS(allFYsTable[Actual], allFYsTable[Code], SummaryTable[[#This Row],[Code]], allFYsTable[year2], AQ$3))</f>
        <v>2505</v>
      </c>
      <c r="AV123" s="61">
        <f>IF(COUNTIFS(allFYsTable[Code], SummaryTable[[#This Row],[Code]], allFYsTable[year2], AQ$3)=0, NotFound, SUMIFS(allFYsTable[DiffAmount], allFYsTable[Code], SummaryTable[[#This Row],[Code]], allFYsTable[year2], AQ$3))</f>
        <v>-212</v>
      </c>
      <c r="AW123" s="63">
        <f>IF(SummaryTable[[#This Row],[OriginalBudget23]]=0, IF(SummaryTable[[#This Row],[DiffAmount23]]=0, ZeroBudgetNoSpending, ZeroBudgetWithSpending), SummaryTable[[#This Row],[DiffAmount23]]/SummaryTable[[#This Row],[OriginalBudget23]])</f>
        <v>-7.8027235921972762E-2</v>
      </c>
      <c r="AX123" s="62">
        <f>IF(COUNTIFS(allFYsTable[Code], SummaryTable[[#This Row],[Code]], allFYsTable[year2], AX$3)=0, NotFound, SUMIFS(allFYsTable[OriginalBudget], allFYsTable[Code], SummaryTable[[#This Row],[Code]], allFYsTable[year2], AX$3))</f>
        <v>2361</v>
      </c>
      <c r="AY123" s="61">
        <f>SummaryTable[[#This Row],[OriginalBudget22]]-SummaryTable[[#This Row],[OriginalBudget21]]</f>
        <v>174</v>
      </c>
      <c r="AZ123" s="54">
        <f>SummaryTable[[#This Row],[BudgetIncreaseAmount22]]/SummaryTable[[#This Row],[OriginalBudget21]]</f>
        <v>7.956104252400549E-2</v>
      </c>
      <c r="BA123" s="61">
        <f>IF(COUNTIFS(allFYsTable[Code], SummaryTable[[#This Row],[Code]], allFYsTable[year2], AX$3)=0, NotFound, SUMIFS(allFYsTable[RevisedBudget], allFYsTable[Code], SummaryTable[[#This Row],[Code]], allFYsTable[year2], AX$3))</f>
        <v>2330</v>
      </c>
      <c r="BB123" s="61">
        <f>IF(COUNTIFS(allFYsTable[Code], SummaryTable[[#This Row],[Code]], allFYsTable[year2], AX$3)=0, NotFound, SUMIFS(allFYsTable[Actual], allFYsTable[Code], SummaryTable[[#This Row],[Code]], allFYsTable[year2], AX$3))</f>
        <v>2314</v>
      </c>
      <c r="BC123" s="61">
        <f>IF(COUNTIFS(allFYsTable[Code], SummaryTable[[#This Row],[Code]], allFYsTable[year2], AX$3)=0, NotFound, SUMIFS(allFYsTable[DiffAmount], allFYsTable[Code], SummaryTable[[#This Row],[Code]], allFYsTable[year2], AX$3))</f>
        <v>-47</v>
      </c>
      <c r="BD123" s="63">
        <f>IF(SummaryTable[[#This Row],[OriginalBudget22]]=0, IF(SummaryTable[[#This Row],[DiffAmount22]]=0, ZeroBudgetNoSpending, ZeroBudgetWithSpending), SummaryTable[[#This Row],[DiffAmount22]]/SummaryTable[[#This Row],[OriginalBudget22]])</f>
        <v>-1.9906819144430325E-2</v>
      </c>
      <c r="BE123" s="62">
        <f>IF(COUNTIFS(allFYsTable[Code], SummaryTable[[#This Row],[Code]], allFYsTable[year2], BE$3)=0, NotFound, SUMIFS(allFYsTable[OriginalBudget], allFYsTable[Code], SummaryTable[[#This Row],[Code]], allFYsTable[year2], BE$3))</f>
        <v>2187</v>
      </c>
      <c r="BF123" s="61">
        <f>SummaryTable[[#This Row],[OriginalBudget21]]-SummaryTable[[#This Row],[OriginalBudget20]]</f>
        <v>27</v>
      </c>
      <c r="BG123" s="54">
        <f>SummaryTable[[#This Row],[BudgetIncreaseAmount21]]/SummaryTable[[#This Row],[OriginalBudget20]]</f>
        <v>1.2500000000000001E-2</v>
      </c>
      <c r="BH123" s="61">
        <f>IF(COUNTIFS(allFYsTable[Code], SummaryTable[[#This Row],[Code]], allFYsTable[year2], BE$3)=0, NotFound, SUMIFS(allFYsTable[RevisedBudget], allFYsTable[Code], SummaryTable[[#This Row],[Code]], allFYsTable[year2], BE$3))</f>
        <v>2127</v>
      </c>
      <c r="BI123" s="61">
        <f>IF(COUNTIFS(allFYsTable[Code], SummaryTable[[#This Row],[Code]], allFYsTable[year2], BE$3)=0, NotFound, SUMIFS(allFYsTable[Actual], allFYsTable[Code], SummaryTable[[#This Row],[Code]], allFYsTable[year2], BE$3))</f>
        <v>2044</v>
      </c>
      <c r="BJ123" s="61">
        <f>IF(COUNTIFS(allFYsTable[Code], SummaryTable[[#This Row],[Code]], allFYsTable[year2], BE$3)=0, NotFound, SUMIFS(allFYsTable[DiffAmount], allFYsTable[Code], SummaryTable[[#This Row],[Code]], allFYsTable[year2], BE$3))</f>
        <v>-143</v>
      </c>
      <c r="BK123" s="63">
        <f>IF(SummaryTable[[#This Row],[OriginalBudget21]]=0, IF(SummaryTable[[#This Row],[DiffAmount21]]=0, ZeroBudgetNoSpending, ZeroBudgetWithSpending), SummaryTable[[#This Row],[DiffAmount21]]/SummaryTable[[#This Row],[OriginalBudget21]])</f>
        <v>-6.5386374028349334E-2</v>
      </c>
      <c r="BL123" s="62">
        <f>IF(COUNTIFS(allFYsTable[Code], SummaryTable[[#This Row],[Code]], allFYsTable[year2], BL$3)=0, NotFound, SUMIFS(allFYsTable[OriginalBudget], allFYsTable[Code], SummaryTable[[#This Row],[Code]], allFYsTable[year2], BL$3))</f>
        <v>2160</v>
      </c>
      <c r="BM123" s="61">
        <f>SummaryTable[[#This Row],[OriginalBudget20]]-SummaryTable[[#This Row],[OriginalBudget19]]</f>
        <v>310</v>
      </c>
      <c r="BN123" s="54">
        <f>SummaryTable[[#This Row],[BudgetIncreaseAmount20]]/SummaryTable[[#This Row],[OriginalBudget19]]</f>
        <v>0.16756756756756758</v>
      </c>
      <c r="BO123" s="61">
        <f>IF(COUNTIFS(allFYsTable[Code], SummaryTable[[#This Row],[Code]], allFYsTable[year2], BL$3)=0, NotFound, SUMIFS(allFYsTable[RevisedBudget], allFYsTable[Code], SummaryTable[[#This Row],[Code]], allFYsTable[year2], BL$3))</f>
        <v>2008</v>
      </c>
      <c r="BP123" s="61">
        <f>IF(COUNTIFS(allFYsTable[Code], SummaryTable[[#This Row],[Code]], allFYsTable[year2], BL$3)=0, NotFound, SUMIFS(allFYsTable[Actual], allFYsTable[Code], SummaryTable[[#This Row],[Code]], allFYsTable[year2], BL$3))</f>
        <v>1876</v>
      </c>
      <c r="BQ123" s="61">
        <f>IF(COUNTIFS(allFYsTable[Code], SummaryTable[[#This Row],[Code]], allFYsTable[year2], BL$3)=0, NotFound, SUMIFS(allFYsTable[DiffAmount], allFYsTable[Code], SummaryTable[[#This Row],[Code]], allFYsTable[year2], BL$3))</f>
        <v>-284</v>
      </c>
      <c r="BR123" s="63">
        <f>IF(SummaryTable[[#This Row],[OriginalBudget20]]=0, IF(SummaryTable[[#This Row],[DiffAmount20]]=0, ZeroBudgetNoSpending, ZeroBudgetWithSpending), SummaryTable[[#This Row],[DiffAmount20]]/SummaryTable[[#This Row],[OriginalBudget20]])</f>
        <v>-0.13148148148148148</v>
      </c>
      <c r="BS123" s="62">
        <f>IF(COUNTIFS(allFYsTable[Code], SummaryTable[[#This Row],[Code]], allFYsTable[year2], BS$3)=0, NotFound, SUMIFS(allFYsTable[OriginalBudget], allFYsTable[Code], SummaryTable[[#This Row],[Code]], allFYsTable[year2], BS$3))</f>
        <v>1850</v>
      </c>
      <c r="BT123" s="61">
        <f>SummaryTable[[#This Row],[OriginalBudget19]]-SummaryTable[[#This Row],[OriginalBudget18]]</f>
        <v>139</v>
      </c>
      <c r="BU123" s="54">
        <f>SummaryTable[[#This Row],[BudgetIncreaseAmount19]]/SummaryTable[[#This Row],[OriginalBudget18]]</f>
        <v>8.123904149620105E-2</v>
      </c>
      <c r="BV123" s="61">
        <f>IF(COUNTIFS(allFYsTable[Code], SummaryTable[[#This Row],[Code]], allFYsTable[year2], BS$3)=0, NotFound, SUMIFS(allFYsTable[RevisedBudget], allFYsTable[Code], SummaryTable[[#This Row],[Code]], allFYsTable[year2], BS$3))</f>
        <v>1808</v>
      </c>
      <c r="BW123" s="61">
        <f>IF(COUNTIFS(allFYsTable[Code], SummaryTable[[#This Row],[Code]], allFYsTable[year2], BS$3)=0, NotFound, SUMIFS(allFYsTable[Actual], allFYsTable[Code], SummaryTable[[#This Row],[Code]], allFYsTable[year2], BS$3))</f>
        <v>1738</v>
      </c>
      <c r="BX123" s="61">
        <f>IF(COUNTIFS(allFYsTable[Code], SummaryTable[[#This Row],[Code]], allFYsTable[year2], BS$3)=0, NotFound, SUMIFS(allFYsTable[DiffAmount], allFYsTable[Code], SummaryTable[[#This Row],[Code]], allFYsTable[year2], BS$3))</f>
        <v>-112</v>
      </c>
      <c r="BY123" s="63">
        <f>IF(SummaryTable[[#This Row],[OriginalBudget19]]=0, IF(SummaryTable[[#This Row],[DiffAmount19]]=0, ZeroBudgetNoSpending, ZeroBudgetWithSpending), SummaryTable[[#This Row],[DiffAmount19]]/SummaryTable[[#This Row],[OriginalBudget19]])</f>
        <v>-6.054054054054054E-2</v>
      </c>
      <c r="BZ123" s="62">
        <f>IF(COUNTIFS(allFYsTable[Code], SummaryTable[[#This Row],[Code]], allFYsTable[year2], BZ$3)=0, NotFound, SUMIFS(allFYsTable[OriginalBudget], allFYsTable[Code], SummaryTable[[#This Row],[Code]], allFYsTable[year2], BZ$3))</f>
        <v>1711</v>
      </c>
      <c r="CA123" s="61">
        <f>SummaryTable[[#This Row],[OriginalBudget18]]-SummaryTable[[#This Row],[OriginalBudget17]]</f>
        <v>231</v>
      </c>
      <c r="CB123" s="54">
        <f>SummaryTable[[#This Row],[BudgetIncreaseAmount18]]/SummaryTable[[#This Row],[OriginalBudget17]]</f>
        <v>0.15608108108108107</v>
      </c>
      <c r="CC123" s="61">
        <f>IF(COUNTIFS(allFYsTable[Code], SummaryTable[[#This Row],[Code]], allFYsTable[year2], BZ$3)=0, NotFound, SUMIFS(allFYsTable[RevisedBudget], allFYsTable[Code], SummaryTable[[#This Row],[Code]], allFYsTable[year2], BZ$3))</f>
        <v>1711</v>
      </c>
      <c r="CD123" s="61">
        <f>IF(COUNTIFS(allFYsTable[Code], SummaryTable[[#This Row],[Code]], allFYsTable[year2], BZ$3)=0, NotFound, SUMIFS(allFYsTable[Actual], allFYsTable[Code], SummaryTable[[#This Row],[Code]], allFYsTable[year2], BZ$3))</f>
        <v>1691</v>
      </c>
      <c r="CE123" s="61">
        <f>IF(COUNTIFS(allFYsTable[Code], SummaryTable[[#This Row],[Code]], allFYsTable[year2], BZ$3)=0, NotFound, SUMIFS(allFYsTable[DiffAmount], allFYsTable[Code], SummaryTable[[#This Row],[Code]], allFYsTable[year2], BZ$3))</f>
        <v>-20</v>
      </c>
      <c r="CF123" s="63">
        <f>IF(SummaryTable[[#This Row],[OriginalBudget18]]=0, IF(SummaryTable[[#This Row],[DiffAmount18]]=0, ZeroBudgetNoSpending, ZeroBudgetWithSpending), SummaryTable[[#This Row],[DiffAmount18]]/SummaryTable[[#This Row],[OriginalBudget18]])</f>
        <v>-1.1689070718877849E-2</v>
      </c>
      <c r="CG123" s="62">
        <f>IF(COUNTIFS(allFYsTable[Code], SummaryTable[[#This Row],[Code]], allFYsTable[year2], CG$3)=0, NotFound, SUMIFS(allFYsTable[OriginalBudget], allFYsTable[Code], SummaryTable[[#This Row],[Code]], allFYsTable[year2], CG$3))</f>
        <v>1480</v>
      </c>
      <c r="CH123" s="61">
        <f>SummaryTable[[#This Row],[OriginalBudget17]]-SummaryTable[[#This Row],[OriginalBudget16]]</f>
        <v>326</v>
      </c>
      <c r="CI123" s="54">
        <f>SummaryTable[[#This Row],[BudgetIncreaseAmount17]]/SummaryTable[[#This Row],[OriginalBudget16]]</f>
        <v>0.28249566724436742</v>
      </c>
      <c r="CJ123" s="61">
        <f>IF(COUNTIFS(allFYsTable[Code], SummaryTable[[#This Row],[Code]], allFYsTable[year2], CG$3)=0, NotFound, SUMIFS(allFYsTable[RevisedBudget], allFYsTable[Code], SummaryTable[[#This Row],[Code]], allFYsTable[year2], CG$3))</f>
        <v>1480</v>
      </c>
      <c r="CK123" s="61">
        <f>IF(COUNTIFS(allFYsTable[Code], SummaryTable[[#This Row],[Code]], allFYsTable[year2], CG$3)=0, NotFound, SUMIFS(allFYsTable[Actual], allFYsTable[Code], SummaryTable[[#This Row],[Code]], allFYsTable[year2], CG$3))</f>
        <v>1267</v>
      </c>
      <c r="CL123" s="61">
        <f>IF(COUNTIFS(allFYsTable[Code], SummaryTable[[#This Row],[Code]], allFYsTable[year2], CG$3)=0, NotFound, SUMIFS(allFYsTable[DiffAmount], allFYsTable[Code], SummaryTable[[#This Row],[Code]], allFYsTable[year2], CG$3))</f>
        <v>-213</v>
      </c>
      <c r="CM123" s="63">
        <f>IF(SummaryTable[[#This Row],[OriginalBudget17]]=0, IF(SummaryTable[[#This Row],[DiffAmount17]]=0, ZeroBudgetNoSpending, ZeroBudgetWithSpending), SummaryTable[[#This Row],[DiffAmount17]]/SummaryTable[[#This Row],[OriginalBudget17]])</f>
        <v>-0.14391891891891892</v>
      </c>
      <c r="CN123" s="62">
        <f>IF(COUNTIFS(allFYsTable[Code], SummaryTable[[#This Row],[Code]], allFYsTable[year2], CN$3)=0, NotFound, SUMIFS(allFYsTable[OriginalBudget], allFYsTable[Code], SummaryTable[[#This Row],[Code]], allFYsTable[year2], CN$3))</f>
        <v>1154</v>
      </c>
      <c r="CO123" s="61">
        <f>SummaryTable[[#This Row],[OriginalBudget16]]-SummaryTable[[#This Row],[OriginalBudget15]]</f>
        <v>2</v>
      </c>
      <c r="CP123" s="54">
        <f>SummaryTable[[#This Row],[BudgetIncreaseAmount16]]/SummaryTable[[#This Row],[OriginalBudget15]]</f>
        <v>1.736111111111111E-3</v>
      </c>
      <c r="CQ123" s="61">
        <f>IF(COUNTIFS(allFYsTable[Code], SummaryTable[[#This Row],[Code]], allFYsTable[year2], CN$3)=0, NotFound, SUMIFS(allFYsTable[RevisedBudget], allFYsTable[Code], SummaryTable[[#This Row],[Code]], allFYsTable[year2], CN$3))</f>
        <v>1154</v>
      </c>
      <c r="CR123" s="61">
        <f>IF(COUNTIFS(allFYsTable[Code], SummaryTable[[#This Row],[Code]], allFYsTable[year2], CN$3)=0, NotFound, SUMIFS(allFYsTable[Actual], allFYsTable[Code], SummaryTable[[#This Row],[Code]], allFYsTable[year2], CN$3))</f>
        <v>1017</v>
      </c>
      <c r="CS123" s="61">
        <f>IF(COUNTIFS(allFYsTable[Code], SummaryTable[[#This Row],[Code]], allFYsTable[year2], CN$3)=0, NotFound, SUMIFS(allFYsTable[DiffAmount], allFYsTable[Code], SummaryTable[[#This Row],[Code]], allFYsTable[year2], CN$3))</f>
        <v>-137</v>
      </c>
      <c r="CT123" s="63">
        <f>IF(SummaryTable[[#This Row],[OriginalBudget16]]=0, IF(SummaryTable[[#This Row],[DiffAmount16]]=0, ZeroBudgetNoSpending, ZeroBudgetWithSpending), SummaryTable[[#This Row],[DiffAmount16]]/SummaryTable[[#This Row],[OriginalBudget16]])</f>
        <v>-0.11871750433275563</v>
      </c>
      <c r="CU123" s="62">
        <f>IF(COUNTIFS(allFYsTable[Code], SummaryTable[[#This Row],[Code]], allFYsTable[year2], CU$3)=0, NotFound, SUMIFS(allFYsTable[OriginalBudget], allFYsTable[Code], SummaryTable[[#This Row],[Code]], allFYsTable[year2], CU$3))</f>
        <v>1152</v>
      </c>
      <c r="CV123" s="61">
        <f>SummaryTable[[#This Row],[OriginalBudget15]]-SummaryTable[[#This Row],[OriginalBudget14]]</f>
        <v>286</v>
      </c>
      <c r="CW123" s="54">
        <f>SummaryTable[[#This Row],[BudgetIncreaseAmount15]]/SummaryTable[[#This Row],[OriginalBudget14]]</f>
        <v>0.33025404157043881</v>
      </c>
      <c r="CX123" s="61">
        <f>IF(COUNTIFS(allFYsTable[Code], SummaryTable[[#This Row],[Code]], allFYsTable[year2], CU$3)=0, NotFound, SUMIFS(allFYsTable[RevisedBudget], allFYsTable[Code], SummaryTable[[#This Row],[Code]], allFYsTable[year2], CU$3))</f>
        <v>1142</v>
      </c>
      <c r="CY123" s="61">
        <f>IF(COUNTIFS(allFYsTable[Code], SummaryTable[[#This Row],[Code]], allFYsTable[year2], CU$3)=0, NotFound, SUMIFS(allFYsTable[Actual], allFYsTable[Code], SummaryTable[[#This Row],[Code]], allFYsTable[year2], CU$3))</f>
        <v>990</v>
      </c>
      <c r="CZ123" s="61">
        <f>IF(COUNTIFS(allFYsTable[Code], SummaryTable[[#This Row],[Code]], allFYsTable[year2], CU$3)=0, NotFound, SUMIFS(allFYsTable[DiffAmount], allFYsTable[Code], SummaryTable[[#This Row],[Code]], allFYsTable[year2], CU$3))</f>
        <v>-162</v>
      </c>
      <c r="DA123" s="63">
        <f>IF(SummaryTable[[#This Row],[OriginalBudget15]]=0, IF(SummaryTable[[#This Row],[DiffAmount15]]=0, ZeroBudgetNoSpending, ZeroBudgetWithSpending), SummaryTable[[#This Row],[DiffAmount15]]/SummaryTable[[#This Row],[OriginalBudget15]])</f>
        <v>-0.140625</v>
      </c>
      <c r="DB123" s="62">
        <f>IF(COUNTIFS(allFYsTable[Code], SummaryTable[[#This Row],[Code]], allFYsTable[year2], DB$3)=0, NotFound, SUMIFS(allFYsTable[OriginalBudget], allFYsTable[Code], SummaryTable[[#This Row],[Code]], allFYsTable[year2], DB$3))</f>
        <v>866</v>
      </c>
      <c r="DC123" s="61">
        <f>SummaryTable[[#This Row],[OriginalBudget14]]-SummaryTable[[#This Row],[OriginalBudget13]]</f>
        <v>866</v>
      </c>
      <c r="DD123" s="54" t="e">
        <f>SummaryTable[[#This Row],[BudgetIncreaseAmount14]]/SummaryTable[[#This Row],[OriginalBudget13]]</f>
        <v>#DIV/0!</v>
      </c>
      <c r="DE123" s="61">
        <f>IF(COUNTIFS(allFYsTable[Code], SummaryTable[[#This Row],[Code]], allFYsTable[year2], DB$3)=0, NotFound, SUMIFS(allFYsTable[RevisedBudget], allFYsTable[Code], SummaryTable[[#This Row],[Code]], allFYsTable[year2], DB$3))</f>
        <v>866</v>
      </c>
      <c r="DF123" s="61">
        <f>IF(COUNTIFS(allFYsTable[Code], SummaryTable[[#This Row],[Code]], allFYsTable[year2], DB$3)=0, NotFound, SUMIFS(allFYsTable[Actual], allFYsTable[Code], SummaryTable[[#This Row],[Code]], allFYsTable[year2], DB$3))</f>
        <v>820</v>
      </c>
      <c r="DG123" s="61">
        <f>IF(COUNTIFS(allFYsTable[Code], SummaryTable[[#This Row],[Code]], allFYsTable[year2], DB$3)=0, NotFound, SUMIFS(allFYsTable[DiffAmount], allFYsTable[Code], SummaryTable[[#This Row],[Code]], allFYsTable[year2], DB$3))</f>
        <v>-46</v>
      </c>
      <c r="DH123" s="63">
        <f>IF(SummaryTable[[#This Row],[OriginalBudget14]]=0, IF(SummaryTable[[#This Row],[DiffAmount14]]=0, ZeroBudgetNoSpending, ZeroBudgetWithSpending), SummaryTable[[#This Row],[DiffAmount14]]/SummaryTable[[#This Row],[OriginalBudget14]])</f>
        <v>-5.3117782909930716E-2</v>
      </c>
      <c r="DI123" s="62">
        <f>IF(COUNTIFS(allFYsTable[Code], SummaryTable[[#This Row],[Code]], allFYsTable[year2], DI$3)=0, NotFound, SUMIFS(allFYsTable[OriginalBudget], allFYsTable[Code], SummaryTable[[#This Row],[Code]], allFYsTable[year2], DI$3))</f>
        <v>0</v>
      </c>
      <c r="DJ123" s="61" t="e">
        <f>SummaryTable[[#This Row],[OriginalBudget13]]-SummaryTable[[#This Row],[OriginalBudget12]]</f>
        <v>#N/A</v>
      </c>
      <c r="DK123" s="54" t="e">
        <f>SummaryTable[[#This Row],[BudgetIncreaseAmount13]]/SummaryTable[[#This Row],[OriginalBudget12]]</f>
        <v>#N/A</v>
      </c>
      <c r="DL123" s="61">
        <f>IF(COUNTIFS(allFYsTable[Code], SummaryTable[[#This Row],[Code]], allFYsTable[year2], DI$3)=0, NotFound, SUMIFS(allFYsTable[RevisedBudget], allFYsTable[Code], SummaryTable[[#This Row],[Code]], allFYsTable[year2], DI$3))</f>
        <v>296</v>
      </c>
      <c r="DM123" s="61">
        <f>IF(COUNTIFS(allFYsTable[Code], SummaryTable[[#This Row],[Code]], allFYsTable[year2], DI$3)=0, NotFound, SUMIFS(allFYsTable[Actual], allFYsTable[Code], SummaryTable[[#This Row],[Code]], allFYsTable[year2], DI$3))</f>
        <v>159</v>
      </c>
      <c r="DN123" s="61">
        <f>IF(COUNTIFS(allFYsTable[Code], SummaryTable[[#This Row],[Code]], allFYsTable[year2], DI$3)=0, NotFound, SUMIFS(allFYsTable[DiffAmount], allFYsTable[Code], SummaryTable[[#This Row],[Code]], allFYsTable[year2], DI$3))</f>
        <v>159</v>
      </c>
      <c r="DO123" s="63">
        <f>IF(SummaryTable[[#This Row],[OriginalBudget13]]=0, IF(SummaryTable[[#This Row],[DiffAmount13]]=0, ZeroBudgetNoSpending, ZeroBudgetWithSpending), SummaryTable[[#This Row],[DiffAmount13]]/SummaryTable[[#This Row],[OriginalBudget13]])</f>
        <v>99.99</v>
      </c>
      <c r="DP123" s="62" t="e">
        <f>IF(COUNTIFS(allFYsTable[Code], SummaryTable[[#This Row],[Code]], allFYsTable[year2], DP$3)=0, NotFound, SUMIFS(allFYsTable[OriginalBudget], allFYsTable[Code], SummaryTable[[#This Row],[Code]], allFYsTable[year2], DP$3))</f>
        <v>#N/A</v>
      </c>
      <c r="DQ123" s="61" t="e">
        <f>SummaryTable[[#This Row],[OriginalBudget12]]-SummaryTable[[#This Row],[OriginalBudget11]]</f>
        <v>#N/A</v>
      </c>
      <c r="DR123" s="54" t="e">
        <f>SummaryTable[[#This Row],[BudgetIncreaseAmount12]]/SummaryTable[[#This Row],[OriginalBudget11]]</f>
        <v>#N/A</v>
      </c>
      <c r="DS123" s="61" t="e">
        <f>IF(COUNTIFS(allFYsTable[Code], SummaryTable[[#This Row],[Code]], allFYsTable[year2], DP$3)=0, NotFound, SUMIFS(allFYsTable[RevisedBudget], allFYsTable[Code], SummaryTable[[#This Row],[Code]], allFYsTable[year2], DP$3))</f>
        <v>#N/A</v>
      </c>
      <c r="DT123" s="61" t="e">
        <f>IF(COUNTIFS(allFYsTable[Code], SummaryTable[[#This Row],[Code]], allFYsTable[year2], DP$3)=0, NotFound, SUMIFS(allFYsTable[Actual], allFYsTable[Code], SummaryTable[[#This Row],[Code]], allFYsTable[year2], DP$3))</f>
        <v>#N/A</v>
      </c>
      <c r="DU123" s="61" t="e">
        <f>IF(COUNTIFS(allFYsTable[Code], SummaryTable[[#This Row],[Code]], allFYsTable[year2], DP$3)=0, NotFound, SUMIFS(allFYsTable[DiffAmount], allFYsTable[Code], SummaryTable[[#This Row],[Code]], allFYsTable[year2], DP$3))</f>
        <v>#N/A</v>
      </c>
      <c r="DV123" s="63" t="e">
        <f>IF(SummaryTable[[#This Row],[OriginalBudget12]]=0, IF(SummaryTable[[#This Row],[DiffAmount12]]=0, ZeroBudgetNoSpending, ZeroBudgetWithSpending), SummaryTable[[#This Row],[DiffAmount12]]/SummaryTable[[#This Row],[OriginalBudget12]])</f>
        <v>#N/A</v>
      </c>
      <c r="DW123" s="62" t="e">
        <f>IF(COUNTIFS(allFYsTable[Code], SummaryTable[[#This Row],[Code]], allFYsTable[year2], DW$3)=0, NotFound, SUMIFS(allFYsTable[OriginalBudget], allFYsTable[Code], SummaryTable[[#This Row],[Code]], allFYsTable[year2], DW$3))</f>
        <v>#N/A</v>
      </c>
      <c r="DX123" s="61" t="e">
        <f>SummaryTable[[#This Row],[OriginalBudget11]]-SummaryTable[[#This Row],[OriginalBudget10]]</f>
        <v>#N/A</v>
      </c>
      <c r="DY123" s="54" t="e">
        <f>SummaryTable[[#This Row],[BudgetIncreaseAmount11]]/SummaryTable[[#This Row],[OriginalBudget10]]</f>
        <v>#N/A</v>
      </c>
      <c r="DZ123" s="61" t="e">
        <f>IF(COUNTIFS(allFYsTable[Code], SummaryTable[[#This Row],[Code]], allFYsTable[year2], DW$3)=0, NotFound, SUMIFS(allFYsTable[RevisedBudget], allFYsTable[Code], SummaryTable[[#This Row],[Code]], allFYsTable[year2], DW$3))</f>
        <v>#N/A</v>
      </c>
      <c r="EA123" s="61" t="e">
        <f>IF(COUNTIFS(allFYsTable[Code], SummaryTable[[#This Row],[Code]], allFYsTable[year2], DW$3)=0, NotFound, SUMIFS(allFYsTable[Actual], allFYsTable[Code], SummaryTable[[#This Row],[Code]], allFYsTable[year2], DW$3))</f>
        <v>#N/A</v>
      </c>
      <c r="EB123" s="61" t="e">
        <f>IF(COUNTIFS(allFYsTable[Code], SummaryTable[[#This Row],[Code]], allFYsTable[year2], DW$3)=0, NotFound, SUMIFS(allFYsTable[DiffAmount], allFYsTable[Code], SummaryTable[[#This Row],[Code]], allFYsTable[year2], DW$3))</f>
        <v>#N/A</v>
      </c>
      <c r="EC123" s="63" t="e">
        <f>IF(SummaryTable[[#This Row],[OriginalBudget11]]=0, IF(SummaryTable[[#This Row],[DiffAmount11]]=0, ZeroBudgetNoSpending, ZeroBudgetWithSpending), SummaryTable[[#This Row],[DiffAmount11]]/SummaryTable[[#This Row],[OriginalBudget11]])</f>
        <v>#N/A</v>
      </c>
      <c r="ED123" s="62" t="e">
        <f>IF(COUNTIFS(allFYsTable[Code], SummaryTable[[#This Row],[Code]], allFYsTable[year2], ED$3)=0, NotFound, SUMIFS(allFYsTable[OriginalBudget], allFYsTable[Code], SummaryTable[[#This Row],[Code]], allFYsTable[year2], ED$3))</f>
        <v>#N/A</v>
      </c>
      <c r="EE123" s="61" t="e">
        <f>SummaryTable[[#This Row],[OriginalBudget10]]-SummaryTable[[#This Row],[OriginalBudget09]]</f>
        <v>#N/A</v>
      </c>
      <c r="EF123" s="54" t="e">
        <f>SummaryTable[[#This Row],[BudgetIncreaseAmount10]]/SummaryTable[[#This Row],[OriginalBudget09]]</f>
        <v>#N/A</v>
      </c>
      <c r="EG123" s="61" t="e">
        <f>IF(COUNTIFS(allFYsTable[Code], SummaryTable[[#This Row],[Code]], allFYsTable[year2], ED$3)=0, NotFound, SUMIFS(allFYsTable[RevisedBudget], allFYsTable[Code], SummaryTable[[#This Row],[Code]], allFYsTable[year2], ED$3))</f>
        <v>#N/A</v>
      </c>
      <c r="EH123" s="61" t="e">
        <f>IF(COUNTIFS(allFYsTable[Code], SummaryTable[[#This Row],[Code]], allFYsTable[year2], ED$3)=0, NotFound, SUMIFS(allFYsTable[Actual], allFYsTable[Code], SummaryTable[[#This Row],[Code]], allFYsTable[year2], ED$3))</f>
        <v>#N/A</v>
      </c>
      <c r="EI123" s="61" t="e">
        <f>IF(COUNTIFS(allFYsTable[Code], SummaryTable[[#This Row],[Code]], allFYsTable[year2], ED$3)=0, NotFound, SUMIFS(allFYsTable[DiffAmount], allFYsTable[Code], SummaryTable[[#This Row],[Code]], allFYsTable[year2], ED$3))</f>
        <v>#N/A</v>
      </c>
      <c r="EJ123" s="63" t="e">
        <f>IF(SummaryTable[[#This Row],[OriginalBudget10]]=0, IF(SummaryTable[[#This Row],[DiffAmount10]]=0, ZeroBudgetNoSpending, ZeroBudgetWithSpending), SummaryTable[[#This Row],[DiffAmount10]]/SummaryTable[[#This Row],[OriginalBudget10]])</f>
        <v>#N/A</v>
      </c>
      <c r="EK123" s="62" t="e">
        <f>IF(COUNTIFS(allFYsTable[Code], SummaryTable[[#This Row],[Code]], allFYsTable[year2], EK$3)=0, NotFound, SUMIFS(allFYsTable[OriginalBudget], allFYsTable[Code], SummaryTable[[#This Row],[Code]], allFYsTable[year2], EK$3))</f>
        <v>#N/A</v>
      </c>
      <c r="EL123" s="61" t="e">
        <f>SummaryTable[[#This Row],[OriginalBudget09]]-SummaryTable[[#This Row],[OriginalBudget08]]</f>
        <v>#N/A</v>
      </c>
      <c r="EM123" s="54" t="e">
        <f>SummaryTable[[#This Row],[BudgetIncreaseAmount09]]/SummaryTable[[#This Row],[OriginalBudget08]]</f>
        <v>#N/A</v>
      </c>
      <c r="EN123" s="61" t="e">
        <f>IF(COUNTIFS(allFYsTable[Code], SummaryTable[[#This Row],[Code]], allFYsTable[year2], EK$3)=0, NotFound, SUMIFS(allFYsTable[RevisedBudget], allFYsTable[Code], SummaryTable[[#This Row],[Code]], allFYsTable[year2], EK$3))</f>
        <v>#N/A</v>
      </c>
      <c r="EO123" s="61" t="e">
        <f>IF(COUNTIFS(allFYsTable[Code], SummaryTable[[#This Row],[Code]], allFYsTable[year2], EK$3)=0, NotFound, SUMIFS(allFYsTable[Actual], allFYsTable[Code], SummaryTable[[#This Row],[Code]], allFYsTable[year2], EK$3))</f>
        <v>#N/A</v>
      </c>
      <c r="EP123" s="61" t="e">
        <f>IF(COUNTIFS(allFYsTable[Code], SummaryTable[[#This Row],[Code]], allFYsTable[year2], EK$3)=0, NotFound, SUMIFS(allFYsTable[DiffAmount], allFYsTable[Code], SummaryTable[[#This Row],[Code]], allFYsTable[year2], EK$3))</f>
        <v>#N/A</v>
      </c>
      <c r="EQ123" s="63" t="e">
        <f>IF(SummaryTable[[#This Row],[OriginalBudget09]]=0, IF(SummaryTable[[#This Row],[DiffAmount09]]=0, ZeroBudgetNoSpending, ZeroBudgetWithSpending), SummaryTable[[#This Row],[DiffAmount09]]/SummaryTable[[#This Row],[OriginalBudget09]])</f>
        <v>#N/A</v>
      </c>
      <c r="ER123" s="62" t="e">
        <f>IF(COUNTIFS(allFYsTable[Code], SummaryTable[[#This Row],[Code]], allFYsTable[year2], ER$3)=0, NotFound, SUMIFS(allFYsTable[OriginalBudget], allFYsTable[Code], SummaryTable[[#This Row],[Code]], allFYsTable[year2], ER$3))</f>
        <v>#N/A</v>
      </c>
      <c r="ES123" s="61" t="e">
        <f>SummaryTable[[#This Row],[OriginalBudget08]]-SummaryTable[[#This Row],[OriginalBudget07]]</f>
        <v>#N/A</v>
      </c>
      <c r="ET123" s="54" t="e">
        <f>SummaryTable[[#This Row],[BudgetIncreaseAmount08]]/SummaryTable[[#This Row],[OriginalBudget07]]</f>
        <v>#N/A</v>
      </c>
      <c r="EU123" s="61" t="e">
        <f>IF(COUNTIFS(allFYsTable[Code], SummaryTable[[#This Row],[Code]], allFYsTable[year2], ER$3)=0, NotFound, SUMIFS(allFYsTable[RevisedBudget], allFYsTable[Code], SummaryTable[[#This Row],[Code]], allFYsTable[year2], ER$3))</f>
        <v>#N/A</v>
      </c>
      <c r="EV123" s="61" t="e">
        <f>IF(COUNTIFS(allFYsTable[Code], SummaryTable[[#This Row],[Code]], allFYsTable[year2], ER$3)=0, NotFound, SUMIFS(allFYsTable[Actual], allFYsTable[Code], SummaryTable[[#This Row],[Code]], allFYsTable[year2], ER$3))</f>
        <v>#N/A</v>
      </c>
      <c r="EW123" s="61" t="e">
        <f>IF(COUNTIFS(allFYsTable[Code], SummaryTable[[#This Row],[Code]], allFYsTable[year2], ER$3)=0, NotFound, SUMIFS(allFYsTable[DiffAmount], allFYsTable[Code], SummaryTable[[#This Row],[Code]], allFYsTable[year2], ER$3))</f>
        <v>#N/A</v>
      </c>
      <c r="EX123" s="63" t="e">
        <f>IF(SummaryTable[[#This Row],[OriginalBudget08]]=0, IF(SummaryTable[[#This Row],[DiffAmount08]]=0, ZeroBudgetNoSpending, ZeroBudgetWithSpending), SummaryTable[[#This Row],[DiffAmount08]]/SummaryTable[[#This Row],[OriginalBudget08]])</f>
        <v>#N/A</v>
      </c>
      <c r="EY123" s="62" t="e">
        <f>IF(COUNTIFS(allFYsTable[Code], SummaryTable[[#This Row],[Code]], allFYsTable[year2], EY$3)=0, NotFound, SUMIFS(allFYsTable[OriginalBudget], allFYsTable[Code], SummaryTable[[#This Row],[Code]], allFYsTable[year2], EY$3))</f>
        <v>#N/A</v>
      </c>
      <c r="EZ123" s="61" t="e">
        <f>SummaryTable[[#This Row],[OriginalBudget07]]-SummaryTable[[#This Row],[OriginalBudget06]]</f>
        <v>#N/A</v>
      </c>
      <c r="FA123" s="54" t="e">
        <f>SummaryTable[[#This Row],[BudgetIncreaseAmount07]]/SummaryTable[[#This Row],[OriginalBudget06]]</f>
        <v>#N/A</v>
      </c>
      <c r="FB123" s="61" t="e">
        <f>IF(COUNTIFS(allFYsTable[Code], SummaryTable[[#This Row],[Code]], allFYsTable[year2], EY$3)=0, NotFound, SUMIFS(allFYsTable[RevisedBudget], allFYsTable[Code], SummaryTable[[#This Row],[Code]], allFYsTable[year2], EY$3))</f>
        <v>#N/A</v>
      </c>
      <c r="FC123" s="61" t="e">
        <f>IF(COUNTIFS(allFYsTable[Code], SummaryTable[[#This Row],[Code]], allFYsTable[year2], EY$3)=0, NotFound, SUMIFS(allFYsTable[Actual], allFYsTable[Code], SummaryTable[[#This Row],[Code]], allFYsTable[year2], EY$3))</f>
        <v>#N/A</v>
      </c>
      <c r="FD123" s="61" t="e">
        <f>IF(COUNTIFS(allFYsTable[Code], SummaryTable[[#This Row],[Code]], allFYsTable[year2], EY$3)=0, NotFound, SUMIFS(allFYsTable[DiffAmount], allFYsTable[Code], SummaryTable[[#This Row],[Code]], allFYsTable[year2], EY$3))</f>
        <v>#N/A</v>
      </c>
      <c r="FE123" s="63" t="e">
        <f>IF(SummaryTable[[#This Row],[OriginalBudget07]]=0, IF(SummaryTable[[#This Row],[DiffAmount07]]=0, ZeroBudgetNoSpending, ZeroBudgetWithSpending), SummaryTable[[#This Row],[DiffAmount07]]/SummaryTable[[#This Row],[OriginalBudget07]])</f>
        <v>#N/A</v>
      </c>
      <c r="FF123" s="62" t="e">
        <f>IF(COUNTIFS(allFYsTable[Code], SummaryTable[[#This Row],[Code]], allFYsTable[year2], FF$3)=0, NotFound, SUMIFS(allFYsTable[OriginalBudget], allFYsTable[Code], SummaryTable[[#This Row],[Code]], allFYsTable[year2], FF$3))</f>
        <v>#N/A</v>
      </c>
      <c r="FI123" s="61" t="e">
        <f>IF(COUNTIFS(allFYsTable[Code], SummaryTable[[#This Row],[Code]], allFYsTable[year2], FF$3)=0, NotFound, SUMIFS(allFYsTable[RevisedBudget], allFYsTable[Code], SummaryTable[[#This Row],[Code]], allFYsTable[year2], FF$3))</f>
        <v>#N/A</v>
      </c>
      <c r="FJ123" s="61" t="e">
        <f>IF(COUNTIFS(allFYsTable[Code], SummaryTable[[#This Row],[Code]], allFYsTable[year2], FF$3)=0, NotFound, SUMIFS(allFYsTable[Actual], allFYsTable[Code], SummaryTable[[#This Row],[Code]], allFYsTable[year2], FF$3))</f>
        <v>#N/A</v>
      </c>
      <c r="FK123" s="61" t="e">
        <f>IF(COUNTIFS(allFYsTable[Code], SummaryTable[[#This Row],[Code]], allFYsTable[year2], FF$3)=0, NotFound, SUMIFS(allFYsTable[DiffAmount], allFYsTable[Code], SummaryTable[[#This Row],[Code]], allFYsTable[year2], FF$3))</f>
        <v>#N/A</v>
      </c>
      <c r="FL123" s="63" t="e">
        <f>IF(SummaryTable[[#This Row],[OriginalBudget06]]=0, IF(SummaryTable[[#This Row],[DiffAmount06]]=0, ZeroBudgetNoSpending, ZeroBudgetWithSpending), SummaryTable[[#This Row],[DiffAmount06]]/SummaryTable[[#This Row],[OriginalBudget06]])</f>
        <v>#N/A</v>
      </c>
    </row>
    <row r="124" spans="1:168" x14ac:dyDescent="0.45">
      <c r="A124" t="s">
        <v>731</v>
      </c>
      <c r="B124">
        <f>_xlfn.MAXIFS(allFYsTable[year2], allFYsTable[Code], SummaryTable[[#This Row],[Code]])</f>
        <v>2025</v>
      </c>
      <c r="C124" t="str">
        <f>_xlfn.XLOOKUP(SummaryTable[[#This Row],[Code]], NameCodingTable[Code], NameCodingTable[Most Recent Category per allFYs])</f>
        <v>Governmental direction and support</v>
      </c>
      <c r="D124" t="str">
        <f>_xlfn.XLOOKUP(SummaryTable[[#This Row],[Code]], NameCodingTable[Code], NameCodingTable[Unit Display Name])</f>
        <v>Statehood Initiatives</v>
      </c>
      <c r="E124" t="str">
        <f>_xlfn.XLOOKUP(SummaryTable[[#This Row],[Code]], NameCodingTable[Code], NameCodingTable[Type])</f>
        <v>agency</v>
      </c>
      <c r="F12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11</v>
      </c>
      <c r="G12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7</v>
      </c>
      <c r="H124" s="54">
        <f>SummaryTable[[#This Row],['# Over]]/SummaryTable[[#This Row],[Count]]</f>
        <v>0.63636363636363635</v>
      </c>
      <c r="I12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4</v>
      </c>
      <c r="J124" s="54">
        <f>SummaryTable[[#This Row],['# Under]]/SummaryTable[[#This Row],[Count]]</f>
        <v>0.36363636363636365</v>
      </c>
      <c r="K12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24" s="54">
        <f>SummaryTable[[#This Row],['# Equal]]/SummaryTable[[#This Row],[Count]]</f>
        <v>0</v>
      </c>
      <c r="M124" s="61">
        <f>SUMIFS(allFYsTable[OriginalBudget],allFYsTable[Code],SummaryTable[[#This Row],[Code]])/SummaryTable[[#This Row],[Count]]</f>
        <v>243.18181818181819</v>
      </c>
      <c r="N124" s="61">
        <f>SUMIFS(allFYsTable[Actual],allFYsTable[Code],SummaryTable[[#This Row],[Code]])/SummaryTable[[#This Row],[Count]]</f>
        <v>247.63636363636363</v>
      </c>
      <c r="O124" s="61">
        <f>SummaryTable[[#This Row],[AvgActAmt]]-SummaryTable[[#This Row],[AvgBudAmt]]</f>
        <v>4.454545454545439</v>
      </c>
      <c r="P124" s="54">
        <f>IF(SummaryTable[[#This Row],[AvgBudAmt]]=0, IF(SummaryTable[[#This Row],[AvgDiff'#]]=0, 0, NamedFields!$C$3), SummaryTable[[#This Row],[AvgDiff'#]]/SummaryTable[[#This Row],[AvgBudAmt]])</f>
        <v>1.831775700934573E-2</v>
      </c>
      <c r="Q124" s="61">
        <f>IFERROR(SUMIFS(allFYsTable[OriginalBudget],allFYsTable[Code],SummaryTable[[#This Row],[Code]],allFYsTable[DiffAmount], "&gt;0")/SummaryTable[[#This Row],['# Over]], 0)</f>
        <v>241.28571428571428</v>
      </c>
      <c r="R124" s="61">
        <f>IFERROR(SUMIFS(allFYsTable[Actual],allFYsTable[Code],SummaryTable[[#This Row],[Code]],allFYsTable[DiffAmount], "&gt;0")/SummaryTable[[#This Row],['# Over]], 0)</f>
        <v>270.28571428571428</v>
      </c>
      <c r="S124" s="61">
        <f>SummaryTable[[#This Row],[OverAvgAct]]-SummaryTable[[#This Row],[OverAvgBud]]</f>
        <v>29</v>
      </c>
      <c r="T124" s="54">
        <f>IF(SummaryTable[[#This Row],[OverAvgBud]]=0, IF(SummaryTable[[#This Row],[OverAvgDiff'#]]=0, ZeroBudgetNoSpending, ZeroBudgetWithSpending), SummaryTable[[#This Row],[OverAvgDiff'#]]/SummaryTable[[#This Row],[OverAvgBud]])</f>
        <v>0.12018946121965661</v>
      </c>
      <c r="U124" s="61">
        <f>IFERROR(SUMIFS(allFYsTable[OriginalBudget],allFYsTable[Code],SummaryTable[[#This Row],[Code]],allFYsTable[DiffAmount], "&lt;0")/SummaryTable[[#This Row],['# Under]], 0)</f>
        <v>246.5</v>
      </c>
      <c r="V124" s="61">
        <f>IFERROR( SUMIFS(allFYsTable[Actual],allFYsTable[Code],SummaryTable[[#This Row],[Code]],allFYsTable[DiffAmount], "&lt;0")/SummaryTable[[#This Row],['# Under]], 0)</f>
        <v>208</v>
      </c>
      <c r="W124" s="61">
        <f>SummaryTable[[#This Row],[UnderAvgAct]]-SummaryTable[[#This Row],[UnderAvgBud]]</f>
        <v>-38.5</v>
      </c>
      <c r="X124" s="54">
        <f>IF(SummaryTable[[#This Row],[UnderAvgBud]]=0, IF(SummaryTable[[#This Row],[UnderAvgDiff'#]]=0, ZeroBudgetNoSpending, NamedFields!$C$3), SummaryTable[[#This Row],[UnderAvgDiff'#]]/SummaryTable[[#This Row],[UnderAvgBud]])</f>
        <v>-0.15618661257606492</v>
      </c>
      <c r="Y12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2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24" s="54">
        <f>IF(SummaryTable[[#This Row],[IncreaseYears]]=0, ZeroBudgetNoSpending, SummaryTable[[#This Row],[OSinIncreaseYear'#]]/SummaryTable[[#This Row],[IncreaseYears]])</f>
        <v>0</v>
      </c>
      <c r="AB124" s="58" t="str">
        <f>SummaryTable[[#This Row],[Code]]</f>
        <v>AR0</v>
      </c>
      <c r="AC124" s="62">
        <f>IF(COUNTIFS(allFYsTable[Code], SummaryTable[[#This Row],[Code]], allFYsTable[year2], AC$3)=0, NotFound, SUMIFS(allFYsTable[OriginalBudget], allFYsTable[Code], SummaryTable[[#This Row],[Code]], allFYsTable[year2], AC$3))</f>
        <v>267</v>
      </c>
      <c r="AD124" s="61">
        <f>SummaryTable[[#This Row],[OriginalBudget25]]-SummaryTable[[#This Row],[OriginalBudget24]]</f>
        <v>0</v>
      </c>
      <c r="AE124" s="54">
        <f>SummaryTable[[#This Row],[BudgetIncreaseAmount25]]/SummaryTable[[#This Row],[OriginalBudget24]]</f>
        <v>0</v>
      </c>
      <c r="AF124" s="61">
        <f>IF(COUNTIFS(allFYsTable[Code], SummaryTable[[#This Row],[Code]], allFYsTable[year2], AC$3)=0, NotFound, SUMIFS(allFYsTable[RevisedBudget], allFYsTable[Code], SummaryTable[[#This Row],[Code]], allFYsTable[year2], AC$3))</f>
        <v>267</v>
      </c>
      <c r="AG124" s="61">
        <f>IF(COUNTIFS(allFYsTable[Code], SummaryTable[[#This Row],[Code]], allFYsTable[year2], AC$3)=0, NotFound, SUMIFS(allFYsTable[Actual], allFYsTable[Code], SummaryTable[[#This Row],[Code]], allFYsTable[year2], AC$3))</f>
        <v>236</v>
      </c>
      <c r="AH124" s="61">
        <f>IF(COUNTIFS(allFYsTable[Code], SummaryTable[[#This Row],[Code]], allFYsTable[year2], AC$3)=0, NotFound, SUMIFS(allFYsTable[DiffAmount], allFYsTable[Code], SummaryTable[[#This Row],[Code]], allFYsTable[year2], AC$3))</f>
        <v>-31</v>
      </c>
      <c r="AI124" s="63">
        <f>IF(SummaryTable[[#This Row],[OriginalBudget25]]=0, IF(SummaryTable[[#This Row],[DiffAmount25]]=0, ZeroBudgetNoSpending, ZeroBudgetWithSpending), SummaryTable[[#This Row],[DiffAmount25]]/SummaryTable[[#This Row],[OriginalBudget25]])</f>
        <v>-0.11610486891385768</v>
      </c>
      <c r="AJ124" s="62">
        <f>IF(COUNTIFS(allFYsTable[Code], SummaryTable[[#This Row],[Code]], allFYsTable[year2], AJ$3)=0, NotFound, SUMIFS(allFYsTable[OriginalBudget], allFYsTable[Code], SummaryTable[[#This Row],[Code]], allFYsTable[year2], AJ$3))</f>
        <v>267</v>
      </c>
      <c r="AK124" s="61">
        <f>SummaryTable[[#This Row],[OriginalBudget24]]-SummaryTable[[#This Row],[OriginalBudget23]]</f>
        <v>19</v>
      </c>
      <c r="AL124" s="54">
        <f>SummaryTable[[#This Row],[BudgetIncreaseAmount24]]/SummaryTable[[#This Row],[OriginalBudget23]]</f>
        <v>7.6612903225806453E-2</v>
      </c>
      <c r="AM124" s="61">
        <f>IF(COUNTIFS(allFYsTable[Code], SummaryTable[[#This Row],[Code]], allFYsTable[year2], AK$3)=0, NotFound, SUMIFS(allFYsTable[RevisedBudget], allFYsTable[Code], SummaryTable[[#This Row],[Code]], allFYsTable[year2], AJ$3))</f>
        <v>295</v>
      </c>
      <c r="AN124" s="61">
        <f>IF(COUNTIFS(allFYsTable[Code], SummaryTable[[#This Row],[Code]], allFYsTable[year2], AJ$3)=0, NotFound, SUMIFS(allFYsTable[Actual], allFYsTable[Code], SummaryTable[[#This Row],[Code]], allFYsTable[year2], AJ$3))</f>
        <v>295</v>
      </c>
      <c r="AO124" s="61">
        <f>IF(COUNTIFS(allFYsTable[Code], SummaryTable[[#This Row],[Code]], allFYsTable[year2], AJ$3)=0, NotFound, SUMIFS(allFYsTable[DiffAmount], allFYsTable[Code], SummaryTable[[#This Row],[Code]], allFYsTable[year2], AJ$3))</f>
        <v>28</v>
      </c>
      <c r="AP124" s="63">
        <f>IF(SummaryTable[[#This Row],[OriginalBudget24]]=0, IF(SummaryTable[[#This Row],[DiffAmount24]]=0, ZeroBudgetNoSpending, ZeroBudgetWithSpending), SummaryTable[[#This Row],[DiffAmount24]]/SummaryTable[[#This Row],[OriginalBudget24]])</f>
        <v>0.10486891385767791</v>
      </c>
      <c r="AQ124" s="62">
        <f>IF(COUNTIFS(allFYsTable[Code], SummaryTable[[#This Row],[Code]], allFYsTable[year2], AQ$3)=0, NotFound, SUMIFS(allFYsTable[OriginalBudget], allFYsTable[Code], SummaryTable[[#This Row],[Code]], allFYsTable[year2], AQ$3))</f>
        <v>248</v>
      </c>
      <c r="AR124" s="61">
        <f>SummaryTable[[#This Row],[OriginalBudget23]]-SummaryTable[[#This Row],[OriginalBudget22]]</f>
        <v>7</v>
      </c>
      <c r="AS124" s="54">
        <f>SummaryTable[[#This Row],[BudgetIncreaseAmount23]]/SummaryTable[[#This Row],[OriginalBudget22]]</f>
        <v>2.9045643153526972E-2</v>
      </c>
      <c r="AT124" s="61">
        <f>IF(COUNTIFS(allFYsTable[Code], SummaryTable[[#This Row],[Code]], allFYsTable[year2], AQ$3)=0, NotFound, SUMIFS(allFYsTable[RevisedBudget], allFYsTable[Code], SummaryTable[[#This Row],[Code]], allFYsTable[year2], AQ$3))</f>
        <v>248</v>
      </c>
      <c r="AU124" s="61">
        <f>IF(COUNTIFS(allFYsTable[Code], SummaryTable[[#This Row],[Code]], allFYsTable[year2], AQ$3)=0, NotFound, SUMIFS(allFYsTable[Actual], allFYsTable[Code], SummaryTable[[#This Row],[Code]], allFYsTable[year2], AQ$3))</f>
        <v>222</v>
      </c>
      <c r="AV124" s="61">
        <f>IF(COUNTIFS(allFYsTable[Code], SummaryTable[[#This Row],[Code]], allFYsTable[year2], AQ$3)=0, NotFound, SUMIFS(allFYsTable[DiffAmount], allFYsTable[Code], SummaryTable[[#This Row],[Code]], allFYsTable[year2], AQ$3))</f>
        <v>-26</v>
      </c>
      <c r="AW124" s="63">
        <f>IF(SummaryTable[[#This Row],[OriginalBudget23]]=0, IF(SummaryTable[[#This Row],[DiffAmount23]]=0, ZeroBudgetNoSpending, ZeroBudgetWithSpending), SummaryTable[[#This Row],[DiffAmount23]]/SummaryTable[[#This Row],[OriginalBudget23]])</f>
        <v>-0.10483870967741936</v>
      </c>
      <c r="AX124" s="62">
        <f>IF(COUNTIFS(allFYsTable[Code], SummaryTable[[#This Row],[Code]], allFYsTable[year2], AX$3)=0, NotFound, SUMIFS(allFYsTable[OriginalBudget], allFYsTable[Code], SummaryTable[[#This Row],[Code]], allFYsTable[year2], AX$3))</f>
        <v>241</v>
      </c>
      <c r="AY124" s="61">
        <f>SummaryTable[[#This Row],[OriginalBudget22]]-SummaryTable[[#This Row],[OriginalBudget21]]</f>
        <v>0</v>
      </c>
      <c r="AZ124" s="54">
        <f>SummaryTable[[#This Row],[BudgetIncreaseAmount22]]/SummaryTable[[#This Row],[OriginalBudget21]]</f>
        <v>0</v>
      </c>
      <c r="BA124" s="61">
        <f>IF(COUNTIFS(allFYsTable[Code], SummaryTable[[#This Row],[Code]], allFYsTable[year2], AX$3)=0, NotFound, SUMIFS(allFYsTable[RevisedBudget], allFYsTable[Code], SummaryTable[[#This Row],[Code]], allFYsTable[year2], AX$3))</f>
        <v>248</v>
      </c>
      <c r="BB124" s="61">
        <f>IF(COUNTIFS(allFYsTable[Code], SummaryTable[[#This Row],[Code]], allFYsTable[year2], AX$3)=0, NotFound, SUMIFS(allFYsTable[Actual], allFYsTable[Code], SummaryTable[[#This Row],[Code]], allFYsTable[year2], AX$3))</f>
        <v>248</v>
      </c>
      <c r="BC124" s="61">
        <f>IF(COUNTIFS(allFYsTable[Code], SummaryTable[[#This Row],[Code]], allFYsTable[year2], AX$3)=0, NotFound, SUMIFS(allFYsTable[DiffAmount], allFYsTable[Code], SummaryTable[[#This Row],[Code]], allFYsTable[year2], AX$3))</f>
        <v>7</v>
      </c>
      <c r="BD124" s="63">
        <f>IF(SummaryTable[[#This Row],[OriginalBudget22]]=0, IF(SummaryTable[[#This Row],[DiffAmount22]]=0, ZeroBudgetNoSpending, ZeroBudgetWithSpending), SummaryTable[[#This Row],[DiffAmount22]]/SummaryTable[[#This Row],[OriginalBudget22]])</f>
        <v>2.9045643153526972E-2</v>
      </c>
      <c r="BE124" s="62">
        <f>IF(COUNTIFS(allFYsTable[Code], SummaryTable[[#This Row],[Code]], allFYsTable[year2], BE$3)=0, NotFound, SUMIFS(allFYsTable[OriginalBudget], allFYsTable[Code], SummaryTable[[#This Row],[Code]], allFYsTable[year2], BE$3))</f>
        <v>241</v>
      </c>
      <c r="BF124" s="61">
        <f>SummaryTable[[#This Row],[OriginalBudget21]]-SummaryTable[[#This Row],[OriginalBudget20]]</f>
        <v>-4</v>
      </c>
      <c r="BG124" s="54">
        <f>SummaryTable[[#This Row],[BudgetIncreaseAmount21]]/SummaryTable[[#This Row],[OriginalBudget20]]</f>
        <v>-1.6326530612244899E-2</v>
      </c>
      <c r="BH124" s="61">
        <f>IF(COUNTIFS(allFYsTable[Code], SummaryTable[[#This Row],[Code]], allFYsTable[year2], BE$3)=0, NotFound, SUMIFS(allFYsTable[RevisedBudget], allFYsTable[Code], SummaryTable[[#This Row],[Code]], allFYsTable[year2], BE$3))</f>
        <v>252</v>
      </c>
      <c r="BI124" s="61">
        <f>IF(COUNTIFS(allFYsTable[Code], SummaryTable[[#This Row],[Code]], allFYsTable[year2], BE$3)=0, NotFound, SUMIFS(allFYsTable[Actual], allFYsTable[Code], SummaryTable[[#This Row],[Code]], allFYsTable[year2], BE$3))</f>
        <v>252</v>
      </c>
      <c r="BJ124" s="61">
        <f>IF(COUNTIFS(allFYsTable[Code], SummaryTable[[#This Row],[Code]], allFYsTable[year2], BE$3)=0, NotFound, SUMIFS(allFYsTable[DiffAmount], allFYsTable[Code], SummaryTable[[#This Row],[Code]], allFYsTable[year2], BE$3))</f>
        <v>11</v>
      </c>
      <c r="BK124" s="63">
        <f>IF(SummaryTable[[#This Row],[OriginalBudget21]]=0, IF(SummaryTable[[#This Row],[DiffAmount21]]=0, ZeroBudgetNoSpending, ZeroBudgetWithSpending), SummaryTable[[#This Row],[DiffAmount21]]/SummaryTable[[#This Row],[OriginalBudget21]])</f>
        <v>4.5643153526970952E-2</v>
      </c>
      <c r="BL124" s="62">
        <f>IF(COUNTIFS(allFYsTable[Code], SummaryTable[[#This Row],[Code]], allFYsTable[year2], BL$3)=0, NotFound, SUMIFS(allFYsTable[OriginalBudget], allFYsTable[Code], SummaryTable[[#This Row],[Code]], allFYsTable[year2], BL$3))</f>
        <v>245</v>
      </c>
      <c r="BM124" s="61">
        <f>SummaryTable[[#This Row],[OriginalBudget20]]-SummaryTable[[#This Row],[OriginalBudget19]]</f>
        <v>3</v>
      </c>
      <c r="BN124" s="54">
        <f>SummaryTable[[#This Row],[BudgetIncreaseAmount20]]/SummaryTable[[#This Row],[OriginalBudget19]]</f>
        <v>1.2396694214876033E-2</v>
      </c>
      <c r="BO124" s="61">
        <f>IF(COUNTIFS(allFYsTable[Code], SummaryTable[[#This Row],[Code]], allFYsTable[year2], BL$3)=0, NotFound, SUMIFS(allFYsTable[RevisedBudget], allFYsTable[Code], SummaryTable[[#This Row],[Code]], allFYsTable[year2], BL$3))</f>
        <v>245</v>
      </c>
      <c r="BP124" s="61">
        <f>IF(COUNTIFS(allFYsTable[Code], SummaryTable[[#This Row],[Code]], allFYsTable[year2], BL$3)=0, NotFound, SUMIFS(allFYsTable[Actual], allFYsTable[Code], SummaryTable[[#This Row],[Code]], allFYsTable[year2], BL$3))</f>
        <v>237</v>
      </c>
      <c r="BQ124" s="61">
        <f>IF(COUNTIFS(allFYsTable[Code], SummaryTable[[#This Row],[Code]], allFYsTable[year2], BL$3)=0, NotFound, SUMIFS(allFYsTable[DiffAmount], allFYsTable[Code], SummaryTable[[#This Row],[Code]], allFYsTable[year2], BL$3))</f>
        <v>-8</v>
      </c>
      <c r="BR124" s="63">
        <f>IF(SummaryTable[[#This Row],[OriginalBudget20]]=0, IF(SummaryTable[[#This Row],[DiffAmount20]]=0, ZeroBudgetNoSpending, ZeroBudgetWithSpending), SummaryTable[[#This Row],[DiffAmount20]]/SummaryTable[[#This Row],[OriginalBudget20]])</f>
        <v>-3.2653061224489799E-2</v>
      </c>
      <c r="BS124" s="62">
        <f>IF(COUNTIFS(allFYsTable[Code], SummaryTable[[#This Row],[Code]], allFYsTable[year2], BS$3)=0, NotFound, SUMIFS(allFYsTable[OriginalBudget], allFYsTable[Code], SummaryTable[[#This Row],[Code]], allFYsTable[year2], BS$3))</f>
        <v>242</v>
      </c>
      <c r="BT124" s="61">
        <f>SummaryTable[[#This Row],[OriginalBudget19]]-SummaryTable[[#This Row],[OriginalBudget18]]</f>
        <v>8</v>
      </c>
      <c r="BU124" s="54">
        <f>SummaryTable[[#This Row],[BudgetIncreaseAmount19]]/SummaryTable[[#This Row],[OriginalBudget18]]</f>
        <v>3.4188034188034191E-2</v>
      </c>
      <c r="BV124" s="61">
        <f>IF(COUNTIFS(allFYsTable[Code], SummaryTable[[#This Row],[Code]], allFYsTable[year2], BS$3)=0, NotFound, SUMIFS(allFYsTable[RevisedBudget], allFYsTable[Code], SummaryTable[[#This Row],[Code]], allFYsTable[year2], BS$3))</f>
        <v>244</v>
      </c>
      <c r="BW124" s="61">
        <f>IF(COUNTIFS(allFYsTable[Code], SummaryTable[[#This Row],[Code]], allFYsTable[year2], BS$3)=0, NotFound, SUMIFS(allFYsTable[Actual], allFYsTable[Code], SummaryTable[[#This Row],[Code]], allFYsTable[year2], BS$3))</f>
        <v>244</v>
      </c>
      <c r="BX124" s="61">
        <f>IF(COUNTIFS(allFYsTable[Code], SummaryTable[[#This Row],[Code]], allFYsTable[year2], BS$3)=0, NotFound, SUMIFS(allFYsTable[DiffAmount], allFYsTable[Code], SummaryTable[[#This Row],[Code]], allFYsTable[year2], BS$3))</f>
        <v>2</v>
      </c>
      <c r="BY124" s="63">
        <f>IF(SummaryTable[[#This Row],[OriginalBudget19]]=0, IF(SummaryTable[[#This Row],[DiffAmount19]]=0, ZeroBudgetNoSpending, ZeroBudgetWithSpending), SummaryTable[[#This Row],[DiffAmount19]]/SummaryTable[[#This Row],[OriginalBudget19]])</f>
        <v>8.2644628099173556E-3</v>
      </c>
      <c r="BZ124" s="62">
        <f>IF(COUNTIFS(allFYsTable[Code], SummaryTable[[#This Row],[Code]], allFYsTable[year2], BZ$3)=0, NotFound, SUMIFS(allFYsTable[OriginalBudget], allFYsTable[Code], SummaryTable[[#This Row],[Code]], allFYsTable[year2], BZ$3))</f>
        <v>234</v>
      </c>
      <c r="CA124" s="61">
        <f>SummaryTable[[#This Row],[OriginalBudget18]]-SummaryTable[[#This Row],[OriginalBudget17]]</f>
        <v>0</v>
      </c>
      <c r="CB124" s="54">
        <f>SummaryTable[[#This Row],[BudgetIncreaseAmount18]]/SummaryTable[[#This Row],[OriginalBudget17]]</f>
        <v>0</v>
      </c>
      <c r="CC124" s="61">
        <f>IF(COUNTIFS(allFYsTable[Code], SummaryTable[[#This Row],[Code]], allFYsTable[year2], BZ$3)=0, NotFound, SUMIFS(allFYsTable[RevisedBudget], allFYsTable[Code], SummaryTable[[#This Row],[Code]], allFYsTable[year2], BZ$3))</f>
        <v>324</v>
      </c>
      <c r="CD124" s="61">
        <f>IF(COUNTIFS(allFYsTable[Code], SummaryTable[[#This Row],[Code]], allFYsTable[year2], BZ$3)=0, NotFound, SUMIFS(allFYsTable[Actual], allFYsTable[Code], SummaryTable[[#This Row],[Code]], allFYsTable[year2], BZ$3))</f>
        <v>324</v>
      </c>
      <c r="CE124" s="61">
        <f>IF(COUNTIFS(allFYsTable[Code], SummaryTable[[#This Row],[Code]], allFYsTable[year2], BZ$3)=0, NotFound, SUMIFS(allFYsTable[DiffAmount], allFYsTable[Code], SummaryTable[[#This Row],[Code]], allFYsTable[year2], BZ$3))</f>
        <v>90</v>
      </c>
      <c r="CF124" s="63">
        <f>IF(SummaryTable[[#This Row],[OriginalBudget18]]=0, IF(SummaryTable[[#This Row],[DiffAmount18]]=0, ZeroBudgetNoSpending, ZeroBudgetWithSpending), SummaryTable[[#This Row],[DiffAmount18]]/SummaryTable[[#This Row],[OriginalBudget18]])</f>
        <v>0.38461538461538464</v>
      </c>
      <c r="CG124" s="62">
        <f>IF(COUNTIFS(allFYsTable[Code], SummaryTable[[#This Row],[Code]], allFYsTable[year2], CG$3)=0, NotFound, SUMIFS(allFYsTable[OriginalBudget], allFYsTable[Code], SummaryTable[[#This Row],[Code]], allFYsTable[year2], CG$3))</f>
        <v>234</v>
      </c>
      <c r="CH124" s="61">
        <f>SummaryTable[[#This Row],[OriginalBudget17]]-SummaryTable[[#This Row],[OriginalBudget16]]</f>
        <v>4</v>
      </c>
      <c r="CI124" s="54">
        <f>SummaryTable[[#This Row],[BudgetIncreaseAmount17]]/SummaryTable[[#This Row],[OriginalBudget16]]</f>
        <v>1.7391304347826087E-2</v>
      </c>
      <c r="CJ124" s="61">
        <f>IF(COUNTIFS(allFYsTable[Code], SummaryTable[[#This Row],[Code]], allFYsTable[year2], CG$3)=0, NotFound, SUMIFS(allFYsTable[RevisedBudget], allFYsTable[Code], SummaryTable[[#This Row],[Code]], allFYsTable[year2], CG$3))</f>
        <v>239</v>
      </c>
      <c r="CK124" s="61">
        <f>IF(COUNTIFS(allFYsTable[Code], SummaryTable[[#This Row],[Code]], allFYsTable[year2], CG$3)=0, NotFound, SUMIFS(allFYsTable[Actual], allFYsTable[Code], SummaryTable[[#This Row],[Code]], allFYsTable[year2], CG$3))</f>
        <v>239</v>
      </c>
      <c r="CL124" s="61">
        <f>IF(COUNTIFS(allFYsTable[Code], SummaryTable[[#This Row],[Code]], allFYsTable[year2], CG$3)=0, NotFound, SUMIFS(allFYsTable[DiffAmount], allFYsTable[Code], SummaryTable[[#This Row],[Code]], allFYsTable[year2], CG$3))</f>
        <v>5</v>
      </c>
      <c r="CM124" s="63">
        <f>IF(SummaryTable[[#This Row],[OriginalBudget17]]=0, IF(SummaryTable[[#This Row],[DiffAmount17]]=0, ZeroBudgetNoSpending, ZeroBudgetWithSpending), SummaryTable[[#This Row],[DiffAmount17]]/SummaryTable[[#This Row],[OriginalBudget17]])</f>
        <v>2.1367521367521368E-2</v>
      </c>
      <c r="CN124" s="62">
        <f>IF(COUNTIFS(allFYsTable[Code], SummaryTable[[#This Row],[Code]], allFYsTable[year2], CN$3)=0, NotFound, SUMIFS(allFYsTable[OriginalBudget], allFYsTable[Code], SummaryTable[[#This Row],[Code]], allFYsTable[year2], CN$3))</f>
        <v>230</v>
      </c>
      <c r="CO124" s="61">
        <f>SummaryTable[[#This Row],[OriginalBudget16]]-SummaryTable[[#This Row],[OriginalBudget15]]</f>
        <v>4</v>
      </c>
      <c r="CP124" s="54">
        <f>SummaryTable[[#This Row],[BudgetIncreaseAmount16]]/SummaryTable[[#This Row],[OriginalBudget15]]</f>
        <v>1.7699115044247787E-2</v>
      </c>
      <c r="CQ124" s="61">
        <f>IF(COUNTIFS(allFYsTable[Code], SummaryTable[[#This Row],[Code]], allFYsTable[year2], CN$3)=0, NotFound, SUMIFS(allFYsTable[RevisedBudget], allFYsTable[Code], SummaryTable[[#This Row],[Code]], allFYsTable[year2], CN$3))</f>
        <v>290</v>
      </c>
      <c r="CR124" s="61">
        <f>IF(COUNTIFS(allFYsTable[Code], SummaryTable[[#This Row],[Code]], allFYsTable[year2], CN$3)=0, NotFound, SUMIFS(allFYsTable[Actual], allFYsTable[Code], SummaryTable[[#This Row],[Code]], allFYsTable[year2], CN$3))</f>
        <v>290</v>
      </c>
      <c r="CS124" s="61">
        <f>IF(COUNTIFS(allFYsTable[Code], SummaryTable[[#This Row],[Code]], allFYsTable[year2], CN$3)=0, NotFound, SUMIFS(allFYsTable[DiffAmount], allFYsTable[Code], SummaryTable[[#This Row],[Code]], allFYsTable[year2], CN$3))</f>
        <v>60</v>
      </c>
      <c r="CT124" s="63">
        <f>IF(SummaryTable[[#This Row],[OriginalBudget16]]=0, IF(SummaryTable[[#This Row],[DiffAmount16]]=0, ZeroBudgetNoSpending, ZeroBudgetWithSpending), SummaryTable[[#This Row],[DiffAmount16]]/SummaryTable[[#This Row],[OriginalBudget16]])</f>
        <v>0.2608695652173913</v>
      </c>
      <c r="CU124" s="62">
        <f>IF(COUNTIFS(allFYsTable[Code], SummaryTable[[#This Row],[Code]], allFYsTable[year2], CU$3)=0, NotFound, SUMIFS(allFYsTable[OriginalBudget], allFYsTable[Code], SummaryTable[[#This Row],[Code]], allFYsTable[year2], CU$3))</f>
        <v>226</v>
      </c>
      <c r="CV124" s="61" t="e">
        <f>SummaryTable[[#This Row],[OriginalBudget15]]-SummaryTable[[#This Row],[OriginalBudget14]]</f>
        <v>#N/A</v>
      </c>
      <c r="CW124" s="54" t="e">
        <f>SummaryTable[[#This Row],[BudgetIncreaseAmount15]]/SummaryTable[[#This Row],[OriginalBudget14]]</f>
        <v>#N/A</v>
      </c>
      <c r="CX124" s="61">
        <f>IF(COUNTIFS(allFYsTable[Code], SummaryTable[[#This Row],[Code]], allFYsTable[year2], CU$3)=0, NotFound, SUMIFS(allFYsTable[RevisedBudget], allFYsTable[Code], SummaryTable[[#This Row],[Code]], allFYsTable[year2], CU$3))</f>
        <v>137</v>
      </c>
      <c r="CY124" s="61">
        <f>IF(COUNTIFS(allFYsTable[Code], SummaryTable[[#This Row],[Code]], allFYsTable[year2], CU$3)=0, NotFound, SUMIFS(allFYsTable[Actual], allFYsTable[Code], SummaryTable[[#This Row],[Code]], allFYsTable[year2], CU$3))</f>
        <v>137</v>
      </c>
      <c r="CZ124" s="61">
        <f>IF(COUNTIFS(allFYsTable[Code], SummaryTable[[#This Row],[Code]], allFYsTable[year2], CU$3)=0, NotFound, SUMIFS(allFYsTable[DiffAmount], allFYsTable[Code], SummaryTable[[#This Row],[Code]], allFYsTable[year2], CU$3))</f>
        <v>-89</v>
      </c>
      <c r="DA124" s="63">
        <f>IF(SummaryTable[[#This Row],[OriginalBudget15]]=0, IF(SummaryTable[[#This Row],[DiffAmount15]]=0, ZeroBudgetNoSpending, ZeroBudgetWithSpending), SummaryTable[[#This Row],[DiffAmount15]]/SummaryTable[[#This Row],[OriginalBudget15]])</f>
        <v>-0.39380530973451328</v>
      </c>
      <c r="DB124" s="62" t="e">
        <f>IF(COUNTIFS(allFYsTable[Code], SummaryTable[[#This Row],[Code]], allFYsTable[year2], DB$3)=0, NotFound, SUMIFS(allFYsTable[OriginalBudget], allFYsTable[Code], SummaryTable[[#This Row],[Code]], allFYsTable[year2], DB$3))</f>
        <v>#N/A</v>
      </c>
      <c r="DC124" s="61" t="e">
        <f>SummaryTable[[#This Row],[OriginalBudget14]]-SummaryTable[[#This Row],[OriginalBudget13]]</f>
        <v>#N/A</v>
      </c>
      <c r="DD124" s="54" t="e">
        <f>SummaryTable[[#This Row],[BudgetIncreaseAmount14]]/SummaryTable[[#This Row],[OriginalBudget13]]</f>
        <v>#N/A</v>
      </c>
      <c r="DE124" s="61" t="e">
        <f>IF(COUNTIFS(allFYsTable[Code], SummaryTable[[#This Row],[Code]], allFYsTable[year2], DB$3)=0, NotFound, SUMIFS(allFYsTable[RevisedBudget], allFYsTable[Code], SummaryTable[[#This Row],[Code]], allFYsTable[year2], DB$3))</f>
        <v>#N/A</v>
      </c>
      <c r="DF124" s="61" t="e">
        <f>IF(COUNTIFS(allFYsTable[Code], SummaryTable[[#This Row],[Code]], allFYsTable[year2], DB$3)=0, NotFound, SUMIFS(allFYsTable[Actual], allFYsTable[Code], SummaryTable[[#This Row],[Code]], allFYsTable[year2], DB$3))</f>
        <v>#N/A</v>
      </c>
      <c r="DG124" s="61" t="e">
        <f>IF(COUNTIFS(allFYsTable[Code], SummaryTable[[#This Row],[Code]], allFYsTable[year2], DB$3)=0, NotFound, SUMIFS(allFYsTable[DiffAmount], allFYsTable[Code], SummaryTable[[#This Row],[Code]], allFYsTable[year2], DB$3))</f>
        <v>#N/A</v>
      </c>
      <c r="DH124" s="63" t="e">
        <f>IF(SummaryTable[[#This Row],[OriginalBudget14]]=0, IF(SummaryTable[[#This Row],[DiffAmount14]]=0, ZeroBudgetNoSpending, ZeroBudgetWithSpending), SummaryTable[[#This Row],[DiffAmount14]]/SummaryTable[[#This Row],[OriginalBudget14]])</f>
        <v>#N/A</v>
      </c>
      <c r="DI124" s="62" t="e">
        <f>IF(COUNTIFS(allFYsTable[Code], SummaryTable[[#This Row],[Code]], allFYsTable[year2], DI$3)=0, NotFound, SUMIFS(allFYsTable[OriginalBudget], allFYsTable[Code], SummaryTable[[#This Row],[Code]], allFYsTable[year2], DI$3))</f>
        <v>#N/A</v>
      </c>
      <c r="DJ124" s="61" t="e">
        <f>SummaryTable[[#This Row],[OriginalBudget13]]-SummaryTable[[#This Row],[OriginalBudget12]]</f>
        <v>#N/A</v>
      </c>
      <c r="DK124" s="54" t="e">
        <f>SummaryTable[[#This Row],[BudgetIncreaseAmount13]]/SummaryTable[[#This Row],[OriginalBudget12]]</f>
        <v>#N/A</v>
      </c>
      <c r="DL124" s="61" t="e">
        <f>IF(COUNTIFS(allFYsTable[Code], SummaryTable[[#This Row],[Code]], allFYsTable[year2], DI$3)=0, NotFound, SUMIFS(allFYsTable[RevisedBudget], allFYsTable[Code], SummaryTable[[#This Row],[Code]], allFYsTable[year2], DI$3))</f>
        <v>#N/A</v>
      </c>
      <c r="DM124" s="61" t="e">
        <f>IF(COUNTIFS(allFYsTable[Code], SummaryTable[[#This Row],[Code]], allFYsTable[year2], DI$3)=0, NotFound, SUMIFS(allFYsTable[Actual], allFYsTable[Code], SummaryTable[[#This Row],[Code]], allFYsTable[year2], DI$3))</f>
        <v>#N/A</v>
      </c>
      <c r="DN124" s="61" t="e">
        <f>IF(COUNTIFS(allFYsTable[Code], SummaryTable[[#This Row],[Code]], allFYsTable[year2], DI$3)=0, NotFound, SUMIFS(allFYsTable[DiffAmount], allFYsTable[Code], SummaryTable[[#This Row],[Code]], allFYsTable[year2], DI$3))</f>
        <v>#N/A</v>
      </c>
      <c r="DO124" s="63" t="e">
        <f>IF(SummaryTable[[#This Row],[OriginalBudget13]]=0, IF(SummaryTable[[#This Row],[DiffAmount13]]=0, ZeroBudgetNoSpending, ZeroBudgetWithSpending), SummaryTable[[#This Row],[DiffAmount13]]/SummaryTable[[#This Row],[OriginalBudget13]])</f>
        <v>#N/A</v>
      </c>
      <c r="DP124" s="62" t="e">
        <f>IF(COUNTIFS(allFYsTable[Code], SummaryTable[[#This Row],[Code]], allFYsTable[year2], DP$3)=0, NotFound, SUMIFS(allFYsTable[OriginalBudget], allFYsTable[Code], SummaryTable[[#This Row],[Code]], allFYsTable[year2], DP$3))</f>
        <v>#N/A</v>
      </c>
      <c r="DQ124" s="61" t="e">
        <f>SummaryTable[[#This Row],[OriginalBudget12]]-SummaryTable[[#This Row],[OriginalBudget11]]</f>
        <v>#N/A</v>
      </c>
      <c r="DR124" s="54" t="e">
        <f>SummaryTable[[#This Row],[BudgetIncreaseAmount12]]/SummaryTable[[#This Row],[OriginalBudget11]]</f>
        <v>#N/A</v>
      </c>
      <c r="DS124" s="61" t="e">
        <f>IF(COUNTIFS(allFYsTable[Code], SummaryTable[[#This Row],[Code]], allFYsTable[year2], DP$3)=0, NotFound, SUMIFS(allFYsTable[RevisedBudget], allFYsTable[Code], SummaryTable[[#This Row],[Code]], allFYsTable[year2], DP$3))</f>
        <v>#N/A</v>
      </c>
      <c r="DT124" s="61" t="e">
        <f>IF(COUNTIFS(allFYsTable[Code], SummaryTable[[#This Row],[Code]], allFYsTable[year2], DP$3)=0, NotFound, SUMIFS(allFYsTable[Actual], allFYsTable[Code], SummaryTable[[#This Row],[Code]], allFYsTable[year2], DP$3))</f>
        <v>#N/A</v>
      </c>
      <c r="DU124" s="61" t="e">
        <f>IF(COUNTIFS(allFYsTable[Code], SummaryTable[[#This Row],[Code]], allFYsTable[year2], DP$3)=0, NotFound, SUMIFS(allFYsTable[DiffAmount], allFYsTable[Code], SummaryTable[[#This Row],[Code]], allFYsTable[year2], DP$3))</f>
        <v>#N/A</v>
      </c>
      <c r="DV124" s="63" t="e">
        <f>IF(SummaryTable[[#This Row],[OriginalBudget12]]=0, IF(SummaryTable[[#This Row],[DiffAmount12]]=0, ZeroBudgetNoSpending, ZeroBudgetWithSpending), SummaryTable[[#This Row],[DiffAmount12]]/SummaryTable[[#This Row],[OriginalBudget12]])</f>
        <v>#N/A</v>
      </c>
      <c r="DW124" s="62" t="e">
        <f>IF(COUNTIFS(allFYsTable[Code], SummaryTable[[#This Row],[Code]], allFYsTable[year2], DW$3)=0, NotFound, SUMIFS(allFYsTable[OriginalBudget], allFYsTable[Code], SummaryTable[[#This Row],[Code]], allFYsTable[year2], DW$3))</f>
        <v>#N/A</v>
      </c>
      <c r="DX124" s="61" t="e">
        <f>SummaryTable[[#This Row],[OriginalBudget11]]-SummaryTable[[#This Row],[OriginalBudget10]]</f>
        <v>#N/A</v>
      </c>
      <c r="DY124" s="54" t="e">
        <f>SummaryTable[[#This Row],[BudgetIncreaseAmount11]]/SummaryTable[[#This Row],[OriginalBudget10]]</f>
        <v>#N/A</v>
      </c>
      <c r="DZ124" s="61" t="e">
        <f>IF(COUNTIFS(allFYsTable[Code], SummaryTable[[#This Row],[Code]], allFYsTable[year2], DW$3)=0, NotFound, SUMIFS(allFYsTable[RevisedBudget], allFYsTable[Code], SummaryTable[[#This Row],[Code]], allFYsTable[year2], DW$3))</f>
        <v>#N/A</v>
      </c>
      <c r="EA124" s="61" t="e">
        <f>IF(COUNTIFS(allFYsTable[Code], SummaryTable[[#This Row],[Code]], allFYsTable[year2], DW$3)=0, NotFound, SUMIFS(allFYsTable[Actual], allFYsTable[Code], SummaryTable[[#This Row],[Code]], allFYsTable[year2], DW$3))</f>
        <v>#N/A</v>
      </c>
      <c r="EB124" s="61" t="e">
        <f>IF(COUNTIFS(allFYsTable[Code], SummaryTable[[#This Row],[Code]], allFYsTable[year2], DW$3)=0, NotFound, SUMIFS(allFYsTable[DiffAmount], allFYsTable[Code], SummaryTable[[#This Row],[Code]], allFYsTable[year2], DW$3))</f>
        <v>#N/A</v>
      </c>
      <c r="EC124" s="63" t="e">
        <f>IF(SummaryTable[[#This Row],[OriginalBudget11]]=0, IF(SummaryTable[[#This Row],[DiffAmount11]]=0, ZeroBudgetNoSpending, ZeroBudgetWithSpending), SummaryTable[[#This Row],[DiffAmount11]]/SummaryTable[[#This Row],[OriginalBudget11]])</f>
        <v>#N/A</v>
      </c>
      <c r="ED124" s="62" t="e">
        <f>IF(COUNTIFS(allFYsTable[Code], SummaryTable[[#This Row],[Code]], allFYsTable[year2], ED$3)=0, NotFound, SUMIFS(allFYsTable[OriginalBudget], allFYsTable[Code], SummaryTable[[#This Row],[Code]], allFYsTable[year2], ED$3))</f>
        <v>#N/A</v>
      </c>
      <c r="EE124" s="61" t="e">
        <f>SummaryTable[[#This Row],[OriginalBudget10]]-SummaryTable[[#This Row],[OriginalBudget09]]</f>
        <v>#N/A</v>
      </c>
      <c r="EF124" s="54" t="e">
        <f>SummaryTable[[#This Row],[BudgetIncreaseAmount10]]/SummaryTable[[#This Row],[OriginalBudget09]]</f>
        <v>#N/A</v>
      </c>
      <c r="EG124" s="61" t="e">
        <f>IF(COUNTIFS(allFYsTable[Code], SummaryTable[[#This Row],[Code]], allFYsTable[year2], ED$3)=0, NotFound, SUMIFS(allFYsTable[RevisedBudget], allFYsTable[Code], SummaryTable[[#This Row],[Code]], allFYsTable[year2], ED$3))</f>
        <v>#N/A</v>
      </c>
      <c r="EH124" s="61" t="e">
        <f>IF(COUNTIFS(allFYsTable[Code], SummaryTable[[#This Row],[Code]], allFYsTable[year2], ED$3)=0, NotFound, SUMIFS(allFYsTable[Actual], allFYsTable[Code], SummaryTable[[#This Row],[Code]], allFYsTable[year2], ED$3))</f>
        <v>#N/A</v>
      </c>
      <c r="EI124" s="61" t="e">
        <f>IF(COUNTIFS(allFYsTable[Code], SummaryTable[[#This Row],[Code]], allFYsTable[year2], ED$3)=0, NotFound, SUMIFS(allFYsTable[DiffAmount], allFYsTable[Code], SummaryTable[[#This Row],[Code]], allFYsTable[year2], ED$3))</f>
        <v>#N/A</v>
      </c>
      <c r="EJ124" s="63" t="e">
        <f>IF(SummaryTable[[#This Row],[OriginalBudget10]]=0, IF(SummaryTable[[#This Row],[DiffAmount10]]=0, ZeroBudgetNoSpending, ZeroBudgetWithSpending), SummaryTable[[#This Row],[DiffAmount10]]/SummaryTable[[#This Row],[OriginalBudget10]])</f>
        <v>#N/A</v>
      </c>
      <c r="EK124" s="62" t="e">
        <f>IF(COUNTIFS(allFYsTable[Code], SummaryTable[[#This Row],[Code]], allFYsTable[year2], EK$3)=0, NotFound, SUMIFS(allFYsTable[OriginalBudget], allFYsTable[Code], SummaryTable[[#This Row],[Code]], allFYsTable[year2], EK$3))</f>
        <v>#N/A</v>
      </c>
      <c r="EL124" s="61" t="e">
        <f>SummaryTable[[#This Row],[OriginalBudget09]]-SummaryTable[[#This Row],[OriginalBudget08]]</f>
        <v>#N/A</v>
      </c>
      <c r="EM124" s="54" t="e">
        <f>SummaryTable[[#This Row],[BudgetIncreaseAmount09]]/SummaryTable[[#This Row],[OriginalBudget08]]</f>
        <v>#N/A</v>
      </c>
      <c r="EN124" s="61" t="e">
        <f>IF(COUNTIFS(allFYsTable[Code], SummaryTable[[#This Row],[Code]], allFYsTable[year2], EK$3)=0, NotFound, SUMIFS(allFYsTable[RevisedBudget], allFYsTable[Code], SummaryTable[[#This Row],[Code]], allFYsTable[year2], EK$3))</f>
        <v>#N/A</v>
      </c>
      <c r="EO124" s="61" t="e">
        <f>IF(COUNTIFS(allFYsTable[Code], SummaryTable[[#This Row],[Code]], allFYsTable[year2], EK$3)=0, NotFound, SUMIFS(allFYsTable[Actual], allFYsTable[Code], SummaryTable[[#This Row],[Code]], allFYsTable[year2], EK$3))</f>
        <v>#N/A</v>
      </c>
      <c r="EP124" s="61" t="e">
        <f>IF(COUNTIFS(allFYsTable[Code], SummaryTable[[#This Row],[Code]], allFYsTable[year2], EK$3)=0, NotFound, SUMIFS(allFYsTable[DiffAmount], allFYsTable[Code], SummaryTable[[#This Row],[Code]], allFYsTable[year2], EK$3))</f>
        <v>#N/A</v>
      </c>
      <c r="EQ124" s="63" t="e">
        <f>IF(SummaryTable[[#This Row],[OriginalBudget09]]=0, IF(SummaryTable[[#This Row],[DiffAmount09]]=0, ZeroBudgetNoSpending, ZeroBudgetWithSpending), SummaryTable[[#This Row],[DiffAmount09]]/SummaryTable[[#This Row],[OriginalBudget09]])</f>
        <v>#N/A</v>
      </c>
      <c r="ER124" s="62" t="e">
        <f>IF(COUNTIFS(allFYsTable[Code], SummaryTable[[#This Row],[Code]], allFYsTable[year2], ER$3)=0, NotFound, SUMIFS(allFYsTable[OriginalBudget], allFYsTable[Code], SummaryTable[[#This Row],[Code]], allFYsTable[year2], ER$3))</f>
        <v>#N/A</v>
      </c>
      <c r="ES124" s="61" t="e">
        <f>SummaryTable[[#This Row],[OriginalBudget08]]-SummaryTable[[#This Row],[OriginalBudget07]]</f>
        <v>#N/A</v>
      </c>
      <c r="ET124" s="54" t="e">
        <f>SummaryTable[[#This Row],[BudgetIncreaseAmount08]]/SummaryTable[[#This Row],[OriginalBudget07]]</f>
        <v>#N/A</v>
      </c>
      <c r="EU124" s="61" t="e">
        <f>IF(COUNTIFS(allFYsTable[Code], SummaryTable[[#This Row],[Code]], allFYsTable[year2], ER$3)=0, NotFound, SUMIFS(allFYsTable[RevisedBudget], allFYsTable[Code], SummaryTable[[#This Row],[Code]], allFYsTable[year2], ER$3))</f>
        <v>#N/A</v>
      </c>
      <c r="EV124" s="61" t="e">
        <f>IF(COUNTIFS(allFYsTable[Code], SummaryTable[[#This Row],[Code]], allFYsTable[year2], ER$3)=0, NotFound, SUMIFS(allFYsTable[Actual], allFYsTable[Code], SummaryTable[[#This Row],[Code]], allFYsTable[year2], ER$3))</f>
        <v>#N/A</v>
      </c>
      <c r="EW124" s="61" t="e">
        <f>IF(COUNTIFS(allFYsTable[Code], SummaryTable[[#This Row],[Code]], allFYsTable[year2], ER$3)=0, NotFound, SUMIFS(allFYsTable[DiffAmount], allFYsTable[Code], SummaryTable[[#This Row],[Code]], allFYsTable[year2], ER$3))</f>
        <v>#N/A</v>
      </c>
      <c r="EX124" s="63" t="e">
        <f>IF(SummaryTable[[#This Row],[OriginalBudget08]]=0, IF(SummaryTable[[#This Row],[DiffAmount08]]=0, ZeroBudgetNoSpending, ZeroBudgetWithSpending), SummaryTable[[#This Row],[DiffAmount08]]/SummaryTable[[#This Row],[OriginalBudget08]])</f>
        <v>#N/A</v>
      </c>
      <c r="EY124" s="62" t="e">
        <f>IF(COUNTIFS(allFYsTable[Code], SummaryTable[[#This Row],[Code]], allFYsTable[year2], EY$3)=0, NotFound, SUMIFS(allFYsTable[OriginalBudget], allFYsTable[Code], SummaryTable[[#This Row],[Code]], allFYsTable[year2], EY$3))</f>
        <v>#N/A</v>
      </c>
      <c r="EZ124" s="61" t="e">
        <f>SummaryTable[[#This Row],[OriginalBudget07]]-SummaryTable[[#This Row],[OriginalBudget06]]</f>
        <v>#N/A</v>
      </c>
      <c r="FA124" s="54" t="e">
        <f>SummaryTable[[#This Row],[BudgetIncreaseAmount07]]/SummaryTable[[#This Row],[OriginalBudget06]]</f>
        <v>#N/A</v>
      </c>
      <c r="FB124" s="61" t="e">
        <f>IF(COUNTIFS(allFYsTable[Code], SummaryTable[[#This Row],[Code]], allFYsTable[year2], EY$3)=0, NotFound, SUMIFS(allFYsTable[RevisedBudget], allFYsTable[Code], SummaryTable[[#This Row],[Code]], allFYsTable[year2], EY$3))</f>
        <v>#N/A</v>
      </c>
      <c r="FC124" s="61" t="e">
        <f>IF(COUNTIFS(allFYsTable[Code], SummaryTable[[#This Row],[Code]], allFYsTable[year2], EY$3)=0, NotFound, SUMIFS(allFYsTable[Actual], allFYsTable[Code], SummaryTable[[#This Row],[Code]], allFYsTable[year2], EY$3))</f>
        <v>#N/A</v>
      </c>
      <c r="FD124" s="61" t="e">
        <f>IF(COUNTIFS(allFYsTable[Code], SummaryTable[[#This Row],[Code]], allFYsTable[year2], EY$3)=0, NotFound, SUMIFS(allFYsTable[DiffAmount], allFYsTable[Code], SummaryTable[[#This Row],[Code]], allFYsTable[year2], EY$3))</f>
        <v>#N/A</v>
      </c>
      <c r="FE124" s="63" t="e">
        <f>IF(SummaryTable[[#This Row],[OriginalBudget07]]=0, IF(SummaryTable[[#This Row],[DiffAmount07]]=0, ZeroBudgetNoSpending, ZeroBudgetWithSpending), SummaryTable[[#This Row],[DiffAmount07]]/SummaryTable[[#This Row],[OriginalBudget07]])</f>
        <v>#N/A</v>
      </c>
      <c r="FF124" s="62" t="e">
        <f>IF(COUNTIFS(allFYsTable[Code], SummaryTable[[#This Row],[Code]], allFYsTable[year2], FF$3)=0, NotFound, SUMIFS(allFYsTable[OriginalBudget], allFYsTable[Code], SummaryTable[[#This Row],[Code]], allFYsTable[year2], FF$3))</f>
        <v>#N/A</v>
      </c>
      <c r="FI124" s="61" t="e">
        <f>IF(COUNTIFS(allFYsTable[Code], SummaryTable[[#This Row],[Code]], allFYsTable[year2], FF$3)=0, NotFound, SUMIFS(allFYsTable[RevisedBudget], allFYsTable[Code], SummaryTable[[#This Row],[Code]], allFYsTable[year2], FF$3))</f>
        <v>#N/A</v>
      </c>
      <c r="FJ124" s="61" t="e">
        <f>IF(COUNTIFS(allFYsTable[Code], SummaryTable[[#This Row],[Code]], allFYsTable[year2], FF$3)=0, NotFound, SUMIFS(allFYsTable[Actual], allFYsTable[Code], SummaryTable[[#This Row],[Code]], allFYsTable[year2], FF$3))</f>
        <v>#N/A</v>
      </c>
      <c r="FK124" s="61" t="e">
        <f>IF(COUNTIFS(allFYsTable[Code], SummaryTable[[#This Row],[Code]], allFYsTable[year2], FF$3)=0, NotFound, SUMIFS(allFYsTable[DiffAmount], allFYsTable[Code], SummaryTable[[#This Row],[Code]], allFYsTable[year2], FF$3))</f>
        <v>#N/A</v>
      </c>
      <c r="FL124" s="63" t="e">
        <f>IF(SummaryTable[[#This Row],[OriginalBudget06]]=0, IF(SummaryTable[[#This Row],[DiffAmount06]]=0, ZeroBudgetNoSpending, ZeroBudgetWithSpending), SummaryTable[[#This Row],[DiffAmount06]]/SummaryTable[[#This Row],[OriginalBudget06]])</f>
        <v>#N/A</v>
      </c>
    </row>
    <row r="125" spans="1:168" x14ac:dyDescent="0.45">
      <c r="A125" t="s">
        <v>732</v>
      </c>
      <c r="B125">
        <f>_xlfn.MAXIFS(allFYsTable[year2], allFYsTable[Code], SummaryTable[[#This Row],[Code]])</f>
        <v>2025</v>
      </c>
      <c r="C125" t="str">
        <f>_xlfn.XLOOKUP(SummaryTable[[#This Row],[Code]], NameCodingTable[Code], NameCodingTable[Most Recent Category per allFYs])</f>
        <v>Governmental direction and support</v>
      </c>
      <c r="D125" t="str">
        <f>_xlfn.XLOOKUP(SummaryTable[[#This Row],[Code]], NameCodingTable[Code], NameCodingTable[Unit Display Name])</f>
        <v>Tax Revision Commission</v>
      </c>
      <c r="E125" t="str">
        <f>_xlfn.XLOOKUP(SummaryTable[[#This Row],[Code]], NameCodingTable[Code], NameCodingTable[Type])</f>
        <v>agency</v>
      </c>
      <c r="F12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6</v>
      </c>
      <c r="G12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4</v>
      </c>
      <c r="H125" s="54">
        <f>SummaryTable[[#This Row],['# Over]]/SummaryTable[[#This Row],[Count]]</f>
        <v>0.66666666666666663</v>
      </c>
      <c r="I12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v>
      </c>
      <c r="J125" s="54">
        <f>SummaryTable[[#This Row],['# Under]]/SummaryTable[[#This Row],[Count]]</f>
        <v>0.33333333333333331</v>
      </c>
      <c r="K12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25" s="54">
        <f>SummaryTable[[#This Row],['# Equal]]/SummaryTable[[#This Row],[Count]]</f>
        <v>0</v>
      </c>
      <c r="M125" s="61">
        <f>SUMIFS(allFYsTable[OriginalBudget],allFYsTable[Code],SummaryTable[[#This Row],[Code]])/SummaryTable[[#This Row],[Count]]</f>
        <v>430.66666666666669</v>
      </c>
      <c r="N125" s="61">
        <f>SUMIFS(allFYsTable[Actual],allFYsTable[Code],SummaryTable[[#This Row],[Code]])/SummaryTable[[#This Row],[Count]]</f>
        <v>361.16666666666669</v>
      </c>
      <c r="O125" s="61">
        <f>SummaryTable[[#This Row],[AvgActAmt]]-SummaryTable[[#This Row],[AvgBudAmt]]</f>
        <v>-69.5</v>
      </c>
      <c r="P125" s="54">
        <f>IF(SummaryTable[[#This Row],[AvgBudAmt]]=0, IF(SummaryTable[[#This Row],[AvgDiff'#]]=0, 0, NamedFields!$C$3), SummaryTable[[#This Row],[AvgDiff'#]]/SummaryTable[[#This Row],[AvgBudAmt]])</f>
        <v>-0.16137770897832818</v>
      </c>
      <c r="Q125" s="61">
        <f>IFERROR(SUMIFS(allFYsTable[OriginalBudget],allFYsTable[Code],SummaryTable[[#This Row],[Code]],allFYsTable[DiffAmount], "&gt;0")/SummaryTable[[#This Row],['# Over]], 0)</f>
        <v>150</v>
      </c>
      <c r="R125" s="61">
        <f>IFERROR(SUMIFS(allFYsTable[Actual],allFYsTable[Code],SummaryTable[[#This Row],[Code]],allFYsTable[DiffAmount], "&gt;0")/SummaryTable[[#This Row],['# Over]], 0)</f>
        <v>440.5</v>
      </c>
      <c r="S125" s="61">
        <f>SummaryTable[[#This Row],[OverAvgAct]]-SummaryTable[[#This Row],[OverAvgBud]]</f>
        <v>290.5</v>
      </c>
      <c r="T125" s="54">
        <f>IF(SummaryTable[[#This Row],[OverAvgBud]]=0, IF(SummaryTable[[#This Row],[OverAvgDiff'#]]=0, ZeroBudgetNoSpending, ZeroBudgetWithSpending), SummaryTable[[#This Row],[OverAvgDiff'#]]/SummaryTable[[#This Row],[OverAvgBud]])</f>
        <v>1.9366666666666668</v>
      </c>
      <c r="U125" s="61">
        <f>IFERROR(SUMIFS(allFYsTable[OriginalBudget],allFYsTable[Code],SummaryTable[[#This Row],[Code]],allFYsTable[DiffAmount], "&lt;0")/SummaryTable[[#This Row],['# Under]], 0)</f>
        <v>992</v>
      </c>
      <c r="V125" s="61">
        <f>IFERROR( SUMIFS(allFYsTable[Actual],allFYsTable[Code],SummaryTable[[#This Row],[Code]],allFYsTable[DiffAmount], "&lt;0")/SummaryTable[[#This Row],['# Under]], 0)</f>
        <v>202.5</v>
      </c>
      <c r="W125" s="61">
        <f>SummaryTable[[#This Row],[UnderAvgAct]]-SummaryTable[[#This Row],[UnderAvgBud]]</f>
        <v>-789.5</v>
      </c>
      <c r="X125" s="54">
        <f>IF(SummaryTable[[#This Row],[UnderAvgBud]]=0, IF(SummaryTable[[#This Row],[UnderAvgDiff'#]]=0, ZeroBudgetNoSpending, NamedFields!$C$3), SummaryTable[[#This Row],[UnderAvgDiff'#]]/SummaryTable[[#This Row],[UnderAvgBud]])</f>
        <v>-0.795866935483871</v>
      </c>
      <c r="Y12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2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25" s="54">
        <f>IF(SummaryTable[[#This Row],[IncreaseYears]]=0, ZeroBudgetNoSpending, SummaryTable[[#This Row],[OSinIncreaseYear'#]]/SummaryTable[[#This Row],[IncreaseYears]])</f>
        <v>0</v>
      </c>
      <c r="AB125" s="58" t="str">
        <f>SummaryTable[[#This Row],[Code]]</f>
        <v>PM0</v>
      </c>
      <c r="AC125" s="62">
        <f>IF(COUNTIFS(allFYsTable[Code], SummaryTable[[#This Row],[Code]], allFYsTable[year2], AC$3)=0, NotFound, SUMIFS(allFYsTable[OriginalBudget], allFYsTable[Code], SummaryTable[[#This Row],[Code]], allFYsTable[year2], AC$3))</f>
        <v>0</v>
      </c>
      <c r="AD125" s="61">
        <f>SummaryTable[[#This Row],[OriginalBudget25]]-SummaryTable[[#This Row],[OriginalBudget24]]</f>
        <v>-400</v>
      </c>
      <c r="AE125" s="54">
        <f>SummaryTable[[#This Row],[BudgetIncreaseAmount25]]/SummaryTable[[#This Row],[OriginalBudget24]]</f>
        <v>-1</v>
      </c>
      <c r="AF125" s="61">
        <f>IF(COUNTIFS(allFYsTable[Code], SummaryTable[[#This Row],[Code]], allFYsTable[year2], AC$3)=0, NotFound, SUMIFS(allFYsTable[RevisedBudget], allFYsTable[Code], SummaryTable[[#This Row],[Code]], allFYsTable[year2], AC$3))</f>
        <v>53</v>
      </c>
      <c r="AG125" s="61">
        <f>IF(COUNTIFS(allFYsTable[Code], SummaryTable[[#This Row],[Code]], allFYsTable[year2], AC$3)=0, NotFound, SUMIFS(allFYsTable[Actual], allFYsTable[Code], SummaryTable[[#This Row],[Code]], allFYsTable[year2], AC$3))</f>
        <v>49</v>
      </c>
      <c r="AH125" s="61">
        <f>IF(COUNTIFS(allFYsTable[Code], SummaryTable[[#This Row],[Code]], allFYsTable[year2], AC$3)=0, NotFound, SUMIFS(allFYsTable[DiffAmount], allFYsTable[Code], SummaryTable[[#This Row],[Code]], allFYsTable[year2], AC$3))</f>
        <v>49</v>
      </c>
      <c r="AI125" s="63">
        <f>IF(SummaryTable[[#This Row],[OriginalBudget25]]=0, IF(SummaryTable[[#This Row],[DiffAmount25]]=0, ZeroBudgetNoSpending, ZeroBudgetWithSpending), SummaryTable[[#This Row],[DiffAmount25]]/SummaryTable[[#This Row],[OriginalBudget25]])</f>
        <v>99.99</v>
      </c>
      <c r="AJ125" s="62">
        <f>IF(COUNTIFS(allFYsTable[Code], SummaryTable[[#This Row],[Code]], allFYsTable[year2], AJ$3)=0, NotFound, SUMIFS(allFYsTable[OriginalBudget], allFYsTable[Code], SummaryTable[[#This Row],[Code]], allFYsTable[year2], AJ$3))</f>
        <v>400</v>
      </c>
      <c r="AK125" s="61">
        <f>SummaryTable[[#This Row],[OriginalBudget24]]-SummaryTable[[#This Row],[OriginalBudget23]]</f>
        <v>-595</v>
      </c>
      <c r="AL125" s="54">
        <f>SummaryTable[[#This Row],[BudgetIncreaseAmount24]]/SummaryTable[[#This Row],[OriginalBudget23]]</f>
        <v>-0.59798994974874375</v>
      </c>
      <c r="AM125" s="61">
        <f>IF(COUNTIFS(allFYsTable[Code], SummaryTable[[#This Row],[Code]], allFYsTable[year2], AK$3)=0, NotFound, SUMIFS(allFYsTable[RevisedBudget], allFYsTable[Code], SummaryTable[[#This Row],[Code]], allFYsTable[year2], AJ$3))</f>
        <v>742</v>
      </c>
      <c r="AN125" s="61">
        <f>IF(COUNTIFS(allFYsTable[Code], SummaryTable[[#This Row],[Code]], allFYsTable[year2], AJ$3)=0, NotFound, SUMIFS(allFYsTable[Actual], allFYsTable[Code], SummaryTable[[#This Row],[Code]], allFYsTable[year2], AJ$3))</f>
        <v>742</v>
      </c>
      <c r="AO125" s="61">
        <f>IF(COUNTIFS(allFYsTable[Code], SummaryTable[[#This Row],[Code]], allFYsTable[year2], AJ$3)=0, NotFound, SUMIFS(allFYsTable[DiffAmount], allFYsTable[Code], SummaryTable[[#This Row],[Code]], allFYsTable[year2], AJ$3))</f>
        <v>342</v>
      </c>
      <c r="AP125" s="63">
        <f>IF(SummaryTable[[#This Row],[OriginalBudget24]]=0, IF(SummaryTable[[#This Row],[DiffAmount24]]=0, ZeroBudgetNoSpending, ZeroBudgetWithSpending), SummaryTable[[#This Row],[DiffAmount24]]/SummaryTable[[#This Row],[OriginalBudget24]])</f>
        <v>0.85499999999999998</v>
      </c>
      <c r="AQ125" s="62">
        <f>IF(COUNTIFS(allFYsTable[Code], SummaryTable[[#This Row],[Code]], allFYsTable[year2], AQ$3)=0, NotFound, SUMIFS(allFYsTable[OriginalBudget], allFYsTable[Code], SummaryTable[[#This Row],[Code]], allFYsTable[year2], AQ$3))</f>
        <v>995</v>
      </c>
      <c r="AR125" s="61">
        <f>SummaryTable[[#This Row],[OriginalBudget23]]-SummaryTable[[#This Row],[OriginalBudget22]]</f>
        <v>6</v>
      </c>
      <c r="AS125" s="54">
        <f>SummaryTable[[#This Row],[BudgetIncreaseAmount23]]/SummaryTable[[#This Row],[OriginalBudget22]]</f>
        <v>6.0667340748230538E-3</v>
      </c>
      <c r="AT125" s="61">
        <f>IF(COUNTIFS(allFYsTable[Code], SummaryTable[[#This Row],[Code]], allFYsTable[year2], AQ$3)=0, NotFound, SUMIFS(allFYsTable[RevisedBudget], allFYsTable[Code], SummaryTable[[#This Row],[Code]], allFYsTable[year2], AQ$3))</f>
        <v>392</v>
      </c>
      <c r="AU125" s="61">
        <f>IF(COUNTIFS(allFYsTable[Code], SummaryTable[[#This Row],[Code]], allFYsTable[year2], AQ$3)=0, NotFound, SUMIFS(allFYsTable[Actual], allFYsTable[Code], SummaryTable[[#This Row],[Code]], allFYsTable[year2], AQ$3))</f>
        <v>392</v>
      </c>
      <c r="AV125" s="61">
        <f>IF(COUNTIFS(allFYsTable[Code], SummaryTable[[#This Row],[Code]], allFYsTable[year2], AQ$3)=0, NotFound, SUMIFS(allFYsTable[DiffAmount], allFYsTable[Code], SummaryTable[[#This Row],[Code]], allFYsTable[year2], AQ$3))</f>
        <v>-603</v>
      </c>
      <c r="AW125" s="63">
        <f>IF(SummaryTable[[#This Row],[OriginalBudget23]]=0, IF(SummaryTable[[#This Row],[DiffAmount23]]=0, ZeroBudgetNoSpending, ZeroBudgetWithSpending), SummaryTable[[#This Row],[DiffAmount23]]/SummaryTable[[#This Row],[OriginalBudget23]])</f>
        <v>-0.60603015075376887</v>
      </c>
      <c r="AX125" s="62">
        <f>IF(COUNTIFS(allFYsTable[Code], SummaryTable[[#This Row],[Code]], allFYsTable[year2], AX$3)=0, NotFound, SUMIFS(allFYsTable[OriginalBudget], allFYsTable[Code], SummaryTable[[#This Row],[Code]], allFYsTable[year2], AX$3))</f>
        <v>989</v>
      </c>
      <c r="AY125" s="61" t="e">
        <f>SummaryTable[[#This Row],[OriginalBudget22]]-SummaryTable[[#This Row],[OriginalBudget21]]</f>
        <v>#N/A</v>
      </c>
      <c r="AZ125" s="54" t="e">
        <f>SummaryTable[[#This Row],[BudgetIncreaseAmount22]]/SummaryTable[[#This Row],[OriginalBudget21]]</f>
        <v>#N/A</v>
      </c>
      <c r="BA125" s="61">
        <f>IF(COUNTIFS(allFYsTable[Code], SummaryTable[[#This Row],[Code]], allFYsTable[year2], AX$3)=0, NotFound, SUMIFS(allFYsTable[RevisedBudget], allFYsTable[Code], SummaryTable[[#This Row],[Code]], allFYsTable[year2], AX$3))</f>
        <v>13</v>
      </c>
      <c r="BB125" s="61">
        <f>IF(COUNTIFS(allFYsTable[Code], SummaryTable[[#This Row],[Code]], allFYsTable[year2], AX$3)=0, NotFound, SUMIFS(allFYsTable[Actual], allFYsTable[Code], SummaryTable[[#This Row],[Code]], allFYsTable[year2], AX$3))</f>
        <v>13</v>
      </c>
      <c r="BC125" s="61">
        <f>IF(COUNTIFS(allFYsTable[Code], SummaryTable[[#This Row],[Code]], allFYsTable[year2], AX$3)=0, NotFound, SUMIFS(allFYsTable[DiffAmount], allFYsTable[Code], SummaryTable[[#This Row],[Code]], allFYsTable[year2], AX$3))</f>
        <v>-976</v>
      </c>
      <c r="BD125" s="63">
        <f>IF(SummaryTable[[#This Row],[OriginalBudget22]]=0, IF(SummaryTable[[#This Row],[DiffAmount22]]=0, ZeroBudgetNoSpending, ZeroBudgetWithSpending), SummaryTable[[#This Row],[DiffAmount22]]/SummaryTable[[#This Row],[OriginalBudget22]])</f>
        <v>-0.98685540950455009</v>
      </c>
      <c r="BE125" s="62" t="e">
        <f>IF(COUNTIFS(allFYsTable[Code], SummaryTable[[#This Row],[Code]], allFYsTable[year2], BE$3)=0, NotFound, SUMIFS(allFYsTable[OriginalBudget], allFYsTable[Code], SummaryTable[[#This Row],[Code]], allFYsTable[year2], BE$3))</f>
        <v>#N/A</v>
      </c>
      <c r="BF125" s="61" t="e">
        <f>SummaryTable[[#This Row],[OriginalBudget21]]-SummaryTable[[#This Row],[OriginalBudget20]]</f>
        <v>#N/A</v>
      </c>
      <c r="BG125" s="54" t="e">
        <f>SummaryTable[[#This Row],[BudgetIncreaseAmount21]]/SummaryTable[[#This Row],[OriginalBudget20]]</f>
        <v>#N/A</v>
      </c>
      <c r="BH125" s="61" t="e">
        <f>IF(COUNTIFS(allFYsTable[Code], SummaryTable[[#This Row],[Code]], allFYsTable[year2], BE$3)=0, NotFound, SUMIFS(allFYsTable[RevisedBudget], allFYsTable[Code], SummaryTable[[#This Row],[Code]], allFYsTable[year2], BE$3))</f>
        <v>#N/A</v>
      </c>
      <c r="BI125" s="61" t="e">
        <f>IF(COUNTIFS(allFYsTable[Code], SummaryTable[[#This Row],[Code]], allFYsTable[year2], BE$3)=0, NotFound, SUMIFS(allFYsTable[Actual], allFYsTable[Code], SummaryTable[[#This Row],[Code]], allFYsTable[year2], BE$3))</f>
        <v>#N/A</v>
      </c>
      <c r="BJ125" s="61" t="e">
        <f>IF(COUNTIFS(allFYsTable[Code], SummaryTable[[#This Row],[Code]], allFYsTable[year2], BE$3)=0, NotFound, SUMIFS(allFYsTable[DiffAmount], allFYsTable[Code], SummaryTable[[#This Row],[Code]], allFYsTable[year2], BE$3))</f>
        <v>#N/A</v>
      </c>
      <c r="BK125" s="63" t="e">
        <f>IF(SummaryTable[[#This Row],[OriginalBudget21]]=0, IF(SummaryTable[[#This Row],[DiffAmount21]]=0, ZeroBudgetNoSpending, ZeroBudgetWithSpending), SummaryTable[[#This Row],[DiffAmount21]]/SummaryTable[[#This Row],[OriginalBudget21]])</f>
        <v>#N/A</v>
      </c>
      <c r="BL125" s="62" t="e">
        <f>IF(COUNTIFS(allFYsTable[Code], SummaryTable[[#This Row],[Code]], allFYsTable[year2], BL$3)=0, NotFound, SUMIFS(allFYsTable[OriginalBudget], allFYsTable[Code], SummaryTable[[#This Row],[Code]], allFYsTable[year2], BL$3))</f>
        <v>#N/A</v>
      </c>
      <c r="BM125" s="61" t="e">
        <f>SummaryTable[[#This Row],[OriginalBudget20]]-SummaryTable[[#This Row],[OriginalBudget19]]</f>
        <v>#N/A</v>
      </c>
      <c r="BN125" s="54" t="e">
        <f>SummaryTable[[#This Row],[BudgetIncreaseAmount20]]/SummaryTable[[#This Row],[OriginalBudget19]]</f>
        <v>#N/A</v>
      </c>
      <c r="BO125" s="61" t="e">
        <f>IF(COUNTIFS(allFYsTable[Code], SummaryTable[[#This Row],[Code]], allFYsTable[year2], BL$3)=0, NotFound, SUMIFS(allFYsTable[RevisedBudget], allFYsTable[Code], SummaryTable[[#This Row],[Code]], allFYsTable[year2], BL$3))</f>
        <v>#N/A</v>
      </c>
      <c r="BP125" s="61" t="e">
        <f>IF(COUNTIFS(allFYsTable[Code], SummaryTable[[#This Row],[Code]], allFYsTable[year2], BL$3)=0, NotFound, SUMIFS(allFYsTable[Actual], allFYsTable[Code], SummaryTable[[#This Row],[Code]], allFYsTable[year2], BL$3))</f>
        <v>#N/A</v>
      </c>
      <c r="BQ125" s="61" t="e">
        <f>IF(COUNTIFS(allFYsTable[Code], SummaryTable[[#This Row],[Code]], allFYsTable[year2], BL$3)=0, NotFound, SUMIFS(allFYsTable[DiffAmount], allFYsTable[Code], SummaryTable[[#This Row],[Code]], allFYsTable[year2], BL$3))</f>
        <v>#N/A</v>
      </c>
      <c r="BR125" s="63" t="e">
        <f>IF(SummaryTable[[#This Row],[OriginalBudget20]]=0, IF(SummaryTable[[#This Row],[DiffAmount20]]=0, ZeroBudgetNoSpending, ZeroBudgetWithSpending), SummaryTable[[#This Row],[DiffAmount20]]/SummaryTable[[#This Row],[OriginalBudget20]])</f>
        <v>#N/A</v>
      </c>
      <c r="BS125" s="62" t="e">
        <f>IF(COUNTIFS(allFYsTable[Code], SummaryTable[[#This Row],[Code]], allFYsTable[year2], BS$3)=0, NotFound, SUMIFS(allFYsTable[OriginalBudget], allFYsTable[Code], SummaryTable[[#This Row],[Code]], allFYsTable[year2], BS$3))</f>
        <v>#N/A</v>
      </c>
      <c r="BT125" s="61" t="e">
        <f>SummaryTable[[#This Row],[OriginalBudget19]]-SummaryTable[[#This Row],[OriginalBudget18]]</f>
        <v>#N/A</v>
      </c>
      <c r="BU125" s="54" t="e">
        <f>SummaryTable[[#This Row],[BudgetIncreaseAmount19]]/SummaryTable[[#This Row],[OriginalBudget18]]</f>
        <v>#N/A</v>
      </c>
      <c r="BV125" s="61" t="e">
        <f>IF(COUNTIFS(allFYsTable[Code], SummaryTable[[#This Row],[Code]], allFYsTable[year2], BS$3)=0, NotFound, SUMIFS(allFYsTable[RevisedBudget], allFYsTable[Code], SummaryTable[[#This Row],[Code]], allFYsTable[year2], BS$3))</f>
        <v>#N/A</v>
      </c>
      <c r="BW125" s="61" t="e">
        <f>IF(COUNTIFS(allFYsTable[Code], SummaryTable[[#This Row],[Code]], allFYsTable[year2], BS$3)=0, NotFound, SUMIFS(allFYsTable[Actual], allFYsTable[Code], SummaryTable[[#This Row],[Code]], allFYsTable[year2], BS$3))</f>
        <v>#N/A</v>
      </c>
      <c r="BX125" s="61" t="e">
        <f>IF(COUNTIFS(allFYsTable[Code], SummaryTable[[#This Row],[Code]], allFYsTable[year2], BS$3)=0, NotFound, SUMIFS(allFYsTable[DiffAmount], allFYsTable[Code], SummaryTable[[#This Row],[Code]], allFYsTable[year2], BS$3))</f>
        <v>#N/A</v>
      </c>
      <c r="BY125" s="63" t="e">
        <f>IF(SummaryTable[[#This Row],[OriginalBudget19]]=0, IF(SummaryTable[[#This Row],[DiffAmount19]]=0, ZeroBudgetNoSpending, ZeroBudgetWithSpending), SummaryTable[[#This Row],[DiffAmount19]]/SummaryTable[[#This Row],[OriginalBudget19]])</f>
        <v>#N/A</v>
      </c>
      <c r="BZ125" s="62" t="e">
        <f>IF(COUNTIFS(allFYsTable[Code], SummaryTable[[#This Row],[Code]], allFYsTable[year2], BZ$3)=0, NotFound, SUMIFS(allFYsTable[OriginalBudget], allFYsTable[Code], SummaryTable[[#This Row],[Code]], allFYsTable[year2], BZ$3))</f>
        <v>#N/A</v>
      </c>
      <c r="CA125" s="61" t="e">
        <f>SummaryTable[[#This Row],[OriginalBudget18]]-SummaryTable[[#This Row],[OriginalBudget17]]</f>
        <v>#N/A</v>
      </c>
      <c r="CB125" s="54" t="e">
        <f>SummaryTable[[#This Row],[BudgetIncreaseAmount18]]/SummaryTable[[#This Row],[OriginalBudget17]]</f>
        <v>#N/A</v>
      </c>
      <c r="CC125" s="61" t="e">
        <f>IF(COUNTIFS(allFYsTable[Code], SummaryTable[[#This Row],[Code]], allFYsTable[year2], BZ$3)=0, NotFound, SUMIFS(allFYsTable[RevisedBudget], allFYsTable[Code], SummaryTable[[#This Row],[Code]], allFYsTable[year2], BZ$3))</f>
        <v>#N/A</v>
      </c>
      <c r="CD125" s="61" t="e">
        <f>IF(COUNTIFS(allFYsTable[Code], SummaryTable[[#This Row],[Code]], allFYsTable[year2], BZ$3)=0, NotFound, SUMIFS(allFYsTable[Actual], allFYsTable[Code], SummaryTable[[#This Row],[Code]], allFYsTable[year2], BZ$3))</f>
        <v>#N/A</v>
      </c>
      <c r="CE125" s="61" t="e">
        <f>IF(COUNTIFS(allFYsTable[Code], SummaryTable[[#This Row],[Code]], allFYsTable[year2], BZ$3)=0, NotFound, SUMIFS(allFYsTable[DiffAmount], allFYsTable[Code], SummaryTable[[#This Row],[Code]], allFYsTable[year2], BZ$3))</f>
        <v>#N/A</v>
      </c>
      <c r="CF125" s="63" t="e">
        <f>IF(SummaryTable[[#This Row],[OriginalBudget18]]=0, IF(SummaryTable[[#This Row],[DiffAmount18]]=0, ZeroBudgetNoSpending, ZeroBudgetWithSpending), SummaryTable[[#This Row],[DiffAmount18]]/SummaryTable[[#This Row],[OriginalBudget18]])</f>
        <v>#N/A</v>
      </c>
      <c r="CG125" s="62" t="e">
        <f>IF(COUNTIFS(allFYsTable[Code], SummaryTable[[#This Row],[Code]], allFYsTable[year2], CG$3)=0, NotFound, SUMIFS(allFYsTable[OriginalBudget], allFYsTable[Code], SummaryTable[[#This Row],[Code]], allFYsTable[year2], CG$3))</f>
        <v>#N/A</v>
      </c>
      <c r="CH125" s="61" t="e">
        <f>SummaryTable[[#This Row],[OriginalBudget17]]-SummaryTable[[#This Row],[OriginalBudget16]]</f>
        <v>#N/A</v>
      </c>
      <c r="CI125" s="54" t="e">
        <f>SummaryTable[[#This Row],[BudgetIncreaseAmount17]]/SummaryTable[[#This Row],[OriginalBudget16]]</f>
        <v>#N/A</v>
      </c>
      <c r="CJ125" s="61" t="e">
        <f>IF(COUNTIFS(allFYsTable[Code], SummaryTable[[#This Row],[Code]], allFYsTable[year2], CG$3)=0, NotFound, SUMIFS(allFYsTable[RevisedBudget], allFYsTable[Code], SummaryTable[[#This Row],[Code]], allFYsTable[year2], CG$3))</f>
        <v>#N/A</v>
      </c>
      <c r="CK125" s="61" t="e">
        <f>IF(COUNTIFS(allFYsTable[Code], SummaryTable[[#This Row],[Code]], allFYsTable[year2], CG$3)=0, NotFound, SUMIFS(allFYsTable[Actual], allFYsTable[Code], SummaryTable[[#This Row],[Code]], allFYsTable[year2], CG$3))</f>
        <v>#N/A</v>
      </c>
      <c r="CL125" s="61" t="e">
        <f>IF(COUNTIFS(allFYsTable[Code], SummaryTable[[#This Row],[Code]], allFYsTable[year2], CG$3)=0, NotFound, SUMIFS(allFYsTable[DiffAmount], allFYsTable[Code], SummaryTable[[#This Row],[Code]], allFYsTable[year2], CG$3))</f>
        <v>#N/A</v>
      </c>
      <c r="CM125" s="63" t="e">
        <f>IF(SummaryTable[[#This Row],[OriginalBudget17]]=0, IF(SummaryTable[[#This Row],[DiffAmount17]]=0, ZeroBudgetNoSpending, ZeroBudgetWithSpending), SummaryTable[[#This Row],[DiffAmount17]]/SummaryTable[[#This Row],[OriginalBudget17]])</f>
        <v>#N/A</v>
      </c>
      <c r="CN125" s="62" t="e">
        <f>IF(COUNTIFS(allFYsTable[Code], SummaryTable[[#This Row],[Code]], allFYsTable[year2], CN$3)=0, NotFound, SUMIFS(allFYsTable[OriginalBudget], allFYsTable[Code], SummaryTable[[#This Row],[Code]], allFYsTable[year2], CN$3))</f>
        <v>#N/A</v>
      </c>
      <c r="CO125" s="61" t="e">
        <f>SummaryTable[[#This Row],[OriginalBudget16]]-SummaryTable[[#This Row],[OriginalBudget15]]</f>
        <v>#N/A</v>
      </c>
      <c r="CP125" s="54" t="e">
        <f>SummaryTable[[#This Row],[BudgetIncreaseAmount16]]/SummaryTable[[#This Row],[OriginalBudget15]]</f>
        <v>#N/A</v>
      </c>
      <c r="CQ125" s="61" t="e">
        <f>IF(COUNTIFS(allFYsTable[Code], SummaryTable[[#This Row],[Code]], allFYsTable[year2], CN$3)=0, NotFound, SUMIFS(allFYsTable[RevisedBudget], allFYsTable[Code], SummaryTable[[#This Row],[Code]], allFYsTable[year2], CN$3))</f>
        <v>#N/A</v>
      </c>
      <c r="CR125" s="61" t="e">
        <f>IF(COUNTIFS(allFYsTable[Code], SummaryTable[[#This Row],[Code]], allFYsTable[year2], CN$3)=0, NotFound, SUMIFS(allFYsTable[Actual], allFYsTable[Code], SummaryTable[[#This Row],[Code]], allFYsTable[year2], CN$3))</f>
        <v>#N/A</v>
      </c>
      <c r="CS125" s="61" t="e">
        <f>IF(COUNTIFS(allFYsTable[Code], SummaryTable[[#This Row],[Code]], allFYsTable[year2], CN$3)=0, NotFound, SUMIFS(allFYsTable[DiffAmount], allFYsTable[Code], SummaryTable[[#This Row],[Code]], allFYsTable[year2], CN$3))</f>
        <v>#N/A</v>
      </c>
      <c r="CT125" s="63" t="e">
        <f>IF(SummaryTable[[#This Row],[OriginalBudget16]]=0, IF(SummaryTable[[#This Row],[DiffAmount16]]=0, ZeroBudgetNoSpending, ZeroBudgetWithSpending), SummaryTable[[#This Row],[DiffAmount16]]/SummaryTable[[#This Row],[OriginalBudget16]])</f>
        <v>#N/A</v>
      </c>
      <c r="CU125" s="62" t="e">
        <f>IF(COUNTIFS(allFYsTable[Code], SummaryTable[[#This Row],[Code]], allFYsTable[year2], CU$3)=0, NotFound, SUMIFS(allFYsTable[OriginalBudget], allFYsTable[Code], SummaryTable[[#This Row],[Code]], allFYsTable[year2], CU$3))</f>
        <v>#N/A</v>
      </c>
      <c r="CV125" s="61" t="e">
        <f>SummaryTable[[#This Row],[OriginalBudget15]]-SummaryTable[[#This Row],[OriginalBudget14]]</f>
        <v>#N/A</v>
      </c>
      <c r="CW125" s="54" t="e">
        <f>SummaryTable[[#This Row],[BudgetIncreaseAmount15]]/SummaryTable[[#This Row],[OriginalBudget14]]</f>
        <v>#N/A</v>
      </c>
      <c r="CX125" s="61" t="e">
        <f>IF(COUNTIFS(allFYsTable[Code], SummaryTable[[#This Row],[Code]], allFYsTable[year2], CU$3)=0, NotFound, SUMIFS(allFYsTable[RevisedBudget], allFYsTable[Code], SummaryTable[[#This Row],[Code]], allFYsTable[year2], CU$3))</f>
        <v>#N/A</v>
      </c>
      <c r="CY125" s="61" t="e">
        <f>IF(COUNTIFS(allFYsTable[Code], SummaryTable[[#This Row],[Code]], allFYsTable[year2], CU$3)=0, NotFound, SUMIFS(allFYsTable[Actual], allFYsTable[Code], SummaryTable[[#This Row],[Code]], allFYsTable[year2], CU$3))</f>
        <v>#N/A</v>
      </c>
      <c r="CZ125" s="61" t="e">
        <f>IF(COUNTIFS(allFYsTable[Code], SummaryTable[[#This Row],[Code]], allFYsTable[year2], CU$3)=0, NotFound, SUMIFS(allFYsTable[DiffAmount], allFYsTable[Code], SummaryTable[[#This Row],[Code]], allFYsTable[year2], CU$3))</f>
        <v>#N/A</v>
      </c>
      <c r="DA125" s="63" t="e">
        <f>IF(SummaryTable[[#This Row],[OriginalBudget15]]=0, IF(SummaryTable[[#This Row],[DiffAmount15]]=0, ZeroBudgetNoSpending, ZeroBudgetWithSpending), SummaryTable[[#This Row],[DiffAmount15]]/SummaryTable[[#This Row],[OriginalBudget15]])</f>
        <v>#N/A</v>
      </c>
      <c r="DB125" s="62">
        <f>IF(COUNTIFS(allFYsTable[Code], SummaryTable[[#This Row],[Code]], allFYsTable[year2], DB$3)=0, NotFound, SUMIFS(allFYsTable[OriginalBudget], allFYsTable[Code], SummaryTable[[#This Row],[Code]], allFYsTable[year2], DB$3))</f>
        <v>200</v>
      </c>
      <c r="DC125" s="61">
        <f>SummaryTable[[#This Row],[OriginalBudget14]]-SummaryTable[[#This Row],[OriginalBudget13]]</f>
        <v>200</v>
      </c>
      <c r="DD125" s="54" t="e">
        <f>SummaryTable[[#This Row],[BudgetIncreaseAmount14]]/SummaryTable[[#This Row],[OriginalBudget13]]</f>
        <v>#DIV/0!</v>
      </c>
      <c r="DE125" s="61">
        <f>IF(COUNTIFS(allFYsTable[Code], SummaryTable[[#This Row],[Code]], allFYsTable[year2], DB$3)=0, NotFound, SUMIFS(allFYsTable[RevisedBudget], allFYsTable[Code], SummaryTable[[#This Row],[Code]], allFYsTable[year2], DB$3))</f>
        <v>405</v>
      </c>
      <c r="DF125" s="61">
        <f>IF(COUNTIFS(allFYsTable[Code], SummaryTable[[#This Row],[Code]], allFYsTable[year2], DB$3)=0, NotFound, SUMIFS(allFYsTable[Actual], allFYsTable[Code], SummaryTable[[#This Row],[Code]], allFYsTable[year2], DB$3))</f>
        <v>368</v>
      </c>
      <c r="DG125" s="61">
        <f>IF(COUNTIFS(allFYsTable[Code], SummaryTable[[#This Row],[Code]], allFYsTable[year2], DB$3)=0, NotFound, SUMIFS(allFYsTable[DiffAmount], allFYsTable[Code], SummaryTable[[#This Row],[Code]], allFYsTable[year2], DB$3))</f>
        <v>168</v>
      </c>
      <c r="DH125" s="63">
        <f>IF(SummaryTable[[#This Row],[OriginalBudget14]]=0, IF(SummaryTable[[#This Row],[DiffAmount14]]=0, ZeroBudgetNoSpending, ZeroBudgetWithSpending), SummaryTable[[#This Row],[DiffAmount14]]/SummaryTable[[#This Row],[OriginalBudget14]])</f>
        <v>0.84</v>
      </c>
      <c r="DI125" s="62">
        <f>IF(COUNTIFS(allFYsTable[Code], SummaryTable[[#This Row],[Code]], allFYsTable[year2], DI$3)=0, NotFound, SUMIFS(allFYsTable[OriginalBudget], allFYsTable[Code], SummaryTable[[#This Row],[Code]], allFYsTable[year2], DI$3))</f>
        <v>0</v>
      </c>
      <c r="DJ125" s="61" t="e">
        <f>SummaryTable[[#This Row],[OriginalBudget13]]-SummaryTable[[#This Row],[OriginalBudget12]]</f>
        <v>#N/A</v>
      </c>
      <c r="DK125" s="54" t="e">
        <f>SummaryTable[[#This Row],[BudgetIncreaseAmount13]]/SummaryTable[[#This Row],[OriginalBudget12]]</f>
        <v>#N/A</v>
      </c>
      <c r="DL125" s="61">
        <f>IF(COUNTIFS(allFYsTable[Code], SummaryTable[[#This Row],[Code]], allFYsTable[year2], DI$3)=0, NotFound, SUMIFS(allFYsTable[RevisedBudget], allFYsTable[Code], SummaryTable[[#This Row],[Code]], allFYsTable[year2], DI$3))</f>
        <v>603</v>
      </c>
      <c r="DM125" s="61">
        <f>IF(COUNTIFS(allFYsTable[Code], SummaryTable[[#This Row],[Code]], allFYsTable[year2], DI$3)=0, NotFound, SUMIFS(allFYsTable[Actual], allFYsTable[Code], SummaryTable[[#This Row],[Code]], allFYsTable[year2], DI$3))</f>
        <v>603</v>
      </c>
      <c r="DN125" s="61">
        <f>IF(COUNTIFS(allFYsTable[Code], SummaryTable[[#This Row],[Code]], allFYsTable[year2], DI$3)=0, NotFound, SUMIFS(allFYsTable[DiffAmount], allFYsTable[Code], SummaryTable[[#This Row],[Code]], allFYsTable[year2], DI$3))</f>
        <v>603</v>
      </c>
      <c r="DO125" s="63">
        <f>IF(SummaryTable[[#This Row],[OriginalBudget13]]=0, IF(SummaryTable[[#This Row],[DiffAmount13]]=0, ZeroBudgetNoSpending, ZeroBudgetWithSpending), SummaryTable[[#This Row],[DiffAmount13]]/SummaryTable[[#This Row],[OriginalBudget13]])</f>
        <v>99.99</v>
      </c>
      <c r="DP125" s="62" t="e">
        <f>IF(COUNTIFS(allFYsTable[Code], SummaryTable[[#This Row],[Code]], allFYsTable[year2], DP$3)=0, NotFound, SUMIFS(allFYsTable[OriginalBudget], allFYsTable[Code], SummaryTable[[#This Row],[Code]], allFYsTable[year2], DP$3))</f>
        <v>#N/A</v>
      </c>
      <c r="DQ125" s="61" t="e">
        <f>SummaryTable[[#This Row],[OriginalBudget12]]-SummaryTable[[#This Row],[OriginalBudget11]]</f>
        <v>#N/A</v>
      </c>
      <c r="DR125" s="54" t="e">
        <f>SummaryTable[[#This Row],[BudgetIncreaseAmount12]]/SummaryTable[[#This Row],[OriginalBudget11]]</f>
        <v>#N/A</v>
      </c>
      <c r="DS125" s="61" t="e">
        <f>IF(COUNTIFS(allFYsTable[Code], SummaryTable[[#This Row],[Code]], allFYsTable[year2], DP$3)=0, NotFound, SUMIFS(allFYsTable[RevisedBudget], allFYsTable[Code], SummaryTable[[#This Row],[Code]], allFYsTable[year2], DP$3))</f>
        <v>#N/A</v>
      </c>
      <c r="DT125" s="61" t="e">
        <f>IF(COUNTIFS(allFYsTable[Code], SummaryTable[[#This Row],[Code]], allFYsTable[year2], DP$3)=0, NotFound, SUMIFS(allFYsTable[Actual], allFYsTable[Code], SummaryTable[[#This Row],[Code]], allFYsTable[year2], DP$3))</f>
        <v>#N/A</v>
      </c>
      <c r="DU125" s="61" t="e">
        <f>IF(COUNTIFS(allFYsTable[Code], SummaryTable[[#This Row],[Code]], allFYsTable[year2], DP$3)=0, NotFound, SUMIFS(allFYsTable[DiffAmount], allFYsTable[Code], SummaryTable[[#This Row],[Code]], allFYsTable[year2], DP$3))</f>
        <v>#N/A</v>
      </c>
      <c r="DV125" s="63" t="e">
        <f>IF(SummaryTable[[#This Row],[OriginalBudget12]]=0, IF(SummaryTable[[#This Row],[DiffAmount12]]=0, ZeroBudgetNoSpending, ZeroBudgetWithSpending), SummaryTable[[#This Row],[DiffAmount12]]/SummaryTable[[#This Row],[OriginalBudget12]])</f>
        <v>#N/A</v>
      </c>
      <c r="DW125" s="62" t="e">
        <f>IF(COUNTIFS(allFYsTable[Code], SummaryTable[[#This Row],[Code]], allFYsTable[year2], DW$3)=0, NotFound, SUMIFS(allFYsTable[OriginalBudget], allFYsTable[Code], SummaryTable[[#This Row],[Code]], allFYsTable[year2], DW$3))</f>
        <v>#N/A</v>
      </c>
      <c r="DX125" s="61" t="e">
        <f>SummaryTable[[#This Row],[OriginalBudget11]]-SummaryTable[[#This Row],[OriginalBudget10]]</f>
        <v>#N/A</v>
      </c>
      <c r="DY125" s="54" t="e">
        <f>SummaryTable[[#This Row],[BudgetIncreaseAmount11]]/SummaryTable[[#This Row],[OriginalBudget10]]</f>
        <v>#N/A</v>
      </c>
      <c r="DZ125" s="61" t="e">
        <f>IF(COUNTIFS(allFYsTable[Code], SummaryTable[[#This Row],[Code]], allFYsTable[year2], DW$3)=0, NotFound, SUMIFS(allFYsTable[RevisedBudget], allFYsTable[Code], SummaryTable[[#This Row],[Code]], allFYsTable[year2], DW$3))</f>
        <v>#N/A</v>
      </c>
      <c r="EA125" s="61" t="e">
        <f>IF(COUNTIFS(allFYsTable[Code], SummaryTable[[#This Row],[Code]], allFYsTable[year2], DW$3)=0, NotFound, SUMIFS(allFYsTable[Actual], allFYsTable[Code], SummaryTable[[#This Row],[Code]], allFYsTable[year2], DW$3))</f>
        <v>#N/A</v>
      </c>
      <c r="EB125" s="61" t="e">
        <f>IF(COUNTIFS(allFYsTable[Code], SummaryTable[[#This Row],[Code]], allFYsTable[year2], DW$3)=0, NotFound, SUMIFS(allFYsTable[DiffAmount], allFYsTable[Code], SummaryTable[[#This Row],[Code]], allFYsTable[year2], DW$3))</f>
        <v>#N/A</v>
      </c>
      <c r="EC125" s="63" t="e">
        <f>IF(SummaryTable[[#This Row],[OriginalBudget11]]=0, IF(SummaryTable[[#This Row],[DiffAmount11]]=0, ZeroBudgetNoSpending, ZeroBudgetWithSpending), SummaryTable[[#This Row],[DiffAmount11]]/SummaryTable[[#This Row],[OriginalBudget11]])</f>
        <v>#N/A</v>
      </c>
      <c r="ED125" s="62" t="e">
        <f>IF(COUNTIFS(allFYsTable[Code], SummaryTable[[#This Row],[Code]], allFYsTable[year2], ED$3)=0, NotFound, SUMIFS(allFYsTable[OriginalBudget], allFYsTable[Code], SummaryTable[[#This Row],[Code]], allFYsTable[year2], ED$3))</f>
        <v>#N/A</v>
      </c>
      <c r="EE125" s="61" t="e">
        <f>SummaryTable[[#This Row],[OriginalBudget10]]-SummaryTable[[#This Row],[OriginalBudget09]]</f>
        <v>#N/A</v>
      </c>
      <c r="EF125" s="54" t="e">
        <f>SummaryTable[[#This Row],[BudgetIncreaseAmount10]]/SummaryTable[[#This Row],[OriginalBudget09]]</f>
        <v>#N/A</v>
      </c>
      <c r="EG125" s="61" t="e">
        <f>IF(COUNTIFS(allFYsTable[Code], SummaryTable[[#This Row],[Code]], allFYsTable[year2], ED$3)=0, NotFound, SUMIFS(allFYsTable[RevisedBudget], allFYsTable[Code], SummaryTable[[#This Row],[Code]], allFYsTable[year2], ED$3))</f>
        <v>#N/A</v>
      </c>
      <c r="EH125" s="61" t="e">
        <f>IF(COUNTIFS(allFYsTable[Code], SummaryTable[[#This Row],[Code]], allFYsTable[year2], ED$3)=0, NotFound, SUMIFS(allFYsTable[Actual], allFYsTable[Code], SummaryTable[[#This Row],[Code]], allFYsTable[year2], ED$3))</f>
        <v>#N/A</v>
      </c>
      <c r="EI125" s="61" t="e">
        <f>IF(COUNTIFS(allFYsTable[Code], SummaryTable[[#This Row],[Code]], allFYsTable[year2], ED$3)=0, NotFound, SUMIFS(allFYsTable[DiffAmount], allFYsTable[Code], SummaryTable[[#This Row],[Code]], allFYsTable[year2], ED$3))</f>
        <v>#N/A</v>
      </c>
      <c r="EJ125" s="63" t="e">
        <f>IF(SummaryTable[[#This Row],[OriginalBudget10]]=0, IF(SummaryTable[[#This Row],[DiffAmount10]]=0, ZeroBudgetNoSpending, ZeroBudgetWithSpending), SummaryTable[[#This Row],[DiffAmount10]]/SummaryTable[[#This Row],[OriginalBudget10]])</f>
        <v>#N/A</v>
      </c>
      <c r="EK125" s="62" t="e">
        <f>IF(COUNTIFS(allFYsTable[Code], SummaryTable[[#This Row],[Code]], allFYsTable[year2], EK$3)=0, NotFound, SUMIFS(allFYsTable[OriginalBudget], allFYsTable[Code], SummaryTable[[#This Row],[Code]], allFYsTable[year2], EK$3))</f>
        <v>#N/A</v>
      </c>
      <c r="EL125" s="61" t="e">
        <f>SummaryTable[[#This Row],[OriginalBudget09]]-SummaryTable[[#This Row],[OriginalBudget08]]</f>
        <v>#N/A</v>
      </c>
      <c r="EM125" s="54" t="e">
        <f>SummaryTable[[#This Row],[BudgetIncreaseAmount09]]/SummaryTable[[#This Row],[OriginalBudget08]]</f>
        <v>#N/A</v>
      </c>
      <c r="EN125" s="61" t="e">
        <f>IF(COUNTIFS(allFYsTable[Code], SummaryTable[[#This Row],[Code]], allFYsTable[year2], EK$3)=0, NotFound, SUMIFS(allFYsTable[RevisedBudget], allFYsTable[Code], SummaryTable[[#This Row],[Code]], allFYsTable[year2], EK$3))</f>
        <v>#N/A</v>
      </c>
      <c r="EO125" s="61" t="e">
        <f>IF(COUNTIFS(allFYsTable[Code], SummaryTable[[#This Row],[Code]], allFYsTable[year2], EK$3)=0, NotFound, SUMIFS(allFYsTable[Actual], allFYsTable[Code], SummaryTable[[#This Row],[Code]], allFYsTable[year2], EK$3))</f>
        <v>#N/A</v>
      </c>
      <c r="EP125" s="61" t="e">
        <f>IF(COUNTIFS(allFYsTable[Code], SummaryTable[[#This Row],[Code]], allFYsTable[year2], EK$3)=0, NotFound, SUMIFS(allFYsTable[DiffAmount], allFYsTable[Code], SummaryTable[[#This Row],[Code]], allFYsTable[year2], EK$3))</f>
        <v>#N/A</v>
      </c>
      <c r="EQ125" s="63" t="e">
        <f>IF(SummaryTable[[#This Row],[OriginalBudget09]]=0, IF(SummaryTable[[#This Row],[DiffAmount09]]=0, ZeroBudgetNoSpending, ZeroBudgetWithSpending), SummaryTable[[#This Row],[DiffAmount09]]/SummaryTable[[#This Row],[OriginalBudget09]])</f>
        <v>#N/A</v>
      </c>
      <c r="ER125" s="62" t="e">
        <f>IF(COUNTIFS(allFYsTable[Code], SummaryTable[[#This Row],[Code]], allFYsTable[year2], ER$3)=0, NotFound, SUMIFS(allFYsTable[OriginalBudget], allFYsTable[Code], SummaryTable[[#This Row],[Code]], allFYsTable[year2], ER$3))</f>
        <v>#N/A</v>
      </c>
      <c r="ES125" s="61" t="e">
        <f>SummaryTable[[#This Row],[OriginalBudget08]]-SummaryTable[[#This Row],[OriginalBudget07]]</f>
        <v>#N/A</v>
      </c>
      <c r="ET125" s="54" t="e">
        <f>SummaryTable[[#This Row],[BudgetIncreaseAmount08]]/SummaryTable[[#This Row],[OriginalBudget07]]</f>
        <v>#N/A</v>
      </c>
      <c r="EU125" s="61" t="e">
        <f>IF(COUNTIFS(allFYsTable[Code], SummaryTable[[#This Row],[Code]], allFYsTable[year2], ER$3)=0, NotFound, SUMIFS(allFYsTable[RevisedBudget], allFYsTable[Code], SummaryTable[[#This Row],[Code]], allFYsTable[year2], ER$3))</f>
        <v>#N/A</v>
      </c>
      <c r="EV125" s="61" t="e">
        <f>IF(COUNTIFS(allFYsTable[Code], SummaryTable[[#This Row],[Code]], allFYsTable[year2], ER$3)=0, NotFound, SUMIFS(allFYsTable[Actual], allFYsTable[Code], SummaryTable[[#This Row],[Code]], allFYsTable[year2], ER$3))</f>
        <v>#N/A</v>
      </c>
      <c r="EW125" s="61" t="e">
        <f>IF(COUNTIFS(allFYsTable[Code], SummaryTable[[#This Row],[Code]], allFYsTable[year2], ER$3)=0, NotFound, SUMIFS(allFYsTable[DiffAmount], allFYsTable[Code], SummaryTable[[#This Row],[Code]], allFYsTable[year2], ER$3))</f>
        <v>#N/A</v>
      </c>
      <c r="EX125" s="63" t="e">
        <f>IF(SummaryTable[[#This Row],[OriginalBudget08]]=0, IF(SummaryTable[[#This Row],[DiffAmount08]]=0, ZeroBudgetNoSpending, ZeroBudgetWithSpending), SummaryTable[[#This Row],[DiffAmount08]]/SummaryTable[[#This Row],[OriginalBudget08]])</f>
        <v>#N/A</v>
      </c>
      <c r="EY125" s="62" t="e">
        <f>IF(COUNTIFS(allFYsTable[Code], SummaryTable[[#This Row],[Code]], allFYsTable[year2], EY$3)=0, NotFound, SUMIFS(allFYsTable[OriginalBudget], allFYsTable[Code], SummaryTable[[#This Row],[Code]], allFYsTable[year2], EY$3))</f>
        <v>#N/A</v>
      </c>
      <c r="EZ125" s="61" t="e">
        <f>SummaryTable[[#This Row],[OriginalBudget07]]-SummaryTable[[#This Row],[OriginalBudget06]]</f>
        <v>#N/A</v>
      </c>
      <c r="FA125" s="54" t="e">
        <f>SummaryTable[[#This Row],[BudgetIncreaseAmount07]]/SummaryTable[[#This Row],[OriginalBudget06]]</f>
        <v>#N/A</v>
      </c>
      <c r="FB125" s="61" t="e">
        <f>IF(COUNTIFS(allFYsTable[Code], SummaryTable[[#This Row],[Code]], allFYsTable[year2], EY$3)=0, NotFound, SUMIFS(allFYsTable[RevisedBudget], allFYsTable[Code], SummaryTable[[#This Row],[Code]], allFYsTable[year2], EY$3))</f>
        <v>#N/A</v>
      </c>
      <c r="FC125" s="61" t="e">
        <f>IF(COUNTIFS(allFYsTable[Code], SummaryTable[[#This Row],[Code]], allFYsTable[year2], EY$3)=0, NotFound, SUMIFS(allFYsTable[Actual], allFYsTable[Code], SummaryTable[[#This Row],[Code]], allFYsTable[year2], EY$3))</f>
        <v>#N/A</v>
      </c>
      <c r="FD125" s="61" t="e">
        <f>IF(COUNTIFS(allFYsTable[Code], SummaryTable[[#This Row],[Code]], allFYsTable[year2], EY$3)=0, NotFound, SUMIFS(allFYsTable[DiffAmount], allFYsTable[Code], SummaryTable[[#This Row],[Code]], allFYsTable[year2], EY$3))</f>
        <v>#N/A</v>
      </c>
      <c r="FE125" s="63" t="e">
        <f>IF(SummaryTable[[#This Row],[OriginalBudget07]]=0, IF(SummaryTable[[#This Row],[DiffAmount07]]=0, ZeroBudgetNoSpending, ZeroBudgetWithSpending), SummaryTable[[#This Row],[DiffAmount07]]/SummaryTable[[#This Row],[OriginalBudget07]])</f>
        <v>#N/A</v>
      </c>
      <c r="FF125" s="62" t="e">
        <f>IF(COUNTIFS(allFYsTable[Code], SummaryTable[[#This Row],[Code]], allFYsTable[year2], FF$3)=0, NotFound, SUMIFS(allFYsTable[OriginalBudget], allFYsTable[Code], SummaryTable[[#This Row],[Code]], allFYsTable[year2], FF$3))</f>
        <v>#N/A</v>
      </c>
      <c r="FI125" s="61" t="e">
        <f>IF(COUNTIFS(allFYsTable[Code], SummaryTable[[#This Row],[Code]], allFYsTable[year2], FF$3)=0, NotFound, SUMIFS(allFYsTable[RevisedBudget], allFYsTable[Code], SummaryTable[[#This Row],[Code]], allFYsTable[year2], FF$3))</f>
        <v>#N/A</v>
      </c>
      <c r="FJ125" s="61" t="e">
        <f>IF(COUNTIFS(allFYsTable[Code], SummaryTable[[#This Row],[Code]], allFYsTable[year2], FF$3)=0, NotFound, SUMIFS(allFYsTable[Actual], allFYsTable[Code], SummaryTable[[#This Row],[Code]], allFYsTable[year2], FF$3))</f>
        <v>#N/A</v>
      </c>
      <c r="FK125" s="61" t="e">
        <f>IF(COUNTIFS(allFYsTable[Code], SummaryTable[[#This Row],[Code]], allFYsTable[year2], FF$3)=0, NotFound, SUMIFS(allFYsTable[DiffAmount], allFYsTable[Code], SummaryTable[[#This Row],[Code]], allFYsTable[year2], FF$3))</f>
        <v>#N/A</v>
      </c>
      <c r="FL125" s="63" t="e">
        <f>IF(SummaryTable[[#This Row],[OriginalBudget06]]=0, IF(SummaryTable[[#This Row],[DiffAmount06]]=0, ZeroBudgetNoSpending, ZeroBudgetWithSpending), SummaryTable[[#This Row],[DiffAmount06]]/SummaryTable[[#This Row],[OriginalBudget06]])</f>
        <v>#N/A</v>
      </c>
    </row>
    <row r="126" spans="1:168" x14ac:dyDescent="0.45">
      <c r="A126" t="s">
        <v>782</v>
      </c>
      <c r="B126">
        <f>_xlfn.MAXIFS(allFYsTable[year2], allFYsTable[Code], SummaryTable[[#This Row],[Code]])</f>
        <v>2025</v>
      </c>
      <c r="C126" t="str">
        <f>_xlfn.XLOOKUP(SummaryTable[[#This Row],[Code]], NameCodingTable[Code], NameCodingTable[Most Recent Category per allFYs])</f>
        <v>Public education system</v>
      </c>
      <c r="D126" t="str">
        <f>_xlfn.XLOOKUP(SummaryTable[[#This Row],[Code]], NameCodingTable[Code], NameCodingTable[Unit Display Name])</f>
        <v>Teachers' Retirement System</v>
      </c>
      <c r="E126" t="str">
        <f>_xlfn.XLOOKUP(SummaryTable[[#This Row],[Code]], NameCodingTable[Code], NameCodingTable[Type])</f>
        <v>xother</v>
      </c>
      <c r="F12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2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26" s="54">
        <f>SummaryTable[[#This Row],['# Over]]/SummaryTable[[#This Row],[Count]]</f>
        <v>0</v>
      </c>
      <c r="I12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17</v>
      </c>
      <c r="J126" s="54">
        <f>SummaryTable[[#This Row],['# Under]]/SummaryTable[[#This Row],[Count]]</f>
        <v>0.85</v>
      </c>
      <c r="K12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3</v>
      </c>
      <c r="L126" s="54">
        <f>SummaryTable[[#This Row],['# Equal]]/SummaryTable[[#This Row],[Count]]</f>
        <v>0.15</v>
      </c>
      <c r="M126" s="61">
        <f>SUMIFS(allFYsTable[OriginalBudget],allFYsTable[Code],SummaryTable[[#This Row],[Code]])/SummaryTable[[#This Row],[Count]]</f>
        <v>36448.050000000003</v>
      </c>
      <c r="N126" s="61">
        <f>SUMIFS(allFYsTable[Actual],allFYsTable[Code],SummaryTable[[#This Row],[Code]])/SummaryTable[[#This Row],[Count]]</f>
        <v>36300.25</v>
      </c>
      <c r="O126" s="61">
        <f>SummaryTable[[#This Row],[AvgActAmt]]-SummaryTable[[#This Row],[AvgBudAmt]]</f>
        <v>-147.80000000000291</v>
      </c>
      <c r="P126" s="54">
        <f>IF(SummaryTable[[#This Row],[AvgBudAmt]]=0, IF(SummaryTable[[#This Row],[AvgDiff'#]]=0, 0, NamedFields!$C$3), SummaryTable[[#This Row],[AvgDiff'#]]/SummaryTable[[#This Row],[AvgBudAmt]])</f>
        <v>-4.0550866232899399E-3</v>
      </c>
      <c r="Q126" s="61">
        <f>IFERROR(SUMIFS(allFYsTable[OriginalBudget],allFYsTable[Code],SummaryTable[[#This Row],[Code]],allFYsTable[DiffAmount], "&gt;0")/SummaryTable[[#This Row],['# Over]], 0)</f>
        <v>0</v>
      </c>
      <c r="R126" s="61">
        <f>IFERROR(SUMIFS(allFYsTable[Actual],allFYsTable[Code],SummaryTable[[#This Row],[Code]],allFYsTable[DiffAmount], "&gt;0")/SummaryTable[[#This Row],['# Over]], 0)</f>
        <v>0</v>
      </c>
      <c r="S126" s="61">
        <f>SummaryTable[[#This Row],[OverAvgAct]]-SummaryTable[[#This Row],[OverAvgBud]]</f>
        <v>0</v>
      </c>
      <c r="T126" s="54">
        <f>IF(SummaryTable[[#This Row],[OverAvgBud]]=0, IF(SummaryTable[[#This Row],[OverAvgDiff'#]]=0, ZeroBudgetNoSpending, ZeroBudgetWithSpending), SummaryTable[[#This Row],[OverAvgDiff'#]]/SummaryTable[[#This Row],[OverAvgBud]])</f>
        <v>0</v>
      </c>
      <c r="U126" s="61">
        <f>IFERROR(SUMIFS(allFYsTable[OriginalBudget],allFYsTable[Code],SummaryTable[[#This Row],[Code]],allFYsTable[DiffAmount], "&lt;0")/SummaryTable[[#This Row],['# Under]], 0)</f>
        <v>42350.647058823532</v>
      </c>
      <c r="V126" s="61">
        <f>IFERROR( SUMIFS(allFYsTable[Actual],allFYsTable[Code],SummaryTable[[#This Row],[Code]],allFYsTable[DiffAmount], "&lt;0")/SummaryTable[[#This Row],['# Under]], 0)</f>
        <v>42176.76470588235</v>
      </c>
      <c r="W126" s="61">
        <f>SummaryTable[[#This Row],[UnderAvgAct]]-SummaryTable[[#This Row],[UnderAvgBud]]</f>
        <v>-173.88235294118203</v>
      </c>
      <c r="X126" s="54">
        <f>IF(SummaryTable[[#This Row],[UnderAvgBud]]=0, IF(SummaryTable[[#This Row],[UnderAvgDiff'#]]=0, ZeroBudgetNoSpending, NamedFields!$C$3), SummaryTable[[#This Row],[UnderAvgDiff'#]]/SummaryTable[[#This Row],[UnderAvgBud]])</f>
        <v>-4.1057779518614123E-3</v>
      </c>
      <c r="Y12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8</v>
      </c>
      <c r="Z12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26" s="54">
        <f>IF(SummaryTable[[#This Row],[IncreaseYears]]=0, ZeroBudgetNoSpending, SummaryTable[[#This Row],[OSinIncreaseYear'#]]/SummaryTable[[#This Row],[IncreaseYears]])</f>
        <v>0</v>
      </c>
      <c r="AB126" s="58" t="str">
        <f>SummaryTable[[#This Row],[Code]]</f>
        <v>GX0</v>
      </c>
      <c r="AC126" s="62">
        <f>IF(COUNTIFS(allFYsTable[Code], SummaryTable[[#This Row],[Code]], allFYsTable[year2], AC$3)=0, NotFound, SUMIFS(allFYsTable[OriginalBudget], allFYsTable[Code], SummaryTable[[#This Row],[Code]], allFYsTable[year2], AC$3))</f>
        <v>80981</v>
      </c>
      <c r="AD126" s="61">
        <f>SummaryTable[[#This Row],[OriginalBudget25]]-SummaryTable[[#This Row],[OriginalBudget24]]</f>
        <v>30757</v>
      </c>
      <c r="AE126" s="54">
        <f>SummaryTable[[#This Row],[BudgetIncreaseAmount25]]/SummaryTable[[#This Row],[OriginalBudget24]]</f>
        <v>0.61239646384198787</v>
      </c>
      <c r="AF126" s="61">
        <f>IF(COUNTIFS(allFYsTable[Code], SummaryTable[[#This Row],[Code]], allFYsTable[year2], AC$3)=0, NotFound, SUMIFS(allFYsTable[RevisedBudget], allFYsTable[Code], SummaryTable[[#This Row],[Code]], allFYsTable[year2], AC$3))</f>
        <v>80981</v>
      </c>
      <c r="AG126" s="61">
        <f>IF(COUNTIFS(allFYsTable[Code], SummaryTable[[#This Row],[Code]], allFYsTable[year2], AC$3)=0, NotFound, SUMIFS(allFYsTable[Actual], allFYsTable[Code], SummaryTable[[#This Row],[Code]], allFYsTable[year2], AC$3))</f>
        <v>80609</v>
      </c>
      <c r="AH126" s="61">
        <f>IF(COUNTIFS(allFYsTable[Code], SummaryTable[[#This Row],[Code]], allFYsTable[year2], AC$3)=0, NotFound, SUMIFS(allFYsTable[DiffAmount], allFYsTable[Code], SummaryTable[[#This Row],[Code]], allFYsTable[year2], AC$3))</f>
        <v>-372</v>
      </c>
      <c r="AI126" s="63">
        <f>IF(SummaryTable[[#This Row],[OriginalBudget25]]=0, IF(SummaryTable[[#This Row],[DiffAmount25]]=0, ZeroBudgetNoSpending, ZeroBudgetWithSpending), SummaryTable[[#This Row],[DiffAmount25]]/SummaryTable[[#This Row],[OriginalBudget25]])</f>
        <v>-4.5936701201516406E-3</v>
      </c>
      <c r="AJ126" s="62">
        <f>IF(COUNTIFS(allFYsTable[Code], SummaryTable[[#This Row],[Code]], allFYsTable[year2], AJ$3)=0, NotFound, SUMIFS(allFYsTable[OriginalBudget], allFYsTable[Code], SummaryTable[[#This Row],[Code]], allFYsTable[year2], AJ$3))</f>
        <v>50224</v>
      </c>
      <c r="AK126" s="61">
        <f>SummaryTable[[#This Row],[OriginalBudget24]]-SummaryTable[[#This Row],[OriginalBudget23]]</f>
        <v>2389</v>
      </c>
      <c r="AL126" s="54">
        <f>SummaryTable[[#This Row],[BudgetIncreaseAmount24]]/SummaryTable[[#This Row],[OriginalBudget23]]</f>
        <v>4.9942510713912404E-2</v>
      </c>
      <c r="AM126" s="61">
        <f>IF(COUNTIFS(allFYsTable[Code], SummaryTable[[#This Row],[Code]], allFYsTable[year2], AK$3)=0, NotFound, SUMIFS(allFYsTable[RevisedBudget], allFYsTable[Code], SummaryTable[[#This Row],[Code]], allFYsTable[year2], AJ$3))</f>
        <v>50224</v>
      </c>
      <c r="AN126" s="61">
        <f>IF(COUNTIFS(allFYsTable[Code], SummaryTable[[#This Row],[Code]], allFYsTable[year2], AJ$3)=0, NotFound, SUMIFS(allFYsTable[Actual], allFYsTable[Code], SummaryTable[[#This Row],[Code]], allFYsTable[year2], AJ$3))</f>
        <v>49996</v>
      </c>
      <c r="AO126" s="61">
        <f>IF(COUNTIFS(allFYsTable[Code], SummaryTable[[#This Row],[Code]], allFYsTable[year2], AJ$3)=0, NotFound, SUMIFS(allFYsTable[DiffAmount], allFYsTable[Code], SummaryTable[[#This Row],[Code]], allFYsTable[year2], AJ$3))</f>
        <v>-228</v>
      </c>
      <c r="AP126" s="63">
        <f>IF(SummaryTable[[#This Row],[OriginalBudget24]]=0, IF(SummaryTable[[#This Row],[DiffAmount24]]=0, ZeroBudgetNoSpending, ZeroBudgetWithSpending), SummaryTable[[#This Row],[DiffAmount24]]/SummaryTable[[#This Row],[OriginalBudget24]])</f>
        <v>-4.5396623128384833E-3</v>
      </c>
      <c r="AQ126" s="62">
        <f>IF(COUNTIFS(allFYsTable[Code], SummaryTable[[#This Row],[Code]], allFYsTable[year2], AQ$3)=0, NotFound, SUMIFS(allFYsTable[OriginalBudget], allFYsTable[Code], SummaryTable[[#This Row],[Code]], allFYsTable[year2], AQ$3))</f>
        <v>47835</v>
      </c>
      <c r="AR126" s="61">
        <f>SummaryTable[[#This Row],[OriginalBudget23]]-SummaryTable[[#This Row],[OriginalBudget22]]</f>
        <v>-27225</v>
      </c>
      <c r="AS126" s="54">
        <f>SummaryTable[[#This Row],[BudgetIncreaseAmount23]]/SummaryTable[[#This Row],[OriginalBudget22]]</f>
        <v>-0.36270983213429259</v>
      </c>
      <c r="AT126" s="61">
        <f>IF(COUNTIFS(allFYsTable[Code], SummaryTable[[#This Row],[Code]], allFYsTable[year2], AQ$3)=0, NotFound, SUMIFS(allFYsTable[RevisedBudget], allFYsTable[Code], SummaryTable[[#This Row],[Code]], allFYsTable[year2], AQ$3))</f>
        <v>47835</v>
      </c>
      <c r="AU126" s="61">
        <f>IF(COUNTIFS(allFYsTable[Code], SummaryTable[[#This Row],[Code]], allFYsTable[year2], AQ$3)=0, NotFound, SUMIFS(allFYsTable[Actual], allFYsTable[Code], SummaryTable[[#This Row],[Code]], allFYsTable[year2], AQ$3))</f>
        <v>47639</v>
      </c>
      <c r="AV126" s="61">
        <f>IF(COUNTIFS(allFYsTable[Code], SummaryTable[[#This Row],[Code]], allFYsTable[year2], AQ$3)=0, NotFound, SUMIFS(allFYsTable[DiffAmount], allFYsTable[Code], SummaryTable[[#This Row],[Code]], allFYsTable[year2], AQ$3))</f>
        <v>-196</v>
      </c>
      <c r="AW126" s="63">
        <f>IF(SummaryTable[[#This Row],[OriginalBudget23]]=0, IF(SummaryTable[[#This Row],[DiffAmount23]]=0, ZeroBudgetNoSpending, ZeroBudgetWithSpending), SummaryTable[[#This Row],[DiffAmount23]]/SummaryTable[[#This Row],[OriginalBudget23]])</f>
        <v>-4.0974182084247933E-3</v>
      </c>
      <c r="AX126" s="62">
        <f>IF(COUNTIFS(allFYsTable[Code], SummaryTable[[#This Row],[Code]], allFYsTable[year2], AX$3)=0, NotFound, SUMIFS(allFYsTable[OriginalBudget], allFYsTable[Code], SummaryTable[[#This Row],[Code]], allFYsTable[year2], AX$3))</f>
        <v>75060</v>
      </c>
      <c r="AY126" s="61">
        <f>SummaryTable[[#This Row],[OriginalBudget22]]-SummaryTable[[#This Row],[OriginalBudget21]]</f>
        <v>4582</v>
      </c>
      <c r="AZ126" s="54">
        <f>SummaryTable[[#This Row],[BudgetIncreaseAmount22]]/SummaryTable[[#This Row],[OriginalBudget21]]</f>
        <v>6.501319560713982E-2</v>
      </c>
      <c r="BA126" s="61">
        <f>IF(COUNTIFS(allFYsTable[Code], SummaryTable[[#This Row],[Code]], allFYsTable[year2], AX$3)=0, NotFound, SUMIFS(allFYsTable[RevisedBudget], allFYsTable[Code], SummaryTable[[#This Row],[Code]], allFYsTable[year2], AX$3))</f>
        <v>75060</v>
      </c>
      <c r="BB126" s="61">
        <f>IF(COUNTIFS(allFYsTable[Code], SummaryTable[[#This Row],[Code]], allFYsTable[year2], AX$3)=0, NotFound, SUMIFS(allFYsTable[Actual], allFYsTable[Code], SummaryTable[[#This Row],[Code]], allFYsTable[year2], AX$3))</f>
        <v>74635</v>
      </c>
      <c r="BC126" s="61">
        <f>IF(COUNTIFS(allFYsTable[Code], SummaryTable[[#This Row],[Code]], allFYsTable[year2], AX$3)=0, NotFound, SUMIFS(allFYsTable[DiffAmount], allFYsTable[Code], SummaryTable[[#This Row],[Code]], allFYsTable[year2], AX$3))</f>
        <v>-425</v>
      </c>
      <c r="BD126" s="63">
        <f>IF(SummaryTable[[#This Row],[OriginalBudget22]]=0, IF(SummaryTable[[#This Row],[DiffAmount22]]=0, ZeroBudgetNoSpending, ZeroBudgetWithSpending), SummaryTable[[#This Row],[DiffAmount22]]/SummaryTable[[#This Row],[OriginalBudget22]])</f>
        <v>-5.662136957100986E-3</v>
      </c>
      <c r="BE126" s="62">
        <f>IF(COUNTIFS(allFYsTable[Code], SummaryTable[[#This Row],[Code]], allFYsTable[year2], BE$3)=0, NotFound, SUMIFS(allFYsTable[OriginalBudget], allFYsTable[Code], SummaryTable[[#This Row],[Code]], allFYsTable[year2], BE$3))</f>
        <v>70478</v>
      </c>
      <c r="BF126" s="61">
        <f>SummaryTable[[#This Row],[OriginalBudget21]]-SummaryTable[[#This Row],[OriginalBudget20]]</f>
        <v>11590</v>
      </c>
      <c r="BG126" s="54">
        <f>SummaryTable[[#This Row],[BudgetIncreaseAmount21]]/SummaryTable[[#This Row],[OriginalBudget20]]</f>
        <v>0.19681429153647603</v>
      </c>
      <c r="BH126" s="61">
        <f>IF(COUNTIFS(allFYsTable[Code], SummaryTable[[#This Row],[Code]], allFYsTable[year2], BE$3)=0, NotFound, SUMIFS(allFYsTable[RevisedBudget], allFYsTable[Code], SummaryTable[[#This Row],[Code]], allFYsTable[year2], BE$3))</f>
        <v>70478</v>
      </c>
      <c r="BI126" s="61">
        <f>IF(COUNTIFS(allFYsTable[Code], SummaryTable[[#This Row],[Code]], allFYsTable[year2], BE$3)=0, NotFound, SUMIFS(allFYsTable[Actual], allFYsTable[Code], SummaryTable[[#This Row],[Code]], allFYsTable[year2], BE$3))</f>
        <v>70135</v>
      </c>
      <c r="BJ126" s="61">
        <f>IF(COUNTIFS(allFYsTable[Code], SummaryTable[[#This Row],[Code]], allFYsTable[year2], BE$3)=0, NotFound, SUMIFS(allFYsTable[DiffAmount], allFYsTable[Code], SummaryTable[[#This Row],[Code]], allFYsTable[year2], BE$3))</f>
        <v>-343</v>
      </c>
      <c r="BK126" s="63">
        <f>IF(SummaryTable[[#This Row],[OriginalBudget21]]=0, IF(SummaryTable[[#This Row],[DiffAmount21]]=0, ZeroBudgetNoSpending, ZeroBudgetWithSpending), SummaryTable[[#This Row],[DiffAmount21]]/SummaryTable[[#This Row],[OriginalBudget21]])</f>
        <v>-4.866766934362496E-3</v>
      </c>
      <c r="BL126" s="62">
        <f>IF(COUNTIFS(allFYsTable[Code], SummaryTable[[#This Row],[Code]], allFYsTable[year2], BL$3)=0, NotFound, SUMIFS(allFYsTable[OriginalBudget], allFYsTable[Code], SummaryTable[[#This Row],[Code]], allFYsTable[year2], BL$3))</f>
        <v>58888</v>
      </c>
      <c r="BM126" s="61">
        <f>SummaryTable[[#This Row],[OriginalBudget20]]-SummaryTable[[#This Row],[OriginalBudget19]]</f>
        <v>5545</v>
      </c>
      <c r="BN126" s="54">
        <f>SummaryTable[[#This Row],[BudgetIncreaseAmount20]]/SummaryTable[[#This Row],[OriginalBudget19]]</f>
        <v>0.10394990907897944</v>
      </c>
      <c r="BO126" s="61">
        <f>IF(COUNTIFS(allFYsTable[Code], SummaryTable[[#This Row],[Code]], allFYsTable[year2], BL$3)=0, NotFound, SUMIFS(allFYsTable[RevisedBudget], allFYsTable[Code], SummaryTable[[#This Row],[Code]], allFYsTable[year2], BL$3))</f>
        <v>58888</v>
      </c>
      <c r="BP126" s="61">
        <f>IF(COUNTIFS(allFYsTable[Code], SummaryTable[[#This Row],[Code]], allFYsTable[year2], BL$3)=0, NotFound, SUMIFS(allFYsTable[Actual], allFYsTable[Code], SummaryTable[[#This Row],[Code]], allFYsTable[year2], BL$3))</f>
        <v>58580</v>
      </c>
      <c r="BQ126" s="61">
        <f>IF(COUNTIFS(allFYsTable[Code], SummaryTable[[#This Row],[Code]], allFYsTable[year2], BL$3)=0, NotFound, SUMIFS(allFYsTable[DiffAmount], allFYsTable[Code], SummaryTable[[#This Row],[Code]], allFYsTable[year2], BL$3))</f>
        <v>-308</v>
      </c>
      <c r="BR126" s="63">
        <f>IF(SummaryTable[[#This Row],[OriginalBudget20]]=0, IF(SummaryTable[[#This Row],[DiffAmount20]]=0, ZeroBudgetNoSpending, ZeroBudgetWithSpending), SummaryTable[[#This Row],[DiffAmount20]]/SummaryTable[[#This Row],[OriginalBudget20]])</f>
        <v>-5.2302676266811577E-3</v>
      </c>
      <c r="BS126" s="62">
        <f>IF(COUNTIFS(allFYsTable[Code], SummaryTable[[#This Row],[Code]], allFYsTable[year2], BS$3)=0, NotFound, SUMIFS(allFYsTable[OriginalBudget], allFYsTable[Code], SummaryTable[[#This Row],[Code]], allFYsTable[year2], BS$3))</f>
        <v>53343</v>
      </c>
      <c r="BT126" s="61">
        <f>SummaryTable[[#This Row],[OriginalBudget19]]-SummaryTable[[#This Row],[OriginalBudget18]]</f>
        <v>-5703</v>
      </c>
      <c r="BU126" s="54">
        <f>SummaryTable[[#This Row],[BudgetIncreaseAmount19]]/SummaryTable[[#This Row],[OriginalBudget18]]</f>
        <v>-9.6585712834061574E-2</v>
      </c>
      <c r="BV126" s="61">
        <f>IF(COUNTIFS(allFYsTable[Code], SummaryTable[[#This Row],[Code]], allFYsTable[year2], BS$3)=0, NotFound, SUMIFS(allFYsTable[RevisedBudget], allFYsTable[Code], SummaryTable[[#This Row],[Code]], allFYsTable[year2], BS$3))</f>
        <v>53343</v>
      </c>
      <c r="BW126" s="61">
        <f>IF(COUNTIFS(allFYsTable[Code], SummaryTable[[#This Row],[Code]], allFYsTable[year2], BS$3)=0, NotFound, SUMIFS(allFYsTable[Actual], allFYsTable[Code], SummaryTable[[#This Row],[Code]], allFYsTable[year2], BS$3))</f>
        <v>53099</v>
      </c>
      <c r="BX126" s="61">
        <f>IF(COUNTIFS(allFYsTable[Code], SummaryTable[[#This Row],[Code]], allFYsTable[year2], BS$3)=0, NotFound, SUMIFS(allFYsTable[DiffAmount], allFYsTable[Code], SummaryTable[[#This Row],[Code]], allFYsTable[year2], BS$3))</f>
        <v>-244</v>
      </c>
      <c r="BY126" s="63">
        <f>IF(SummaryTable[[#This Row],[OriginalBudget19]]=0, IF(SummaryTable[[#This Row],[DiffAmount19]]=0, ZeroBudgetNoSpending, ZeroBudgetWithSpending), SummaryTable[[#This Row],[DiffAmount19]]/SummaryTable[[#This Row],[OriginalBudget19]])</f>
        <v>-4.5741709315186624E-3</v>
      </c>
      <c r="BZ126" s="62">
        <f>IF(COUNTIFS(allFYsTable[Code], SummaryTable[[#This Row],[Code]], allFYsTable[year2], BZ$3)=0, NotFound, SUMIFS(allFYsTable[OriginalBudget], allFYsTable[Code], SummaryTable[[#This Row],[Code]], allFYsTable[year2], BZ$3))</f>
        <v>59046</v>
      </c>
      <c r="CA126" s="61">
        <f>SummaryTable[[#This Row],[OriginalBudget18]]-SummaryTable[[#This Row],[OriginalBudget17]]</f>
        <v>2265</v>
      </c>
      <c r="CB126" s="54">
        <f>SummaryTable[[#This Row],[BudgetIncreaseAmount18]]/SummaryTable[[#This Row],[OriginalBudget17]]</f>
        <v>3.9890104084112643E-2</v>
      </c>
      <c r="CC126" s="61">
        <f>IF(COUNTIFS(allFYsTable[Code], SummaryTable[[#This Row],[Code]], allFYsTable[year2], BZ$3)=0, NotFound, SUMIFS(allFYsTable[RevisedBudget], allFYsTable[Code], SummaryTable[[#This Row],[Code]], allFYsTable[year2], BZ$3))</f>
        <v>59046</v>
      </c>
      <c r="CD126" s="61">
        <f>IF(COUNTIFS(allFYsTable[Code], SummaryTable[[#This Row],[Code]], allFYsTable[year2], BZ$3)=0, NotFound, SUMIFS(allFYsTable[Actual], allFYsTable[Code], SummaryTable[[#This Row],[Code]], allFYsTable[year2], BZ$3))</f>
        <v>58844</v>
      </c>
      <c r="CE126" s="61">
        <f>IF(COUNTIFS(allFYsTable[Code], SummaryTable[[#This Row],[Code]], allFYsTable[year2], BZ$3)=0, NotFound, SUMIFS(allFYsTable[DiffAmount], allFYsTable[Code], SummaryTable[[#This Row],[Code]], allFYsTable[year2], BZ$3))</f>
        <v>-202</v>
      </c>
      <c r="CF126" s="63">
        <f>IF(SummaryTable[[#This Row],[OriginalBudget18]]=0, IF(SummaryTable[[#This Row],[DiffAmount18]]=0, ZeroBudgetNoSpending, ZeroBudgetWithSpending), SummaryTable[[#This Row],[DiffAmount18]]/SummaryTable[[#This Row],[OriginalBudget18]])</f>
        <v>-3.4210615452359176E-3</v>
      </c>
      <c r="CG126" s="62">
        <f>IF(COUNTIFS(allFYsTable[Code], SummaryTable[[#This Row],[Code]], allFYsTable[year2], CG$3)=0, NotFound, SUMIFS(allFYsTable[OriginalBudget], allFYsTable[Code], SummaryTable[[#This Row],[Code]], allFYsTable[year2], CG$3))</f>
        <v>56781</v>
      </c>
      <c r="CH126" s="61">
        <f>SummaryTable[[#This Row],[OriginalBudget17]]-SummaryTable[[#This Row],[OriginalBudget16]]</f>
        <v>12312</v>
      </c>
      <c r="CI126" s="54">
        <f>SummaryTable[[#This Row],[BudgetIncreaseAmount17]]/SummaryTable[[#This Row],[OriginalBudget16]]</f>
        <v>0.27686703096539161</v>
      </c>
      <c r="CJ126" s="61">
        <f>IF(COUNTIFS(allFYsTable[Code], SummaryTable[[#This Row],[Code]], allFYsTable[year2], CG$3)=0, NotFound, SUMIFS(allFYsTable[RevisedBudget], allFYsTable[Code], SummaryTable[[#This Row],[Code]], allFYsTable[year2], CG$3))</f>
        <v>56781</v>
      </c>
      <c r="CK126" s="61">
        <f>IF(COUNTIFS(allFYsTable[Code], SummaryTable[[#This Row],[Code]], allFYsTable[year2], CG$3)=0, NotFound, SUMIFS(allFYsTable[Actual], allFYsTable[Code], SummaryTable[[#This Row],[Code]], allFYsTable[year2], CG$3))</f>
        <v>56618</v>
      </c>
      <c r="CL126" s="61">
        <f>IF(COUNTIFS(allFYsTable[Code], SummaryTable[[#This Row],[Code]], allFYsTable[year2], CG$3)=0, NotFound, SUMIFS(allFYsTable[DiffAmount], allFYsTable[Code], SummaryTable[[#This Row],[Code]], allFYsTable[year2], CG$3))</f>
        <v>-163</v>
      </c>
      <c r="CM126" s="63">
        <f>IF(SummaryTable[[#This Row],[OriginalBudget17]]=0, IF(SummaryTable[[#This Row],[DiffAmount17]]=0, ZeroBudgetNoSpending, ZeroBudgetWithSpending), SummaryTable[[#This Row],[DiffAmount17]]/SummaryTable[[#This Row],[OriginalBudget17]])</f>
        <v>-2.8706785720575543E-3</v>
      </c>
      <c r="CN126" s="62">
        <f>IF(COUNTIFS(allFYsTable[Code], SummaryTable[[#This Row],[Code]], allFYsTable[year2], CN$3)=0, NotFound, SUMIFS(allFYsTable[OriginalBudget], allFYsTable[Code], SummaryTable[[#This Row],[Code]], allFYsTable[year2], CN$3))</f>
        <v>44469</v>
      </c>
      <c r="CO126" s="61">
        <f>SummaryTable[[#This Row],[OriginalBudget16]]-SummaryTable[[#This Row],[OriginalBudget15]]</f>
        <v>4956</v>
      </c>
      <c r="CP126" s="54">
        <f>SummaryTable[[#This Row],[BudgetIncreaseAmount16]]/SummaryTable[[#This Row],[OriginalBudget15]]</f>
        <v>0.12542707463366487</v>
      </c>
      <c r="CQ126" s="61">
        <f>IF(COUNTIFS(allFYsTable[Code], SummaryTable[[#This Row],[Code]], allFYsTable[year2], CN$3)=0, NotFound, SUMIFS(allFYsTable[RevisedBudget], allFYsTable[Code], SummaryTable[[#This Row],[Code]], allFYsTable[year2], CN$3))</f>
        <v>44469</v>
      </c>
      <c r="CR126" s="61">
        <f>IF(COUNTIFS(allFYsTable[Code], SummaryTable[[#This Row],[Code]], allFYsTable[year2], CN$3)=0, NotFound, SUMIFS(allFYsTable[Actual], allFYsTable[Code], SummaryTable[[#This Row],[Code]], allFYsTable[year2], CN$3))</f>
        <v>44359</v>
      </c>
      <c r="CS126" s="61">
        <f>IF(COUNTIFS(allFYsTable[Code], SummaryTable[[#This Row],[Code]], allFYsTable[year2], CN$3)=0, NotFound, SUMIFS(allFYsTable[DiffAmount], allFYsTable[Code], SummaryTable[[#This Row],[Code]], allFYsTable[year2], CN$3))</f>
        <v>-110</v>
      </c>
      <c r="CT126" s="63">
        <f>IF(SummaryTable[[#This Row],[OriginalBudget16]]=0, IF(SummaryTable[[#This Row],[DiffAmount16]]=0, ZeroBudgetNoSpending, ZeroBudgetWithSpending), SummaryTable[[#This Row],[DiffAmount16]]/SummaryTable[[#This Row],[OriginalBudget16]])</f>
        <v>-2.4736333175920302E-3</v>
      </c>
      <c r="CU126" s="62">
        <f>IF(COUNTIFS(allFYsTable[Code], SummaryTable[[#This Row],[Code]], allFYsTable[year2], CU$3)=0, NotFound, SUMIFS(allFYsTable[OriginalBudget], allFYsTable[Code], SummaryTable[[#This Row],[Code]], allFYsTable[year2], CU$3))</f>
        <v>39513</v>
      </c>
      <c r="CV126" s="61">
        <f>SummaryTable[[#This Row],[OriginalBudget15]]-SummaryTable[[#This Row],[OriginalBudget14]]</f>
        <v>7877</v>
      </c>
      <c r="CW126" s="54">
        <f>SummaryTable[[#This Row],[BudgetIncreaseAmount15]]/SummaryTable[[#This Row],[OriginalBudget14]]</f>
        <v>0.24898849412062207</v>
      </c>
      <c r="CX126" s="61">
        <f>IF(COUNTIFS(allFYsTable[Code], SummaryTable[[#This Row],[Code]], allFYsTable[year2], CU$3)=0, NotFound, SUMIFS(allFYsTable[RevisedBudget], allFYsTable[Code], SummaryTable[[#This Row],[Code]], allFYsTable[year2], CU$3))</f>
        <v>39513</v>
      </c>
      <c r="CY126" s="61">
        <f>IF(COUNTIFS(allFYsTable[Code], SummaryTable[[#This Row],[Code]], allFYsTable[year2], CU$3)=0, NotFound, SUMIFS(allFYsTable[Actual], allFYsTable[Code], SummaryTable[[#This Row],[Code]], allFYsTable[year2], CU$3))</f>
        <v>39443</v>
      </c>
      <c r="CZ126" s="61">
        <f>IF(COUNTIFS(allFYsTable[Code], SummaryTable[[#This Row],[Code]], allFYsTable[year2], CU$3)=0, NotFound, SUMIFS(allFYsTable[DiffAmount], allFYsTable[Code], SummaryTable[[#This Row],[Code]], allFYsTable[year2], CU$3))</f>
        <v>-70</v>
      </c>
      <c r="DA126" s="63">
        <f>IF(SummaryTable[[#This Row],[OriginalBudget15]]=0, IF(SummaryTable[[#This Row],[DiffAmount15]]=0, ZeroBudgetNoSpending, ZeroBudgetWithSpending), SummaryTable[[#This Row],[DiffAmount15]]/SummaryTable[[#This Row],[OriginalBudget15]])</f>
        <v>-1.7715688507579784E-3</v>
      </c>
      <c r="DB126" s="62">
        <f>IF(COUNTIFS(allFYsTable[Code], SummaryTable[[#This Row],[Code]], allFYsTable[year2], DB$3)=0, NotFound, SUMIFS(allFYsTable[OriginalBudget], allFYsTable[Code], SummaryTable[[#This Row],[Code]], allFYsTable[year2], DB$3))</f>
        <v>31636</v>
      </c>
      <c r="DC126" s="61">
        <f>SummaryTable[[#This Row],[OriginalBudget14]]-SummaryTable[[#This Row],[OriginalBudget13]]</f>
        <v>25229</v>
      </c>
      <c r="DD126" s="54">
        <f>SummaryTable[[#This Row],[BudgetIncreaseAmount14]]/SummaryTable[[#This Row],[OriginalBudget13]]</f>
        <v>3.9377243639769004</v>
      </c>
      <c r="DE126" s="61">
        <f>IF(COUNTIFS(allFYsTable[Code], SummaryTable[[#This Row],[Code]], allFYsTable[year2], DB$3)=0, NotFound, SUMIFS(allFYsTable[RevisedBudget], allFYsTable[Code], SummaryTable[[#This Row],[Code]], allFYsTable[year2], DB$3))</f>
        <v>31636</v>
      </c>
      <c r="DF126" s="61">
        <f>IF(COUNTIFS(allFYsTable[Code], SummaryTable[[#This Row],[Code]], allFYsTable[year2], DB$3)=0, NotFound, SUMIFS(allFYsTable[Actual], allFYsTable[Code], SummaryTable[[#This Row],[Code]], allFYsTable[year2], DB$3))</f>
        <v>31573</v>
      </c>
      <c r="DG126" s="61">
        <f>IF(COUNTIFS(allFYsTable[Code], SummaryTable[[#This Row],[Code]], allFYsTable[year2], DB$3)=0, NotFound, SUMIFS(allFYsTable[DiffAmount], allFYsTable[Code], SummaryTable[[#This Row],[Code]], allFYsTable[year2], DB$3))</f>
        <v>-63</v>
      </c>
      <c r="DH126" s="63">
        <f>IF(SummaryTable[[#This Row],[OriginalBudget14]]=0, IF(SummaryTable[[#This Row],[DiffAmount14]]=0, ZeroBudgetNoSpending, ZeroBudgetWithSpending), SummaryTable[[#This Row],[DiffAmount14]]/SummaryTable[[#This Row],[OriginalBudget14]])</f>
        <v>-1.9914022000252878E-3</v>
      </c>
      <c r="DI126" s="62">
        <f>IF(COUNTIFS(allFYsTable[Code], SummaryTable[[#This Row],[Code]], allFYsTable[year2], DI$3)=0, NotFound, SUMIFS(allFYsTable[OriginalBudget], allFYsTable[Code], SummaryTable[[#This Row],[Code]], allFYsTable[year2], DI$3))</f>
        <v>6407</v>
      </c>
      <c r="DJ126" s="61">
        <f>SummaryTable[[#This Row],[OriginalBudget13]]-SummaryTable[[#This Row],[OriginalBudget12]]</f>
        <v>3407</v>
      </c>
      <c r="DK126" s="54">
        <f>SummaryTable[[#This Row],[BudgetIncreaseAmount13]]/SummaryTable[[#This Row],[OriginalBudget12]]</f>
        <v>1.1356666666666666</v>
      </c>
      <c r="DL126" s="61">
        <f>IF(COUNTIFS(allFYsTable[Code], SummaryTable[[#This Row],[Code]], allFYsTable[year2], DI$3)=0, NotFound, SUMIFS(allFYsTable[RevisedBudget], allFYsTable[Code], SummaryTable[[#This Row],[Code]], allFYsTable[year2], DI$3))</f>
        <v>6407</v>
      </c>
      <c r="DM126" s="61">
        <f>IF(COUNTIFS(allFYsTable[Code], SummaryTable[[#This Row],[Code]], allFYsTable[year2], DI$3)=0, NotFound, SUMIFS(allFYsTable[Actual], allFYsTable[Code], SummaryTable[[#This Row],[Code]], allFYsTable[year2], DI$3))</f>
        <v>6396</v>
      </c>
      <c r="DN126" s="61">
        <f>IF(COUNTIFS(allFYsTable[Code], SummaryTable[[#This Row],[Code]], allFYsTable[year2], DI$3)=0, NotFound, SUMIFS(allFYsTable[DiffAmount], allFYsTable[Code], SummaryTable[[#This Row],[Code]], allFYsTable[year2], DI$3))</f>
        <v>-11</v>
      </c>
      <c r="DO126" s="63">
        <f>IF(SummaryTable[[#This Row],[OriginalBudget13]]=0, IF(SummaryTable[[#This Row],[DiffAmount13]]=0, ZeroBudgetNoSpending, ZeroBudgetWithSpending), SummaryTable[[#This Row],[DiffAmount13]]/SummaryTable[[#This Row],[OriginalBudget13]])</f>
        <v>-1.7168721710628999E-3</v>
      </c>
      <c r="DP126" s="62">
        <f>IF(COUNTIFS(allFYsTable[Code], SummaryTable[[#This Row],[Code]], allFYsTable[year2], DP$3)=0, NotFound, SUMIFS(allFYsTable[OriginalBudget], allFYsTable[Code], SummaryTable[[#This Row],[Code]], allFYsTable[year2], DP$3))</f>
        <v>3000</v>
      </c>
      <c r="DQ126" s="61">
        <f>SummaryTable[[#This Row],[OriginalBudget12]]-SummaryTable[[#This Row],[OriginalBudget11]]</f>
        <v>0</v>
      </c>
      <c r="DR126" s="54">
        <f>SummaryTable[[#This Row],[BudgetIncreaseAmount12]]/SummaryTable[[#This Row],[OriginalBudget11]]</f>
        <v>0</v>
      </c>
      <c r="DS126" s="61">
        <f>IF(COUNTIFS(allFYsTable[Code], SummaryTable[[#This Row],[Code]], allFYsTable[year2], DP$3)=0, NotFound, SUMIFS(allFYsTable[RevisedBudget], allFYsTable[Code], SummaryTable[[#This Row],[Code]], allFYsTable[year2], DP$3))</f>
        <v>3000</v>
      </c>
      <c r="DT126" s="61">
        <f>IF(COUNTIFS(allFYsTable[Code], SummaryTable[[#This Row],[Code]], allFYsTable[year2], DP$3)=0, NotFound, SUMIFS(allFYsTable[Actual], allFYsTable[Code], SummaryTable[[#This Row],[Code]], allFYsTable[year2], DP$3))</f>
        <v>3000</v>
      </c>
      <c r="DU126" s="61">
        <f>IF(COUNTIFS(allFYsTable[Code], SummaryTable[[#This Row],[Code]], allFYsTable[year2], DP$3)=0, NotFound, SUMIFS(allFYsTable[DiffAmount], allFYsTable[Code], SummaryTable[[#This Row],[Code]], allFYsTable[year2], DP$3))</f>
        <v>0</v>
      </c>
      <c r="DV126" s="63">
        <f>IF(SummaryTable[[#This Row],[OriginalBudget12]]=0, IF(SummaryTable[[#This Row],[DiffAmount12]]=0, ZeroBudgetNoSpending, ZeroBudgetWithSpending), SummaryTable[[#This Row],[DiffAmount12]]/SummaryTable[[#This Row],[OriginalBudget12]])</f>
        <v>0</v>
      </c>
      <c r="DW126" s="62">
        <f>IF(COUNTIFS(allFYsTable[Code], SummaryTable[[#This Row],[Code]], allFYsTable[year2], DW$3)=0, NotFound, SUMIFS(allFYsTable[OriginalBudget], allFYsTable[Code], SummaryTable[[#This Row],[Code]], allFYsTable[year2], DW$3))</f>
        <v>3000</v>
      </c>
      <c r="DX126" s="61">
        <f>SummaryTable[[#This Row],[OriginalBudget11]]-SummaryTable[[#This Row],[OriginalBudget10]]</f>
        <v>0</v>
      </c>
      <c r="DY126" s="54">
        <f>SummaryTable[[#This Row],[BudgetIncreaseAmount11]]/SummaryTable[[#This Row],[OriginalBudget10]]</f>
        <v>0</v>
      </c>
      <c r="DZ126" s="61">
        <f>IF(COUNTIFS(allFYsTable[Code], SummaryTable[[#This Row],[Code]], allFYsTable[year2], DW$3)=0, NotFound, SUMIFS(allFYsTable[RevisedBudget], allFYsTable[Code], SummaryTable[[#This Row],[Code]], allFYsTable[year2], DW$3))</f>
        <v>3000</v>
      </c>
      <c r="EA126" s="61">
        <f>IF(COUNTIFS(allFYsTable[Code], SummaryTable[[#This Row],[Code]], allFYsTable[year2], DW$3)=0, NotFound, SUMIFS(allFYsTable[Actual], allFYsTable[Code], SummaryTable[[#This Row],[Code]], allFYsTable[year2], DW$3))</f>
        <v>3000</v>
      </c>
      <c r="EB126" s="61">
        <f>IF(COUNTIFS(allFYsTable[Code], SummaryTable[[#This Row],[Code]], allFYsTable[year2], DW$3)=0, NotFound, SUMIFS(allFYsTable[DiffAmount], allFYsTable[Code], SummaryTable[[#This Row],[Code]], allFYsTable[year2], DW$3))</f>
        <v>0</v>
      </c>
      <c r="EC126" s="63">
        <f>IF(SummaryTable[[#This Row],[OriginalBudget11]]=0, IF(SummaryTable[[#This Row],[DiffAmount11]]=0, ZeroBudgetNoSpending, ZeroBudgetWithSpending), SummaryTable[[#This Row],[DiffAmount11]]/SummaryTable[[#This Row],[OriginalBudget11]])</f>
        <v>0</v>
      </c>
      <c r="ED126" s="62">
        <f>IF(COUNTIFS(allFYsTable[Code], SummaryTable[[#This Row],[Code]], allFYsTable[year2], ED$3)=0, NotFound, SUMIFS(allFYsTable[OriginalBudget], allFYsTable[Code], SummaryTable[[#This Row],[Code]], allFYsTable[year2], ED$3))</f>
        <v>3000</v>
      </c>
      <c r="EE126" s="61">
        <f>SummaryTable[[#This Row],[OriginalBudget10]]-SummaryTable[[#This Row],[OriginalBudget09]]</f>
        <v>3000</v>
      </c>
      <c r="EF126" s="54" t="e">
        <f>SummaryTable[[#This Row],[BudgetIncreaseAmount10]]/SummaryTable[[#This Row],[OriginalBudget09]]</f>
        <v>#DIV/0!</v>
      </c>
      <c r="EG126" s="61">
        <f>IF(COUNTIFS(allFYsTable[Code], SummaryTable[[#This Row],[Code]], allFYsTable[year2], ED$3)=0, NotFound, SUMIFS(allFYsTable[RevisedBudget], allFYsTable[Code], SummaryTable[[#This Row],[Code]], allFYsTable[year2], ED$3))</f>
        <v>3000</v>
      </c>
      <c r="EH126" s="61">
        <f>IF(COUNTIFS(allFYsTable[Code], SummaryTable[[#This Row],[Code]], allFYsTable[year2], ED$3)=0, NotFound, SUMIFS(allFYsTable[Actual], allFYsTable[Code], SummaryTable[[#This Row],[Code]], allFYsTable[year2], ED$3))</f>
        <v>3000</v>
      </c>
      <c r="EI126" s="61">
        <f>IF(COUNTIFS(allFYsTable[Code], SummaryTable[[#This Row],[Code]], allFYsTable[year2], ED$3)=0, NotFound, SUMIFS(allFYsTable[DiffAmount], allFYsTable[Code], SummaryTable[[#This Row],[Code]], allFYsTable[year2], ED$3))</f>
        <v>0</v>
      </c>
      <c r="EJ126" s="63">
        <f>IF(SummaryTable[[#This Row],[OriginalBudget10]]=0, IF(SummaryTable[[#This Row],[DiffAmount10]]=0, ZeroBudgetNoSpending, ZeroBudgetWithSpending), SummaryTable[[#This Row],[DiffAmount10]]/SummaryTable[[#This Row],[OriginalBudget10]])</f>
        <v>0</v>
      </c>
      <c r="EK126" s="62">
        <f>IF(COUNTIFS(allFYsTable[Code], SummaryTable[[#This Row],[Code]], allFYsTable[year2], EK$3)=0, NotFound, SUMIFS(allFYsTable[OriginalBudget], allFYsTable[Code], SummaryTable[[#This Row],[Code]], allFYsTable[year2], EK$3))</f>
        <v>0</v>
      </c>
      <c r="EL126" s="61">
        <f>SummaryTable[[#This Row],[OriginalBudget09]]-SummaryTable[[#This Row],[OriginalBudget08]]</f>
        <v>-6000</v>
      </c>
      <c r="EM126" s="54">
        <f>SummaryTable[[#This Row],[BudgetIncreaseAmount09]]/SummaryTable[[#This Row],[OriginalBudget08]]</f>
        <v>-1</v>
      </c>
      <c r="EN126" s="61">
        <f>IF(COUNTIFS(allFYsTable[Code], SummaryTable[[#This Row],[Code]], allFYsTable[year2], EK$3)=0, NotFound, SUMIFS(allFYsTable[RevisedBudget], allFYsTable[Code], SummaryTable[[#This Row],[Code]], allFYsTable[year2], EK$3))</f>
        <v>0</v>
      </c>
      <c r="EO126" s="61">
        <f>IF(COUNTIFS(allFYsTable[Code], SummaryTable[[#This Row],[Code]], allFYsTable[year2], EK$3)=0, NotFound, SUMIFS(allFYsTable[Actual], allFYsTable[Code], SummaryTable[[#This Row],[Code]], allFYsTable[year2], EK$3))</f>
        <v>-3</v>
      </c>
      <c r="EP126" s="61">
        <f>IF(COUNTIFS(allFYsTable[Code], SummaryTable[[#This Row],[Code]], allFYsTable[year2], EK$3)=0, NotFound, SUMIFS(allFYsTable[DiffAmount], allFYsTable[Code], SummaryTable[[#This Row],[Code]], allFYsTable[year2], EK$3))</f>
        <v>-3</v>
      </c>
      <c r="EQ126" s="63">
        <f>IF(SummaryTable[[#This Row],[OriginalBudget09]]=0, IF(SummaryTable[[#This Row],[DiffAmount09]]=0, ZeroBudgetNoSpending, ZeroBudgetWithSpending), SummaryTable[[#This Row],[DiffAmount09]]/SummaryTable[[#This Row],[OriginalBudget09]])</f>
        <v>99.99</v>
      </c>
      <c r="ER126" s="62">
        <f>IF(COUNTIFS(allFYsTable[Code], SummaryTable[[#This Row],[Code]], allFYsTable[year2], ER$3)=0, NotFound, SUMIFS(allFYsTable[OriginalBudget], allFYsTable[Code], SummaryTable[[#This Row],[Code]], allFYsTable[year2], ER$3))</f>
        <v>6000</v>
      </c>
      <c r="ES126" s="61">
        <f>SummaryTable[[#This Row],[OriginalBudget08]]-SummaryTable[[#This Row],[OriginalBudget07]]</f>
        <v>-8600</v>
      </c>
      <c r="ET126" s="54">
        <f>SummaryTable[[#This Row],[BudgetIncreaseAmount08]]/SummaryTable[[#This Row],[OriginalBudget07]]</f>
        <v>-0.58904109589041098</v>
      </c>
      <c r="EU126" s="61">
        <f>IF(COUNTIFS(allFYsTable[Code], SummaryTable[[#This Row],[Code]], allFYsTable[year2], ER$3)=0, NotFound, SUMIFS(allFYsTable[RevisedBudget], allFYsTable[Code], SummaryTable[[#This Row],[Code]], allFYsTable[year2], ER$3))</f>
        <v>6000</v>
      </c>
      <c r="EV126" s="61">
        <f>IF(COUNTIFS(allFYsTable[Code], SummaryTable[[#This Row],[Code]], allFYsTable[year2], ER$3)=0, NotFound, SUMIFS(allFYsTable[Actual], allFYsTable[Code], SummaryTable[[#This Row],[Code]], allFYsTable[year2], ER$3))</f>
        <v>5964</v>
      </c>
      <c r="EW126" s="61">
        <f>IF(COUNTIFS(allFYsTable[Code], SummaryTable[[#This Row],[Code]], allFYsTable[year2], ER$3)=0, NotFound, SUMIFS(allFYsTable[DiffAmount], allFYsTable[Code], SummaryTable[[#This Row],[Code]], allFYsTable[year2], ER$3))</f>
        <v>-36</v>
      </c>
      <c r="EX126" s="63">
        <f>IF(SummaryTable[[#This Row],[OriginalBudget08]]=0, IF(SummaryTable[[#This Row],[DiffAmount08]]=0, ZeroBudgetNoSpending, ZeroBudgetWithSpending), SummaryTable[[#This Row],[DiffAmount08]]/SummaryTable[[#This Row],[OriginalBudget08]])</f>
        <v>-6.0000000000000001E-3</v>
      </c>
      <c r="EY126" s="62">
        <f>IF(COUNTIFS(allFYsTable[Code], SummaryTable[[#This Row],[Code]], allFYsTable[year2], EY$3)=0, NotFound, SUMIFS(allFYsTable[OriginalBudget], allFYsTable[Code], SummaryTable[[#This Row],[Code]], allFYsTable[year2], EY$3))</f>
        <v>14600</v>
      </c>
      <c r="EZ126" s="61">
        <f>SummaryTable[[#This Row],[OriginalBudget07]]-SummaryTable[[#This Row],[OriginalBudget06]]</f>
        <v>-900</v>
      </c>
      <c r="FA126" s="54">
        <f>SummaryTable[[#This Row],[BudgetIncreaseAmount07]]/SummaryTable[[#This Row],[OriginalBudget06]]</f>
        <v>-5.8064516129032261E-2</v>
      </c>
      <c r="FB126" s="61">
        <f>IF(COUNTIFS(allFYsTable[Code], SummaryTable[[#This Row],[Code]], allFYsTable[year2], EY$3)=0, NotFound, SUMIFS(allFYsTable[RevisedBudget], allFYsTable[Code], SummaryTable[[#This Row],[Code]], allFYsTable[year2], EY$3))</f>
        <v>14600</v>
      </c>
      <c r="FC126" s="61">
        <f>IF(COUNTIFS(allFYsTable[Code], SummaryTable[[#This Row],[Code]], allFYsTable[year2], EY$3)=0, NotFound, SUMIFS(allFYsTable[Actual], allFYsTable[Code], SummaryTable[[#This Row],[Code]], allFYsTable[year2], EY$3))</f>
        <v>14540</v>
      </c>
      <c r="FD126" s="61">
        <f>IF(COUNTIFS(allFYsTable[Code], SummaryTable[[#This Row],[Code]], allFYsTable[year2], EY$3)=0, NotFound, SUMIFS(allFYsTable[DiffAmount], allFYsTable[Code], SummaryTable[[#This Row],[Code]], allFYsTable[year2], EY$3))</f>
        <v>-60</v>
      </c>
      <c r="FE126" s="63">
        <f>IF(SummaryTable[[#This Row],[OriginalBudget07]]=0, IF(SummaryTable[[#This Row],[DiffAmount07]]=0, ZeroBudgetNoSpending, ZeroBudgetWithSpending), SummaryTable[[#This Row],[DiffAmount07]]/SummaryTable[[#This Row],[OriginalBudget07]])</f>
        <v>-4.10958904109589E-3</v>
      </c>
      <c r="FF126" s="62">
        <f>IF(COUNTIFS(allFYsTable[Code], SummaryTable[[#This Row],[Code]], allFYsTable[year2], FF$3)=0, NotFound, SUMIFS(allFYsTable[OriginalBudget], allFYsTable[Code], SummaryTable[[#This Row],[Code]], allFYsTable[year2], FF$3))</f>
        <v>15500</v>
      </c>
      <c r="FI126" s="61">
        <f>IF(COUNTIFS(allFYsTable[Code], SummaryTable[[#This Row],[Code]], allFYsTable[year2], FF$3)=0, NotFound, SUMIFS(allFYsTable[RevisedBudget], allFYsTable[Code], SummaryTable[[#This Row],[Code]], allFYsTable[year2], FF$3))</f>
        <v>15500</v>
      </c>
      <c r="FJ126" s="61">
        <f>IF(COUNTIFS(allFYsTable[Code], SummaryTable[[#This Row],[Code]], allFYsTable[year2], FF$3)=0, NotFound, SUMIFS(allFYsTable[Actual], allFYsTable[Code], SummaryTable[[#This Row],[Code]], allFYsTable[year2], FF$3))</f>
        <v>15431</v>
      </c>
      <c r="FK126" s="61">
        <f>IF(COUNTIFS(allFYsTable[Code], SummaryTable[[#This Row],[Code]], allFYsTable[year2], FF$3)=0, NotFound, SUMIFS(allFYsTable[DiffAmount], allFYsTable[Code], SummaryTable[[#This Row],[Code]], allFYsTable[year2], FF$3))</f>
        <v>-69</v>
      </c>
      <c r="FL126" s="63">
        <f>IF(SummaryTable[[#This Row],[OriginalBudget06]]=0, IF(SummaryTable[[#This Row],[DiffAmount06]]=0, ZeroBudgetNoSpending, ZeroBudgetWithSpending), SummaryTable[[#This Row],[DiffAmount06]]/SummaryTable[[#This Row],[OriginalBudget06]])</f>
        <v>-4.4516129032258064E-3</v>
      </c>
    </row>
    <row r="127" spans="1:168" x14ac:dyDescent="0.45">
      <c r="A127" t="s">
        <v>783</v>
      </c>
      <c r="B127">
        <f>_xlfn.MAXIFS(allFYsTable[year2], allFYsTable[Code], SummaryTable[[#This Row],[Code]])</f>
        <v>2025</v>
      </c>
      <c r="C127" t="str">
        <f>_xlfn.XLOOKUP(SummaryTable[[#This Row],[Code]], NameCodingTable[Code], NameCodingTable[Most Recent Category per allFYs])</f>
        <v>Public education system</v>
      </c>
      <c r="D127" t="str">
        <f>_xlfn.XLOOKUP(SummaryTable[[#This Row],[Code]], NameCodingTable[Code], NameCodingTable[Unit Display Name])</f>
        <v>Unemployment Compensation Fund</v>
      </c>
      <c r="E127" t="str">
        <f>_xlfn.XLOOKUP(SummaryTable[[#This Row],[Code]], NameCodingTable[Code], NameCodingTable[Type])</f>
        <v>xother</v>
      </c>
      <c r="F12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2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127" s="54">
        <f>SummaryTable[[#This Row],['# Over]]/SummaryTable[[#This Row],[Count]]</f>
        <v>0.3</v>
      </c>
      <c r="I12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14</v>
      </c>
      <c r="J127" s="54">
        <f>SummaryTable[[#This Row],['# Under]]/SummaryTable[[#This Row],[Count]]</f>
        <v>0.7</v>
      </c>
      <c r="K12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27" s="54">
        <f>SummaryTable[[#This Row],['# Equal]]/SummaryTable[[#This Row],[Count]]</f>
        <v>0</v>
      </c>
      <c r="M127" s="61">
        <f>SUMIFS(allFYsTable[OriginalBudget],allFYsTable[Code],SummaryTable[[#This Row],[Code]])/SummaryTable[[#This Row],[Count]]</f>
        <v>7440.45</v>
      </c>
      <c r="N127" s="61">
        <f>SUMIFS(allFYsTable[Actual],allFYsTable[Code],SummaryTable[[#This Row],[Code]])/SummaryTable[[#This Row],[Count]]</f>
        <v>7276.8</v>
      </c>
      <c r="O127" s="61">
        <f>SummaryTable[[#This Row],[AvgActAmt]]-SummaryTable[[#This Row],[AvgBudAmt]]</f>
        <v>-163.64999999999964</v>
      </c>
      <c r="P127" s="54">
        <f>IF(SummaryTable[[#This Row],[AvgBudAmt]]=0, IF(SummaryTable[[#This Row],[AvgDiff'#]]=0, 0, NamedFields!$C$3), SummaryTable[[#This Row],[AvgDiff'#]]/SummaryTable[[#This Row],[AvgBudAmt]])</f>
        <v>-2.1994637421123675E-2</v>
      </c>
      <c r="Q127" s="61">
        <f>IFERROR(SUMIFS(allFYsTable[OriginalBudget],allFYsTable[Code],SummaryTable[[#This Row],[Code]],allFYsTable[DiffAmount], "&gt;0")/SummaryTable[[#This Row],['# Over]], 0)</f>
        <v>6823.333333333333</v>
      </c>
      <c r="R127" s="61">
        <f>IFERROR(SUMIFS(allFYsTable[Actual],allFYsTable[Code],SummaryTable[[#This Row],[Code]],allFYsTable[DiffAmount], "&gt;0")/SummaryTable[[#This Row],['# Over]], 0)</f>
        <v>10906.166666666666</v>
      </c>
      <c r="S127" s="61">
        <f>SummaryTable[[#This Row],[OverAvgAct]]-SummaryTable[[#This Row],[OverAvgBud]]</f>
        <v>4082.833333333333</v>
      </c>
      <c r="T127" s="54">
        <f>IF(SummaryTable[[#This Row],[OverAvgBud]]=0, IF(SummaryTable[[#This Row],[OverAvgDiff'#]]=0, ZeroBudgetNoSpending, ZeroBudgetWithSpending), SummaryTable[[#This Row],[OverAvgDiff'#]]/SummaryTable[[#This Row],[OverAvgBud]])</f>
        <v>0.59836345872007812</v>
      </c>
      <c r="U127" s="61">
        <f>IFERROR(SUMIFS(allFYsTable[OriginalBudget],allFYsTable[Code],SummaryTable[[#This Row],[Code]],allFYsTable[DiffAmount], "&lt;0")/SummaryTable[[#This Row],['# Under]], 0)</f>
        <v>7704.9285714285716</v>
      </c>
      <c r="V127" s="61">
        <f>IFERROR( SUMIFS(allFYsTable[Actual],allFYsTable[Code],SummaryTable[[#This Row],[Code]],allFYsTable[DiffAmount], "&lt;0")/SummaryTable[[#This Row],['# Under]], 0)</f>
        <v>5721.3571428571431</v>
      </c>
      <c r="W127" s="61">
        <f>SummaryTable[[#This Row],[UnderAvgAct]]-SummaryTable[[#This Row],[UnderAvgBud]]</f>
        <v>-1983.5714285714284</v>
      </c>
      <c r="X127" s="54">
        <f>IF(SummaryTable[[#This Row],[UnderAvgBud]]=0, IF(SummaryTable[[#This Row],[UnderAvgDiff'#]]=0, ZeroBudgetNoSpending, NamedFields!$C$3), SummaryTable[[#This Row],[UnderAvgDiff'#]]/SummaryTable[[#This Row],[UnderAvgBud]])</f>
        <v>-0.25744189711594617</v>
      </c>
      <c r="Y12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12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127" s="54">
        <f>IF(SummaryTable[[#This Row],[IncreaseYears]]=0, ZeroBudgetNoSpending, SummaryTable[[#This Row],[OSinIncreaseYear'#]]/SummaryTable[[#This Row],[IncreaseYears]])</f>
        <v>0.5</v>
      </c>
      <c r="AB127" s="58" t="str">
        <f>SummaryTable[[#This Row],[Code]]</f>
        <v>BH0</v>
      </c>
      <c r="AC127" s="62">
        <f>IF(COUNTIFS(allFYsTable[Code], SummaryTable[[#This Row],[Code]], allFYsTable[year2], AC$3)=0, NotFound, SUMIFS(allFYsTable[OriginalBudget], allFYsTable[Code], SummaryTable[[#This Row],[Code]], allFYsTable[year2], AC$3))</f>
        <v>5480</v>
      </c>
      <c r="AD127" s="61">
        <f>SummaryTable[[#This Row],[OriginalBudget25]]-SummaryTable[[#This Row],[OriginalBudget24]]</f>
        <v>0</v>
      </c>
      <c r="AE127" s="54">
        <f>SummaryTable[[#This Row],[BudgetIncreaseAmount25]]/SummaryTable[[#This Row],[OriginalBudget24]]</f>
        <v>0</v>
      </c>
      <c r="AF127" s="61">
        <f>IF(COUNTIFS(allFYsTable[Code], SummaryTable[[#This Row],[Code]], allFYsTable[year2], AC$3)=0, NotFound, SUMIFS(allFYsTable[RevisedBudget], allFYsTable[Code], SummaryTable[[#This Row],[Code]], allFYsTable[year2], AC$3))</f>
        <v>5480</v>
      </c>
      <c r="AG127" s="61">
        <f>IF(COUNTIFS(allFYsTable[Code], SummaryTable[[#This Row],[Code]], allFYsTable[year2], AC$3)=0, NotFound, SUMIFS(allFYsTable[Actual], allFYsTable[Code], SummaryTable[[#This Row],[Code]], allFYsTable[year2], AC$3))</f>
        <v>4733</v>
      </c>
      <c r="AH127" s="61">
        <f>IF(COUNTIFS(allFYsTable[Code], SummaryTable[[#This Row],[Code]], allFYsTable[year2], AC$3)=0, NotFound, SUMIFS(allFYsTable[DiffAmount], allFYsTable[Code], SummaryTable[[#This Row],[Code]], allFYsTable[year2], AC$3))</f>
        <v>-747</v>
      </c>
      <c r="AI127" s="63">
        <f>IF(SummaryTable[[#This Row],[OriginalBudget25]]=0, IF(SummaryTable[[#This Row],[DiffAmount25]]=0, ZeroBudgetNoSpending, ZeroBudgetWithSpending), SummaryTable[[#This Row],[DiffAmount25]]/SummaryTable[[#This Row],[OriginalBudget25]])</f>
        <v>-0.13631386861313868</v>
      </c>
      <c r="AJ127" s="62">
        <f>IF(COUNTIFS(allFYsTable[Code], SummaryTable[[#This Row],[Code]], allFYsTable[year2], AJ$3)=0, NotFound, SUMIFS(allFYsTable[OriginalBudget], allFYsTable[Code], SummaryTable[[#This Row],[Code]], allFYsTable[year2], AJ$3))</f>
        <v>5480</v>
      </c>
      <c r="AK127" s="61">
        <f>SummaryTable[[#This Row],[OriginalBudget24]]-SummaryTable[[#This Row],[OriginalBudget23]]</f>
        <v>0</v>
      </c>
      <c r="AL127" s="54">
        <f>SummaryTable[[#This Row],[BudgetIncreaseAmount24]]/SummaryTable[[#This Row],[OriginalBudget23]]</f>
        <v>0</v>
      </c>
      <c r="AM127" s="61">
        <f>IF(COUNTIFS(allFYsTable[Code], SummaryTable[[#This Row],[Code]], allFYsTable[year2], AK$3)=0, NotFound, SUMIFS(allFYsTable[RevisedBudget], allFYsTable[Code], SummaryTable[[#This Row],[Code]], allFYsTable[year2], AJ$3))</f>
        <v>4990</v>
      </c>
      <c r="AN127" s="61">
        <f>IF(COUNTIFS(allFYsTable[Code], SummaryTable[[#This Row],[Code]], allFYsTable[year2], AJ$3)=0, NotFound, SUMIFS(allFYsTable[Actual], allFYsTable[Code], SummaryTable[[#This Row],[Code]], allFYsTable[year2], AJ$3))</f>
        <v>3732</v>
      </c>
      <c r="AO127" s="61">
        <f>IF(COUNTIFS(allFYsTable[Code], SummaryTable[[#This Row],[Code]], allFYsTable[year2], AJ$3)=0, NotFound, SUMIFS(allFYsTable[DiffAmount], allFYsTable[Code], SummaryTable[[#This Row],[Code]], allFYsTable[year2], AJ$3))</f>
        <v>-1748</v>
      </c>
      <c r="AP127" s="63">
        <f>IF(SummaryTable[[#This Row],[OriginalBudget24]]=0, IF(SummaryTable[[#This Row],[DiffAmount24]]=0, ZeroBudgetNoSpending, ZeroBudgetWithSpending), SummaryTable[[#This Row],[DiffAmount24]]/SummaryTable[[#This Row],[OriginalBudget24]])</f>
        <v>-0.31897810218978101</v>
      </c>
      <c r="AQ127" s="62">
        <f>IF(COUNTIFS(allFYsTable[Code], SummaryTable[[#This Row],[Code]], allFYsTable[year2], AQ$3)=0, NotFound, SUMIFS(allFYsTable[OriginalBudget], allFYsTable[Code], SummaryTable[[#This Row],[Code]], allFYsTable[year2], AQ$3))</f>
        <v>5480</v>
      </c>
      <c r="AR127" s="61">
        <f>SummaryTable[[#This Row],[OriginalBudget23]]-SummaryTable[[#This Row],[OriginalBudget22]]</f>
        <v>0</v>
      </c>
      <c r="AS127" s="54">
        <f>SummaryTable[[#This Row],[BudgetIncreaseAmount23]]/SummaryTable[[#This Row],[OriginalBudget22]]</f>
        <v>0</v>
      </c>
      <c r="AT127" s="61">
        <f>IF(COUNTIFS(allFYsTable[Code], SummaryTable[[#This Row],[Code]], allFYsTable[year2], AQ$3)=0, NotFound, SUMIFS(allFYsTable[RevisedBudget], allFYsTable[Code], SummaryTable[[#This Row],[Code]], allFYsTable[year2], AQ$3))</f>
        <v>3980</v>
      </c>
      <c r="AU127" s="61">
        <f>IF(COUNTIFS(allFYsTable[Code], SummaryTable[[#This Row],[Code]], allFYsTable[year2], AQ$3)=0, NotFound, SUMIFS(allFYsTable[Actual], allFYsTable[Code], SummaryTable[[#This Row],[Code]], allFYsTable[year2], AQ$3))</f>
        <v>3619</v>
      </c>
      <c r="AV127" s="61">
        <f>IF(COUNTIFS(allFYsTable[Code], SummaryTable[[#This Row],[Code]], allFYsTable[year2], AQ$3)=0, NotFound, SUMIFS(allFYsTable[DiffAmount], allFYsTable[Code], SummaryTable[[#This Row],[Code]], allFYsTable[year2], AQ$3))</f>
        <v>-1861</v>
      </c>
      <c r="AW127" s="63">
        <f>IF(SummaryTable[[#This Row],[OriginalBudget23]]=0, IF(SummaryTable[[#This Row],[DiffAmount23]]=0, ZeroBudgetNoSpending, ZeroBudgetWithSpending), SummaryTable[[#This Row],[DiffAmount23]]/SummaryTable[[#This Row],[OriginalBudget23]])</f>
        <v>-0.33959854014598539</v>
      </c>
      <c r="AX127" s="62">
        <f>IF(COUNTIFS(allFYsTable[Code], SummaryTable[[#This Row],[Code]], allFYsTable[year2], AX$3)=0, NotFound, SUMIFS(allFYsTable[OriginalBudget], allFYsTable[Code], SummaryTable[[#This Row],[Code]], allFYsTable[year2], AX$3))</f>
        <v>5480</v>
      </c>
      <c r="AY127" s="61">
        <f>SummaryTable[[#This Row],[OriginalBudget22]]-SummaryTable[[#This Row],[OriginalBudget21]]</f>
        <v>0</v>
      </c>
      <c r="AZ127" s="54">
        <f>SummaryTable[[#This Row],[BudgetIncreaseAmount22]]/SummaryTable[[#This Row],[OriginalBudget21]]</f>
        <v>0</v>
      </c>
      <c r="BA127" s="61">
        <f>IF(COUNTIFS(allFYsTable[Code], SummaryTable[[#This Row],[Code]], allFYsTable[year2], AX$3)=0, NotFound, SUMIFS(allFYsTable[RevisedBudget], allFYsTable[Code], SummaryTable[[#This Row],[Code]], allFYsTable[year2], AX$3))</f>
        <v>2451</v>
      </c>
      <c r="BB127" s="61">
        <f>IF(COUNTIFS(allFYsTable[Code], SummaryTable[[#This Row],[Code]], allFYsTable[year2], AX$3)=0, NotFound, SUMIFS(allFYsTable[Actual], allFYsTable[Code], SummaryTable[[#This Row],[Code]], allFYsTable[year2], AX$3))</f>
        <v>2392</v>
      </c>
      <c r="BC127" s="61">
        <f>IF(COUNTIFS(allFYsTable[Code], SummaryTable[[#This Row],[Code]], allFYsTable[year2], AX$3)=0, NotFound, SUMIFS(allFYsTable[DiffAmount], allFYsTable[Code], SummaryTable[[#This Row],[Code]], allFYsTable[year2], AX$3))</f>
        <v>-3088</v>
      </c>
      <c r="BD127" s="63">
        <f>IF(SummaryTable[[#This Row],[OriginalBudget22]]=0, IF(SummaryTable[[#This Row],[DiffAmount22]]=0, ZeroBudgetNoSpending, ZeroBudgetWithSpending), SummaryTable[[#This Row],[DiffAmount22]]/SummaryTable[[#This Row],[OriginalBudget22]])</f>
        <v>-0.56350364963503652</v>
      </c>
      <c r="BE127" s="62">
        <f>IF(COUNTIFS(allFYsTable[Code], SummaryTable[[#This Row],[Code]], allFYsTable[year2], BE$3)=0, NotFound, SUMIFS(allFYsTable[OriginalBudget], allFYsTable[Code], SummaryTable[[#This Row],[Code]], allFYsTable[year2], BE$3))</f>
        <v>5480</v>
      </c>
      <c r="BF127" s="61">
        <f>SummaryTable[[#This Row],[OriginalBudget21]]-SummaryTable[[#This Row],[OriginalBudget20]]</f>
        <v>0</v>
      </c>
      <c r="BG127" s="54">
        <f>SummaryTable[[#This Row],[BudgetIncreaseAmount21]]/SummaryTable[[#This Row],[OriginalBudget20]]</f>
        <v>0</v>
      </c>
      <c r="BH127" s="61">
        <f>IF(COUNTIFS(allFYsTable[Code], SummaryTable[[#This Row],[Code]], allFYsTable[year2], BE$3)=0, NotFound, SUMIFS(allFYsTable[RevisedBudget], allFYsTable[Code], SummaryTable[[#This Row],[Code]], allFYsTable[year2], BE$3))</f>
        <v>3009</v>
      </c>
      <c r="BI127" s="61">
        <f>IF(COUNTIFS(allFYsTable[Code], SummaryTable[[#This Row],[Code]], allFYsTable[year2], BE$3)=0, NotFound, SUMIFS(allFYsTable[Actual], allFYsTable[Code], SummaryTable[[#This Row],[Code]], allFYsTable[year2], BE$3))</f>
        <v>2167</v>
      </c>
      <c r="BJ127" s="61">
        <f>IF(COUNTIFS(allFYsTable[Code], SummaryTable[[#This Row],[Code]], allFYsTable[year2], BE$3)=0, NotFound, SUMIFS(allFYsTable[DiffAmount], allFYsTable[Code], SummaryTable[[#This Row],[Code]], allFYsTable[year2], BE$3))</f>
        <v>-3313</v>
      </c>
      <c r="BK127" s="63">
        <f>IF(SummaryTable[[#This Row],[OriginalBudget21]]=0, IF(SummaryTable[[#This Row],[DiffAmount21]]=0, ZeroBudgetNoSpending, ZeroBudgetWithSpending), SummaryTable[[#This Row],[DiffAmount21]]/SummaryTable[[#This Row],[OriginalBudget21]])</f>
        <v>-0.6045620437956204</v>
      </c>
      <c r="BL127" s="62">
        <f>IF(COUNTIFS(allFYsTable[Code], SummaryTable[[#This Row],[Code]], allFYsTable[year2], BL$3)=0, NotFound, SUMIFS(allFYsTable[OriginalBudget], allFYsTable[Code], SummaryTable[[#This Row],[Code]], allFYsTable[year2], BL$3))</f>
        <v>5480</v>
      </c>
      <c r="BM127" s="61">
        <f>SummaryTable[[#This Row],[OriginalBudget20]]-SummaryTable[[#This Row],[OriginalBudget19]]</f>
        <v>-1200</v>
      </c>
      <c r="BN127" s="54">
        <f>SummaryTable[[#This Row],[BudgetIncreaseAmount20]]/SummaryTable[[#This Row],[OriginalBudget19]]</f>
        <v>-0.17964071856287425</v>
      </c>
      <c r="BO127" s="61">
        <f>IF(COUNTIFS(allFYsTable[Code], SummaryTable[[#This Row],[Code]], allFYsTable[year2], BL$3)=0, NotFound, SUMIFS(allFYsTable[RevisedBudget], allFYsTable[Code], SummaryTable[[#This Row],[Code]], allFYsTable[year2], BL$3))</f>
        <v>7947</v>
      </c>
      <c r="BP127" s="61">
        <f>IF(COUNTIFS(allFYsTable[Code], SummaryTable[[#This Row],[Code]], allFYsTable[year2], BL$3)=0, NotFound, SUMIFS(allFYsTable[Actual], allFYsTable[Code], SummaryTable[[#This Row],[Code]], allFYsTable[year2], BL$3))</f>
        <v>7947</v>
      </c>
      <c r="BQ127" s="61">
        <f>IF(COUNTIFS(allFYsTable[Code], SummaryTable[[#This Row],[Code]], allFYsTable[year2], BL$3)=0, NotFound, SUMIFS(allFYsTable[DiffAmount], allFYsTable[Code], SummaryTable[[#This Row],[Code]], allFYsTable[year2], BL$3))</f>
        <v>2467</v>
      </c>
      <c r="BR127" s="63">
        <f>IF(SummaryTable[[#This Row],[OriginalBudget20]]=0, IF(SummaryTable[[#This Row],[DiffAmount20]]=0, ZeroBudgetNoSpending, ZeroBudgetWithSpending), SummaryTable[[#This Row],[DiffAmount20]]/SummaryTable[[#This Row],[OriginalBudget20]])</f>
        <v>0.45018248175182479</v>
      </c>
      <c r="BS127" s="62">
        <f>IF(COUNTIFS(allFYsTable[Code], SummaryTable[[#This Row],[Code]], allFYsTable[year2], BS$3)=0, NotFound, SUMIFS(allFYsTable[OriginalBudget], allFYsTable[Code], SummaryTable[[#This Row],[Code]], allFYsTable[year2], BS$3))</f>
        <v>6680</v>
      </c>
      <c r="BT127" s="61">
        <f>SummaryTable[[#This Row],[OriginalBudget19]]-SummaryTable[[#This Row],[OriginalBudget18]]</f>
        <v>0</v>
      </c>
      <c r="BU127" s="54">
        <f>SummaryTable[[#This Row],[BudgetIncreaseAmount19]]/SummaryTable[[#This Row],[OriginalBudget18]]</f>
        <v>0</v>
      </c>
      <c r="BV127" s="61">
        <f>IF(COUNTIFS(allFYsTable[Code], SummaryTable[[#This Row],[Code]], allFYsTable[year2], BS$3)=0, NotFound, SUMIFS(allFYsTable[RevisedBudget], allFYsTable[Code], SummaryTable[[#This Row],[Code]], allFYsTable[year2], BS$3))</f>
        <v>4966</v>
      </c>
      <c r="BW127" s="61">
        <f>IF(COUNTIFS(allFYsTable[Code], SummaryTable[[#This Row],[Code]], allFYsTable[year2], BS$3)=0, NotFound, SUMIFS(allFYsTable[Actual], allFYsTable[Code], SummaryTable[[#This Row],[Code]], allFYsTable[year2], BS$3))</f>
        <v>4955</v>
      </c>
      <c r="BX127" s="61">
        <f>IF(COUNTIFS(allFYsTable[Code], SummaryTable[[#This Row],[Code]], allFYsTable[year2], BS$3)=0, NotFound, SUMIFS(allFYsTable[DiffAmount], allFYsTable[Code], SummaryTable[[#This Row],[Code]], allFYsTable[year2], BS$3))</f>
        <v>-1725</v>
      </c>
      <c r="BY127" s="63">
        <f>IF(SummaryTable[[#This Row],[OriginalBudget19]]=0, IF(SummaryTable[[#This Row],[DiffAmount19]]=0, ZeroBudgetNoSpending, ZeroBudgetWithSpending), SummaryTable[[#This Row],[DiffAmount19]]/SummaryTable[[#This Row],[OriginalBudget19]])</f>
        <v>-0.25823353293413176</v>
      </c>
      <c r="BZ127" s="62">
        <f>IF(COUNTIFS(allFYsTable[Code], SummaryTable[[#This Row],[Code]], allFYsTable[year2], BZ$3)=0, NotFound, SUMIFS(allFYsTable[OriginalBudget], allFYsTable[Code], SummaryTable[[#This Row],[Code]], allFYsTable[year2], BZ$3))</f>
        <v>6680</v>
      </c>
      <c r="CA127" s="61">
        <f>SummaryTable[[#This Row],[OriginalBudget18]]-SummaryTable[[#This Row],[OriginalBudget17]]</f>
        <v>-207</v>
      </c>
      <c r="CB127" s="54">
        <f>SummaryTable[[#This Row],[BudgetIncreaseAmount18]]/SummaryTable[[#This Row],[OriginalBudget17]]</f>
        <v>-3.005662843037607E-2</v>
      </c>
      <c r="CC127" s="61">
        <f>IF(COUNTIFS(allFYsTable[Code], SummaryTable[[#This Row],[Code]], allFYsTable[year2], BZ$3)=0, NotFound, SUMIFS(allFYsTable[RevisedBudget], allFYsTable[Code], SummaryTable[[#This Row],[Code]], allFYsTable[year2], BZ$3))</f>
        <v>5180</v>
      </c>
      <c r="CD127" s="61">
        <f>IF(COUNTIFS(allFYsTable[Code], SummaryTable[[#This Row],[Code]], allFYsTable[year2], BZ$3)=0, NotFound, SUMIFS(allFYsTable[Actual], allFYsTable[Code], SummaryTable[[#This Row],[Code]], allFYsTable[year2], BZ$3))</f>
        <v>5153</v>
      </c>
      <c r="CE127" s="61">
        <f>IF(COUNTIFS(allFYsTable[Code], SummaryTable[[#This Row],[Code]], allFYsTable[year2], BZ$3)=0, NotFound, SUMIFS(allFYsTable[DiffAmount], allFYsTable[Code], SummaryTable[[#This Row],[Code]], allFYsTable[year2], BZ$3))</f>
        <v>-1527</v>
      </c>
      <c r="CF127" s="63">
        <f>IF(SummaryTable[[#This Row],[OriginalBudget18]]=0, IF(SummaryTable[[#This Row],[DiffAmount18]]=0, ZeroBudgetNoSpending, ZeroBudgetWithSpending), SummaryTable[[#This Row],[DiffAmount18]]/SummaryTable[[#This Row],[OriginalBudget18]])</f>
        <v>-0.22859281437125747</v>
      </c>
      <c r="CG127" s="62">
        <f>IF(COUNTIFS(allFYsTable[Code], SummaryTable[[#This Row],[Code]], allFYsTable[year2], CG$3)=0, NotFound, SUMIFS(allFYsTable[OriginalBudget], allFYsTable[Code], SummaryTable[[#This Row],[Code]], allFYsTable[year2], CG$3))</f>
        <v>6887</v>
      </c>
      <c r="CH127" s="61">
        <f>SummaryTable[[#This Row],[OriginalBudget17]]-SummaryTable[[#This Row],[OriginalBudget16]]</f>
        <v>0</v>
      </c>
      <c r="CI127" s="54">
        <f>SummaryTable[[#This Row],[BudgetIncreaseAmount17]]/SummaryTable[[#This Row],[OriginalBudget16]]</f>
        <v>0</v>
      </c>
      <c r="CJ127" s="61">
        <f>IF(COUNTIFS(allFYsTable[Code], SummaryTable[[#This Row],[Code]], allFYsTable[year2], CG$3)=0, NotFound, SUMIFS(allFYsTable[RevisedBudget], allFYsTable[Code], SummaryTable[[#This Row],[Code]], allFYsTable[year2], CG$3))</f>
        <v>6787</v>
      </c>
      <c r="CK127" s="61">
        <f>IF(COUNTIFS(allFYsTable[Code], SummaryTable[[#This Row],[Code]], allFYsTable[year2], CG$3)=0, NotFound, SUMIFS(allFYsTable[Actual], allFYsTable[Code], SummaryTable[[#This Row],[Code]], allFYsTable[year2], CG$3))</f>
        <v>5326</v>
      </c>
      <c r="CL127" s="61">
        <f>IF(COUNTIFS(allFYsTable[Code], SummaryTable[[#This Row],[Code]], allFYsTable[year2], CG$3)=0, NotFound, SUMIFS(allFYsTable[DiffAmount], allFYsTable[Code], SummaryTable[[#This Row],[Code]], allFYsTable[year2], CG$3))</f>
        <v>-1561</v>
      </c>
      <c r="CM127" s="63">
        <f>IF(SummaryTable[[#This Row],[OriginalBudget17]]=0, IF(SummaryTable[[#This Row],[DiffAmount17]]=0, ZeroBudgetNoSpending, ZeroBudgetWithSpending), SummaryTable[[#This Row],[DiffAmount17]]/SummaryTable[[#This Row],[OriginalBudget17]])</f>
        <v>-0.22665892260781181</v>
      </c>
      <c r="CN127" s="62">
        <f>IF(COUNTIFS(allFYsTable[Code], SummaryTable[[#This Row],[Code]], allFYsTable[year2], CN$3)=0, NotFound, SUMIFS(allFYsTable[OriginalBudget], allFYsTable[Code], SummaryTable[[#This Row],[Code]], allFYsTable[year2], CN$3))</f>
        <v>6887</v>
      </c>
      <c r="CO127" s="61">
        <f>SummaryTable[[#This Row],[OriginalBudget16]]-SummaryTable[[#This Row],[OriginalBudget15]]</f>
        <v>0</v>
      </c>
      <c r="CP127" s="54">
        <f>SummaryTable[[#This Row],[BudgetIncreaseAmount16]]/SummaryTable[[#This Row],[OriginalBudget15]]</f>
        <v>0</v>
      </c>
      <c r="CQ127" s="61">
        <f>IF(COUNTIFS(allFYsTable[Code], SummaryTable[[#This Row],[Code]], allFYsTable[year2], CN$3)=0, NotFound, SUMIFS(allFYsTable[RevisedBudget], allFYsTable[Code], SummaryTable[[#This Row],[Code]], allFYsTable[year2], CN$3))</f>
        <v>4587</v>
      </c>
      <c r="CR127" s="61">
        <f>IF(COUNTIFS(allFYsTable[Code], SummaryTable[[#This Row],[Code]], allFYsTable[year2], CN$3)=0, NotFound, SUMIFS(allFYsTable[Actual], allFYsTable[Code], SummaryTable[[#This Row],[Code]], allFYsTable[year2], CN$3))</f>
        <v>4508</v>
      </c>
      <c r="CS127" s="61">
        <f>IF(COUNTIFS(allFYsTable[Code], SummaryTable[[#This Row],[Code]], allFYsTable[year2], CN$3)=0, NotFound, SUMIFS(allFYsTable[DiffAmount], allFYsTable[Code], SummaryTable[[#This Row],[Code]], allFYsTable[year2], CN$3))</f>
        <v>-2379</v>
      </c>
      <c r="CT127" s="63">
        <f>IF(SummaryTable[[#This Row],[OriginalBudget16]]=0, IF(SummaryTable[[#This Row],[DiffAmount16]]=0, ZeroBudgetNoSpending, ZeroBudgetWithSpending), SummaryTable[[#This Row],[DiffAmount16]]/SummaryTable[[#This Row],[OriginalBudget16]])</f>
        <v>-0.34543342529403226</v>
      </c>
      <c r="CU127" s="62">
        <f>IF(COUNTIFS(allFYsTable[Code], SummaryTable[[#This Row],[Code]], allFYsTable[year2], CU$3)=0, NotFound, SUMIFS(allFYsTable[OriginalBudget], allFYsTable[Code], SummaryTable[[#This Row],[Code]], allFYsTable[year2], CU$3))</f>
        <v>6887</v>
      </c>
      <c r="CV127" s="61">
        <f>SummaryTable[[#This Row],[OriginalBudget15]]-SummaryTable[[#This Row],[OriginalBudget14]]</f>
        <v>0</v>
      </c>
      <c r="CW127" s="54">
        <f>SummaryTable[[#This Row],[BudgetIncreaseAmount15]]/SummaryTable[[#This Row],[OriginalBudget14]]</f>
        <v>0</v>
      </c>
      <c r="CX127" s="61">
        <f>IF(COUNTIFS(allFYsTable[Code], SummaryTable[[#This Row],[Code]], allFYsTable[year2], CU$3)=0, NotFound, SUMIFS(allFYsTable[RevisedBudget], allFYsTable[Code], SummaryTable[[#This Row],[Code]], allFYsTable[year2], CU$3))</f>
        <v>5087</v>
      </c>
      <c r="CY127" s="61">
        <f>IF(COUNTIFS(allFYsTable[Code], SummaryTable[[#This Row],[Code]], allFYsTable[year2], CU$3)=0, NotFound, SUMIFS(allFYsTable[Actual], allFYsTable[Code], SummaryTable[[#This Row],[Code]], allFYsTable[year2], CU$3))</f>
        <v>5065</v>
      </c>
      <c r="CZ127" s="61">
        <f>IF(COUNTIFS(allFYsTable[Code], SummaryTable[[#This Row],[Code]], allFYsTable[year2], CU$3)=0, NotFound, SUMIFS(allFYsTable[DiffAmount], allFYsTable[Code], SummaryTable[[#This Row],[Code]], allFYsTable[year2], CU$3))</f>
        <v>-1822</v>
      </c>
      <c r="DA127" s="63">
        <f>IF(SummaryTable[[#This Row],[OriginalBudget15]]=0, IF(SummaryTable[[#This Row],[DiffAmount15]]=0, ZeroBudgetNoSpending, ZeroBudgetWithSpending), SummaryTable[[#This Row],[DiffAmount15]]/SummaryTable[[#This Row],[OriginalBudget15]])</f>
        <v>-0.26455641062872076</v>
      </c>
      <c r="DB127" s="62">
        <f>IF(COUNTIFS(allFYsTable[Code], SummaryTable[[#This Row],[Code]], allFYsTable[year2], DB$3)=0, NotFound, SUMIFS(allFYsTable[OriginalBudget], allFYsTable[Code], SummaryTable[[#This Row],[Code]], allFYsTable[year2], DB$3))</f>
        <v>6887</v>
      </c>
      <c r="DC127" s="61">
        <f>SummaryTable[[#This Row],[OriginalBudget14]]-SummaryTable[[#This Row],[OriginalBudget13]]</f>
        <v>375</v>
      </c>
      <c r="DD127" s="54">
        <f>SummaryTable[[#This Row],[BudgetIncreaseAmount14]]/SummaryTable[[#This Row],[OriginalBudget13]]</f>
        <v>5.7585995085995087E-2</v>
      </c>
      <c r="DE127" s="61">
        <f>IF(COUNTIFS(allFYsTable[Code], SummaryTable[[#This Row],[Code]], allFYsTable[year2], DB$3)=0, NotFound, SUMIFS(allFYsTable[RevisedBudget], allFYsTable[Code], SummaryTable[[#This Row],[Code]], allFYsTable[year2], DB$3))</f>
        <v>6887</v>
      </c>
      <c r="DF127" s="61">
        <f>IF(COUNTIFS(allFYsTable[Code], SummaryTable[[#This Row],[Code]], allFYsTable[year2], DB$3)=0, NotFound, SUMIFS(allFYsTable[Actual], allFYsTable[Code], SummaryTable[[#This Row],[Code]], allFYsTable[year2], DB$3))</f>
        <v>6620</v>
      </c>
      <c r="DG127" s="61">
        <f>IF(COUNTIFS(allFYsTable[Code], SummaryTable[[#This Row],[Code]], allFYsTable[year2], DB$3)=0, NotFound, SUMIFS(allFYsTable[DiffAmount], allFYsTable[Code], SummaryTable[[#This Row],[Code]], allFYsTable[year2], DB$3))</f>
        <v>-267</v>
      </c>
      <c r="DH127" s="63">
        <f>IF(SummaryTable[[#This Row],[OriginalBudget14]]=0, IF(SummaryTable[[#This Row],[DiffAmount14]]=0, ZeroBudgetNoSpending, ZeroBudgetWithSpending), SummaryTable[[#This Row],[DiffAmount14]]/SummaryTable[[#This Row],[OriginalBudget14]])</f>
        <v>-3.8768694642079278E-2</v>
      </c>
      <c r="DI127" s="62">
        <f>IF(COUNTIFS(allFYsTable[Code], SummaryTable[[#This Row],[Code]], allFYsTable[year2], DI$3)=0, NotFound, SUMIFS(allFYsTable[OriginalBudget], allFYsTable[Code], SummaryTable[[#This Row],[Code]], allFYsTable[year2], DI$3))</f>
        <v>6512</v>
      </c>
      <c r="DJ127" s="61">
        <f>SummaryTable[[#This Row],[OriginalBudget13]]-SummaryTable[[#This Row],[OriginalBudget12]]</f>
        <v>0</v>
      </c>
      <c r="DK127" s="54">
        <f>SummaryTable[[#This Row],[BudgetIncreaseAmount13]]/SummaryTable[[#This Row],[OriginalBudget12]]</f>
        <v>0</v>
      </c>
      <c r="DL127" s="61">
        <f>IF(COUNTIFS(allFYsTable[Code], SummaryTable[[#This Row],[Code]], allFYsTable[year2], DI$3)=0, NotFound, SUMIFS(allFYsTable[RevisedBudget], allFYsTable[Code], SummaryTable[[#This Row],[Code]], allFYsTable[year2], DI$3))</f>
        <v>7668</v>
      </c>
      <c r="DM127" s="61">
        <f>IF(COUNTIFS(allFYsTable[Code], SummaryTable[[#This Row],[Code]], allFYsTable[year2], DI$3)=0, NotFound, SUMIFS(allFYsTable[Actual], allFYsTable[Code], SummaryTable[[#This Row],[Code]], allFYsTable[year2], DI$3))</f>
        <v>7668</v>
      </c>
      <c r="DN127" s="61">
        <f>IF(COUNTIFS(allFYsTable[Code], SummaryTable[[#This Row],[Code]], allFYsTable[year2], DI$3)=0, NotFound, SUMIFS(allFYsTable[DiffAmount], allFYsTable[Code], SummaryTable[[#This Row],[Code]], allFYsTable[year2], DI$3))</f>
        <v>1156</v>
      </c>
      <c r="DO127" s="63">
        <f>IF(SummaryTable[[#This Row],[OriginalBudget13]]=0, IF(SummaryTable[[#This Row],[DiffAmount13]]=0, ZeroBudgetNoSpending, ZeroBudgetWithSpending), SummaryTable[[#This Row],[DiffAmount13]]/SummaryTable[[#This Row],[OriginalBudget13]])</f>
        <v>0.17751842751842753</v>
      </c>
      <c r="DP127" s="62">
        <f>IF(COUNTIFS(allFYsTable[Code], SummaryTable[[#This Row],[Code]], allFYsTable[year2], DP$3)=0, NotFound, SUMIFS(allFYsTable[OriginalBudget], allFYsTable[Code], SummaryTable[[#This Row],[Code]], allFYsTable[year2], DP$3))</f>
        <v>6512</v>
      </c>
      <c r="DQ127" s="61">
        <f>SummaryTable[[#This Row],[OriginalBudget12]]-SummaryTable[[#This Row],[OriginalBudget11]]</f>
        <v>-12000</v>
      </c>
      <c r="DR127" s="54">
        <f>SummaryTable[[#This Row],[BudgetIncreaseAmount12]]/SummaryTable[[#This Row],[OriginalBudget11]]</f>
        <v>-0.64822817631806395</v>
      </c>
      <c r="DS127" s="61">
        <f>IF(COUNTIFS(allFYsTable[Code], SummaryTable[[#This Row],[Code]], allFYsTable[year2], DP$3)=0, NotFound, SUMIFS(allFYsTable[RevisedBudget], allFYsTable[Code], SummaryTable[[#This Row],[Code]], allFYsTable[year2], DP$3))</f>
        <v>12212</v>
      </c>
      <c r="DT127" s="61">
        <f>IF(COUNTIFS(allFYsTable[Code], SummaryTable[[#This Row],[Code]], allFYsTable[year2], DP$3)=0, NotFound, SUMIFS(allFYsTable[Actual], allFYsTable[Code], SummaryTable[[#This Row],[Code]], allFYsTable[year2], DP$3))</f>
        <v>12203</v>
      </c>
      <c r="DU127" s="61">
        <f>IF(COUNTIFS(allFYsTable[Code], SummaryTable[[#This Row],[Code]], allFYsTable[year2], DP$3)=0, NotFound, SUMIFS(allFYsTable[DiffAmount], allFYsTable[Code], SummaryTable[[#This Row],[Code]], allFYsTable[year2], DP$3))</f>
        <v>5691</v>
      </c>
      <c r="DV127" s="63">
        <f>IF(SummaryTable[[#This Row],[OriginalBudget12]]=0, IF(SummaryTable[[#This Row],[DiffAmount12]]=0, ZeroBudgetNoSpending, ZeroBudgetWithSpending), SummaryTable[[#This Row],[DiffAmount12]]/SummaryTable[[#This Row],[OriginalBudget12]])</f>
        <v>0.87392506142506143</v>
      </c>
      <c r="DW127" s="62">
        <f>IF(COUNTIFS(allFYsTable[Code], SummaryTable[[#This Row],[Code]], allFYsTable[year2], DW$3)=0, NotFound, SUMIFS(allFYsTable[OriginalBudget], allFYsTable[Code], SummaryTable[[#This Row],[Code]], allFYsTable[year2], DW$3))</f>
        <v>18512</v>
      </c>
      <c r="DX127" s="61">
        <f>SummaryTable[[#This Row],[OriginalBudget11]]-SummaryTable[[#This Row],[OriginalBudget10]]</f>
        <v>7376</v>
      </c>
      <c r="DY127" s="54">
        <f>SummaryTable[[#This Row],[BudgetIncreaseAmount11]]/SummaryTable[[#This Row],[OriginalBudget10]]</f>
        <v>0.66235632183908044</v>
      </c>
      <c r="DZ127" s="61">
        <f>IF(COUNTIFS(allFYsTable[Code], SummaryTable[[#This Row],[Code]], allFYsTable[year2], DW$3)=0, NotFound, SUMIFS(allFYsTable[RevisedBudget], allFYsTable[Code], SummaryTable[[#This Row],[Code]], allFYsTable[year2], DW$3))</f>
        <v>18512</v>
      </c>
      <c r="EA127" s="61">
        <f>IF(COUNTIFS(allFYsTable[Code], SummaryTable[[#This Row],[Code]], allFYsTable[year2], DW$3)=0, NotFound, SUMIFS(allFYsTable[Actual], allFYsTable[Code], SummaryTable[[#This Row],[Code]], allFYsTable[year2], DW$3))</f>
        <v>16325</v>
      </c>
      <c r="EB127" s="61">
        <f>IF(COUNTIFS(allFYsTable[Code], SummaryTable[[#This Row],[Code]], allFYsTable[year2], DW$3)=0, NotFound, SUMIFS(allFYsTable[DiffAmount], allFYsTable[Code], SummaryTable[[#This Row],[Code]], allFYsTable[year2], DW$3))</f>
        <v>-2187</v>
      </c>
      <c r="EC127" s="63">
        <f>IF(SummaryTable[[#This Row],[OriginalBudget11]]=0, IF(SummaryTable[[#This Row],[DiffAmount11]]=0, ZeroBudgetNoSpending, ZeroBudgetWithSpending), SummaryTable[[#This Row],[DiffAmount11]]/SummaryTable[[#This Row],[OriginalBudget11]])</f>
        <v>-0.11813958513396716</v>
      </c>
      <c r="ED127" s="62">
        <f>IF(COUNTIFS(allFYsTable[Code], SummaryTable[[#This Row],[Code]], allFYsTable[year2], ED$3)=0, NotFound, SUMIFS(allFYsTable[OriginalBudget], allFYsTable[Code], SummaryTable[[#This Row],[Code]], allFYsTable[year2], ED$3))</f>
        <v>11136</v>
      </c>
      <c r="EE127" s="61">
        <f>SummaryTable[[#This Row],[OriginalBudget10]]-SummaryTable[[#This Row],[OriginalBudget09]]</f>
        <v>5636</v>
      </c>
      <c r="EF127" s="54">
        <f>SummaryTable[[#This Row],[BudgetIncreaseAmount10]]/SummaryTable[[#This Row],[OriginalBudget09]]</f>
        <v>1.0247272727272727</v>
      </c>
      <c r="EG127" s="61">
        <f>IF(COUNTIFS(allFYsTable[Code], SummaryTable[[#This Row],[Code]], allFYsTable[year2], ED$3)=0, NotFound, SUMIFS(allFYsTable[RevisedBudget], allFYsTable[Code], SummaryTable[[#This Row],[Code]], allFYsTable[year2], ED$3))</f>
        <v>17231</v>
      </c>
      <c r="EH127" s="61">
        <f>IF(COUNTIFS(allFYsTable[Code], SummaryTable[[#This Row],[Code]], allFYsTable[year2], ED$3)=0, NotFound, SUMIFS(allFYsTable[Actual], allFYsTable[Code], SummaryTable[[#This Row],[Code]], allFYsTable[year2], ED$3))</f>
        <v>17231</v>
      </c>
      <c r="EI127" s="61">
        <f>IF(COUNTIFS(allFYsTable[Code], SummaryTable[[#This Row],[Code]], allFYsTable[year2], ED$3)=0, NotFound, SUMIFS(allFYsTable[DiffAmount], allFYsTable[Code], SummaryTable[[#This Row],[Code]], allFYsTable[year2], ED$3))</f>
        <v>6095</v>
      </c>
      <c r="EJ127" s="63">
        <f>IF(SummaryTable[[#This Row],[OriginalBudget10]]=0, IF(SummaryTable[[#This Row],[DiffAmount10]]=0, ZeroBudgetNoSpending, ZeroBudgetWithSpending), SummaryTable[[#This Row],[DiffAmount10]]/SummaryTable[[#This Row],[OriginalBudget10]])</f>
        <v>0.54732399425287359</v>
      </c>
      <c r="EK127" s="62">
        <f>IF(COUNTIFS(allFYsTable[Code], SummaryTable[[#This Row],[Code]], allFYsTable[year2], EK$3)=0, NotFound, SUMIFS(allFYsTable[OriginalBudget], allFYsTable[Code], SummaryTable[[#This Row],[Code]], allFYsTable[year2], EK$3))</f>
        <v>5500</v>
      </c>
      <c r="EL127" s="61">
        <f>SummaryTable[[#This Row],[OriginalBudget09]]-SummaryTable[[#This Row],[OriginalBudget08]]</f>
        <v>-300</v>
      </c>
      <c r="EM127" s="54">
        <f>SummaryTable[[#This Row],[BudgetIncreaseAmount09]]/SummaryTable[[#This Row],[OriginalBudget08]]</f>
        <v>-5.1724137931034482E-2</v>
      </c>
      <c r="EN127" s="61">
        <f>IF(COUNTIFS(allFYsTable[Code], SummaryTable[[#This Row],[Code]], allFYsTable[year2], EK$3)=0, NotFound, SUMIFS(allFYsTable[RevisedBudget], allFYsTable[Code], SummaryTable[[#This Row],[Code]], allFYsTable[year2], EK$3))</f>
        <v>13929</v>
      </c>
      <c r="EO127" s="61">
        <f>IF(COUNTIFS(allFYsTable[Code], SummaryTable[[#This Row],[Code]], allFYsTable[year2], EK$3)=0, NotFound, SUMIFS(allFYsTable[Actual], allFYsTable[Code], SummaryTable[[#This Row],[Code]], allFYsTable[year2], EK$3))</f>
        <v>13929</v>
      </c>
      <c r="EP127" s="61">
        <f>IF(COUNTIFS(allFYsTable[Code], SummaryTable[[#This Row],[Code]], allFYsTable[year2], EK$3)=0, NotFound, SUMIFS(allFYsTable[DiffAmount], allFYsTable[Code], SummaryTable[[#This Row],[Code]], allFYsTable[year2], EK$3))</f>
        <v>8429</v>
      </c>
      <c r="EQ127" s="63">
        <f>IF(SummaryTable[[#This Row],[OriginalBudget09]]=0, IF(SummaryTable[[#This Row],[DiffAmount09]]=0, ZeroBudgetNoSpending, ZeroBudgetWithSpending), SummaryTable[[#This Row],[DiffAmount09]]/SummaryTable[[#This Row],[OriginalBudget09]])</f>
        <v>1.5325454545454547</v>
      </c>
      <c r="ER127" s="62">
        <f>IF(COUNTIFS(allFYsTable[Code], SummaryTable[[#This Row],[Code]], allFYsTable[year2], ER$3)=0, NotFound, SUMIFS(allFYsTable[OriginalBudget], allFYsTable[Code], SummaryTable[[#This Row],[Code]], allFYsTable[year2], ER$3))</f>
        <v>5800</v>
      </c>
      <c r="ES127" s="61">
        <f>SummaryTable[[#This Row],[OriginalBudget08]]-SummaryTable[[#This Row],[OriginalBudget07]]</f>
        <v>0</v>
      </c>
      <c r="ET127" s="54">
        <f>SummaryTable[[#This Row],[BudgetIncreaseAmount08]]/SummaryTable[[#This Row],[OriginalBudget07]]</f>
        <v>0</v>
      </c>
      <c r="EU127" s="61">
        <f>IF(COUNTIFS(allFYsTable[Code], SummaryTable[[#This Row],[Code]], allFYsTable[year2], ER$3)=0, NotFound, SUMIFS(allFYsTable[RevisedBudget], allFYsTable[Code], SummaryTable[[#This Row],[Code]], allFYsTable[year2], ER$3))</f>
        <v>6459</v>
      </c>
      <c r="EV127" s="61">
        <f>IF(COUNTIFS(allFYsTable[Code], SummaryTable[[#This Row],[Code]], allFYsTable[year2], ER$3)=0, NotFound, SUMIFS(allFYsTable[Actual], allFYsTable[Code], SummaryTable[[#This Row],[Code]], allFYsTable[year2], ER$3))</f>
        <v>6459</v>
      </c>
      <c r="EW127" s="61">
        <f>IF(COUNTIFS(allFYsTable[Code], SummaryTable[[#This Row],[Code]], allFYsTable[year2], ER$3)=0, NotFound, SUMIFS(allFYsTable[DiffAmount], allFYsTable[Code], SummaryTable[[#This Row],[Code]], allFYsTable[year2], ER$3))</f>
        <v>659</v>
      </c>
      <c r="EX127" s="63">
        <f>IF(SummaryTable[[#This Row],[OriginalBudget08]]=0, IF(SummaryTable[[#This Row],[DiffAmount08]]=0, ZeroBudgetNoSpending, ZeroBudgetWithSpending), SummaryTable[[#This Row],[DiffAmount08]]/SummaryTable[[#This Row],[OriginalBudget08]])</f>
        <v>0.11362068965517241</v>
      </c>
      <c r="EY127" s="62">
        <f>IF(COUNTIFS(allFYsTable[Code], SummaryTable[[#This Row],[Code]], allFYsTable[year2], EY$3)=0, NotFound, SUMIFS(allFYsTable[OriginalBudget], allFYsTable[Code], SummaryTable[[#This Row],[Code]], allFYsTable[year2], EY$3))</f>
        <v>5800</v>
      </c>
      <c r="EZ127" s="61">
        <f>SummaryTable[[#This Row],[OriginalBudget07]]-SummaryTable[[#This Row],[OriginalBudget06]]</f>
        <v>-1325</v>
      </c>
      <c r="FA127" s="54">
        <f>SummaryTable[[#This Row],[BudgetIncreaseAmount07]]/SummaryTable[[#This Row],[OriginalBudget06]]</f>
        <v>-0.18596491228070175</v>
      </c>
      <c r="FB127" s="61">
        <f>IF(COUNTIFS(allFYsTable[Code], SummaryTable[[#This Row],[Code]], allFYsTable[year2], EY$3)=0, NotFound, SUMIFS(allFYsTable[RevisedBudget], allFYsTable[Code], SummaryTable[[#This Row],[Code]], allFYsTable[year2], EY$3))</f>
        <v>5800</v>
      </c>
      <c r="FC127" s="61">
        <f>IF(COUNTIFS(allFYsTable[Code], SummaryTable[[#This Row],[Code]], allFYsTable[year2], EY$3)=0, NotFound, SUMIFS(allFYsTable[Actual], allFYsTable[Code], SummaryTable[[#This Row],[Code]], allFYsTable[year2], EY$3))</f>
        <v>5250</v>
      </c>
      <c r="FD127" s="61">
        <f>IF(COUNTIFS(allFYsTable[Code], SummaryTable[[#This Row],[Code]], allFYsTable[year2], EY$3)=0, NotFound, SUMIFS(allFYsTable[DiffAmount], allFYsTable[Code], SummaryTable[[#This Row],[Code]], allFYsTable[year2], EY$3))</f>
        <v>-550</v>
      </c>
      <c r="FE127" s="63">
        <f>IF(SummaryTable[[#This Row],[OriginalBudget07]]=0, IF(SummaryTable[[#This Row],[DiffAmount07]]=0, ZeroBudgetNoSpending, ZeroBudgetWithSpending), SummaryTable[[#This Row],[DiffAmount07]]/SummaryTable[[#This Row],[OriginalBudget07]])</f>
        <v>-9.4827586206896547E-2</v>
      </c>
      <c r="FF127" s="62">
        <f>IF(COUNTIFS(allFYsTable[Code], SummaryTable[[#This Row],[Code]], allFYsTable[year2], FF$3)=0, NotFound, SUMIFS(allFYsTable[OriginalBudget], allFYsTable[Code], SummaryTable[[#This Row],[Code]], allFYsTable[year2], FF$3))</f>
        <v>7125</v>
      </c>
      <c r="FI127" s="61">
        <f>IF(COUNTIFS(allFYsTable[Code], SummaryTable[[#This Row],[Code]], allFYsTable[year2], FF$3)=0, NotFound, SUMIFS(allFYsTable[RevisedBudget], allFYsTable[Code], SummaryTable[[#This Row],[Code]], allFYsTable[year2], FF$3))</f>
        <v>6349</v>
      </c>
      <c r="FJ127" s="61">
        <f>IF(COUNTIFS(allFYsTable[Code], SummaryTable[[#This Row],[Code]], allFYsTable[year2], FF$3)=0, NotFound, SUMIFS(allFYsTable[Actual], allFYsTable[Code], SummaryTable[[#This Row],[Code]], allFYsTable[year2], FF$3))</f>
        <v>5056</v>
      </c>
      <c r="FK127" s="61">
        <f>IF(COUNTIFS(allFYsTable[Code], SummaryTable[[#This Row],[Code]], allFYsTable[year2], FF$3)=0, NotFound, SUMIFS(allFYsTable[DiffAmount], allFYsTable[Code], SummaryTable[[#This Row],[Code]], allFYsTable[year2], FF$3))</f>
        <v>-2069</v>
      </c>
      <c r="FL127" s="63">
        <f>IF(SummaryTable[[#This Row],[OriginalBudget06]]=0, IF(SummaryTable[[#This Row],[DiffAmount06]]=0, ZeroBudgetNoSpending, ZeroBudgetWithSpending), SummaryTable[[#This Row],[DiffAmount06]]/SummaryTable[[#This Row],[OriginalBudget06]])</f>
        <v>-0.29038596491228069</v>
      </c>
    </row>
    <row r="128" spans="1:168" x14ac:dyDescent="0.45">
      <c r="A128" t="s">
        <v>733</v>
      </c>
      <c r="B128">
        <f>_xlfn.MAXIFS(allFYsTable[year2], allFYsTable[Code], SummaryTable[[#This Row],[Code]])</f>
        <v>2025</v>
      </c>
      <c r="C128" t="str">
        <f>_xlfn.XLOOKUP(SummaryTable[[#This Row],[Code]], NameCodingTable[Code], NameCodingTable[Most Recent Category per allFYs])</f>
        <v>Governmental direction and support</v>
      </c>
      <c r="D128" t="str">
        <f>_xlfn.XLOOKUP(SummaryTable[[#This Row],[Code]], NameCodingTable[Code], NameCodingTable[Unit Display Name])</f>
        <v>Uniform Law Commission</v>
      </c>
      <c r="E128" t="str">
        <f>_xlfn.XLOOKUP(SummaryTable[[#This Row],[Code]], NameCodingTable[Code], NameCodingTable[Type])</f>
        <v>agency</v>
      </c>
      <c r="F12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12</v>
      </c>
      <c r="G12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28" s="54">
        <f>SummaryTable[[#This Row],['# Over]]/SummaryTable[[#This Row],[Count]]</f>
        <v>8.3333333333333329E-2</v>
      </c>
      <c r="I12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11</v>
      </c>
      <c r="J128" s="54">
        <f>SummaryTable[[#This Row],['# Under]]/SummaryTable[[#This Row],[Count]]</f>
        <v>0.91666666666666663</v>
      </c>
      <c r="K12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28" s="54">
        <f>SummaryTable[[#This Row],['# Equal]]/SummaryTable[[#This Row],[Count]]</f>
        <v>0</v>
      </c>
      <c r="M128" s="61">
        <f>SUMIFS(allFYsTable[OriginalBudget],allFYsTable[Code],SummaryTable[[#This Row],[Code]])/SummaryTable[[#This Row],[Count]]</f>
        <v>56.75</v>
      </c>
      <c r="N128" s="61">
        <f>SUMIFS(allFYsTable[Actual],allFYsTable[Code],SummaryTable[[#This Row],[Code]])/SummaryTable[[#This Row],[Count]]</f>
        <v>49.083333333333336</v>
      </c>
      <c r="O128" s="61">
        <f>SummaryTable[[#This Row],[AvgActAmt]]-SummaryTable[[#This Row],[AvgBudAmt]]</f>
        <v>-7.6666666666666643</v>
      </c>
      <c r="P128" s="54">
        <f>IF(SummaryTable[[#This Row],[AvgBudAmt]]=0, IF(SummaryTable[[#This Row],[AvgDiff'#]]=0, 0, NamedFields!$C$3), SummaryTable[[#This Row],[AvgDiff'#]]/SummaryTable[[#This Row],[AvgBudAmt]])</f>
        <v>-0.13509544787077823</v>
      </c>
      <c r="Q128" s="61">
        <f>IFERROR(SUMIFS(allFYsTable[OriginalBudget],allFYsTable[Code],SummaryTable[[#This Row],[Code]],allFYsTable[DiffAmount], "&gt;0")/SummaryTable[[#This Row],['# Over]], 0)</f>
        <v>60</v>
      </c>
      <c r="R128" s="61">
        <f>IFERROR(SUMIFS(allFYsTable[Actual],allFYsTable[Code],SummaryTable[[#This Row],[Code]],allFYsTable[DiffAmount], "&gt;0")/SummaryTable[[#This Row],['# Over]], 0)</f>
        <v>70</v>
      </c>
      <c r="S128" s="61">
        <f>SummaryTable[[#This Row],[OverAvgAct]]-SummaryTable[[#This Row],[OverAvgBud]]</f>
        <v>10</v>
      </c>
      <c r="T128" s="54">
        <f>IF(SummaryTable[[#This Row],[OverAvgBud]]=0, IF(SummaryTable[[#This Row],[OverAvgDiff'#]]=0, ZeroBudgetNoSpending, ZeroBudgetWithSpending), SummaryTable[[#This Row],[OverAvgDiff'#]]/SummaryTable[[#This Row],[OverAvgBud]])</f>
        <v>0.16666666666666666</v>
      </c>
      <c r="U128" s="61">
        <f>IFERROR(SUMIFS(allFYsTable[OriginalBudget],allFYsTable[Code],SummaryTable[[#This Row],[Code]],allFYsTable[DiffAmount], "&lt;0")/SummaryTable[[#This Row],['# Under]], 0)</f>
        <v>56.454545454545453</v>
      </c>
      <c r="V128" s="61">
        <f>IFERROR( SUMIFS(allFYsTable[Actual],allFYsTable[Code],SummaryTable[[#This Row],[Code]],allFYsTable[DiffAmount], "&lt;0")/SummaryTable[[#This Row],['# Under]], 0)</f>
        <v>47.18181818181818</v>
      </c>
      <c r="W128" s="61">
        <f>SummaryTable[[#This Row],[UnderAvgAct]]-SummaryTable[[#This Row],[UnderAvgBud]]</f>
        <v>-9.2727272727272734</v>
      </c>
      <c r="X128" s="54">
        <f>IF(SummaryTable[[#This Row],[UnderAvgBud]]=0, IF(SummaryTable[[#This Row],[UnderAvgDiff'#]]=0, ZeroBudgetNoSpending, NamedFields!$C$3), SummaryTable[[#This Row],[UnderAvgDiff'#]]/SummaryTable[[#This Row],[UnderAvgBud]])</f>
        <v>-0.16425120772946861</v>
      </c>
      <c r="Y12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2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28" s="54">
        <f>IF(SummaryTable[[#This Row],[IncreaseYears]]=0, ZeroBudgetNoSpending, SummaryTable[[#This Row],[OSinIncreaseYear'#]]/SummaryTable[[#This Row],[IncreaseYears]])</f>
        <v>0</v>
      </c>
      <c r="AB128" s="58" t="str">
        <f>SummaryTable[[#This Row],[Code]]</f>
        <v>AL0</v>
      </c>
      <c r="AC128" s="62">
        <f>IF(COUNTIFS(allFYsTable[Code], SummaryTable[[#This Row],[Code]], allFYsTable[year2], AC$3)=0, NotFound, SUMIFS(allFYsTable[OriginalBudget], allFYsTable[Code], SummaryTable[[#This Row],[Code]], allFYsTable[year2], AC$3))</f>
        <v>65</v>
      </c>
      <c r="AD128" s="61">
        <f>SummaryTable[[#This Row],[OriginalBudget25]]-SummaryTable[[#This Row],[OriginalBudget24]]</f>
        <v>0</v>
      </c>
      <c r="AE128" s="54">
        <f>SummaryTable[[#This Row],[BudgetIncreaseAmount25]]/SummaryTable[[#This Row],[OriginalBudget24]]</f>
        <v>0</v>
      </c>
      <c r="AF128" s="61">
        <f>IF(COUNTIFS(allFYsTable[Code], SummaryTable[[#This Row],[Code]], allFYsTable[year2], AC$3)=0, NotFound, SUMIFS(allFYsTable[RevisedBudget], allFYsTable[Code], SummaryTable[[#This Row],[Code]], allFYsTable[year2], AC$3))</f>
        <v>65</v>
      </c>
      <c r="AG128" s="61">
        <f>IF(COUNTIFS(allFYsTable[Code], SummaryTable[[#This Row],[Code]], allFYsTable[year2], AC$3)=0, NotFound, SUMIFS(allFYsTable[Actual], allFYsTable[Code], SummaryTable[[#This Row],[Code]], allFYsTable[year2], AC$3))</f>
        <v>58</v>
      </c>
      <c r="AH128" s="61">
        <f>IF(COUNTIFS(allFYsTable[Code], SummaryTable[[#This Row],[Code]], allFYsTable[year2], AC$3)=0, NotFound, SUMIFS(allFYsTable[DiffAmount], allFYsTable[Code], SummaryTable[[#This Row],[Code]], allFYsTable[year2], AC$3))</f>
        <v>-7</v>
      </c>
      <c r="AI128" s="63">
        <f>IF(SummaryTable[[#This Row],[OriginalBudget25]]=0, IF(SummaryTable[[#This Row],[DiffAmount25]]=0, ZeroBudgetNoSpending, ZeroBudgetWithSpending), SummaryTable[[#This Row],[DiffAmount25]]/SummaryTable[[#This Row],[OriginalBudget25]])</f>
        <v>-0.1076923076923077</v>
      </c>
      <c r="AJ128" s="62">
        <f>IF(COUNTIFS(allFYsTable[Code], SummaryTable[[#This Row],[Code]], allFYsTable[year2], AJ$3)=0, NotFound, SUMIFS(allFYsTable[OriginalBudget], allFYsTable[Code], SummaryTable[[#This Row],[Code]], allFYsTable[year2], AJ$3))</f>
        <v>65</v>
      </c>
      <c r="AK128" s="61">
        <f>SummaryTable[[#This Row],[OriginalBudget24]]-SummaryTable[[#This Row],[OriginalBudget23]]</f>
        <v>5</v>
      </c>
      <c r="AL128" s="54">
        <f>SummaryTable[[#This Row],[BudgetIncreaseAmount24]]/SummaryTable[[#This Row],[OriginalBudget23]]</f>
        <v>8.3333333333333329E-2</v>
      </c>
      <c r="AM128" s="61">
        <f>IF(COUNTIFS(allFYsTable[Code], SummaryTable[[#This Row],[Code]], allFYsTable[year2], AK$3)=0, NotFound, SUMIFS(allFYsTable[RevisedBudget], allFYsTable[Code], SummaryTable[[#This Row],[Code]], allFYsTable[year2], AJ$3))</f>
        <v>65</v>
      </c>
      <c r="AN128" s="61">
        <f>IF(COUNTIFS(allFYsTable[Code], SummaryTable[[#This Row],[Code]], allFYsTable[year2], AJ$3)=0, NotFound, SUMIFS(allFYsTable[Actual], allFYsTable[Code], SummaryTable[[#This Row],[Code]], allFYsTable[year2], AJ$3))</f>
        <v>54</v>
      </c>
      <c r="AO128" s="61">
        <f>IF(COUNTIFS(allFYsTable[Code], SummaryTable[[#This Row],[Code]], allFYsTable[year2], AJ$3)=0, NotFound, SUMIFS(allFYsTable[DiffAmount], allFYsTable[Code], SummaryTable[[#This Row],[Code]], allFYsTable[year2], AJ$3))</f>
        <v>-11</v>
      </c>
      <c r="AP128" s="63">
        <f>IF(SummaryTable[[#This Row],[OriginalBudget24]]=0, IF(SummaryTable[[#This Row],[DiffAmount24]]=0, ZeroBudgetNoSpending, ZeroBudgetWithSpending), SummaryTable[[#This Row],[DiffAmount24]]/SummaryTable[[#This Row],[OriginalBudget24]])</f>
        <v>-0.16923076923076924</v>
      </c>
      <c r="AQ128" s="62">
        <f>IF(COUNTIFS(allFYsTable[Code], SummaryTable[[#This Row],[Code]], allFYsTable[year2], AQ$3)=0, NotFound, SUMIFS(allFYsTable[OriginalBudget], allFYsTable[Code], SummaryTable[[#This Row],[Code]], allFYsTable[year2], AQ$3))</f>
        <v>60</v>
      </c>
      <c r="AR128" s="61">
        <f>SummaryTable[[#This Row],[OriginalBudget23]]-SummaryTable[[#This Row],[OriginalBudget22]]</f>
        <v>0</v>
      </c>
      <c r="AS128" s="54">
        <f>SummaryTable[[#This Row],[BudgetIncreaseAmount23]]/SummaryTable[[#This Row],[OriginalBudget22]]</f>
        <v>0</v>
      </c>
      <c r="AT128" s="61">
        <f>IF(COUNTIFS(allFYsTable[Code], SummaryTable[[#This Row],[Code]], allFYsTable[year2], AQ$3)=0, NotFound, SUMIFS(allFYsTable[RevisedBudget], allFYsTable[Code], SummaryTable[[#This Row],[Code]], allFYsTable[year2], AQ$3))</f>
        <v>80</v>
      </c>
      <c r="AU128" s="61">
        <f>IF(COUNTIFS(allFYsTable[Code], SummaryTable[[#This Row],[Code]], allFYsTable[year2], AQ$3)=0, NotFound, SUMIFS(allFYsTable[Actual], allFYsTable[Code], SummaryTable[[#This Row],[Code]], allFYsTable[year2], AQ$3))</f>
        <v>70</v>
      </c>
      <c r="AV128" s="61">
        <f>IF(COUNTIFS(allFYsTable[Code], SummaryTable[[#This Row],[Code]], allFYsTable[year2], AQ$3)=0, NotFound, SUMIFS(allFYsTable[DiffAmount], allFYsTable[Code], SummaryTable[[#This Row],[Code]], allFYsTable[year2], AQ$3))</f>
        <v>10</v>
      </c>
      <c r="AW128" s="63">
        <f>IF(SummaryTable[[#This Row],[OriginalBudget23]]=0, IF(SummaryTable[[#This Row],[DiffAmount23]]=0, ZeroBudgetNoSpending, ZeroBudgetWithSpending), SummaryTable[[#This Row],[DiffAmount23]]/SummaryTable[[#This Row],[OriginalBudget23]])</f>
        <v>0.16666666666666666</v>
      </c>
      <c r="AX128" s="62">
        <f>IF(COUNTIFS(allFYsTable[Code], SummaryTable[[#This Row],[Code]], allFYsTable[year2], AX$3)=0, NotFound, SUMIFS(allFYsTable[OriginalBudget], allFYsTable[Code], SummaryTable[[#This Row],[Code]], allFYsTable[year2], AX$3))</f>
        <v>60</v>
      </c>
      <c r="AY128" s="61">
        <f>SummaryTable[[#This Row],[OriginalBudget22]]-SummaryTable[[#This Row],[OriginalBudget21]]</f>
        <v>0</v>
      </c>
      <c r="AZ128" s="54">
        <f>SummaryTable[[#This Row],[BudgetIncreaseAmount22]]/SummaryTable[[#This Row],[OriginalBudget21]]</f>
        <v>0</v>
      </c>
      <c r="BA128" s="61">
        <f>IF(COUNTIFS(allFYsTable[Code], SummaryTable[[#This Row],[Code]], allFYsTable[year2], AX$3)=0, NotFound, SUMIFS(allFYsTable[RevisedBudget], allFYsTable[Code], SummaryTable[[#This Row],[Code]], allFYsTable[year2], AX$3))</f>
        <v>60</v>
      </c>
      <c r="BB128" s="61">
        <f>IF(COUNTIFS(allFYsTable[Code], SummaryTable[[#This Row],[Code]], allFYsTable[year2], AX$3)=0, NotFound, SUMIFS(allFYsTable[Actual], allFYsTable[Code], SummaryTable[[#This Row],[Code]], allFYsTable[year2], AX$3))</f>
        <v>58</v>
      </c>
      <c r="BC128" s="61">
        <f>IF(COUNTIFS(allFYsTable[Code], SummaryTable[[#This Row],[Code]], allFYsTable[year2], AX$3)=0, NotFound, SUMIFS(allFYsTable[DiffAmount], allFYsTable[Code], SummaryTable[[#This Row],[Code]], allFYsTable[year2], AX$3))</f>
        <v>-2</v>
      </c>
      <c r="BD128" s="63">
        <f>IF(SummaryTable[[#This Row],[OriginalBudget22]]=0, IF(SummaryTable[[#This Row],[DiffAmount22]]=0, ZeroBudgetNoSpending, ZeroBudgetWithSpending), SummaryTable[[#This Row],[DiffAmount22]]/SummaryTable[[#This Row],[OriginalBudget22]])</f>
        <v>-3.3333333333333333E-2</v>
      </c>
      <c r="BE128" s="62">
        <f>IF(COUNTIFS(allFYsTable[Code], SummaryTable[[#This Row],[Code]], allFYsTable[year2], BE$3)=0, NotFound, SUMIFS(allFYsTable[OriginalBudget], allFYsTable[Code], SummaryTable[[#This Row],[Code]], allFYsTable[year2], BE$3))</f>
        <v>60</v>
      </c>
      <c r="BF128" s="61">
        <f>SummaryTable[[#This Row],[OriginalBudget21]]-SummaryTable[[#This Row],[OriginalBudget20]]</f>
        <v>0</v>
      </c>
      <c r="BG128" s="54">
        <f>SummaryTable[[#This Row],[BudgetIncreaseAmount21]]/SummaryTable[[#This Row],[OriginalBudget20]]</f>
        <v>0</v>
      </c>
      <c r="BH128" s="61">
        <f>IF(COUNTIFS(allFYsTable[Code], SummaryTable[[#This Row],[Code]], allFYsTable[year2], BE$3)=0, NotFound, SUMIFS(allFYsTable[RevisedBudget], allFYsTable[Code], SummaryTable[[#This Row],[Code]], allFYsTable[year2], BE$3))</f>
        <v>60</v>
      </c>
      <c r="BI128" s="61">
        <f>IF(COUNTIFS(allFYsTable[Code], SummaryTable[[#This Row],[Code]], allFYsTable[year2], BE$3)=0, NotFound, SUMIFS(allFYsTable[Actual], allFYsTable[Code], SummaryTable[[#This Row],[Code]], allFYsTable[year2], BE$3))</f>
        <v>42</v>
      </c>
      <c r="BJ128" s="61">
        <f>IF(COUNTIFS(allFYsTable[Code], SummaryTable[[#This Row],[Code]], allFYsTable[year2], BE$3)=0, NotFound, SUMIFS(allFYsTable[DiffAmount], allFYsTable[Code], SummaryTable[[#This Row],[Code]], allFYsTable[year2], BE$3))</f>
        <v>-18</v>
      </c>
      <c r="BK128" s="63">
        <f>IF(SummaryTable[[#This Row],[OriginalBudget21]]=0, IF(SummaryTable[[#This Row],[DiffAmount21]]=0, ZeroBudgetNoSpending, ZeroBudgetWithSpending), SummaryTable[[#This Row],[DiffAmount21]]/SummaryTable[[#This Row],[OriginalBudget21]])</f>
        <v>-0.3</v>
      </c>
      <c r="BL128" s="62">
        <f>IF(COUNTIFS(allFYsTable[Code], SummaryTable[[#This Row],[Code]], allFYsTable[year2], BL$3)=0, NotFound, SUMIFS(allFYsTable[OriginalBudget], allFYsTable[Code], SummaryTable[[#This Row],[Code]], allFYsTable[year2], BL$3))</f>
        <v>60</v>
      </c>
      <c r="BM128" s="61">
        <f>SummaryTable[[#This Row],[OriginalBudget20]]-SummaryTable[[#This Row],[OriginalBudget19]]</f>
        <v>0</v>
      </c>
      <c r="BN128" s="54">
        <f>SummaryTable[[#This Row],[BudgetIncreaseAmount20]]/SummaryTable[[#This Row],[OriginalBudget19]]</f>
        <v>0</v>
      </c>
      <c r="BO128" s="61">
        <f>IF(COUNTIFS(allFYsTable[Code], SummaryTable[[#This Row],[Code]], allFYsTable[year2], BL$3)=0, NotFound, SUMIFS(allFYsTable[RevisedBudget], allFYsTable[Code], SummaryTable[[#This Row],[Code]], allFYsTable[year2], BL$3))</f>
        <v>60</v>
      </c>
      <c r="BP128" s="61">
        <f>IF(COUNTIFS(allFYsTable[Code], SummaryTable[[#This Row],[Code]], allFYsTable[year2], BL$3)=0, NotFound, SUMIFS(allFYsTable[Actual], allFYsTable[Code], SummaryTable[[#This Row],[Code]], allFYsTable[year2], BL$3))</f>
        <v>37</v>
      </c>
      <c r="BQ128" s="61">
        <f>IF(COUNTIFS(allFYsTable[Code], SummaryTable[[#This Row],[Code]], allFYsTable[year2], BL$3)=0, NotFound, SUMIFS(allFYsTable[DiffAmount], allFYsTable[Code], SummaryTable[[#This Row],[Code]], allFYsTable[year2], BL$3))</f>
        <v>-23</v>
      </c>
      <c r="BR128" s="63">
        <f>IF(SummaryTable[[#This Row],[OriginalBudget20]]=0, IF(SummaryTable[[#This Row],[DiffAmount20]]=0, ZeroBudgetNoSpending, ZeroBudgetWithSpending), SummaryTable[[#This Row],[DiffAmount20]]/SummaryTable[[#This Row],[OriginalBudget20]])</f>
        <v>-0.38333333333333336</v>
      </c>
      <c r="BS128" s="62">
        <f>IF(COUNTIFS(allFYsTable[Code], SummaryTable[[#This Row],[Code]], allFYsTable[year2], BS$3)=0, NotFound, SUMIFS(allFYsTable[OriginalBudget], allFYsTable[Code], SummaryTable[[#This Row],[Code]], allFYsTable[year2], BS$3))</f>
        <v>60</v>
      </c>
      <c r="BT128" s="61">
        <f>SummaryTable[[#This Row],[OriginalBudget19]]-SummaryTable[[#This Row],[OriginalBudget18]]</f>
        <v>9</v>
      </c>
      <c r="BU128" s="54">
        <f>SummaryTable[[#This Row],[BudgetIncreaseAmount19]]/SummaryTable[[#This Row],[OriginalBudget18]]</f>
        <v>0.17647058823529413</v>
      </c>
      <c r="BV128" s="61">
        <f>IF(COUNTIFS(allFYsTable[Code], SummaryTable[[#This Row],[Code]], allFYsTable[year2], BS$3)=0, NotFound, SUMIFS(allFYsTable[RevisedBudget], allFYsTable[Code], SummaryTable[[#This Row],[Code]], allFYsTable[year2], BS$3))</f>
        <v>60</v>
      </c>
      <c r="BW128" s="61">
        <f>IF(COUNTIFS(allFYsTable[Code], SummaryTable[[#This Row],[Code]], allFYsTable[year2], BS$3)=0, NotFound, SUMIFS(allFYsTable[Actual], allFYsTable[Code], SummaryTable[[#This Row],[Code]], allFYsTable[year2], BS$3))</f>
        <v>52</v>
      </c>
      <c r="BX128" s="61">
        <f>IF(COUNTIFS(allFYsTable[Code], SummaryTable[[#This Row],[Code]], allFYsTable[year2], BS$3)=0, NotFound, SUMIFS(allFYsTable[DiffAmount], allFYsTable[Code], SummaryTable[[#This Row],[Code]], allFYsTable[year2], BS$3))</f>
        <v>-8</v>
      </c>
      <c r="BY128" s="63">
        <f>IF(SummaryTable[[#This Row],[OriginalBudget19]]=0, IF(SummaryTable[[#This Row],[DiffAmount19]]=0, ZeroBudgetNoSpending, ZeroBudgetWithSpending), SummaryTable[[#This Row],[DiffAmount19]]/SummaryTable[[#This Row],[OriginalBudget19]])</f>
        <v>-0.13333333333333333</v>
      </c>
      <c r="BZ128" s="62">
        <f>IF(COUNTIFS(allFYsTable[Code], SummaryTable[[#This Row],[Code]], allFYsTable[year2], BZ$3)=0, NotFound, SUMIFS(allFYsTable[OriginalBudget], allFYsTable[Code], SummaryTable[[#This Row],[Code]], allFYsTable[year2], BZ$3))</f>
        <v>51</v>
      </c>
      <c r="CA128" s="61">
        <f>SummaryTable[[#This Row],[OriginalBudget18]]-SummaryTable[[#This Row],[OriginalBudget17]]</f>
        <v>1</v>
      </c>
      <c r="CB128" s="54">
        <f>SummaryTable[[#This Row],[BudgetIncreaseAmount18]]/SummaryTable[[#This Row],[OriginalBudget17]]</f>
        <v>0.02</v>
      </c>
      <c r="CC128" s="61">
        <f>IF(COUNTIFS(allFYsTable[Code], SummaryTable[[#This Row],[Code]], allFYsTable[year2], BZ$3)=0, NotFound, SUMIFS(allFYsTable[RevisedBudget], allFYsTable[Code], SummaryTable[[#This Row],[Code]], allFYsTable[year2], BZ$3))</f>
        <v>51</v>
      </c>
      <c r="CD128" s="61">
        <f>IF(COUNTIFS(allFYsTable[Code], SummaryTable[[#This Row],[Code]], allFYsTable[year2], BZ$3)=0, NotFound, SUMIFS(allFYsTable[Actual], allFYsTable[Code], SummaryTable[[#This Row],[Code]], allFYsTable[year2], BZ$3))</f>
        <v>38</v>
      </c>
      <c r="CE128" s="61">
        <f>IF(COUNTIFS(allFYsTable[Code], SummaryTable[[#This Row],[Code]], allFYsTable[year2], BZ$3)=0, NotFound, SUMIFS(allFYsTable[DiffAmount], allFYsTable[Code], SummaryTable[[#This Row],[Code]], allFYsTable[year2], BZ$3))</f>
        <v>-13</v>
      </c>
      <c r="CF128" s="63">
        <f>IF(SummaryTable[[#This Row],[OriginalBudget18]]=0, IF(SummaryTable[[#This Row],[DiffAmount18]]=0, ZeroBudgetNoSpending, ZeroBudgetWithSpending), SummaryTable[[#This Row],[DiffAmount18]]/SummaryTable[[#This Row],[OriginalBudget18]])</f>
        <v>-0.25490196078431371</v>
      </c>
      <c r="CG128" s="62">
        <f>IF(COUNTIFS(allFYsTable[Code], SummaryTable[[#This Row],[Code]], allFYsTable[year2], CG$3)=0, NotFound, SUMIFS(allFYsTable[OriginalBudget], allFYsTable[Code], SummaryTable[[#This Row],[Code]], allFYsTable[year2], CG$3))</f>
        <v>50</v>
      </c>
      <c r="CH128" s="61">
        <f>SummaryTable[[#This Row],[OriginalBudget17]]-SummaryTable[[#This Row],[OriginalBudget16]]</f>
        <v>0</v>
      </c>
      <c r="CI128" s="54">
        <f>SummaryTable[[#This Row],[BudgetIncreaseAmount17]]/SummaryTable[[#This Row],[OriginalBudget16]]</f>
        <v>0</v>
      </c>
      <c r="CJ128" s="61">
        <f>IF(COUNTIFS(allFYsTable[Code], SummaryTable[[#This Row],[Code]], allFYsTable[year2], CG$3)=0, NotFound, SUMIFS(allFYsTable[RevisedBudget], allFYsTable[Code], SummaryTable[[#This Row],[Code]], allFYsTable[year2], CG$3))</f>
        <v>50</v>
      </c>
      <c r="CK128" s="61">
        <f>IF(COUNTIFS(allFYsTable[Code], SummaryTable[[#This Row],[Code]], allFYsTable[year2], CG$3)=0, NotFound, SUMIFS(allFYsTable[Actual], allFYsTable[Code], SummaryTable[[#This Row],[Code]], allFYsTable[year2], CG$3))</f>
        <v>47</v>
      </c>
      <c r="CL128" s="61">
        <f>IF(COUNTIFS(allFYsTable[Code], SummaryTable[[#This Row],[Code]], allFYsTable[year2], CG$3)=0, NotFound, SUMIFS(allFYsTable[DiffAmount], allFYsTable[Code], SummaryTable[[#This Row],[Code]], allFYsTable[year2], CG$3))</f>
        <v>-3</v>
      </c>
      <c r="CM128" s="63">
        <f>IF(SummaryTable[[#This Row],[OriginalBudget17]]=0, IF(SummaryTable[[#This Row],[DiffAmount17]]=0, ZeroBudgetNoSpending, ZeroBudgetWithSpending), SummaryTable[[#This Row],[DiffAmount17]]/SummaryTable[[#This Row],[OriginalBudget17]])</f>
        <v>-0.06</v>
      </c>
      <c r="CN128" s="62">
        <f>IF(COUNTIFS(allFYsTable[Code], SummaryTable[[#This Row],[Code]], allFYsTable[year2], CN$3)=0, NotFound, SUMIFS(allFYsTable[OriginalBudget], allFYsTable[Code], SummaryTable[[#This Row],[Code]], allFYsTable[year2], CN$3))</f>
        <v>50</v>
      </c>
      <c r="CO128" s="61">
        <f>SummaryTable[[#This Row],[OriginalBudget16]]-SummaryTable[[#This Row],[OriginalBudget15]]</f>
        <v>0</v>
      </c>
      <c r="CP128" s="54">
        <f>SummaryTable[[#This Row],[BudgetIncreaseAmount16]]/SummaryTable[[#This Row],[OriginalBudget15]]</f>
        <v>0</v>
      </c>
      <c r="CQ128" s="61">
        <f>IF(COUNTIFS(allFYsTable[Code], SummaryTable[[#This Row],[Code]], allFYsTable[year2], CN$3)=0, NotFound, SUMIFS(allFYsTable[RevisedBudget], allFYsTable[Code], SummaryTable[[#This Row],[Code]], allFYsTable[year2], CN$3))</f>
        <v>50</v>
      </c>
      <c r="CR128" s="61">
        <f>IF(COUNTIFS(allFYsTable[Code], SummaryTable[[#This Row],[Code]], allFYsTable[year2], CN$3)=0, NotFound, SUMIFS(allFYsTable[Actual], allFYsTable[Code], SummaryTable[[#This Row],[Code]], allFYsTable[year2], CN$3))</f>
        <v>48</v>
      </c>
      <c r="CS128" s="61">
        <f>IF(COUNTIFS(allFYsTable[Code], SummaryTable[[#This Row],[Code]], allFYsTable[year2], CN$3)=0, NotFound, SUMIFS(allFYsTable[DiffAmount], allFYsTable[Code], SummaryTable[[#This Row],[Code]], allFYsTable[year2], CN$3))</f>
        <v>-2</v>
      </c>
      <c r="CT128" s="63">
        <f>IF(SummaryTable[[#This Row],[OriginalBudget16]]=0, IF(SummaryTable[[#This Row],[DiffAmount16]]=0, ZeroBudgetNoSpending, ZeroBudgetWithSpending), SummaryTable[[#This Row],[DiffAmount16]]/SummaryTable[[#This Row],[OriginalBudget16]])</f>
        <v>-0.04</v>
      </c>
      <c r="CU128" s="62">
        <f>IF(COUNTIFS(allFYsTable[Code], SummaryTable[[#This Row],[Code]], allFYsTable[year2], CU$3)=0, NotFound, SUMIFS(allFYsTable[OriginalBudget], allFYsTable[Code], SummaryTable[[#This Row],[Code]], allFYsTable[year2], CU$3))</f>
        <v>50</v>
      </c>
      <c r="CV128" s="61">
        <f>SummaryTable[[#This Row],[OriginalBudget15]]-SummaryTable[[#This Row],[OriginalBudget14]]</f>
        <v>0</v>
      </c>
      <c r="CW128" s="54">
        <f>SummaryTable[[#This Row],[BudgetIncreaseAmount15]]/SummaryTable[[#This Row],[OriginalBudget14]]</f>
        <v>0</v>
      </c>
      <c r="CX128" s="61">
        <f>IF(COUNTIFS(allFYsTable[Code], SummaryTable[[#This Row],[Code]], allFYsTable[year2], CU$3)=0, NotFound, SUMIFS(allFYsTable[RevisedBudget], allFYsTable[Code], SummaryTable[[#This Row],[Code]], allFYsTable[year2], CU$3))</f>
        <v>50</v>
      </c>
      <c r="CY128" s="61">
        <f>IF(COUNTIFS(allFYsTable[Code], SummaryTable[[#This Row],[Code]], allFYsTable[year2], CU$3)=0, NotFound, SUMIFS(allFYsTable[Actual], allFYsTable[Code], SummaryTable[[#This Row],[Code]], allFYsTable[year2], CU$3))</f>
        <v>41</v>
      </c>
      <c r="CZ128" s="61">
        <f>IF(COUNTIFS(allFYsTable[Code], SummaryTable[[#This Row],[Code]], allFYsTable[year2], CU$3)=0, NotFound, SUMIFS(allFYsTable[DiffAmount], allFYsTable[Code], SummaryTable[[#This Row],[Code]], allFYsTable[year2], CU$3))</f>
        <v>-9</v>
      </c>
      <c r="DA128" s="63">
        <f>IF(SummaryTable[[#This Row],[OriginalBudget15]]=0, IF(SummaryTable[[#This Row],[DiffAmount15]]=0, ZeroBudgetNoSpending, ZeroBudgetWithSpending), SummaryTable[[#This Row],[DiffAmount15]]/SummaryTable[[#This Row],[OriginalBudget15]])</f>
        <v>-0.18</v>
      </c>
      <c r="DB128" s="62">
        <f>IF(COUNTIFS(allFYsTable[Code], SummaryTable[[#This Row],[Code]], allFYsTable[year2], DB$3)=0, NotFound, SUMIFS(allFYsTable[OriginalBudget], allFYsTable[Code], SummaryTable[[#This Row],[Code]], allFYsTable[year2], DB$3))</f>
        <v>50</v>
      </c>
      <c r="DC128" s="61" t="e">
        <f>SummaryTable[[#This Row],[OriginalBudget14]]-SummaryTable[[#This Row],[OriginalBudget13]]</f>
        <v>#N/A</v>
      </c>
      <c r="DD128" s="54" t="e">
        <f>SummaryTable[[#This Row],[BudgetIncreaseAmount14]]/SummaryTable[[#This Row],[OriginalBudget13]]</f>
        <v>#N/A</v>
      </c>
      <c r="DE128" s="61">
        <f>IF(COUNTIFS(allFYsTable[Code], SummaryTable[[#This Row],[Code]], allFYsTable[year2], DB$3)=0, NotFound, SUMIFS(allFYsTable[RevisedBudget], allFYsTable[Code], SummaryTable[[#This Row],[Code]], allFYsTable[year2], DB$3))</f>
        <v>50</v>
      </c>
      <c r="DF128" s="61">
        <f>IF(COUNTIFS(allFYsTable[Code], SummaryTable[[#This Row],[Code]], allFYsTable[year2], DB$3)=0, NotFound, SUMIFS(allFYsTable[Actual], allFYsTable[Code], SummaryTable[[#This Row],[Code]], allFYsTable[year2], DB$3))</f>
        <v>44</v>
      </c>
      <c r="DG128" s="61">
        <f>IF(COUNTIFS(allFYsTable[Code], SummaryTable[[#This Row],[Code]], allFYsTable[year2], DB$3)=0, NotFound, SUMIFS(allFYsTable[DiffAmount], allFYsTable[Code], SummaryTable[[#This Row],[Code]], allFYsTable[year2], DB$3))</f>
        <v>-6</v>
      </c>
      <c r="DH128" s="63">
        <f>IF(SummaryTable[[#This Row],[OriginalBudget14]]=0, IF(SummaryTable[[#This Row],[DiffAmount14]]=0, ZeroBudgetNoSpending, ZeroBudgetWithSpending), SummaryTable[[#This Row],[DiffAmount14]]/SummaryTable[[#This Row],[OriginalBudget14]])</f>
        <v>-0.12</v>
      </c>
      <c r="DI128" s="62" t="e">
        <f>IF(COUNTIFS(allFYsTable[Code], SummaryTable[[#This Row],[Code]], allFYsTable[year2], DI$3)=0, NotFound, SUMIFS(allFYsTable[OriginalBudget], allFYsTable[Code], SummaryTable[[#This Row],[Code]], allFYsTable[year2], DI$3))</f>
        <v>#N/A</v>
      </c>
      <c r="DJ128" s="61" t="e">
        <f>SummaryTable[[#This Row],[OriginalBudget13]]-SummaryTable[[#This Row],[OriginalBudget12]]</f>
        <v>#N/A</v>
      </c>
      <c r="DK128" s="54" t="e">
        <f>SummaryTable[[#This Row],[BudgetIncreaseAmount13]]/SummaryTable[[#This Row],[OriginalBudget12]]</f>
        <v>#N/A</v>
      </c>
      <c r="DL128" s="61" t="e">
        <f>IF(COUNTIFS(allFYsTable[Code], SummaryTable[[#This Row],[Code]], allFYsTable[year2], DI$3)=0, NotFound, SUMIFS(allFYsTable[RevisedBudget], allFYsTable[Code], SummaryTable[[#This Row],[Code]], allFYsTable[year2], DI$3))</f>
        <v>#N/A</v>
      </c>
      <c r="DM128" s="61" t="e">
        <f>IF(COUNTIFS(allFYsTable[Code], SummaryTable[[#This Row],[Code]], allFYsTable[year2], DI$3)=0, NotFound, SUMIFS(allFYsTable[Actual], allFYsTable[Code], SummaryTable[[#This Row],[Code]], allFYsTable[year2], DI$3))</f>
        <v>#N/A</v>
      </c>
      <c r="DN128" s="61" t="e">
        <f>IF(COUNTIFS(allFYsTable[Code], SummaryTable[[#This Row],[Code]], allFYsTable[year2], DI$3)=0, NotFound, SUMIFS(allFYsTable[DiffAmount], allFYsTable[Code], SummaryTable[[#This Row],[Code]], allFYsTable[year2], DI$3))</f>
        <v>#N/A</v>
      </c>
      <c r="DO128" s="63" t="e">
        <f>IF(SummaryTable[[#This Row],[OriginalBudget13]]=0, IF(SummaryTable[[#This Row],[DiffAmount13]]=0, ZeroBudgetNoSpending, ZeroBudgetWithSpending), SummaryTable[[#This Row],[DiffAmount13]]/SummaryTable[[#This Row],[OriginalBudget13]])</f>
        <v>#N/A</v>
      </c>
      <c r="DP128" s="62" t="e">
        <f>IF(COUNTIFS(allFYsTable[Code], SummaryTable[[#This Row],[Code]], allFYsTable[year2], DP$3)=0, NotFound, SUMIFS(allFYsTable[OriginalBudget], allFYsTable[Code], SummaryTable[[#This Row],[Code]], allFYsTable[year2], DP$3))</f>
        <v>#N/A</v>
      </c>
      <c r="DQ128" s="61" t="e">
        <f>SummaryTable[[#This Row],[OriginalBudget12]]-SummaryTable[[#This Row],[OriginalBudget11]]</f>
        <v>#N/A</v>
      </c>
      <c r="DR128" s="54" t="e">
        <f>SummaryTable[[#This Row],[BudgetIncreaseAmount12]]/SummaryTable[[#This Row],[OriginalBudget11]]</f>
        <v>#N/A</v>
      </c>
      <c r="DS128" s="61" t="e">
        <f>IF(COUNTIFS(allFYsTable[Code], SummaryTable[[#This Row],[Code]], allFYsTable[year2], DP$3)=0, NotFound, SUMIFS(allFYsTable[RevisedBudget], allFYsTable[Code], SummaryTable[[#This Row],[Code]], allFYsTable[year2], DP$3))</f>
        <v>#N/A</v>
      </c>
      <c r="DT128" s="61" t="e">
        <f>IF(COUNTIFS(allFYsTable[Code], SummaryTable[[#This Row],[Code]], allFYsTable[year2], DP$3)=0, NotFound, SUMIFS(allFYsTable[Actual], allFYsTable[Code], SummaryTable[[#This Row],[Code]], allFYsTable[year2], DP$3))</f>
        <v>#N/A</v>
      </c>
      <c r="DU128" s="61" t="e">
        <f>IF(COUNTIFS(allFYsTable[Code], SummaryTable[[#This Row],[Code]], allFYsTable[year2], DP$3)=0, NotFound, SUMIFS(allFYsTable[DiffAmount], allFYsTable[Code], SummaryTable[[#This Row],[Code]], allFYsTable[year2], DP$3))</f>
        <v>#N/A</v>
      </c>
      <c r="DV128" s="63" t="e">
        <f>IF(SummaryTable[[#This Row],[OriginalBudget12]]=0, IF(SummaryTable[[#This Row],[DiffAmount12]]=0, ZeroBudgetNoSpending, ZeroBudgetWithSpending), SummaryTable[[#This Row],[DiffAmount12]]/SummaryTable[[#This Row],[OriginalBudget12]])</f>
        <v>#N/A</v>
      </c>
      <c r="DW128" s="62" t="e">
        <f>IF(COUNTIFS(allFYsTable[Code], SummaryTable[[#This Row],[Code]], allFYsTable[year2], DW$3)=0, NotFound, SUMIFS(allFYsTable[OriginalBudget], allFYsTable[Code], SummaryTable[[#This Row],[Code]], allFYsTable[year2], DW$3))</f>
        <v>#N/A</v>
      </c>
      <c r="DX128" s="61" t="e">
        <f>SummaryTable[[#This Row],[OriginalBudget11]]-SummaryTable[[#This Row],[OriginalBudget10]]</f>
        <v>#N/A</v>
      </c>
      <c r="DY128" s="54" t="e">
        <f>SummaryTable[[#This Row],[BudgetIncreaseAmount11]]/SummaryTable[[#This Row],[OriginalBudget10]]</f>
        <v>#N/A</v>
      </c>
      <c r="DZ128" s="61" t="e">
        <f>IF(COUNTIFS(allFYsTable[Code], SummaryTable[[#This Row],[Code]], allFYsTable[year2], DW$3)=0, NotFound, SUMIFS(allFYsTable[RevisedBudget], allFYsTable[Code], SummaryTable[[#This Row],[Code]], allFYsTable[year2], DW$3))</f>
        <v>#N/A</v>
      </c>
      <c r="EA128" s="61" t="e">
        <f>IF(COUNTIFS(allFYsTable[Code], SummaryTable[[#This Row],[Code]], allFYsTable[year2], DW$3)=0, NotFound, SUMIFS(allFYsTable[Actual], allFYsTable[Code], SummaryTable[[#This Row],[Code]], allFYsTable[year2], DW$3))</f>
        <v>#N/A</v>
      </c>
      <c r="EB128" s="61" t="e">
        <f>IF(COUNTIFS(allFYsTable[Code], SummaryTable[[#This Row],[Code]], allFYsTable[year2], DW$3)=0, NotFound, SUMIFS(allFYsTable[DiffAmount], allFYsTable[Code], SummaryTable[[#This Row],[Code]], allFYsTable[year2], DW$3))</f>
        <v>#N/A</v>
      </c>
      <c r="EC128" s="63" t="e">
        <f>IF(SummaryTable[[#This Row],[OriginalBudget11]]=0, IF(SummaryTable[[#This Row],[DiffAmount11]]=0, ZeroBudgetNoSpending, ZeroBudgetWithSpending), SummaryTable[[#This Row],[DiffAmount11]]/SummaryTable[[#This Row],[OriginalBudget11]])</f>
        <v>#N/A</v>
      </c>
      <c r="ED128" s="62" t="e">
        <f>IF(COUNTIFS(allFYsTable[Code], SummaryTable[[#This Row],[Code]], allFYsTable[year2], ED$3)=0, NotFound, SUMIFS(allFYsTable[OriginalBudget], allFYsTable[Code], SummaryTable[[#This Row],[Code]], allFYsTable[year2], ED$3))</f>
        <v>#N/A</v>
      </c>
      <c r="EE128" s="61" t="e">
        <f>SummaryTable[[#This Row],[OriginalBudget10]]-SummaryTable[[#This Row],[OriginalBudget09]]</f>
        <v>#N/A</v>
      </c>
      <c r="EF128" s="54" t="e">
        <f>SummaryTable[[#This Row],[BudgetIncreaseAmount10]]/SummaryTable[[#This Row],[OriginalBudget09]]</f>
        <v>#N/A</v>
      </c>
      <c r="EG128" s="61" t="e">
        <f>IF(COUNTIFS(allFYsTable[Code], SummaryTable[[#This Row],[Code]], allFYsTable[year2], ED$3)=0, NotFound, SUMIFS(allFYsTable[RevisedBudget], allFYsTable[Code], SummaryTable[[#This Row],[Code]], allFYsTable[year2], ED$3))</f>
        <v>#N/A</v>
      </c>
      <c r="EH128" s="61" t="e">
        <f>IF(COUNTIFS(allFYsTable[Code], SummaryTable[[#This Row],[Code]], allFYsTable[year2], ED$3)=0, NotFound, SUMIFS(allFYsTable[Actual], allFYsTable[Code], SummaryTable[[#This Row],[Code]], allFYsTable[year2], ED$3))</f>
        <v>#N/A</v>
      </c>
      <c r="EI128" s="61" t="e">
        <f>IF(COUNTIFS(allFYsTable[Code], SummaryTable[[#This Row],[Code]], allFYsTable[year2], ED$3)=0, NotFound, SUMIFS(allFYsTable[DiffAmount], allFYsTable[Code], SummaryTable[[#This Row],[Code]], allFYsTable[year2], ED$3))</f>
        <v>#N/A</v>
      </c>
      <c r="EJ128" s="63" t="e">
        <f>IF(SummaryTable[[#This Row],[OriginalBudget10]]=0, IF(SummaryTable[[#This Row],[DiffAmount10]]=0, ZeroBudgetNoSpending, ZeroBudgetWithSpending), SummaryTable[[#This Row],[DiffAmount10]]/SummaryTable[[#This Row],[OriginalBudget10]])</f>
        <v>#N/A</v>
      </c>
      <c r="EK128" s="62" t="e">
        <f>IF(COUNTIFS(allFYsTable[Code], SummaryTable[[#This Row],[Code]], allFYsTable[year2], EK$3)=0, NotFound, SUMIFS(allFYsTable[OriginalBudget], allFYsTable[Code], SummaryTable[[#This Row],[Code]], allFYsTable[year2], EK$3))</f>
        <v>#N/A</v>
      </c>
      <c r="EL128" s="61" t="e">
        <f>SummaryTable[[#This Row],[OriginalBudget09]]-SummaryTable[[#This Row],[OriginalBudget08]]</f>
        <v>#N/A</v>
      </c>
      <c r="EM128" s="54" t="e">
        <f>SummaryTable[[#This Row],[BudgetIncreaseAmount09]]/SummaryTable[[#This Row],[OriginalBudget08]]</f>
        <v>#N/A</v>
      </c>
      <c r="EN128" s="61" t="e">
        <f>IF(COUNTIFS(allFYsTable[Code], SummaryTable[[#This Row],[Code]], allFYsTable[year2], EK$3)=0, NotFound, SUMIFS(allFYsTable[RevisedBudget], allFYsTable[Code], SummaryTable[[#This Row],[Code]], allFYsTable[year2], EK$3))</f>
        <v>#N/A</v>
      </c>
      <c r="EO128" s="61" t="e">
        <f>IF(COUNTIFS(allFYsTable[Code], SummaryTable[[#This Row],[Code]], allFYsTable[year2], EK$3)=0, NotFound, SUMIFS(allFYsTable[Actual], allFYsTable[Code], SummaryTable[[#This Row],[Code]], allFYsTable[year2], EK$3))</f>
        <v>#N/A</v>
      </c>
      <c r="EP128" s="61" t="e">
        <f>IF(COUNTIFS(allFYsTable[Code], SummaryTable[[#This Row],[Code]], allFYsTable[year2], EK$3)=0, NotFound, SUMIFS(allFYsTable[DiffAmount], allFYsTable[Code], SummaryTable[[#This Row],[Code]], allFYsTable[year2], EK$3))</f>
        <v>#N/A</v>
      </c>
      <c r="EQ128" s="63" t="e">
        <f>IF(SummaryTable[[#This Row],[OriginalBudget09]]=0, IF(SummaryTable[[#This Row],[DiffAmount09]]=0, ZeroBudgetNoSpending, ZeroBudgetWithSpending), SummaryTable[[#This Row],[DiffAmount09]]/SummaryTable[[#This Row],[OriginalBudget09]])</f>
        <v>#N/A</v>
      </c>
      <c r="ER128" s="62" t="e">
        <f>IF(COUNTIFS(allFYsTable[Code], SummaryTable[[#This Row],[Code]], allFYsTable[year2], ER$3)=0, NotFound, SUMIFS(allFYsTable[OriginalBudget], allFYsTable[Code], SummaryTable[[#This Row],[Code]], allFYsTable[year2], ER$3))</f>
        <v>#N/A</v>
      </c>
      <c r="ES128" s="61" t="e">
        <f>SummaryTable[[#This Row],[OriginalBudget08]]-SummaryTable[[#This Row],[OriginalBudget07]]</f>
        <v>#N/A</v>
      </c>
      <c r="ET128" s="54" t="e">
        <f>SummaryTable[[#This Row],[BudgetIncreaseAmount08]]/SummaryTable[[#This Row],[OriginalBudget07]]</f>
        <v>#N/A</v>
      </c>
      <c r="EU128" s="61" t="e">
        <f>IF(COUNTIFS(allFYsTable[Code], SummaryTable[[#This Row],[Code]], allFYsTable[year2], ER$3)=0, NotFound, SUMIFS(allFYsTable[RevisedBudget], allFYsTable[Code], SummaryTable[[#This Row],[Code]], allFYsTable[year2], ER$3))</f>
        <v>#N/A</v>
      </c>
      <c r="EV128" s="61" t="e">
        <f>IF(COUNTIFS(allFYsTable[Code], SummaryTable[[#This Row],[Code]], allFYsTable[year2], ER$3)=0, NotFound, SUMIFS(allFYsTable[Actual], allFYsTable[Code], SummaryTable[[#This Row],[Code]], allFYsTable[year2], ER$3))</f>
        <v>#N/A</v>
      </c>
      <c r="EW128" s="61" t="e">
        <f>IF(COUNTIFS(allFYsTable[Code], SummaryTable[[#This Row],[Code]], allFYsTable[year2], ER$3)=0, NotFound, SUMIFS(allFYsTable[DiffAmount], allFYsTable[Code], SummaryTable[[#This Row],[Code]], allFYsTable[year2], ER$3))</f>
        <v>#N/A</v>
      </c>
      <c r="EX128" s="63" t="e">
        <f>IF(SummaryTable[[#This Row],[OriginalBudget08]]=0, IF(SummaryTable[[#This Row],[DiffAmount08]]=0, ZeroBudgetNoSpending, ZeroBudgetWithSpending), SummaryTable[[#This Row],[DiffAmount08]]/SummaryTable[[#This Row],[OriginalBudget08]])</f>
        <v>#N/A</v>
      </c>
      <c r="EY128" s="62" t="e">
        <f>IF(COUNTIFS(allFYsTable[Code], SummaryTable[[#This Row],[Code]], allFYsTable[year2], EY$3)=0, NotFound, SUMIFS(allFYsTable[OriginalBudget], allFYsTable[Code], SummaryTable[[#This Row],[Code]], allFYsTable[year2], EY$3))</f>
        <v>#N/A</v>
      </c>
      <c r="EZ128" s="61" t="e">
        <f>SummaryTable[[#This Row],[OriginalBudget07]]-SummaryTable[[#This Row],[OriginalBudget06]]</f>
        <v>#N/A</v>
      </c>
      <c r="FA128" s="54" t="e">
        <f>SummaryTable[[#This Row],[BudgetIncreaseAmount07]]/SummaryTable[[#This Row],[OriginalBudget06]]</f>
        <v>#N/A</v>
      </c>
      <c r="FB128" s="61" t="e">
        <f>IF(COUNTIFS(allFYsTable[Code], SummaryTable[[#This Row],[Code]], allFYsTable[year2], EY$3)=0, NotFound, SUMIFS(allFYsTable[RevisedBudget], allFYsTable[Code], SummaryTable[[#This Row],[Code]], allFYsTable[year2], EY$3))</f>
        <v>#N/A</v>
      </c>
      <c r="FC128" s="61" t="e">
        <f>IF(COUNTIFS(allFYsTable[Code], SummaryTable[[#This Row],[Code]], allFYsTable[year2], EY$3)=0, NotFound, SUMIFS(allFYsTable[Actual], allFYsTable[Code], SummaryTable[[#This Row],[Code]], allFYsTable[year2], EY$3))</f>
        <v>#N/A</v>
      </c>
      <c r="FD128" s="61" t="e">
        <f>IF(COUNTIFS(allFYsTable[Code], SummaryTable[[#This Row],[Code]], allFYsTable[year2], EY$3)=0, NotFound, SUMIFS(allFYsTable[DiffAmount], allFYsTable[Code], SummaryTable[[#This Row],[Code]], allFYsTable[year2], EY$3))</f>
        <v>#N/A</v>
      </c>
      <c r="FE128" s="63" t="e">
        <f>IF(SummaryTable[[#This Row],[OriginalBudget07]]=0, IF(SummaryTable[[#This Row],[DiffAmount07]]=0, ZeroBudgetNoSpending, ZeroBudgetWithSpending), SummaryTable[[#This Row],[DiffAmount07]]/SummaryTable[[#This Row],[OriginalBudget07]])</f>
        <v>#N/A</v>
      </c>
      <c r="FF128" s="62" t="e">
        <f>IF(COUNTIFS(allFYsTable[Code], SummaryTable[[#This Row],[Code]], allFYsTable[year2], FF$3)=0, NotFound, SUMIFS(allFYsTable[OriginalBudget], allFYsTable[Code], SummaryTable[[#This Row],[Code]], allFYsTable[year2], FF$3))</f>
        <v>#N/A</v>
      </c>
      <c r="FI128" s="61" t="e">
        <f>IF(COUNTIFS(allFYsTable[Code], SummaryTable[[#This Row],[Code]], allFYsTable[year2], FF$3)=0, NotFound, SUMIFS(allFYsTable[RevisedBudget], allFYsTable[Code], SummaryTable[[#This Row],[Code]], allFYsTable[year2], FF$3))</f>
        <v>#N/A</v>
      </c>
      <c r="FJ128" s="61" t="e">
        <f>IF(COUNTIFS(allFYsTable[Code], SummaryTable[[#This Row],[Code]], allFYsTable[year2], FF$3)=0, NotFound, SUMIFS(allFYsTable[Actual], allFYsTable[Code], SummaryTable[[#This Row],[Code]], allFYsTable[year2], FF$3))</f>
        <v>#N/A</v>
      </c>
      <c r="FK128" s="61" t="e">
        <f>IF(COUNTIFS(allFYsTable[Code], SummaryTable[[#This Row],[Code]], allFYsTable[year2], FF$3)=0, NotFound, SUMIFS(allFYsTable[DiffAmount], allFYsTable[Code], SummaryTable[[#This Row],[Code]], allFYsTable[year2], FF$3))</f>
        <v>#N/A</v>
      </c>
      <c r="FL128" s="63" t="e">
        <f>IF(SummaryTable[[#This Row],[OriginalBudget06]]=0, IF(SummaryTable[[#This Row],[DiffAmount06]]=0, ZeroBudgetNoSpending, ZeroBudgetWithSpending), SummaryTable[[#This Row],[DiffAmount06]]/SummaryTable[[#This Row],[OriginalBudget06]])</f>
        <v>#N/A</v>
      </c>
    </row>
    <row r="129" spans="1:168" x14ac:dyDescent="0.45">
      <c r="A129" t="s">
        <v>784</v>
      </c>
      <c r="B129">
        <f>_xlfn.MAXIFS(allFYsTable[year2], allFYsTable[Code], SummaryTable[[#This Row],[Code]])</f>
        <v>2025</v>
      </c>
      <c r="C129" t="str">
        <f>_xlfn.XLOOKUP(SummaryTable[[#This Row],[Code]], NameCodingTable[Code], NameCodingTable[Most Recent Category per allFYs])</f>
        <v>Public education system</v>
      </c>
      <c r="D129" t="str">
        <f>_xlfn.XLOOKUP(SummaryTable[[#This Row],[Code]], NameCodingTable[Code], NameCodingTable[Unit Display Name])</f>
        <v>University of the District of Columbia Subsidy Account</v>
      </c>
      <c r="E129" t="str">
        <f>_xlfn.XLOOKUP(SummaryTable[[#This Row],[Code]], NameCodingTable[Code], NameCodingTable[Type])</f>
        <v>xother</v>
      </c>
      <c r="F12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2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14</v>
      </c>
      <c r="H129" s="54">
        <f>SummaryTable[[#This Row],['# Over]]/SummaryTable[[#This Row],[Count]]</f>
        <v>0.7</v>
      </c>
      <c r="I12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3</v>
      </c>
      <c r="J129" s="54">
        <f>SummaryTable[[#This Row],['# Under]]/SummaryTable[[#This Row],[Count]]</f>
        <v>0.15</v>
      </c>
      <c r="K12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3</v>
      </c>
      <c r="L129" s="54">
        <f>SummaryTable[[#This Row],['# Equal]]/SummaryTable[[#This Row],[Count]]</f>
        <v>0.15</v>
      </c>
      <c r="M129" s="61">
        <f>SUMIFS(allFYsTable[OriginalBudget],allFYsTable[Code],SummaryTable[[#This Row],[Code]])/SummaryTable[[#This Row],[Count]]</f>
        <v>78686.7</v>
      </c>
      <c r="N129" s="61">
        <f>SUMIFS(allFYsTable[Actual],allFYsTable[Code],SummaryTable[[#This Row],[Code]])/SummaryTable[[#This Row],[Count]]</f>
        <v>79642.600000000006</v>
      </c>
      <c r="O129" s="61">
        <f>SummaryTable[[#This Row],[AvgActAmt]]-SummaryTable[[#This Row],[AvgBudAmt]]</f>
        <v>955.90000000000873</v>
      </c>
      <c r="P129" s="54">
        <f>IF(SummaryTable[[#This Row],[AvgBudAmt]]=0, IF(SummaryTable[[#This Row],[AvgDiff'#]]=0, 0, NamedFields!$C$3), SummaryTable[[#This Row],[AvgDiff'#]]/SummaryTable[[#This Row],[AvgBudAmt]])</f>
        <v>1.2148177519199671E-2</v>
      </c>
      <c r="Q129" s="61">
        <f>IFERROR(SUMIFS(allFYsTable[OriginalBudget],allFYsTable[Code],SummaryTable[[#This Row],[Code]],allFYsTable[DiffAmount], "&gt;0")/SummaryTable[[#This Row],['# Over]], 0)</f>
        <v>77604.857142857145</v>
      </c>
      <c r="R129" s="61">
        <f>IFERROR(SUMIFS(allFYsTable[Actual],allFYsTable[Code],SummaryTable[[#This Row],[Code]],allFYsTable[DiffAmount], "&gt;0")/SummaryTable[[#This Row],['# Over]], 0)</f>
        <v>79309</v>
      </c>
      <c r="S129" s="61">
        <f>SummaryTable[[#This Row],[OverAvgAct]]-SummaryTable[[#This Row],[OverAvgBud]]</f>
        <v>1704.1428571428551</v>
      </c>
      <c r="T129" s="54">
        <f>IF(SummaryTable[[#This Row],[OverAvgBud]]=0, IF(SummaryTable[[#This Row],[OverAvgDiff'#]]=0, ZeroBudgetNoSpending, ZeroBudgetWithSpending), SummaryTable[[#This Row],[OverAvgDiff'#]]/SummaryTable[[#This Row],[OverAvgBud]])</f>
        <v>2.1959229356041752E-2</v>
      </c>
      <c r="U129" s="61">
        <f>IFERROR(SUMIFS(allFYsTable[OriginalBudget],allFYsTable[Code],SummaryTable[[#This Row],[Code]],allFYsTable[DiffAmount], "&lt;0")/SummaryTable[[#This Row],['# Under]], 0)</f>
        <v>98811.666666666672</v>
      </c>
      <c r="V129" s="61">
        <f>IFERROR( SUMIFS(allFYsTable[Actual],allFYsTable[Code],SummaryTable[[#This Row],[Code]],allFYsTable[DiffAmount], "&lt;0")/SummaryTable[[#This Row],['# Under]], 0)</f>
        <v>97231.666666666672</v>
      </c>
      <c r="W129" s="61">
        <f>SummaryTable[[#This Row],[UnderAvgAct]]-SummaryTable[[#This Row],[UnderAvgBud]]</f>
        <v>-1580</v>
      </c>
      <c r="X129" s="54">
        <f>IF(SummaryTable[[#This Row],[UnderAvgBud]]=0, IF(SummaryTable[[#This Row],[UnderAvgDiff'#]]=0, ZeroBudgetNoSpending, NamedFields!$C$3), SummaryTable[[#This Row],[UnderAvgDiff'#]]/SummaryTable[[#This Row],[UnderAvgBud]])</f>
        <v>-1.5990014674380555E-2</v>
      </c>
      <c r="Y12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2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29" s="54">
        <f>IF(SummaryTable[[#This Row],[IncreaseYears]]=0, ZeroBudgetNoSpending, SummaryTable[[#This Row],[OSinIncreaseYear'#]]/SummaryTable[[#This Row],[IncreaseYears]])</f>
        <v>0</v>
      </c>
      <c r="AB129" s="58" t="str">
        <f>SummaryTable[[#This Row],[Code]]</f>
        <v>GG0</v>
      </c>
      <c r="AC129" s="62">
        <f>IF(COUNTIFS(allFYsTable[Code], SummaryTable[[#This Row],[Code]], allFYsTable[year2], AC$3)=0, NotFound, SUMIFS(allFYsTable[OriginalBudget], allFYsTable[Code], SummaryTable[[#This Row],[Code]], allFYsTable[year2], AC$3))</f>
        <v>102152</v>
      </c>
      <c r="AD129" s="61">
        <f>SummaryTable[[#This Row],[OriginalBudget25]]-SummaryTable[[#This Row],[OriginalBudget24]]</f>
        <v>-1828</v>
      </c>
      <c r="AE129" s="54">
        <f>SummaryTable[[#This Row],[BudgetIncreaseAmount25]]/SummaryTable[[#This Row],[OriginalBudget24]]</f>
        <v>-1.7580303904597038E-2</v>
      </c>
      <c r="AF129" s="61">
        <f>IF(COUNTIFS(allFYsTable[Code], SummaryTable[[#This Row],[Code]], allFYsTable[year2], AC$3)=0, NotFound, SUMIFS(allFYsTable[RevisedBudget], allFYsTable[Code], SummaryTable[[#This Row],[Code]], allFYsTable[year2], AC$3))</f>
        <v>101109</v>
      </c>
      <c r="AG129" s="61">
        <f>IF(COUNTIFS(allFYsTable[Code], SummaryTable[[#This Row],[Code]], allFYsTable[year2], AC$3)=0, NotFound, SUMIFS(allFYsTable[Actual], allFYsTable[Code], SummaryTable[[#This Row],[Code]], allFYsTable[year2], AC$3))</f>
        <v>101109</v>
      </c>
      <c r="AH129" s="61">
        <f>IF(COUNTIFS(allFYsTable[Code], SummaryTable[[#This Row],[Code]], allFYsTable[year2], AC$3)=0, NotFound, SUMIFS(allFYsTable[DiffAmount], allFYsTable[Code], SummaryTable[[#This Row],[Code]], allFYsTable[year2], AC$3))</f>
        <v>-1043</v>
      </c>
      <c r="AI129" s="63">
        <f>IF(SummaryTable[[#This Row],[OriginalBudget25]]=0, IF(SummaryTable[[#This Row],[DiffAmount25]]=0, ZeroBudgetNoSpending, ZeroBudgetWithSpending), SummaryTable[[#This Row],[DiffAmount25]]/SummaryTable[[#This Row],[OriginalBudget25]])</f>
        <v>-1.0210274884485865E-2</v>
      </c>
      <c r="AJ129" s="62">
        <f>IF(COUNTIFS(allFYsTable[Code], SummaryTable[[#This Row],[Code]], allFYsTable[year2], AJ$3)=0, NotFound, SUMIFS(allFYsTable[OriginalBudget], allFYsTable[Code], SummaryTable[[#This Row],[Code]], allFYsTable[year2], AJ$3))</f>
        <v>103980</v>
      </c>
      <c r="AK129" s="61">
        <f>SummaryTable[[#This Row],[OriginalBudget24]]-SummaryTable[[#This Row],[OriginalBudget23]]</f>
        <v>7949</v>
      </c>
      <c r="AL129" s="54">
        <f>SummaryTable[[#This Row],[BudgetIncreaseAmount24]]/SummaryTable[[#This Row],[OriginalBudget23]]</f>
        <v>8.2775353792004666E-2</v>
      </c>
      <c r="AM129" s="61">
        <f>IF(COUNTIFS(allFYsTable[Code], SummaryTable[[#This Row],[Code]], allFYsTable[year2], AK$3)=0, NotFound, SUMIFS(allFYsTable[RevisedBudget], allFYsTable[Code], SummaryTable[[#This Row],[Code]], allFYsTable[year2], AJ$3))</f>
        <v>101463</v>
      </c>
      <c r="AN129" s="61">
        <f>IF(COUNTIFS(allFYsTable[Code], SummaryTable[[#This Row],[Code]], allFYsTable[year2], AJ$3)=0, NotFound, SUMIFS(allFYsTable[Actual], allFYsTable[Code], SummaryTable[[#This Row],[Code]], allFYsTable[year2], AJ$3))</f>
        <v>101463</v>
      </c>
      <c r="AO129" s="61">
        <f>IF(COUNTIFS(allFYsTable[Code], SummaryTable[[#This Row],[Code]], allFYsTable[year2], AJ$3)=0, NotFound, SUMIFS(allFYsTable[DiffAmount], allFYsTable[Code], SummaryTable[[#This Row],[Code]], allFYsTable[year2], AJ$3))</f>
        <v>-2517</v>
      </c>
      <c r="AP129" s="63">
        <f>IF(SummaryTable[[#This Row],[OriginalBudget24]]=0, IF(SummaryTable[[#This Row],[DiffAmount24]]=0, ZeroBudgetNoSpending, ZeroBudgetWithSpending), SummaryTable[[#This Row],[DiffAmount24]]/SummaryTable[[#This Row],[OriginalBudget24]])</f>
        <v>-2.4206578188113097E-2</v>
      </c>
      <c r="AQ129" s="62">
        <f>IF(COUNTIFS(allFYsTable[Code], SummaryTable[[#This Row],[Code]], allFYsTable[year2], AQ$3)=0, NotFound, SUMIFS(allFYsTable[OriginalBudget], allFYsTable[Code], SummaryTable[[#This Row],[Code]], allFYsTable[year2], AQ$3))</f>
        <v>96031</v>
      </c>
      <c r="AR129" s="61">
        <f>SummaryTable[[#This Row],[OriginalBudget23]]-SummaryTable[[#This Row],[OriginalBudget22]]</f>
        <v>3157</v>
      </c>
      <c r="AS129" s="54">
        <f>SummaryTable[[#This Row],[BudgetIncreaseAmount23]]/SummaryTable[[#This Row],[OriginalBudget22]]</f>
        <v>3.3992290630316342E-2</v>
      </c>
      <c r="AT129" s="61">
        <f>IF(COUNTIFS(allFYsTable[Code], SummaryTable[[#This Row],[Code]], allFYsTable[year2], AQ$3)=0, NotFound, SUMIFS(allFYsTable[RevisedBudget], allFYsTable[Code], SummaryTable[[#This Row],[Code]], allFYsTable[year2], AQ$3))</f>
        <v>96243</v>
      </c>
      <c r="AU129" s="61">
        <f>IF(COUNTIFS(allFYsTable[Code], SummaryTable[[#This Row],[Code]], allFYsTable[year2], AQ$3)=0, NotFound, SUMIFS(allFYsTable[Actual], allFYsTable[Code], SummaryTable[[#This Row],[Code]], allFYsTable[year2], AQ$3))</f>
        <v>96243</v>
      </c>
      <c r="AV129" s="61">
        <f>IF(COUNTIFS(allFYsTable[Code], SummaryTable[[#This Row],[Code]], allFYsTable[year2], AQ$3)=0, NotFound, SUMIFS(allFYsTable[DiffAmount], allFYsTable[Code], SummaryTable[[#This Row],[Code]], allFYsTable[year2], AQ$3))</f>
        <v>212</v>
      </c>
      <c r="AW129" s="63">
        <f>IF(SummaryTable[[#This Row],[OriginalBudget23]]=0, IF(SummaryTable[[#This Row],[DiffAmount23]]=0, ZeroBudgetNoSpending, ZeroBudgetWithSpending), SummaryTable[[#This Row],[DiffAmount23]]/SummaryTable[[#This Row],[OriginalBudget23]])</f>
        <v>2.2076204558944506E-3</v>
      </c>
      <c r="AX129" s="62">
        <f>IF(COUNTIFS(allFYsTable[Code], SummaryTable[[#This Row],[Code]], allFYsTable[year2], AX$3)=0, NotFound, SUMIFS(allFYsTable[OriginalBudget], allFYsTable[Code], SummaryTable[[#This Row],[Code]], allFYsTable[year2], AX$3))</f>
        <v>92874</v>
      </c>
      <c r="AY129" s="61">
        <f>SummaryTable[[#This Row],[OriginalBudget22]]-SummaryTable[[#This Row],[OriginalBudget21]]</f>
        <v>2571</v>
      </c>
      <c r="AZ129" s="54">
        <f>SummaryTable[[#This Row],[BudgetIncreaseAmount22]]/SummaryTable[[#This Row],[OriginalBudget21]]</f>
        <v>2.8470814923092256E-2</v>
      </c>
      <c r="BA129" s="61">
        <f>IF(COUNTIFS(allFYsTable[Code], SummaryTable[[#This Row],[Code]], allFYsTable[year2], AX$3)=0, NotFound, SUMIFS(allFYsTable[RevisedBudget], allFYsTable[Code], SummaryTable[[#This Row],[Code]], allFYsTable[year2], AX$3))</f>
        <v>93642</v>
      </c>
      <c r="BB129" s="61">
        <f>IF(COUNTIFS(allFYsTable[Code], SummaryTable[[#This Row],[Code]], allFYsTable[year2], AX$3)=0, NotFound, SUMIFS(allFYsTable[Actual], allFYsTable[Code], SummaryTable[[#This Row],[Code]], allFYsTable[year2], AX$3))</f>
        <v>93586</v>
      </c>
      <c r="BC129" s="61">
        <f>IF(COUNTIFS(allFYsTable[Code], SummaryTable[[#This Row],[Code]], allFYsTable[year2], AX$3)=0, NotFound, SUMIFS(allFYsTable[DiffAmount], allFYsTable[Code], SummaryTable[[#This Row],[Code]], allFYsTable[year2], AX$3))</f>
        <v>712</v>
      </c>
      <c r="BD129" s="63">
        <f>IF(SummaryTable[[#This Row],[OriginalBudget22]]=0, IF(SummaryTable[[#This Row],[DiffAmount22]]=0, ZeroBudgetNoSpending, ZeroBudgetWithSpending), SummaryTable[[#This Row],[DiffAmount22]]/SummaryTable[[#This Row],[OriginalBudget22]])</f>
        <v>7.6663005792794543E-3</v>
      </c>
      <c r="BE129" s="62">
        <f>IF(COUNTIFS(allFYsTable[Code], SummaryTable[[#This Row],[Code]], allFYsTable[year2], BE$3)=0, NotFound, SUMIFS(allFYsTable[OriginalBudget], allFYsTable[Code], SummaryTable[[#This Row],[Code]], allFYsTable[year2], BE$3))</f>
        <v>90303</v>
      </c>
      <c r="BF129" s="61">
        <f>SummaryTable[[#This Row],[OriginalBudget21]]-SummaryTable[[#This Row],[OriginalBudget20]]</f>
        <v>0</v>
      </c>
      <c r="BG129" s="54">
        <f>SummaryTable[[#This Row],[BudgetIncreaseAmount21]]/SummaryTable[[#This Row],[OriginalBudget20]]</f>
        <v>0</v>
      </c>
      <c r="BH129" s="61">
        <f>IF(COUNTIFS(allFYsTable[Code], SummaryTable[[#This Row],[Code]], allFYsTable[year2], BE$3)=0, NotFound, SUMIFS(allFYsTable[RevisedBudget], allFYsTable[Code], SummaryTable[[#This Row],[Code]], allFYsTable[year2], BE$3))</f>
        <v>90833</v>
      </c>
      <c r="BI129" s="61">
        <f>IF(COUNTIFS(allFYsTable[Code], SummaryTable[[#This Row],[Code]], allFYsTable[year2], BE$3)=0, NotFound, SUMIFS(allFYsTable[Actual], allFYsTable[Code], SummaryTable[[#This Row],[Code]], allFYsTable[year2], BE$3))</f>
        <v>90833</v>
      </c>
      <c r="BJ129" s="61">
        <f>IF(COUNTIFS(allFYsTable[Code], SummaryTable[[#This Row],[Code]], allFYsTable[year2], BE$3)=0, NotFound, SUMIFS(allFYsTable[DiffAmount], allFYsTable[Code], SummaryTable[[#This Row],[Code]], allFYsTable[year2], BE$3))</f>
        <v>530</v>
      </c>
      <c r="BK129" s="63">
        <f>IF(SummaryTable[[#This Row],[OriginalBudget21]]=0, IF(SummaryTable[[#This Row],[DiffAmount21]]=0, ZeroBudgetNoSpending, ZeroBudgetWithSpending), SummaryTable[[#This Row],[DiffAmount21]]/SummaryTable[[#This Row],[OriginalBudget21]])</f>
        <v>5.8691294862850624E-3</v>
      </c>
      <c r="BL129" s="62">
        <f>IF(COUNTIFS(allFYsTable[Code], SummaryTable[[#This Row],[Code]], allFYsTable[year2], BL$3)=0, NotFound, SUMIFS(allFYsTable[OriginalBudget], allFYsTable[Code], SummaryTable[[#This Row],[Code]], allFYsTable[year2], BL$3))</f>
        <v>90303</v>
      </c>
      <c r="BM129" s="61">
        <f>SummaryTable[[#This Row],[OriginalBudget20]]-SummaryTable[[#This Row],[OriginalBudget19]]</f>
        <v>2950</v>
      </c>
      <c r="BN129" s="54">
        <f>SummaryTable[[#This Row],[BudgetIncreaseAmount20]]/SummaryTable[[#This Row],[OriginalBudget19]]</f>
        <v>3.3771021029615468E-2</v>
      </c>
      <c r="BO129" s="61">
        <f>IF(COUNTIFS(allFYsTable[Code], SummaryTable[[#This Row],[Code]], allFYsTable[year2], BL$3)=0, NotFound, SUMIFS(allFYsTable[RevisedBudget], allFYsTable[Code], SummaryTable[[#This Row],[Code]], allFYsTable[year2], BL$3))</f>
        <v>89123</v>
      </c>
      <c r="BP129" s="61">
        <f>IF(COUNTIFS(allFYsTable[Code], SummaryTable[[#This Row],[Code]], allFYsTable[year2], BL$3)=0, NotFound, SUMIFS(allFYsTable[Actual], allFYsTable[Code], SummaryTable[[#This Row],[Code]], allFYsTable[year2], BL$3))</f>
        <v>89123</v>
      </c>
      <c r="BQ129" s="61">
        <f>IF(COUNTIFS(allFYsTable[Code], SummaryTable[[#This Row],[Code]], allFYsTable[year2], BL$3)=0, NotFound, SUMIFS(allFYsTable[DiffAmount], allFYsTable[Code], SummaryTable[[#This Row],[Code]], allFYsTable[year2], BL$3))</f>
        <v>-1180</v>
      </c>
      <c r="BR129" s="63">
        <f>IF(SummaryTable[[#This Row],[OriginalBudget20]]=0, IF(SummaryTable[[#This Row],[DiffAmount20]]=0, ZeroBudgetNoSpending, ZeroBudgetWithSpending), SummaryTable[[#This Row],[DiffAmount20]]/SummaryTable[[#This Row],[OriginalBudget20]])</f>
        <v>-1.3067118478898819E-2</v>
      </c>
      <c r="BS129" s="62">
        <f>IF(COUNTIFS(allFYsTable[Code], SummaryTable[[#This Row],[Code]], allFYsTable[year2], BS$3)=0, NotFound, SUMIFS(allFYsTable[OriginalBudget], allFYsTable[Code], SummaryTable[[#This Row],[Code]], allFYsTable[year2], BS$3))</f>
        <v>87353</v>
      </c>
      <c r="BT129" s="61">
        <f>SummaryTable[[#This Row],[OriginalBudget19]]-SummaryTable[[#This Row],[OriginalBudget18]]</f>
        <v>9173</v>
      </c>
      <c r="BU129" s="54">
        <f>SummaryTable[[#This Row],[BudgetIncreaseAmount19]]/SummaryTable[[#This Row],[OriginalBudget18]]</f>
        <v>0.1173317984139166</v>
      </c>
      <c r="BV129" s="61">
        <f>IF(COUNTIFS(allFYsTable[Code], SummaryTable[[#This Row],[Code]], allFYsTable[year2], BS$3)=0, NotFound, SUMIFS(allFYsTable[RevisedBudget], allFYsTable[Code], SummaryTable[[#This Row],[Code]], allFYsTable[year2], BS$3))</f>
        <v>89003</v>
      </c>
      <c r="BW129" s="61">
        <f>IF(COUNTIFS(allFYsTable[Code], SummaryTable[[#This Row],[Code]], allFYsTable[year2], BS$3)=0, NotFound, SUMIFS(allFYsTable[Actual], allFYsTable[Code], SummaryTable[[#This Row],[Code]], allFYsTable[year2], BS$3))</f>
        <v>89003</v>
      </c>
      <c r="BX129" s="61">
        <f>IF(COUNTIFS(allFYsTable[Code], SummaryTable[[#This Row],[Code]], allFYsTable[year2], BS$3)=0, NotFound, SUMIFS(allFYsTable[DiffAmount], allFYsTable[Code], SummaryTable[[#This Row],[Code]], allFYsTable[year2], BS$3))</f>
        <v>1650</v>
      </c>
      <c r="BY129" s="63">
        <f>IF(SummaryTable[[#This Row],[OriginalBudget19]]=0, IF(SummaryTable[[#This Row],[DiffAmount19]]=0, ZeroBudgetNoSpending, ZeroBudgetWithSpending), SummaryTable[[#This Row],[DiffAmount19]]/SummaryTable[[#This Row],[OriginalBudget19]])</f>
        <v>1.8888876169106956E-2</v>
      </c>
      <c r="BZ129" s="62">
        <f>IF(COUNTIFS(allFYsTable[Code], SummaryTable[[#This Row],[Code]], allFYsTable[year2], BZ$3)=0, NotFound, SUMIFS(allFYsTable[OriginalBudget], allFYsTable[Code], SummaryTable[[#This Row],[Code]], allFYsTable[year2], BZ$3))</f>
        <v>78180</v>
      </c>
      <c r="CA129" s="61">
        <f>SummaryTable[[#This Row],[OriginalBudget18]]-SummaryTable[[#This Row],[OriginalBudget17]]</f>
        <v>1500</v>
      </c>
      <c r="CB129" s="54">
        <f>SummaryTable[[#This Row],[BudgetIncreaseAmount18]]/SummaryTable[[#This Row],[OriginalBudget17]]</f>
        <v>1.9561815336463225E-2</v>
      </c>
      <c r="CC129" s="61">
        <f>IF(COUNTIFS(allFYsTable[Code], SummaryTable[[#This Row],[Code]], allFYsTable[year2], BZ$3)=0, NotFound, SUMIFS(allFYsTable[RevisedBudget], allFYsTable[Code], SummaryTable[[#This Row],[Code]], allFYsTable[year2], BZ$3))</f>
        <v>80000</v>
      </c>
      <c r="CD129" s="61">
        <f>IF(COUNTIFS(allFYsTable[Code], SummaryTable[[#This Row],[Code]], allFYsTable[year2], BZ$3)=0, NotFound, SUMIFS(allFYsTable[Actual], allFYsTable[Code], SummaryTable[[#This Row],[Code]], allFYsTable[year2], BZ$3))</f>
        <v>80000</v>
      </c>
      <c r="CE129" s="61">
        <f>IF(COUNTIFS(allFYsTable[Code], SummaryTable[[#This Row],[Code]], allFYsTable[year2], BZ$3)=0, NotFound, SUMIFS(allFYsTable[DiffAmount], allFYsTable[Code], SummaryTable[[#This Row],[Code]], allFYsTable[year2], BZ$3))</f>
        <v>1820</v>
      </c>
      <c r="CF129" s="63">
        <f>IF(SummaryTable[[#This Row],[OriginalBudget18]]=0, IF(SummaryTable[[#This Row],[DiffAmount18]]=0, ZeroBudgetNoSpending, ZeroBudgetWithSpending), SummaryTable[[#This Row],[DiffAmount18]]/SummaryTable[[#This Row],[OriginalBudget18]])</f>
        <v>2.3279611153747763E-2</v>
      </c>
      <c r="CG129" s="62">
        <f>IF(COUNTIFS(allFYsTable[Code], SummaryTable[[#This Row],[Code]], allFYsTable[year2], CG$3)=0, NotFound, SUMIFS(allFYsTable[OriginalBudget], allFYsTable[Code], SummaryTable[[#This Row],[Code]], allFYsTable[year2], CG$3))</f>
        <v>76680</v>
      </c>
      <c r="CH129" s="61">
        <f>SummaryTable[[#This Row],[OriginalBudget17]]-SummaryTable[[#This Row],[OriginalBudget16]]</f>
        <v>5738</v>
      </c>
      <c r="CI129" s="54">
        <f>SummaryTable[[#This Row],[BudgetIncreaseAmount17]]/SummaryTable[[#This Row],[OriginalBudget16]]</f>
        <v>8.088297482450453E-2</v>
      </c>
      <c r="CJ129" s="61">
        <f>IF(COUNTIFS(allFYsTable[Code], SummaryTable[[#This Row],[Code]], allFYsTable[year2], CG$3)=0, NotFound, SUMIFS(allFYsTable[RevisedBudget], allFYsTable[Code], SummaryTable[[#This Row],[Code]], allFYsTable[year2], CG$3))</f>
        <v>77671</v>
      </c>
      <c r="CK129" s="61">
        <f>IF(COUNTIFS(allFYsTable[Code], SummaryTable[[#This Row],[Code]], allFYsTable[year2], CG$3)=0, NotFound, SUMIFS(allFYsTable[Actual], allFYsTable[Code], SummaryTable[[#This Row],[Code]], allFYsTable[year2], CG$3))</f>
        <v>77671</v>
      </c>
      <c r="CL129" s="61">
        <f>IF(COUNTIFS(allFYsTable[Code], SummaryTable[[#This Row],[Code]], allFYsTable[year2], CG$3)=0, NotFound, SUMIFS(allFYsTable[DiffAmount], allFYsTable[Code], SummaryTable[[#This Row],[Code]], allFYsTable[year2], CG$3))</f>
        <v>991</v>
      </c>
      <c r="CM129" s="63">
        <f>IF(SummaryTable[[#This Row],[OriginalBudget17]]=0, IF(SummaryTable[[#This Row],[DiffAmount17]]=0, ZeroBudgetNoSpending, ZeroBudgetWithSpending), SummaryTable[[#This Row],[DiffAmount17]]/SummaryTable[[#This Row],[OriginalBudget17]])</f>
        <v>1.2923839332290037E-2</v>
      </c>
      <c r="CN129" s="62">
        <f>IF(COUNTIFS(allFYsTable[Code], SummaryTable[[#This Row],[Code]], allFYsTable[year2], CN$3)=0, NotFound, SUMIFS(allFYsTable[OriginalBudget], allFYsTable[Code], SummaryTable[[#This Row],[Code]], allFYsTable[year2], CN$3))</f>
        <v>70942</v>
      </c>
      <c r="CO129" s="61">
        <f>SummaryTable[[#This Row],[OriginalBudget16]]-SummaryTable[[#This Row],[OriginalBudget15]]</f>
        <v>-1516</v>
      </c>
      <c r="CP129" s="54">
        <f>SummaryTable[[#This Row],[BudgetIncreaseAmount16]]/SummaryTable[[#This Row],[OriginalBudget15]]</f>
        <v>-2.0922465428248087E-2</v>
      </c>
      <c r="CQ129" s="61">
        <f>IF(COUNTIFS(allFYsTable[Code], SummaryTable[[#This Row],[Code]], allFYsTable[year2], CN$3)=0, NotFound, SUMIFS(allFYsTable[RevisedBudget], allFYsTable[Code], SummaryTable[[#This Row],[Code]], allFYsTable[year2], CN$3))</f>
        <v>71942</v>
      </c>
      <c r="CR129" s="61">
        <f>IF(COUNTIFS(allFYsTable[Code], SummaryTable[[#This Row],[Code]], allFYsTable[year2], CN$3)=0, NotFound, SUMIFS(allFYsTable[Actual], allFYsTable[Code], SummaryTable[[#This Row],[Code]], allFYsTable[year2], CN$3))</f>
        <v>71942</v>
      </c>
      <c r="CS129" s="61">
        <f>IF(COUNTIFS(allFYsTable[Code], SummaryTable[[#This Row],[Code]], allFYsTable[year2], CN$3)=0, NotFound, SUMIFS(allFYsTable[DiffAmount], allFYsTable[Code], SummaryTable[[#This Row],[Code]], allFYsTable[year2], CN$3))</f>
        <v>1000</v>
      </c>
      <c r="CT129" s="63">
        <f>IF(SummaryTable[[#This Row],[OriginalBudget16]]=0, IF(SummaryTable[[#This Row],[DiffAmount16]]=0, ZeroBudgetNoSpending, ZeroBudgetWithSpending), SummaryTable[[#This Row],[DiffAmount16]]/SummaryTable[[#This Row],[OriginalBudget16]])</f>
        <v>1.4096022102562656E-2</v>
      </c>
      <c r="CU129" s="62">
        <f>IF(COUNTIFS(allFYsTable[Code], SummaryTable[[#This Row],[Code]], allFYsTable[year2], CU$3)=0, NotFound, SUMIFS(allFYsTable[OriginalBudget], allFYsTable[Code], SummaryTable[[#This Row],[Code]], allFYsTable[year2], CU$3))</f>
        <v>72458</v>
      </c>
      <c r="CV129" s="61">
        <f>SummaryTable[[#This Row],[OriginalBudget15]]-SummaryTable[[#This Row],[OriginalBudget14]]</f>
        <v>5767</v>
      </c>
      <c r="CW129" s="54">
        <f>SummaryTable[[#This Row],[BudgetIncreaseAmount15]]/SummaryTable[[#This Row],[OriginalBudget14]]</f>
        <v>8.6473437195423664E-2</v>
      </c>
      <c r="CX129" s="61">
        <f>IF(COUNTIFS(allFYsTable[Code], SummaryTable[[#This Row],[Code]], allFYsTable[year2], CU$3)=0, NotFound, SUMIFS(allFYsTable[RevisedBudget], allFYsTable[Code], SummaryTable[[#This Row],[Code]], allFYsTable[year2], CU$3))</f>
        <v>73458</v>
      </c>
      <c r="CY129" s="61">
        <f>IF(COUNTIFS(allFYsTable[Code], SummaryTable[[#This Row],[Code]], allFYsTable[year2], CU$3)=0, NotFound, SUMIFS(allFYsTable[Actual], allFYsTable[Code], SummaryTable[[#This Row],[Code]], allFYsTable[year2], CU$3))</f>
        <v>73458</v>
      </c>
      <c r="CZ129" s="61">
        <f>IF(COUNTIFS(allFYsTable[Code], SummaryTable[[#This Row],[Code]], allFYsTable[year2], CU$3)=0, NotFound, SUMIFS(allFYsTable[DiffAmount], allFYsTable[Code], SummaryTable[[#This Row],[Code]], allFYsTable[year2], CU$3))</f>
        <v>1000</v>
      </c>
      <c r="DA129" s="63">
        <f>IF(SummaryTable[[#This Row],[OriginalBudget15]]=0, IF(SummaryTable[[#This Row],[DiffAmount15]]=0, ZeroBudgetNoSpending, ZeroBudgetWithSpending), SummaryTable[[#This Row],[DiffAmount15]]/SummaryTable[[#This Row],[OriginalBudget15]])</f>
        <v>1.3801098567445968E-2</v>
      </c>
      <c r="DB129" s="62">
        <f>IF(COUNTIFS(allFYsTable[Code], SummaryTable[[#This Row],[Code]], allFYsTable[year2], DB$3)=0, NotFound, SUMIFS(allFYsTable[OriginalBudget], allFYsTable[Code], SummaryTable[[#This Row],[Code]], allFYsTable[year2], DB$3))</f>
        <v>66691</v>
      </c>
      <c r="DC129" s="61">
        <f>SummaryTable[[#This Row],[OriginalBudget14]]-SummaryTable[[#This Row],[OriginalBudget13]]</f>
        <v>1736</v>
      </c>
      <c r="DD129" s="54">
        <f>SummaryTable[[#This Row],[BudgetIncreaseAmount14]]/SummaryTable[[#This Row],[OriginalBudget13]]</f>
        <v>2.6726195058117158E-2</v>
      </c>
      <c r="DE129" s="61">
        <f>IF(COUNTIFS(allFYsTable[Code], SummaryTable[[#This Row],[Code]], allFYsTable[year2], DB$3)=0, NotFound, SUMIFS(allFYsTable[RevisedBudget], allFYsTable[Code], SummaryTable[[#This Row],[Code]], allFYsTable[year2], DB$3))</f>
        <v>66691</v>
      </c>
      <c r="DF129" s="61">
        <f>IF(COUNTIFS(allFYsTable[Code], SummaryTable[[#This Row],[Code]], allFYsTable[year2], DB$3)=0, NotFound, SUMIFS(allFYsTable[Actual], allFYsTable[Code], SummaryTable[[#This Row],[Code]], allFYsTable[year2], DB$3))</f>
        <v>66691</v>
      </c>
      <c r="DG129" s="61">
        <f>IF(COUNTIFS(allFYsTable[Code], SummaryTable[[#This Row],[Code]], allFYsTable[year2], DB$3)=0, NotFound, SUMIFS(allFYsTable[DiffAmount], allFYsTable[Code], SummaryTable[[#This Row],[Code]], allFYsTable[year2], DB$3))</f>
        <v>0</v>
      </c>
      <c r="DH129" s="63">
        <f>IF(SummaryTable[[#This Row],[OriginalBudget14]]=0, IF(SummaryTable[[#This Row],[DiffAmount14]]=0, ZeroBudgetNoSpending, ZeroBudgetWithSpending), SummaryTable[[#This Row],[DiffAmount14]]/SummaryTable[[#This Row],[OriginalBudget14]])</f>
        <v>0</v>
      </c>
      <c r="DI129" s="62">
        <f>IF(COUNTIFS(allFYsTable[Code], SummaryTable[[#This Row],[Code]], allFYsTable[year2], DI$3)=0, NotFound, SUMIFS(allFYsTable[OriginalBudget], allFYsTable[Code], SummaryTable[[#This Row],[Code]], allFYsTable[year2], DI$3))</f>
        <v>64955</v>
      </c>
      <c r="DJ129" s="61">
        <f>SummaryTable[[#This Row],[OriginalBudget13]]-SummaryTable[[#This Row],[OriginalBudget12]]</f>
        <v>774</v>
      </c>
      <c r="DK129" s="54">
        <f>SummaryTable[[#This Row],[BudgetIncreaseAmount13]]/SummaryTable[[#This Row],[OriginalBudget12]]</f>
        <v>1.2059643819822066E-2</v>
      </c>
      <c r="DL129" s="61">
        <f>IF(COUNTIFS(allFYsTable[Code], SummaryTable[[#This Row],[Code]], allFYsTable[year2], DI$3)=0, NotFound, SUMIFS(allFYsTable[RevisedBudget], allFYsTable[Code], SummaryTable[[#This Row],[Code]], allFYsTable[year2], DI$3))</f>
        <v>65555</v>
      </c>
      <c r="DM129" s="61">
        <f>IF(COUNTIFS(allFYsTable[Code], SummaryTable[[#This Row],[Code]], allFYsTable[year2], DI$3)=0, NotFound, SUMIFS(allFYsTable[Actual], allFYsTable[Code], SummaryTable[[#This Row],[Code]], allFYsTable[year2], DI$3))</f>
        <v>65555</v>
      </c>
      <c r="DN129" s="61">
        <f>IF(COUNTIFS(allFYsTable[Code], SummaryTable[[#This Row],[Code]], allFYsTable[year2], DI$3)=0, NotFound, SUMIFS(allFYsTable[DiffAmount], allFYsTable[Code], SummaryTable[[#This Row],[Code]], allFYsTable[year2], DI$3))</f>
        <v>600</v>
      </c>
      <c r="DO129" s="63">
        <f>IF(SummaryTable[[#This Row],[OriginalBudget13]]=0, IF(SummaryTable[[#This Row],[DiffAmount13]]=0, ZeroBudgetNoSpending, ZeroBudgetWithSpending), SummaryTable[[#This Row],[DiffAmount13]]/SummaryTable[[#This Row],[OriginalBudget13]])</f>
        <v>9.237164190593488E-3</v>
      </c>
      <c r="DP129" s="62">
        <f>IF(COUNTIFS(allFYsTable[Code], SummaryTable[[#This Row],[Code]], allFYsTable[year2], DP$3)=0, NotFound, SUMIFS(allFYsTable[OriginalBudget], allFYsTable[Code], SummaryTable[[#This Row],[Code]], allFYsTable[year2], DP$3))</f>
        <v>64181</v>
      </c>
      <c r="DQ129" s="61">
        <f>SummaryTable[[#This Row],[OriginalBudget12]]-SummaryTable[[#This Row],[OriginalBudget11]]</f>
        <v>1261</v>
      </c>
      <c r="DR129" s="54">
        <f>SummaryTable[[#This Row],[BudgetIncreaseAmount12]]/SummaryTable[[#This Row],[OriginalBudget11]]</f>
        <v>2.0041322314049585E-2</v>
      </c>
      <c r="DS129" s="61">
        <f>IF(COUNTIFS(allFYsTable[Code], SummaryTable[[#This Row],[Code]], allFYsTable[year2], DP$3)=0, NotFound, SUMIFS(allFYsTable[RevisedBudget], allFYsTable[Code], SummaryTable[[#This Row],[Code]], allFYsTable[year2], DP$3))</f>
        <v>67362</v>
      </c>
      <c r="DT129" s="61">
        <f>IF(COUNTIFS(allFYsTable[Code], SummaryTable[[#This Row],[Code]], allFYsTable[year2], DP$3)=0, NotFound, SUMIFS(allFYsTable[Actual], allFYsTable[Code], SummaryTable[[#This Row],[Code]], allFYsTable[year2], DP$3))</f>
        <v>67362</v>
      </c>
      <c r="DU129" s="61">
        <f>IF(COUNTIFS(allFYsTable[Code], SummaryTable[[#This Row],[Code]], allFYsTable[year2], DP$3)=0, NotFound, SUMIFS(allFYsTable[DiffAmount], allFYsTable[Code], SummaryTable[[#This Row],[Code]], allFYsTable[year2], DP$3))</f>
        <v>3181</v>
      </c>
      <c r="DV129" s="63">
        <f>IF(SummaryTable[[#This Row],[OriginalBudget12]]=0, IF(SummaryTable[[#This Row],[DiffAmount12]]=0, ZeroBudgetNoSpending, ZeroBudgetWithSpending), SummaryTable[[#This Row],[DiffAmount12]]/SummaryTable[[#This Row],[OriginalBudget12]])</f>
        <v>4.9562954768545206E-2</v>
      </c>
      <c r="DW129" s="62">
        <f>IF(COUNTIFS(allFYsTable[Code], SummaryTable[[#This Row],[Code]], allFYsTable[year2], DW$3)=0, NotFound, SUMIFS(allFYsTable[OriginalBudget], allFYsTable[Code], SummaryTable[[#This Row],[Code]], allFYsTable[year2], DW$3))</f>
        <v>62920</v>
      </c>
      <c r="DX129" s="61">
        <f>SummaryTable[[#This Row],[OriginalBudget11]]-SummaryTable[[#This Row],[OriginalBudget10]]</f>
        <v>850</v>
      </c>
      <c r="DY129" s="54">
        <f>SummaryTable[[#This Row],[BudgetIncreaseAmount11]]/SummaryTable[[#This Row],[OriginalBudget10]]</f>
        <v>1.3694216207507652E-2</v>
      </c>
      <c r="DZ129" s="61">
        <f>IF(COUNTIFS(allFYsTable[Code], SummaryTable[[#This Row],[Code]], allFYsTable[year2], DW$3)=0, NotFound, SUMIFS(allFYsTable[RevisedBudget], allFYsTable[Code], SummaryTable[[#This Row],[Code]], allFYsTable[year2], DW$3))</f>
        <v>66420</v>
      </c>
      <c r="EA129" s="61">
        <f>IF(COUNTIFS(allFYsTable[Code], SummaryTable[[#This Row],[Code]], allFYsTable[year2], DW$3)=0, NotFound, SUMIFS(allFYsTable[Actual], allFYsTable[Code], SummaryTable[[#This Row],[Code]], allFYsTable[year2], DW$3))</f>
        <v>66420</v>
      </c>
      <c r="EB129" s="61">
        <f>IF(COUNTIFS(allFYsTable[Code], SummaryTable[[#This Row],[Code]], allFYsTable[year2], DW$3)=0, NotFound, SUMIFS(allFYsTable[DiffAmount], allFYsTable[Code], SummaryTable[[#This Row],[Code]], allFYsTable[year2], DW$3))</f>
        <v>3500</v>
      </c>
      <c r="EC129" s="63">
        <f>IF(SummaryTable[[#This Row],[OriginalBudget11]]=0, IF(SummaryTable[[#This Row],[DiffAmount11]]=0, ZeroBudgetNoSpending, ZeroBudgetWithSpending), SummaryTable[[#This Row],[DiffAmount11]]/SummaryTable[[#This Row],[OriginalBudget11]])</f>
        <v>5.5626191989828357E-2</v>
      </c>
      <c r="ED129" s="62">
        <f>IF(COUNTIFS(allFYsTable[Code], SummaryTable[[#This Row],[Code]], allFYsTable[year2], ED$3)=0, NotFound, SUMIFS(allFYsTable[OriginalBudget], allFYsTable[Code], SummaryTable[[#This Row],[Code]], allFYsTable[year2], ED$3))</f>
        <v>62070</v>
      </c>
      <c r="EE129" s="61">
        <f>SummaryTable[[#This Row],[OriginalBudget10]]-SummaryTable[[#This Row],[OriginalBudget09]]</f>
        <v>0</v>
      </c>
      <c r="EF129" s="54">
        <f>SummaryTable[[#This Row],[BudgetIncreaseAmount10]]/SummaryTable[[#This Row],[OriginalBudget09]]</f>
        <v>0</v>
      </c>
      <c r="EG129" s="61">
        <f>IF(COUNTIFS(allFYsTable[Code], SummaryTable[[#This Row],[Code]], allFYsTable[year2], ED$3)=0, NotFound, SUMIFS(allFYsTable[RevisedBudget], allFYsTable[Code], SummaryTable[[#This Row],[Code]], allFYsTable[year2], ED$3))</f>
        <v>62070</v>
      </c>
      <c r="EH129" s="61">
        <f>IF(COUNTIFS(allFYsTable[Code], SummaryTable[[#This Row],[Code]], allFYsTable[year2], ED$3)=0, NotFound, SUMIFS(allFYsTable[Actual], allFYsTable[Code], SummaryTable[[#This Row],[Code]], allFYsTable[year2], ED$3))</f>
        <v>62070</v>
      </c>
      <c r="EI129" s="61">
        <f>IF(COUNTIFS(allFYsTable[Code], SummaryTable[[#This Row],[Code]], allFYsTable[year2], ED$3)=0, NotFound, SUMIFS(allFYsTable[DiffAmount], allFYsTable[Code], SummaryTable[[#This Row],[Code]], allFYsTable[year2], ED$3))</f>
        <v>0</v>
      </c>
      <c r="EJ129" s="63">
        <f>IF(SummaryTable[[#This Row],[OriginalBudget10]]=0, IF(SummaryTable[[#This Row],[DiffAmount10]]=0, ZeroBudgetNoSpending, ZeroBudgetWithSpending), SummaryTable[[#This Row],[DiffAmount10]]/SummaryTable[[#This Row],[OriginalBudget10]])</f>
        <v>0</v>
      </c>
      <c r="EK129" s="62">
        <f>IF(COUNTIFS(allFYsTable[Code], SummaryTable[[#This Row],[Code]], allFYsTable[year2], EK$3)=0, NotFound, SUMIFS(allFYsTable[OriginalBudget], allFYsTable[Code], SummaryTable[[#This Row],[Code]], allFYsTable[year2], EK$3))</f>
        <v>62070</v>
      </c>
      <c r="EL129" s="61">
        <f>SummaryTable[[#This Row],[OriginalBudget09]]-SummaryTable[[#This Row],[OriginalBudget08]]</f>
        <v>-500</v>
      </c>
      <c r="EM129" s="54">
        <f>SummaryTable[[#This Row],[BudgetIncreaseAmount09]]/SummaryTable[[#This Row],[OriginalBudget08]]</f>
        <v>-7.9910500239731494E-3</v>
      </c>
      <c r="EN129" s="61">
        <f>IF(COUNTIFS(allFYsTable[Code], SummaryTable[[#This Row],[Code]], allFYsTable[year2], EK$3)=0, NotFound, SUMIFS(allFYsTable[RevisedBudget], allFYsTable[Code], SummaryTable[[#This Row],[Code]], allFYsTable[year2], EK$3))</f>
        <v>62070</v>
      </c>
      <c r="EO129" s="61">
        <f>IF(COUNTIFS(allFYsTable[Code], SummaryTable[[#This Row],[Code]], allFYsTable[year2], EK$3)=0, NotFound, SUMIFS(allFYsTable[Actual], allFYsTable[Code], SummaryTable[[#This Row],[Code]], allFYsTable[year2], EK$3))</f>
        <v>62070</v>
      </c>
      <c r="EP129" s="61">
        <f>IF(COUNTIFS(allFYsTable[Code], SummaryTable[[#This Row],[Code]], allFYsTable[year2], EK$3)=0, NotFound, SUMIFS(allFYsTable[DiffAmount], allFYsTable[Code], SummaryTable[[#This Row],[Code]], allFYsTable[year2], EK$3))</f>
        <v>0</v>
      </c>
      <c r="EQ129" s="63">
        <f>IF(SummaryTable[[#This Row],[OriginalBudget09]]=0, IF(SummaryTable[[#This Row],[DiffAmount09]]=0, ZeroBudgetNoSpending, ZeroBudgetWithSpending), SummaryTable[[#This Row],[DiffAmount09]]/SummaryTable[[#This Row],[OriginalBudget09]])</f>
        <v>0</v>
      </c>
      <c r="ER129" s="62">
        <f>IF(COUNTIFS(allFYsTable[Code], SummaryTable[[#This Row],[Code]], allFYsTable[year2], ER$3)=0, NotFound, SUMIFS(allFYsTable[OriginalBudget], allFYsTable[Code], SummaryTable[[#This Row],[Code]], allFYsTable[year2], ER$3))</f>
        <v>62570</v>
      </c>
      <c r="ES129" s="61">
        <f>SummaryTable[[#This Row],[OriginalBudget08]]-SummaryTable[[#This Row],[OriginalBudget07]]</f>
        <v>3024</v>
      </c>
      <c r="ET129" s="54">
        <f>SummaryTable[[#This Row],[BudgetIncreaseAmount08]]/SummaryTable[[#This Row],[OriginalBudget07]]</f>
        <v>5.078426762502939E-2</v>
      </c>
      <c r="EU129" s="61">
        <f>IF(COUNTIFS(allFYsTable[Code], SummaryTable[[#This Row],[Code]], allFYsTable[year2], ER$3)=0, NotFound, SUMIFS(allFYsTable[RevisedBudget], allFYsTable[Code], SummaryTable[[#This Row],[Code]], allFYsTable[year2], ER$3))</f>
        <v>62770</v>
      </c>
      <c r="EV129" s="61">
        <f>IF(COUNTIFS(allFYsTable[Code], SummaryTable[[#This Row],[Code]], allFYsTable[year2], ER$3)=0, NotFound, SUMIFS(allFYsTable[Actual], allFYsTable[Code], SummaryTable[[#This Row],[Code]], allFYsTable[year2], ER$3))</f>
        <v>62770</v>
      </c>
      <c r="EW129" s="61">
        <f>IF(COUNTIFS(allFYsTable[Code], SummaryTable[[#This Row],[Code]], allFYsTable[year2], ER$3)=0, NotFound, SUMIFS(allFYsTable[DiffAmount], allFYsTable[Code], SummaryTable[[#This Row],[Code]], allFYsTable[year2], ER$3))</f>
        <v>200</v>
      </c>
      <c r="EX129" s="63">
        <f>IF(SummaryTable[[#This Row],[OriginalBudget08]]=0, IF(SummaryTable[[#This Row],[DiffAmount08]]=0, ZeroBudgetNoSpending, ZeroBudgetWithSpending), SummaryTable[[#This Row],[DiffAmount08]]/SummaryTable[[#This Row],[OriginalBudget08]])</f>
        <v>3.1964200095892601E-3</v>
      </c>
      <c r="EY129" s="62">
        <f>IF(COUNTIFS(allFYsTable[Code], SummaryTable[[#This Row],[Code]], allFYsTable[year2], EY$3)=0, NotFound, SUMIFS(allFYsTable[OriginalBudget], allFYsTable[Code], SummaryTable[[#This Row],[Code]], allFYsTable[year2], EY$3))</f>
        <v>59546</v>
      </c>
      <c r="EZ129" s="61">
        <f>SummaryTable[[#This Row],[OriginalBudget07]]-SummaryTable[[#This Row],[OriginalBudget06]]</f>
        <v>1673</v>
      </c>
      <c r="FA129" s="54">
        <f>SummaryTable[[#This Row],[BudgetIncreaseAmount07]]/SummaryTable[[#This Row],[OriginalBudget06]]</f>
        <v>2.8908126414735714E-2</v>
      </c>
      <c r="FB129" s="61">
        <f>IF(COUNTIFS(allFYsTable[Code], SummaryTable[[#This Row],[Code]], allFYsTable[year2], EY$3)=0, NotFound, SUMIFS(allFYsTable[RevisedBudget], allFYsTable[Code], SummaryTable[[#This Row],[Code]], allFYsTable[year2], EY$3))</f>
        <v>62636</v>
      </c>
      <c r="FC129" s="61">
        <f>IF(COUNTIFS(allFYsTable[Code], SummaryTable[[#This Row],[Code]], allFYsTable[year2], EY$3)=0, NotFound, SUMIFS(allFYsTable[Actual], allFYsTable[Code], SummaryTable[[#This Row],[Code]], allFYsTable[year2], EY$3))</f>
        <v>62636</v>
      </c>
      <c r="FD129" s="61">
        <f>IF(COUNTIFS(allFYsTable[Code], SummaryTable[[#This Row],[Code]], allFYsTable[year2], EY$3)=0, NotFound, SUMIFS(allFYsTable[DiffAmount], allFYsTable[Code], SummaryTable[[#This Row],[Code]], allFYsTable[year2], EY$3))</f>
        <v>3090</v>
      </c>
      <c r="FE129" s="63">
        <f>IF(SummaryTable[[#This Row],[OriginalBudget07]]=0, IF(SummaryTable[[#This Row],[DiffAmount07]]=0, ZeroBudgetNoSpending, ZeroBudgetWithSpending), SummaryTable[[#This Row],[DiffAmount07]]/SummaryTable[[#This Row],[OriginalBudget07]])</f>
        <v>5.1892654418432806E-2</v>
      </c>
      <c r="FF129" s="62">
        <f>IF(COUNTIFS(allFYsTable[Code], SummaryTable[[#This Row],[Code]], allFYsTable[year2], FF$3)=0, NotFound, SUMIFS(allFYsTable[OriginalBudget], allFYsTable[Code], SummaryTable[[#This Row],[Code]], allFYsTable[year2], FF$3))</f>
        <v>57873</v>
      </c>
      <c r="FI129" s="61">
        <f>IF(COUNTIFS(allFYsTable[Code], SummaryTable[[#This Row],[Code]], allFYsTable[year2], FF$3)=0, NotFound, SUMIFS(allFYsTable[RevisedBudget], allFYsTable[Code], SummaryTable[[#This Row],[Code]], allFYsTable[year2], FF$3))</f>
        <v>61266</v>
      </c>
      <c r="FJ129" s="61">
        <f>IF(COUNTIFS(allFYsTable[Code], SummaryTable[[#This Row],[Code]], allFYsTable[year2], FF$3)=0, NotFound, SUMIFS(allFYsTable[Actual], allFYsTable[Code], SummaryTable[[#This Row],[Code]], allFYsTable[year2], FF$3))</f>
        <v>61266</v>
      </c>
      <c r="FK129" s="61">
        <f>IF(COUNTIFS(allFYsTable[Code], SummaryTable[[#This Row],[Code]], allFYsTable[year2], FF$3)=0, NotFound, SUMIFS(allFYsTable[DiffAmount], allFYsTable[Code], SummaryTable[[#This Row],[Code]], allFYsTable[year2], FF$3))</f>
        <v>3393</v>
      </c>
      <c r="FL129" s="63">
        <f>IF(SummaryTable[[#This Row],[OriginalBudget06]]=0, IF(SummaryTable[[#This Row],[DiffAmount06]]=0, ZeroBudgetNoSpending, ZeroBudgetWithSpending), SummaryTable[[#This Row],[DiffAmount06]]/SummaryTable[[#This Row],[OriginalBudget06]])</f>
        <v>5.8628375926597892E-2</v>
      </c>
    </row>
    <row r="130" spans="1:168" x14ac:dyDescent="0.45">
      <c r="A130" t="s">
        <v>807</v>
      </c>
      <c r="B130">
        <f>_xlfn.MAXIFS(allFYsTable[year2], allFYsTable[Code], SummaryTable[[#This Row],[Code]])</f>
        <v>2025</v>
      </c>
      <c r="C130" t="str">
        <f>_xlfn.XLOOKUP(SummaryTable[[#This Row],[Code]], NameCodingTable[Code], NameCodingTable[Most Recent Category per allFYs])</f>
        <v>Operations and infrastructure</v>
      </c>
      <c r="D130" t="str">
        <f>_xlfn.XLOOKUP(SummaryTable[[#This Row],[Code]], NameCodingTable[Code], NameCodingTable[Unit Display Name])</f>
        <v>Washington Metropolitan Area Transit Authority</v>
      </c>
      <c r="E130" t="str">
        <f>_xlfn.XLOOKUP(SummaryTable[[#This Row],[Code]], NameCodingTable[Code], NameCodingTable[Type])</f>
        <v>xother</v>
      </c>
      <c r="F13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3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7</v>
      </c>
      <c r="H130" s="54">
        <f>SummaryTable[[#This Row],['# Over]]/SummaryTable[[#This Row],[Count]]</f>
        <v>0.35</v>
      </c>
      <c r="I13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13</v>
      </c>
      <c r="J130" s="54">
        <f>SummaryTable[[#This Row],['# Under]]/SummaryTable[[#This Row],[Count]]</f>
        <v>0.65</v>
      </c>
      <c r="K13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30" s="54">
        <f>SummaryTable[[#This Row],['# Equal]]/SummaryTable[[#This Row],[Count]]</f>
        <v>0</v>
      </c>
      <c r="M130" s="61">
        <f>SUMIFS(allFYsTable[OriginalBudget],allFYsTable[Code],SummaryTable[[#This Row],[Code]])/SummaryTable[[#This Row],[Count]]</f>
        <v>339070.95</v>
      </c>
      <c r="N130" s="61">
        <f>SUMIFS(allFYsTable[Actual],allFYsTable[Code],SummaryTable[[#This Row],[Code]])/SummaryTable[[#This Row],[Count]]</f>
        <v>338548.05</v>
      </c>
      <c r="O130" s="61">
        <f>SummaryTable[[#This Row],[AvgActAmt]]-SummaryTable[[#This Row],[AvgBudAmt]]</f>
        <v>-522.90000000002328</v>
      </c>
      <c r="P130" s="54">
        <f>IF(SummaryTable[[#This Row],[AvgBudAmt]]=0, IF(SummaryTable[[#This Row],[AvgDiff'#]]=0, 0, NamedFields!$C$3), SummaryTable[[#This Row],[AvgDiff'#]]/SummaryTable[[#This Row],[AvgBudAmt]])</f>
        <v>-1.5421551153232775E-3</v>
      </c>
      <c r="Q130" s="61">
        <f>IFERROR(SUMIFS(allFYsTable[OriginalBudget],allFYsTable[Code],SummaryTable[[#This Row],[Code]],allFYsTable[DiffAmount], "&gt;0")/SummaryTable[[#This Row],['# Over]], 0)</f>
        <v>424392.57142857142</v>
      </c>
      <c r="R130" s="61">
        <f>IFERROR(SUMIFS(allFYsTable[Actual],allFYsTable[Code],SummaryTable[[#This Row],[Code]],allFYsTable[DiffAmount], "&gt;0")/SummaryTable[[#This Row],['# Over]], 0)</f>
        <v>433336.42857142858</v>
      </c>
      <c r="S130" s="61">
        <f>SummaryTable[[#This Row],[OverAvgAct]]-SummaryTable[[#This Row],[OverAvgBud]]</f>
        <v>8943.8571428571595</v>
      </c>
      <c r="T130" s="54">
        <f>IF(SummaryTable[[#This Row],[OverAvgBud]]=0, IF(SummaryTable[[#This Row],[OverAvgDiff'#]]=0, ZeroBudgetNoSpending, ZeroBudgetWithSpending), SummaryTable[[#This Row],[OverAvgDiff'#]]/SummaryTable[[#This Row],[OverAvgBud]])</f>
        <v>2.107449033038148E-2</v>
      </c>
      <c r="U130" s="61">
        <f>IFERROR(SUMIFS(allFYsTable[OriginalBudget],allFYsTable[Code],SummaryTable[[#This Row],[Code]],allFYsTable[DiffAmount], "&lt;0")/SummaryTable[[#This Row],['# Under]], 0)</f>
        <v>237862.46153846153</v>
      </c>
      <c r="V130" s="61">
        <f>IFERROR( SUMIFS(allFYsTable[Actual],allFYsTable[Code],SummaryTable[[#This Row],[Code]],allFYsTable[DiffAmount], "&lt;0")/SummaryTable[[#This Row],['# Under]], 0)</f>
        <v>232242.07692307694</v>
      </c>
      <c r="W130" s="61">
        <f>SummaryTable[[#This Row],[UnderAvgAct]]-SummaryTable[[#This Row],[UnderAvgBud]]</f>
        <v>-5620.3846153845952</v>
      </c>
      <c r="X130" s="54">
        <f>IF(SummaryTable[[#This Row],[UnderAvgBud]]=0, IF(SummaryTable[[#This Row],[UnderAvgDiff'#]]=0, ZeroBudgetNoSpending, NamedFields!$C$3), SummaryTable[[#This Row],[UnderAvgDiff'#]]/SummaryTable[[#This Row],[UnderAvgBud]])</f>
        <v>-2.3628716271717379E-2</v>
      </c>
      <c r="Y13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5</v>
      </c>
      <c r="Z13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0" s="54">
        <f>IF(SummaryTable[[#This Row],[IncreaseYears]]=0, ZeroBudgetNoSpending, SummaryTable[[#This Row],[OSinIncreaseYear'#]]/SummaryTable[[#This Row],[IncreaseYears]])</f>
        <v>0</v>
      </c>
      <c r="AB130" s="58" t="str">
        <f>SummaryTable[[#This Row],[Code]]</f>
        <v>KE0</v>
      </c>
      <c r="AC130" s="62">
        <f>IF(COUNTIFS(allFYsTable[Code], SummaryTable[[#This Row],[Code]], allFYsTable[year2], AC$3)=0, NotFound, SUMIFS(allFYsTable[OriginalBudget], allFYsTable[Code], SummaryTable[[#This Row],[Code]], allFYsTable[year2], AC$3))</f>
        <v>686917</v>
      </c>
      <c r="AD130" s="61">
        <f>SummaryTable[[#This Row],[OriginalBudget25]]-SummaryTable[[#This Row],[OriginalBudget24]]</f>
        <v>213875</v>
      </c>
      <c r="AE130" s="54">
        <f>SummaryTable[[#This Row],[BudgetIncreaseAmount25]]/SummaryTable[[#This Row],[OriginalBudget24]]</f>
        <v>0.45212687245529998</v>
      </c>
      <c r="AF130" s="61">
        <f>IF(COUNTIFS(allFYsTable[Code], SummaryTable[[#This Row],[Code]], allFYsTable[year2], AC$3)=0, NotFound, SUMIFS(allFYsTable[RevisedBudget], allFYsTable[Code], SummaryTable[[#This Row],[Code]], allFYsTable[year2], AC$3))</f>
        <v>689724</v>
      </c>
      <c r="AG130" s="61">
        <f>IF(COUNTIFS(allFYsTable[Code], SummaryTable[[#This Row],[Code]], allFYsTable[year2], AC$3)=0, NotFound, SUMIFS(allFYsTable[Actual], allFYsTable[Code], SummaryTable[[#This Row],[Code]], allFYsTable[year2], AC$3))</f>
        <v>688645</v>
      </c>
      <c r="AH130" s="61">
        <f>IF(COUNTIFS(allFYsTable[Code], SummaryTable[[#This Row],[Code]], allFYsTable[year2], AC$3)=0, NotFound, SUMIFS(allFYsTable[DiffAmount], allFYsTable[Code], SummaryTable[[#This Row],[Code]], allFYsTable[year2], AC$3))</f>
        <v>1728</v>
      </c>
      <c r="AI130" s="63">
        <f>IF(SummaryTable[[#This Row],[OriginalBudget25]]=0, IF(SummaryTable[[#This Row],[DiffAmount25]]=0, ZeroBudgetNoSpending, ZeroBudgetWithSpending), SummaryTable[[#This Row],[DiffAmount25]]/SummaryTable[[#This Row],[OriginalBudget25]])</f>
        <v>2.5155877638783145E-3</v>
      </c>
      <c r="AJ130" s="62">
        <f>IF(COUNTIFS(allFYsTable[Code], SummaryTable[[#This Row],[Code]], allFYsTable[year2], AJ$3)=0, NotFound, SUMIFS(allFYsTable[OriginalBudget], allFYsTable[Code], SummaryTable[[#This Row],[Code]], allFYsTable[year2], AJ$3))</f>
        <v>473042</v>
      </c>
      <c r="AK130" s="61">
        <f>SummaryTable[[#This Row],[OriginalBudget24]]-SummaryTable[[#This Row],[OriginalBudget23]]</f>
        <v>12373</v>
      </c>
      <c r="AL130" s="54">
        <f>SummaryTable[[#This Row],[BudgetIncreaseAmount24]]/SummaryTable[[#This Row],[OriginalBudget23]]</f>
        <v>2.6858764101773725E-2</v>
      </c>
      <c r="AM130" s="61">
        <f>IF(COUNTIFS(allFYsTable[Code], SummaryTable[[#This Row],[Code]], allFYsTable[year2], AK$3)=0, NotFound, SUMIFS(allFYsTable[RevisedBudget], allFYsTable[Code], SummaryTable[[#This Row],[Code]], allFYsTable[year2], AJ$3))</f>
        <v>474768</v>
      </c>
      <c r="AN130" s="61">
        <f>IF(COUNTIFS(allFYsTable[Code], SummaryTable[[#This Row],[Code]], allFYsTable[year2], AJ$3)=0, NotFound, SUMIFS(allFYsTable[Actual], allFYsTable[Code], SummaryTable[[#This Row],[Code]], allFYsTable[year2], AJ$3))</f>
        <v>474768</v>
      </c>
      <c r="AO130" s="61">
        <f>IF(COUNTIFS(allFYsTable[Code], SummaryTable[[#This Row],[Code]], allFYsTable[year2], AJ$3)=0, NotFound, SUMIFS(allFYsTable[DiffAmount], allFYsTable[Code], SummaryTable[[#This Row],[Code]], allFYsTable[year2], AJ$3))</f>
        <v>1726</v>
      </c>
      <c r="AP130" s="63">
        <f>IF(SummaryTable[[#This Row],[OriginalBudget24]]=0, IF(SummaryTable[[#This Row],[DiffAmount24]]=0, ZeroBudgetNoSpending, ZeroBudgetWithSpending), SummaryTable[[#This Row],[DiffAmount24]]/SummaryTable[[#This Row],[OriginalBudget24]])</f>
        <v>3.64872463755861E-3</v>
      </c>
      <c r="AQ130" s="62">
        <f>IF(COUNTIFS(allFYsTable[Code], SummaryTable[[#This Row],[Code]], allFYsTable[year2], AQ$3)=0, NotFound, SUMIFS(allFYsTable[OriginalBudget], allFYsTable[Code], SummaryTable[[#This Row],[Code]], allFYsTable[year2], AQ$3))</f>
        <v>460669</v>
      </c>
      <c r="AR130" s="61">
        <f>SummaryTable[[#This Row],[OriginalBudget23]]-SummaryTable[[#This Row],[OriginalBudget22]]</f>
        <v>31144</v>
      </c>
      <c r="AS130" s="54">
        <f>SummaryTable[[#This Row],[BudgetIncreaseAmount23]]/SummaryTable[[#This Row],[OriginalBudget22]]</f>
        <v>7.2508003026599155E-2</v>
      </c>
      <c r="AT130" s="61">
        <f>IF(COUNTIFS(allFYsTable[Code], SummaryTable[[#This Row],[Code]], allFYsTable[year2], AQ$3)=0, NotFound, SUMIFS(allFYsTable[RevisedBudget], allFYsTable[Code], SummaryTable[[#This Row],[Code]], allFYsTable[year2], AQ$3))</f>
        <v>453750</v>
      </c>
      <c r="AU130" s="61">
        <f>IF(COUNTIFS(allFYsTable[Code], SummaryTable[[#This Row],[Code]], allFYsTable[year2], AQ$3)=0, NotFound, SUMIFS(allFYsTable[Actual], allFYsTable[Code], SummaryTable[[#This Row],[Code]], allFYsTable[year2], AQ$3))</f>
        <v>453750</v>
      </c>
      <c r="AV130" s="61">
        <f>IF(COUNTIFS(allFYsTable[Code], SummaryTable[[#This Row],[Code]], allFYsTable[year2], AQ$3)=0, NotFound, SUMIFS(allFYsTable[DiffAmount], allFYsTable[Code], SummaryTable[[#This Row],[Code]], allFYsTable[year2], AQ$3))</f>
        <v>-6919</v>
      </c>
      <c r="AW130" s="63">
        <f>IF(SummaryTable[[#This Row],[OriginalBudget23]]=0, IF(SummaryTable[[#This Row],[DiffAmount23]]=0, ZeroBudgetNoSpending, ZeroBudgetWithSpending), SummaryTable[[#This Row],[DiffAmount23]]/SummaryTable[[#This Row],[OriginalBudget23]])</f>
        <v>-1.5019460827622436E-2</v>
      </c>
      <c r="AX130" s="62">
        <f>IF(COUNTIFS(allFYsTable[Code], SummaryTable[[#This Row],[Code]], allFYsTable[year2], AX$3)=0, NotFound, SUMIFS(allFYsTable[OriginalBudget], allFYsTable[Code], SummaryTable[[#This Row],[Code]], allFYsTable[year2], AX$3))</f>
        <v>429525</v>
      </c>
      <c r="AY130" s="61">
        <f>SummaryTable[[#This Row],[OriginalBudget22]]-SummaryTable[[#This Row],[OriginalBudget21]]</f>
        <v>9568</v>
      </c>
      <c r="AZ130" s="54">
        <f>SummaryTable[[#This Row],[BudgetIncreaseAmount22]]/SummaryTable[[#This Row],[OriginalBudget21]]</f>
        <v>2.2783284955364479E-2</v>
      </c>
      <c r="BA130" s="61">
        <f>IF(COUNTIFS(allFYsTable[Code], SummaryTable[[#This Row],[Code]], allFYsTable[year2], AX$3)=0, NotFound, SUMIFS(allFYsTable[RevisedBudget], allFYsTable[Code], SummaryTable[[#This Row],[Code]], allFYsTable[year2], AX$3))</f>
        <v>423269</v>
      </c>
      <c r="BB130" s="61">
        <f>IF(COUNTIFS(allFYsTable[Code], SummaryTable[[#This Row],[Code]], allFYsTable[year2], AX$3)=0, NotFound, SUMIFS(allFYsTable[Actual], allFYsTable[Code], SummaryTable[[#This Row],[Code]], allFYsTable[year2], AX$3))</f>
        <v>419069</v>
      </c>
      <c r="BC130" s="61">
        <f>IF(COUNTIFS(allFYsTable[Code], SummaryTable[[#This Row],[Code]], allFYsTable[year2], AX$3)=0, NotFound, SUMIFS(allFYsTable[DiffAmount], allFYsTable[Code], SummaryTable[[#This Row],[Code]], allFYsTable[year2], AX$3))</f>
        <v>-10456</v>
      </c>
      <c r="BD130" s="63">
        <f>IF(SummaryTable[[#This Row],[OriginalBudget22]]=0, IF(SummaryTable[[#This Row],[DiffAmount22]]=0, ZeroBudgetNoSpending, ZeroBudgetWithSpending), SummaryTable[[#This Row],[DiffAmount22]]/SummaryTable[[#This Row],[OriginalBudget22]])</f>
        <v>-2.434316978057156E-2</v>
      </c>
      <c r="BE130" s="62">
        <f>IF(COUNTIFS(allFYsTable[Code], SummaryTable[[#This Row],[Code]], allFYsTable[year2], BE$3)=0, NotFound, SUMIFS(allFYsTable[OriginalBudget], allFYsTable[Code], SummaryTable[[#This Row],[Code]], allFYsTable[year2], BE$3))</f>
        <v>419957</v>
      </c>
      <c r="BF130" s="61">
        <f>SummaryTable[[#This Row],[OriginalBudget21]]-SummaryTable[[#This Row],[OriginalBudget20]]</f>
        <v>335</v>
      </c>
      <c r="BG130" s="54">
        <f>SummaryTable[[#This Row],[BudgetIncreaseAmount21]]/SummaryTable[[#This Row],[OriginalBudget20]]</f>
        <v>7.9833755141532137E-4</v>
      </c>
      <c r="BH130" s="61">
        <f>IF(COUNTIFS(allFYsTable[Code], SummaryTable[[#This Row],[Code]], allFYsTable[year2], BE$3)=0, NotFound, SUMIFS(allFYsTable[RevisedBudget], allFYsTable[Code], SummaryTable[[#This Row],[Code]], allFYsTable[year2], BE$3))</f>
        <v>441046</v>
      </c>
      <c r="BI130" s="61">
        <f>IF(COUNTIFS(allFYsTable[Code], SummaryTable[[#This Row],[Code]], allFYsTable[year2], BE$3)=0, NotFound, SUMIFS(allFYsTable[Actual], allFYsTable[Code], SummaryTable[[#This Row],[Code]], allFYsTable[year2], BE$3))</f>
        <v>441046</v>
      </c>
      <c r="BJ130" s="61">
        <f>IF(COUNTIFS(allFYsTable[Code], SummaryTable[[#This Row],[Code]], allFYsTable[year2], BE$3)=0, NotFound, SUMIFS(allFYsTable[DiffAmount], allFYsTable[Code], SummaryTable[[#This Row],[Code]], allFYsTable[year2], BE$3))</f>
        <v>21089</v>
      </c>
      <c r="BK130" s="63">
        <f>IF(SummaryTable[[#This Row],[OriginalBudget21]]=0, IF(SummaryTable[[#This Row],[DiffAmount21]]=0, ZeroBudgetNoSpending, ZeroBudgetWithSpending), SummaryTable[[#This Row],[DiffAmount21]]/SummaryTable[[#This Row],[OriginalBudget21]])</f>
        <v>5.0217046030903163E-2</v>
      </c>
      <c r="BL130" s="62">
        <f>IF(COUNTIFS(allFYsTable[Code], SummaryTable[[#This Row],[Code]], allFYsTable[year2], BL$3)=0, NotFound, SUMIFS(allFYsTable[OriginalBudget], allFYsTable[Code], SummaryTable[[#This Row],[Code]], allFYsTable[year2], BL$3))</f>
        <v>419622</v>
      </c>
      <c r="BM130" s="61">
        <f>SummaryTable[[#This Row],[OriginalBudget20]]-SummaryTable[[#This Row],[OriginalBudget19]]</f>
        <v>50447</v>
      </c>
      <c r="BN130" s="54">
        <f>SummaryTable[[#This Row],[BudgetIncreaseAmount20]]/SummaryTable[[#This Row],[OriginalBudget19]]</f>
        <v>0.13664793119794136</v>
      </c>
      <c r="BO130" s="61">
        <f>IF(COUNTIFS(allFYsTable[Code], SummaryTable[[#This Row],[Code]], allFYsTable[year2], BL$3)=0, NotFound, SUMIFS(allFYsTable[RevisedBudget], allFYsTable[Code], SummaryTable[[#This Row],[Code]], allFYsTable[year2], BL$3))</f>
        <v>390186</v>
      </c>
      <c r="BP130" s="61">
        <f>IF(COUNTIFS(allFYsTable[Code], SummaryTable[[#This Row],[Code]], allFYsTable[year2], BL$3)=0, NotFound, SUMIFS(allFYsTable[Actual], allFYsTable[Code], SummaryTable[[#This Row],[Code]], allFYsTable[year2], BL$3))</f>
        <v>389453</v>
      </c>
      <c r="BQ130" s="61">
        <f>IF(COUNTIFS(allFYsTable[Code], SummaryTable[[#This Row],[Code]], allFYsTable[year2], BL$3)=0, NotFound, SUMIFS(allFYsTable[DiffAmount], allFYsTable[Code], SummaryTable[[#This Row],[Code]], allFYsTable[year2], BL$3))</f>
        <v>-30169</v>
      </c>
      <c r="BR130" s="63">
        <f>IF(SummaryTable[[#This Row],[OriginalBudget20]]=0, IF(SummaryTable[[#This Row],[DiffAmount20]]=0, ZeroBudgetNoSpending, ZeroBudgetWithSpending), SummaryTable[[#This Row],[DiffAmount20]]/SummaryTable[[#This Row],[OriginalBudget20]])</f>
        <v>-7.1895658473578608E-2</v>
      </c>
      <c r="BS130" s="62">
        <f>IF(COUNTIFS(allFYsTable[Code], SummaryTable[[#This Row],[Code]], allFYsTable[year2], BS$3)=0, NotFound, SUMIFS(allFYsTable[OriginalBudget], allFYsTable[Code], SummaryTable[[#This Row],[Code]], allFYsTable[year2], BS$3))</f>
        <v>369175</v>
      </c>
      <c r="BT130" s="61">
        <f>SummaryTable[[#This Row],[OriginalBudget19]]-SummaryTable[[#This Row],[OriginalBudget18]]</f>
        <v>-6892</v>
      </c>
      <c r="BU130" s="54">
        <f>SummaryTable[[#This Row],[BudgetIncreaseAmount19]]/SummaryTable[[#This Row],[OriginalBudget18]]</f>
        <v>-1.8326521603863142E-2</v>
      </c>
      <c r="BV130" s="61">
        <f>IF(COUNTIFS(allFYsTable[Code], SummaryTable[[#This Row],[Code]], allFYsTable[year2], BS$3)=0, NotFound, SUMIFS(allFYsTable[RevisedBudget], allFYsTable[Code], SummaryTable[[#This Row],[Code]], allFYsTable[year2], BS$3))</f>
        <v>382753</v>
      </c>
      <c r="BW130" s="61">
        <f>IF(COUNTIFS(allFYsTable[Code], SummaryTable[[#This Row],[Code]], allFYsTable[year2], BS$3)=0, NotFound, SUMIFS(allFYsTable[Actual], allFYsTable[Code], SummaryTable[[#This Row],[Code]], allFYsTable[year2], BS$3))</f>
        <v>381503</v>
      </c>
      <c r="BX130" s="61">
        <f>IF(COUNTIFS(allFYsTable[Code], SummaryTable[[#This Row],[Code]], allFYsTable[year2], BS$3)=0, NotFound, SUMIFS(allFYsTable[DiffAmount], allFYsTable[Code], SummaryTable[[#This Row],[Code]], allFYsTable[year2], BS$3))</f>
        <v>12328</v>
      </c>
      <c r="BY130" s="63">
        <f>IF(SummaryTable[[#This Row],[OriginalBudget19]]=0, IF(SummaryTable[[#This Row],[DiffAmount19]]=0, ZeroBudgetNoSpending, ZeroBudgetWithSpending), SummaryTable[[#This Row],[DiffAmount19]]/SummaryTable[[#This Row],[OriginalBudget19]])</f>
        <v>3.3393377124669874E-2</v>
      </c>
      <c r="BZ130" s="62">
        <f>IF(COUNTIFS(allFYsTable[Code], SummaryTable[[#This Row],[Code]], allFYsTable[year2], BZ$3)=0, NotFound, SUMIFS(allFYsTable[OriginalBudget], allFYsTable[Code], SummaryTable[[#This Row],[Code]], allFYsTable[year2], BZ$3))</f>
        <v>376067</v>
      </c>
      <c r="CA130" s="61">
        <f>SummaryTable[[#This Row],[OriginalBudget18]]-SummaryTable[[#This Row],[OriginalBudget17]]</f>
        <v>62496</v>
      </c>
      <c r="CB130" s="54">
        <f>SummaryTable[[#This Row],[BudgetIncreaseAmount18]]/SummaryTable[[#This Row],[OriginalBudget17]]</f>
        <v>0.19930414483482209</v>
      </c>
      <c r="CC130" s="61">
        <f>IF(COUNTIFS(allFYsTable[Code], SummaryTable[[#This Row],[Code]], allFYsTable[year2], BZ$3)=0, NotFound, SUMIFS(allFYsTable[RevisedBudget], allFYsTable[Code], SummaryTable[[#This Row],[Code]], allFYsTable[year2], BZ$3))</f>
        <v>370566</v>
      </c>
      <c r="CD130" s="61">
        <f>IF(COUNTIFS(allFYsTable[Code], SummaryTable[[#This Row],[Code]], allFYsTable[year2], BZ$3)=0, NotFound, SUMIFS(allFYsTable[Actual], allFYsTable[Code], SummaryTable[[#This Row],[Code]], allFYsTable[year2], BZ$3))</f>
        <v>369648</v>
      </c>
      <c r="CE130" s="61">
        <f>IF(COUNTIFS(allFYsTable[Code], SummaryTable[[#This Row],[Code]], allFYsTable[year2], BZ$3)=0, NotFound, SUMIFS(allFYsTable[DiffAmount], allFYsTable[Code], SummaryTable[[#This Row],[Code]], allFYsTable[year2], BZ$3))</f>
        <v>-6419</v>
      </c>
      <c r="CF130" s="63">
        <f>IF(SummaryTable[[#This Row],[OriginalBudget18]]=0, IF(SummaryTable[[#This Row],[DiffAmount18]]=0, ZeroBudgetNoSpending, ZeroBudgetWithSpending), SummaryTable[[#This Row],[DiffAmount18]]/SummaryTable[[#This Row],[OriginalBudget18]])</f>
        <v>-1.7068767001624709E-2</v>
      </c>
      <c r="CG130" s="62">
        <f>IF(COUNTIFS(allFYsTable[Code], SummaryTable[[#This Row],[Code]], allFYsTable[year2], CG$3)=0, NotFound, SUMIFS(allFYsTable[OriginalBudget], allFYsTable[Code], SummaryTable[[#This Row],[Code]], allFYsTable[year2], CG$3))</f>
        <v>313571</v>
      </c>
      <c r="CH130" s="61">
        <f>SummaryTable[[#This Row],[OriginalBudget17]]-SummaryTable[[#This Row],[OriginalBudget16]]</f>
        <v>-10482</v>
      </c>
      <c r="CI130" s="54">
        <f>SummaryTable[[#This Row],[BudgetIncreaseAmount17]]/SummaryTable[[#This Row],[OriginalBudget16]]</f>
        <v>-3.2346560593483162E-2</v>
      </c>
      <c r="CJ130" s="61">
        <f>IF(COUNTIFS(allFYsTable[Code], SummaryTable[[#This Row],[Code]], allFYsTable[year2], CG$3)=0, NotFound, SUMIFS(allFYsTable[RevisedBudget], allFYsTable[Code], SummaryTable[[#This Row],[Code]], allFYsTable[year2], CG$3))</f>
        <v>321330</v>
      </c>
      <c r="CK130" s="61">
        <f>IF(COUNTIFS(allFYsTable[Code], SummaryTable[[#This Row],[Code]], allFYsTable[year2], CG$3)=0, NotFound, SUMIFS(allFYsTable[Actual], allFYsTable[Code], SummaryTable[[#This Row],[Code]], allFYsTable[year2], CG$3))</f>
        <v>321330</v>
      </c>
      <c r="CL130" s="61">
        <f>IF(COUNTIFS(allFYsTable[Code], SummaryTable[[#This Row],[Code]], allFYsTable[year2], CG$3)=0, NotFound, SUMIFS(allFYsTable[DiffAmount], allFYsTable[Code], SummaryTable[[#This Row],[Code]], allFYsTable[year2], CG$3))</f>
        <v>7759</v>
      </c>
      <c r="CM130" s="63">
        <f>IF(SummaryTable[[#This Row],[OriginalBudget17]]=0, IF(SummaryTable[[#This Row],[DiffAmount17]]=0, ZeroBudgetNoSpending, ZeroBudgetWithSpending), SummaryTable[[#This Row],[DiffAmount17]]/SummaryTable[[#This Row],[OriginalBudget17]])</f>
        <v>2.4743997372205975E-2</v>
      </c>
      <c r="CN130" s="62">
        <f>IF(COUNTIFS(allFYsTable[Code], SummaryTable[[#This Row],[Code]], allFYsTable[year2], CN$3)=0, NotFound, SUMIFS(allFYsTable[OriginalBudget], allFYsTable[Code], SummaryTable[[#This Row],[Code]], allFYsTable[year2], CN$3))</f>
        <v>324053</v>
      </c>
      <c r="CO130" s="61">
        <f>SummaryTable[[#This Row],[OriginalBudget16]]-SummaryTable[[#This Row],[OriginalBudget15]]</f>
        <v>40050</v>
      </c>
      <c r="CP130" s="54">
        <f>SummaryTable[[#This Row],[BudgetIncreaseAmount16]]/SummaryTable[[#This Row],[OriginalBudget15]]</f>
        <v>0.14101963711650933</v>
      </c>
      <c r="CQ130" s="61">
        <f>IF(COUNTIFS(allFYsTable[Code], SummaryTable[[#This Row],[Code]], allFYsTable[year2], CN$3)=0, NotFound, SUMIFS(allFYsTable[RevisedBudget], allFYsTable[Code], SummaryTable[[#This Row],[Code]], allFYsTable[year2], CN$3))</f>
        <v>317298</v>
      </c>
      <c r="CR130" s="61">
        <f>IF(COUNTIFS(allFYsTable[Code], SummaryTable[[#This Row],[Code]], allFYsTable[year2], CN$3)=0, NotFound, SUMIFS(allFYsTable[Actual], allFYsTable[Code], SummaryTable[[#This Row],[Code]], allFYsTable[year2], CN$3))</f>
        <v>317298</v>
      </c>
      <c r="CS130" s="61">
        <f>IF(COUNTIFS(allFYsTable[Code], SummaryTable[[#This Row],[Code]], allFYsTable[year2], CN$3)=0, NotFound, SUMIFS(allFYsTable[DiffAmount], allFYsTable[Code], SummaryTable[[#This Row],[Code]], allFYsTable[year2], CN$3))</f>
        <v>-6755</v>
      </c>
      <c r="CT130" s="63">
        <f>IF(SummaryTable[[#This Row],[OriginalBudget16]]=0, IF(SummaryTable[[#This Row],[DiffAmount16]]=0, ZeroBudgetNoSpending, ZeroBudgetWithSpending), SummaryTable[[#This Row],[DiffAmount16]]/SummaryTable[[#This Row],[OriginalBudget16]])</f>
        <v>-2.0845355543691928E-2</v>
      </c>
      <c r="CU130" s="62">
        <f>IF(COUNTIFS(allFYsTable[Code], SummaryTable[[#This Row],[Code]], allFYsTable[year2], CU$3)=0, NotFound, SUMIFS(allFYsTable[OriginalBudget], allFYsTable[Code], SummaryTable[[#This Row],[Code]], allFYsTable[year2], CU$3))</f>
        <v>284003</v>
      </c>
      <c r="CV130" s="61">
        <f>SummaryTable[[#This Row],[OriginalBudget15]]-SummaryTable[[#This Row],[OriginalBudget14]]</f>
        <v>24073</v>
      </c>
      <c r="CW130" s="54">
        <f>SummaryTable[[#This Row],[BudgetIncreaseAmount15]]/SummaryTable[[#This Row],[OriginalBudget14]]</f>
        <v>9.2613395914284621E-2</v>
      </c>
      <c r="CX130" s="61">
        <f>IF(COUNTIFS(allFYsTable[Code], SummaryTable[[#This Row],[Code]], allFYsTable[year2], CU$3)=0, NotFound, SUMIFS(allFYsTable[RevisedBudget], allFYsTable[Code], SummaryTable[[#This Row],[Code]], allFYsTable[year2], CU$3))</f>
        <v>294415</v>
      </c>
      <c r="CY130" s="61">
        <f>IF(COUNTIFS(allFYsTable[Code], SummaryTable[[#This Row],[Code]], allFYsTable[year2], CU$3)=0, NotFound, SUMIFS(allFYsTable[Actual], allFYsTable[Code], SummaryTable[[#This Row],[Code]], allFYsTable[year2], CU$3))</f>
        <v>292965</v>
      </c>
      <c r="CZ130" s="61">
        <f>IF(COUNTIFS(allFYsTable[Code], SummaryTable[[#This Row],[Code]], allFYsTable[year2], CU$3)=0, NotFound, SUMIFS(allFYsTable[DiffAmount], allFYsTable[Code], SummaryTable[[#This Row],[Code]], allFYsTable[year2], CU$3))</f>
        <v>8962</v>
      </c>
      <c r="DA130" s="63">
        <f>IF(SummaryTable[[#This Row],[OriginalBudget15]]=0, IF(SummaryTable[[#This Row],[DiffAmount15]]=0, ZeroBudgetNoSpending, ZeroBudgetWithSpending), SummaryTable[[#This Row],[DiffAmount15]]/SummaryTable[[#This Row],[OriginalBudget15]])</f>
        <v>3.1556004690091302E-2</v>
      </c>
      <c r="DB130" s="62">
        <f>IF(COUNTIFS(allFYsTable[Code], SummaryTable[[#This Row],[Code]], allFYsTable[year2], DB$3)=0, NotFound, SUMIFS(allFYsTable[OriginalBudget], allFYsTable[Code], SummaryTable[[#This Row],[Code]], allFYsTable[year2], DB$3))</f>
        <v>259930</v>
      </c>
      <c r="DC130" s="61">
        <f>SummaryTable[[#This Row],[OriginalBudget14]]-SummaryTable[[#This Row],[OriginalBudget13]]</f>
        <v>3572</v>
      </c>
      <c r="DD130" s="54">
        <f>SummaryTable[[#This Row],[BudgetIncreaseAmount14]]/SummaryTable[[#This Row],[OriginalBudget13]]</f>
        <v>1.3933639675765922E-2</v>
      </c>
      <c r="DE130" s="61">
        <f>IF(COUNTIFS(allFYsTable[Code], SummaryTable[[#This Row],[Code]], allFYsTable[year2], DB$3)=0, NotFound, SUMIFS(allFYsTable[RevisedBudget], allFYsTable[Code], SummaryTable[[#This Row],[Code]], allFYsTable[year2], DB$3))</f>
        <v>271977</v>
      </c>
      <c r="DF130" s="61">
        <f>IF(COUNTIFS(allFYsTable[Code], SummaryTable[[#This Row],[Code]], allFYsTable[year2], DB$3)=0, NotFound, SUMIFS(allFYsTable[Actual], allFYsTable[Code], SummaryTable[[#This Row],[Code]], allFYsTable[year2], DB$3))</f>
        <v>267795</v>
      </c>
      <c r="DG130" s="61">
        <f>IF(COUNTIFS(allFYsTable[Code], SummaryTable[[#This Row],[Code]], allFYsTable[year2], DB$3)=0, NotFound, SUMIFS(allFYsTable[DiffAmount], allFYsTable[Code], SummaryTable[[#This Row],[Code]], allFYsTable[year2], DB$3))</f>
        <v>7865</v>
      </c>
      <c r="DH130" s="63">
        <f>IF(SummaryTable[[#This Row],[OriginalBudget14]]=0, IF(SummaryTable[[#This Row],[DiffAmount14]]=0, ZeroBudgetNoSpending, ZeroBudgetWithSpending), SummaryTable[[#This Row],[DiffAmount14]]/SummaryTable[[#This Row],[OriginalBudget14]])</f>
        <v>3.0258146424037242E-2</v>
      </c>
      <c r="DI130" s="62">
        <f>IF(COUNTIFS(allFYsTable[Code], SummaryTable[[#This Row],[Code]], allFYsTable[year2], DI$3)=0, NotFound, SUMIFS(allFYsTable[OriginalBudget], allFYsTable[Code], SummaryTable[[#This Row],[Code]], allFYsTable[year2], DI$3))</f>
        <v>256358</v>
      </c>
      <c r="DJ130" s="61">
        <f>SummaryTable[[#This Row],[OriginalBudget13]]-SummaryTable[[#This Row],[OriginalBudget12]]</f>
        <v>62899</v>
      </c>
      <c r="DK130" s="54">
        <f>SummaryTable[[#This Row],[BudgetIncreaseAmount13]]/SummaryTable[[#This Row],[OriginalBudget12]]</f>
        <v>0.32512832176326767</v>
      </c>
      <c r="DL130" s="61">
        <f>IF(COUNTIFS(allFYsTable[Code], SummaryTable[[#This Row],[Code]], allFYsTable[year2], DI$3)=0, NotFound, SUMIFS(allFYsTable[RevisedBudget], allFYsTable[Code], SummaryTable[[#This Row],[Code]], allFYsTable[year2], DI$3))</f>
        <v>256294</v>
      </c>
      <c r="DM130" s="61">
        <f>IF(COUNTIFS(allFYsTable[Code], SummaryTable[[#This Row],[Code]], allFYsTable[year2], DI$3)=0, NotFound, SUMIFS(allFYsTable[Actual], allFYsTable[Code], SummaryTable[[#This Row],[Code]], allFYsTable[year2], DI$3))</f>
        <v>249586</v>
      </c>
      <c r="DN130" s="61">
        <f>IF(COUNTIFS(allFYsTable[Code], SummaryTable[[#This Row],[Code]], allFYsTable[year2], DI$3)=0, NotFound, SUMIFS(allFYsTable[DiffAmount], allFYsTable[Code], SummaryTable[[#This Row],[Code]], allFYsTable[year2], DI$3))</f>
        <v>-6772</v>
      </c>
      <c r="DO130" s="63">
        <f>IF(SummaryTable[[#This Row],[OriginalBudget13]]=0, IF(SummaryTable[[#This Row],[DiffAmount13]]=0, ZeroBudgetNoSpending, ZeroBudgetWithSpending), SummaryTable[[#This Row],[DiffAmount13]]/SummaryTable[[#This Row],[OriginalBudget13]])</f>
        <v>-2.6416183618221394E-2</v>
      </c>
      <c r="DP130" s="62">
        <f>IF(COUNTIFS(allFYsTable[Code], SummaryTable[[#This Row],[Code]], allFYsTable[year2], DP$3)=0, NotFound, SUMIFS(allFYsTable[OriginalBudget], allFYsTable[Code], SummaryTable[[#This Row],[Code]], allFYsTable[year2], DP$3))</f>
        <v>193459</v>
      </c>
      <c r="DQ130" s="61">
        <f>SummaryTable[[#This Row],[OriginalBudget12]]-SummaryTable[[#This Row],[OriginalBudget11]]</f>
        <v>-58302</v>
      </c>
      <c r="DR130" s="54">
        <f>SummaryTable[[#This Row],[BudgetIncreaseAmount12]]/SummaryTable[[#This Row],[OriginalBudget11]]</f>
        <v>-0.2315767732095122</v>
      </c>
      <c r="DS130" s="61">
        <f>IF(COUNTIFS(allFYsTable[Code], SummaryTable[[#This Row],[Code]], allFYsTable[year2], DP$3)=0, NotFound, SUMIFS(allFYsTable[RevisedBudget], allFYsTable[Code], SummaryTable[[#This Row],[Code]], allFYsTable[year2], DP$3))</f>
        <v>194541</v>
      </c>
      <c r="DT130" s="61">
        <f>IF(COUNTIFS(allFYsTable[Code], SummaryTable[[#This Row],[Code]], allFYsTable[year2], DP$3)=0, NotFound, SUMIFS(allFYsTable[Actual], allFYsTable[Code], SummaryTable[[#This Row],[Code]], allFYsTable[year2], DP$3))</f>
        <v>190254</v>
      </c>
      <c r="DU130" s="61">
        <f>IF(COUNTIFS(allFYsTable[Code], SummaryTable[[#This Row],[Code]], allFYsTable[year2], DP$3)=0, NotFound, SUMIFS(allFYsTable[DiffAmount], allFYsTable[Code], SummaryTable[[#This Row],[Code]], allFYsTable[year2], DP$3))</f>
        <v>-3205</v>
      </c>
      <c r="DV130" s="63">
        <f>IF(SummaryTable[[#This Row],[OriginalBudget12]]=0, IF(SummaryTable[[#This Row],[DiffAmount12]]=0, ZeroBudgetNoSpending, ZeroBudgetWithSpending), SummaryTable[[#This Row],[DiffAmount12]]/SummaryTable[[#This Row],[OriginalBudget12]])</f>
        <v>-1.6566817775342579E-2</v>
      </c>
      <c r="DW130" s="62">
        <f>IF(COUNTIFS(allFYsTable[Code], SummaryTable[[#This Row],[Code]], allFYsTable[year2], DW$3)=0, NotFound, SUMIFS(allFYsTable[OriginalBudget], allFYsTable[Code], SummaryTable[[#This Row],[Code]], allFYsTable[year2], DW$3))</f>
        <v>251761</v>
      </c>
      <c r="DX130" s="61">
        <f>SummaryTable[[#This Row],[OriginalBudget11]]-SummaryTable[[#This Row],[OriginalBudget10]]</f>
        <v>12425</v>
      </c>
      <c r="DY130" s="54">
        <f>SummaryTable[[#This Row],[BudgetIncreaseAmount11]]/SummaryTable[[#This Row],[OriginalBudget10]]</f>
        <v>5.191446334859779E-2</v>
      </c>
      <c r="DZ130" s="61">
        <f>IF(COUNTIFS(allFYsTable[Code], SummaryTable[[#This Row],[Code]], allFYsTable[year2], DW$3)=0, NotFound, SUMIFS(allFYsTable[RevisedBudget], allFYsTable[Code], SummaryTable[[#This Row],[Code]], allFYsTable[year2], DW$3))</f>
        <v>251761</v>
      </c>
      <c r="EA130" s="61">
        <f>IF(COUNTIFS(allFYsTable[Code], SummaryTable[[#This Row],[Code]], allFYsTable[year2], DW$3)=0, NotFound, SUMIFS(allFYsTable[Actual], allFYsTable[Code], SummaryTable[[#This Row],[Code]], allFYsTable[year2], DW$3))</f>
        <v>251710</v>
      </c>
      <c r="EB130" s="61">
        <f>IF(COUNTIFS(allFYsTable[Code], SummaryTable[[#This Row],[Code]], allFYsTable[year2], DW$3)=0, NotFound, SUMIFS(allFYsTable[DiffAmount], allFYsTable[Code], SummaryTable[[#This Row],[Code]], allFYsTable[year2], DW$3))</f>
        <v>-51</v>
      </c>
      <c r="EC130" s="63">
        <f>IF(SummaryTable[[#This Row],[OriginalBudget11]]=0, IF(SummaryTable[[#This Row],[DiffAmount11]]=0, ZeroBudgetNoSpending, ZeroBudgetWithSpending), SummaryTable[[#This Row],[DiffAmount11]]/SummaryTable[[#This Row],[OriginalBudget11]])</f>
        <v>-2.0257307525788348E-4</v>
      </c>
      <c r="ED130" s="62">
        <f>IF(COUNTIFS(allFYsTable[Code], SummaryTable[[#This Row],[Code]], allFYsTable[year2], ED$3)=0, NotFound, SUMIFS(allFYsTable[OriginalBudget], allFYsTable[Code], SummaryTable[[#This Row],[Code]], allFYsTable[year2], ED$3))</f>
        <v>239336</v>
      </c>
      <c r="EE130" s="61">
        <f>SummaryTable[[#This Row],[OriginalBudget10]]-SummaryTable[[#This Row],[OriginalBudget09]]</f>
        <v>971</v>
      </c>
      <c r="EF130" s="54">
        <f>SummaryTable[[#This Row],[BudgetIncreaseAmount10]]/SummaryTable[[#This Row],[OriginalBudget09]]</f>
        <v>4.0735846286157782E-3</v>
      </c>
      <c r="EG130" s="61">
        <f>IF(COUNTIFS(allFYsTable[Code], SummaryTable[[#This Row],[Code]], allFYsTable[year2], ED$3)=0, NotFound, SUMIFS(allFYsTable[RevisedBudget], allFYsTable[Code], SummaryTable[[#This Row],[Code]], allFYsTable[year2], ED$3))</f>
        <v>238001</v>
      </c>
      <c r="EH130" s="61">
        <f>IF(COUNTIFS(allFYsTable[Code], SummaryTable[[#This Row],[Code]], allFYsTable[year2], ED$3)=0, NotFound, SUMIFS(allFYsTable[Actual], allFYsTable[Code], SummaryTable[[#This Row],[Code]], allFYsTable[year2], ED$3))</f>
        <v>237994</v>
      </c>
      <c r="EI130" s="61">
        <f>IF(COUNTIFS(allFYsTable[Code], SummaryTable[[#This Row],[Code]], allFYsTable[year2], ED$3)=0, NotFound, SUMIFS(allFYsTable[DiffAmount], allFYsTable[Code], SummaryTable[[#This Row],[Code]], allFYsTable[year2], ED$3))</f>
        <v>-1342</v>
      </c>
      <c r="EJ130" s="63">
        <f>IF(SummaryTable[[#This Row],[OriginalBudget10]]=0, IF(SummaryTable[[#This Row],[DiffAmount10]]=0, ZeroBudgetNoSpending, ZeroBudgetWithSpending), SummaryTable[[#This Row],[DiffAmount10]]/SummaryTable[[#This Row],[OriginalBudget10]])</f>
        <v>-5.6071798642912058E-3</v>
      </c>
      <c r="EK130" s="62">
        <f>IF(COUNTIFS(allFYsTable[Code], SummaryTable[[#This Row],[Code]], allFYsTable[year2], EK$3)=0, NotFound, SUMIFS(allFYsTable[OriginalBudget], allFYsTable[Code], SummaryTable[[#This Row],[Code]], allFYsTable[year2], EK$3))</f>
        <v>238365</v>
      </c>
      <c r="EL130" s="61">
        <f>SummaryTable[[#This Row],[OriginalBudget09]]-SummaryTable[[#This Row],[OriginalBudget08]]</f>
        <v>18036</v>
      </c>
      <c r="EM130" s="54">
        <f>SummaryTable[[#This Row],[BudgetIncreaseAmount09]]/SummaryTable[[#This Row],[OriginalBudget08]]</f>
        <v>8.1859401168252938E-2</v>
      </c>
      <c r="EN130" s="61">
        <f>IF(COUNTIFS(allFYsTable[Code], SummaryTable[[#This Row],[Code]], allFYsTable[year2], EK$3)=0, NotFound, SUMIFS(allFYsTable[RevisedBudget], allFYsTable[Code], SummaryTable[[#This Row],[Code]], allFYsTable[year2], EK$3))</f>
        <v>237502</v>
      </c>
      <c r="EO130" s="61">
        <f>IF(COUNTIFS(allFYsTable[Code], SummaryTable[[#This Row],[Code]], allFYsTable[year2], EK$3)=0, NotFound, SUMIFS(allFYsTable[Actual], allFYsTable[Code], SummaryTable[[#This Row],[Code]], allFYsTable[year2], EK$3))</f>
        <v>237502</v>
      </c>
      <c r="EP130" s="61">
        <f>IF(COUNTIFS(allFYsTable[Code], SummaryTable[[#This Row],[Code]], allFYsTable[year2], EK$3)=0, NotFound, SUMIFS(allFYsTable[DiffAmount], allFYsTable[Code], SummaryTable[[#This Row],[Code]], allFYsTable[year2], EK$3))</f>
        <v>-863</v>
      </c>
      <c r="EQ130" s="63">
        <f>IF(SummaryTable[[#This Row],[OriginalBudget09]]=0, IF(SummaryTable[[#This Row],[DiffAmount09]]=0, ZeroBudgetNoSpending, ZeroBudgetWithSpending), SummaryTable[[#This Row],[DiffAmount09]]/SummaryTable[[#This Row],[OriginalBudget09]])</f>
        <v>-3.620497975793426E-3</v>
      </c>
      <c r="ER130" s="62">
        <f>IF(COUNTIFS(allFYsTable[Code], SummaryTable[[#This Row],[Code]], allFYsTable[year2], ER$3)=0, NotFound, SUMIFS(allFYsTable[OriginalBudget], allFYsTable[Code], SummaryTable[[#This Row],[Code]], allFYsTable[year2], ER$3))</f>
        <v>220329</v>
      </c>
      <c r="ES130" s="61">
        <f>SummaryTable[[#This Row],[OriginalBudget08]]-SummaryTable[[#This Row],[OriginalBudget07]]</f>
        <v>16673</v>
      </c>
      <c r="ET130" s="54">
        <f>SummaryTable[[#This Row],[BudgetIncreaseAmount08]]/SummaryTable[[#This Row],[OriginalBudget07]]</f>
        <v>8.1868444828534392E-2</v>
      </c>
      <c r="EU130" s="61">
        <f>IF(COUNTIFS(allFYsTable[Code], SummaryTable[[#This Row],[Code]], allFYsTable[year2], ER$3)=0, NotFound, SUMIFS(allFYsTable[RevisedBudget], allFYsTable[Code], SummaryTable[[#This Row],[Code]], allFYsTable[year2], ER$3))</f>
        <v>220329</v>
      </c>
      <c r="EV130" s="61">
        <f>IF(COUNTIFS(allFYsTable[Code], SummaryTable[[#This Row],[Code]], allFYsTable[year2], ER$3)=0, NotFound, SUMIFS(allFYsTable[Actual], allFYsTable[Code], SummaryTable[[#This Row],[Code]], allFYsTable[year2], ER$3))</f>
        <v>220325</v>
      </c>
      <c r="EW130" s="61">
        <f>IF(COUNTIFS(allFYsTable[Code], SummaryTable[[#This Row],[Code]], allFYsTable[year2], ER$3)=0, NotFound, SUMIFS(allFYsTable[DiffAmount], allFYsTable[Code], SummaryTable[[#This Row],[Code]], allFYsTable[year2], ER$3))</f>
        <v>-4</v>
      </c>
      <c r="EX130" s="63">
        <f>IF(SummaryTable[[#This Row],[OriginalBudget08]]=0, IF(SummaryTable[[#This Row],[DiffAmount08]]=0, ZeroBudgetNoSpending, ZeroBudgetWithSpending), SummaryTable[[#This Row],[DiffAmount08]]/SummaryTable[[#This Row],[OriginalBudget08]])</f>
        <v>-1.8154668699989562E-5</v>
      </c>
      <c r="EY130" s="62">
        <f>IF(COUNTIFS(allFYsTable[Code], SummaryTable[[#This Row],[Code]], allFYsTable[year2], EY$3)=0, NotFound, SUMIFS(allFYsTable[OriginalBudget], allFYsTable[Code], SummaryTable[[#This Row],[Code]], allFYsTable[year2], EY$3))</f>
        <v>203656</v>
      </c>
      <c r="EZ130" s="61">
        <f>SummaryTable[[#This Row],[OriginalBudget07]]-SummaryTable[[#This Row],[OriginalBudget06]]</f>
        <v>10855</v>
      </c>
      <c r="FA130" s="54">
        <f>SummaryTable[[#This Row],[BudgetIncreaseAmount07]]/SummaryTable[[#This Row],[OriginalBudget06]]</f>
        <v>5.6301575199298758E-2</v>
      </c>
      <c r="FB130" s="61">
        <f>IF(COUNTIFS(allFYsTable[Code], SummaryTable[[#This Row],[Code]], allFYsTable[year2], EY$3)=0, NotFound, SUMIFS(allFYsTable[RevisedBudget], allFYsTable[Code], SummaryTable[[#This Row],[Code]], allFYsTable[year2], EY$3))</f>
        <v>203656</v>
      </c>
      <c r="FC130" s="61">
        <f>IF(COUNTIFS(allFYsTable[Code], SummaryTable[[#This Row],[Code]], allFYsTable[year2], EY$3)=0, NotFound, SUMIFS(allFYsTable[Actual], allFYsTable[Code], SummaryTable[[#This Row],[Code]], allFYsTable[year2], EY$3))</f>
        <v>203576</v>
      </c>
      <c r="FD130" s="61">
        <f>IF(COUNTIFS(allFYsTable[Code], SummaryTable[[#This Row],[Code]], allFYsTable[year2], EY$3)=0, NotFound, SUMIFS(allFYsTable[DiffAmount], allFYsTable[Code], SummaryTable[[#This Row],[Code]], allFYsTable[year2], EY$3))</f>
        <v>-80</v>
      </c>
      <c r="FE130" s="63">
        <f>IF(SummaryTable[[#This Row],[OriginalBudget07]]=0, IF(SummaryTable[[#This Row],[DiffAmount07]]=0, ZeroBudgetNoSpending, ZeroBudgetWithSpending), SummaryTable[[#This Row],[DiffAmount07]]/SummaryTable[[#This Row],[OriginalBudget07]])</f>
        <v>-3.9281926385669955E-4</v>
      </c>
      <c r="FF130" s="62">
        <f>IF(COUNTIFS(allFYsTable[Code], SummaryTable[[#This Row],[Code]], allFYsTable[year2], FF$3)=0, NotFound, SUMIFS(allFYsTable[OriginalBudget], allFYsTable[Code], SummaryTable[[#This Row],[Code]], allFYsTable[year2], FF$3))</f>
        <v>192801</v>
      </c>
      <c r="FI130" s="61">
        <f>IF(COUNTIFS(allFYsTable[Code], SummaryTable[[#This Row],[Code]], allFYsTable[year2], FF$3)=0, NotFound, SUMIFS(allFYsTable[RevisedBudget], allFYsTable[Code], SummaryTable[[#This Row],[Code]], allFYsTable[year2], FF$3))</f>
        <v>192801</v>
      </c>
      <c r="FJ130" s="61">
        <f>IF(COUNTIFS(allFYsTable[Code], SummaryTable[[#This Row],[Code]], allFYsTable[year2], FF$3)=0, NotFound, SUMIFS(allFYsTable[Actual], allFYsTable[Code], SummaryTable[[#This Row],[Code]], allFYsTable[year2], FF$3))</f>
        <v>192784</v>
      </c>
      <c r="FK130" s="61">
        <f>IF(COUNTIFS(allFYsTable[Code], SummaryTable[[#This Row],[Code]], allFYsTable[year2], FF$3)=0, NotFound, SUMIFS(allFYsTable[DiffAmount], allFYsTable[Code], SummaryTable[[#This Row],[Code]], allFYsTable[year2], FF$3))</f>
        <v>-17</v>
      </c>
      <c r="FL130" s="63">
        <f>IF(SummaryTable[[#This Row],[OriginalBudget06]]=0, IF(SummaryTable[[#This Row],[DiffAmount06]]=0, ZeroBudgetNoSpending, ZeroBudgetWithSpending), SummaryTable[[#This Row],[DiffAmount06]]/SummaryTable[[#This Row],[OriginalBudget06]])</f>
        <v>-8.8173816525847896E-5</v>
      </c>
    </row>
    <row r="131" spans="1:168" x14ac:dyDescent="0.45">
      <c r="A131" t="s">
        <v>808</v>
      </c>
      <c r="B131">
        <f>_xlfn.MAXIFS(allFYsTable[year2], allFYsTable[Code], SummaryTable[[#This Row],[Code]])</f>
        <v>2025</v>
      </c>
      <c r="C131" t="str">
        <f>_xlfn.XLOOKUP(SummaryTable[[#This Row],[Code]], NameCodingTable[Code], NameCodingTable[Most Recent Category per allFYs])</f>
        <v>Operations and infrastructure</v>
      </c>
      <c r="D131" t="str">
        <f>_xlfn.XLOOKUP(SummaryTable[[#This Row],[Code]], NameCodingTable[Code], NameCodingTable[Unit Display Name])</f>
        <v>Washington Metropolitan Area Transit Commission</v>
      </c>
      <c r="E131" t="str">
        <f>_xlfn.XLOOKUP(SummaryTable[[#This Row],[Code]], NameCodingTable[Code], NameCodingTable[Type])</f>
        <v>xother</v>
      </c>
      <c r="F13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20</v>
      </c>
      <c r="G13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31" s="54">
        <f>SummaryTable[[#This Row],['# Over]]/SummaryTable[[#This Row],[Count]]</f>
        <v>0</v>
      </c>
      <c r="I13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31" s="54">
        <f>SummaryTable[[#This Row],['# Under]]/SummaryTable[[#This Row],[Count]]</f>
        <v>0</v>
      </c>
      <c r="K13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20</v>
      </c>
      <c r="L131" s="54">
        <f>SummaryTable[[#This Row],['# Equal]]/SummaryTable[[#This Row],[Count]]</f>
        <v>1</v>
      </c>
      <c r="M131" s="61">
        <f>SUMIFS(allFYsTable[OriginalBudget],allFYsTable[Code],SummaryTable[[#This Row],[Code]])/SummaryTable[[#This Row],[Count]]</f>
        <v>142.55000000000001</v>
      </c>
      <c r="N131" s="61">
        <f>SUMIFS(allFYsTable[Actual],allFYsTable[Code],SummaryTable[[#This Row],[Code]])/SummaryTable[[#This Row],[Count]]</f>
        <v>142.55000000000001</v>
      </c>
      <c r="O131" s="61">
        <f>SummaryTable[[#This Row],[AvgActAmt]]-SummaryTable[[#This Row],[AvgBudAmt]]</f>
        <v>0</v>
      </c>
      <c r="P131" s="54">
        <f>IF(SummaryTable[[#This Row],[AvgBudAmt]]=0, IF(SummaryTable[[#This Row],[AvgDiff'#]]=0, 0, NamedFields!$C$3), SummaryTable[[#This Row],[AvgDiff'#]]/SummaryTable[[#This Row],[AvgBudAmt]])</f>
        <v>0</v>
      </c>
      <c r="Q131" s="61">
        <f>IFERROR(SUMIFS(allFYsTable[OriginalBudget],allFYsTable[Code],SummaryTable[[#This Row],[Code]],allFYsTable[DiffAmount], "&gt;0")/SummaryTable[[#This Row],['# Over]], 0)</f>
        <v>0</v>
      </c>
      <c r="R131" s="61">
        <f>IFERROR(SUMIFS(allFYsTable[Actual],allFYsTable[Code],SummaryTable[[#This Row],[Code]],allFYsTable[DiffAmount], "&gt;0")/SummaryTable[[#This Row],['# Over]], 0)</f>
        <v>0</v>
      </c>
      <c r="S131" s="61">
        <f>SummaryTable[[#This Row],[OverAvgAct]]-SummaryTable[[#This Row],[OverAvgBud]]</f>
        <v>0</v>
      </c>
      <c r="T131" s="54">
        <f>IF(SummaryTable[[#This Row],[OverAvgBud]]=0, IF(SummaryTable[[#This Row],[OverAvgDiff'#]]=0, ZeroBudgetNoSpending, ZeroBudgetWithSpending), SummaryTable[[#This Row],[OverAvgDiff'#]]/SummaryTable[[#This Row],[OverAvgBud]])</f>
        <v>0</v>
      </c>
      <c r="U131" s="61">
        <f>IFERROR(SUMIFS(allFYsTable[OriginalBudget],allFYsTable[Code],SummaryTable[[#This Row],[Code]],allFYsTable[DiffAmount], "&lt;0")/SummaryTable[[#This Row],['# Under]], 0)</f>
        <v>0</v>
      </c>
      <c r="V131" s="61">
        <f>IFERROR( SUMIFS(allFYsTable[Actual],allFYsTable[Code],SummaryTable[[#This Row],[Code]],allFYsTable[DiffAmount], "&lt;0")/SummaryTable[[#This Row],['# Under]], 0)</f>
        <v>0</v>
      </c>
      <c r="W131" s="61">
        <f>SummaryTable[[#This Row],[UnderAvgAct]]-SummaryTable[[#This Row],[UnderAvgBud]]</f>
        <v>0</v>
      </c>
      <c r="X131" s="54">
        <f>IF(SummaryTable[[#This Row],[UnderAvgBud]]=0, IF(SummaryTable[[#This Row],[UnderAvgDiff'#]]=0, ZeroBudgetNoSpending, NamedFields!$C$3), SummaryTable[[#This Row],[UnderAvgDiff'#]]/SummaryTable[[#This Row],[UnderAvgBud]])</f>
        <v>0</v>
      </c>
      <c r="Y13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3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1" s="54">
        <f>IF(SummaryTable[[#This Row],[IncreaseYears]]=0, ZeroBudgetNoSpending, SummaryTable[[#This Row],[OSinIncreaseYear'#]]/SummaryTable[[#This Row],[IncreaseYears]])</f>
        <v>0</v>
      </c>
      <c r="AB131" s="58" t="str">
        <f>SummaryTable[[#This Row],[Code]]</f>
        <v>KC0</v>
      </c>
      <c r="AC131" s="62">
        <f>IF(COUNTIFS(allFYsTable[Code], SummaryTable[[#This Row],[Code]], allFYsTable[year2], AC$3)=0, NotFound, SUMIFS(allFYsTable[OriginalBudget], allFYsTable[Code], SummaryTable[[#This Row],[Code]], allFYsTable[year2], AC$3))</f>
        <v>178</v>
      </c>
      <c r="AD131" s="61">
        <f>SummaryTable[[#This Row],[OriginalBudget25]]-SummaryTable[[#This Row],[OriginalBudget24]]</f>
        <v>8</v>
      </c>
      <c r="AE131" s="54">
        <f>SummaryTable[[#This Row],[BudgetIncreaseAmount25]]/SummaryTable[[#This Row],[OriginalBudget24]]</f>
        <v>4.7058823529411764E-2</v>
      </c>
      <c r="AF131" s="61">
        <f>IF(COUNTIFS(allFYsTable[Code], SummaryTable[[#This Row],[Code]], allFYsTable[year2], AC$3)=0, NotFound, SUMIFS(allFYsTable[RevisedBudget], allFYsTable[Code], SummaryTable[[#This Row],[Code]], allFYsTable[year2], AC$3))</f>
        <v>178</v>
      </c>
      <c r="AG131" s="61">
        <f>IF(COUNTIFS(allFYsTable[Code], SummaryTable[[#This Row],[Code]], allFYsTable[year2], AC$3)=0, NotFound, SUMIFS(allFYsTable[Actual], allFYsTable[Code], SummaryTable[[#This Row],[Code]], allFYsTable[year2], AC$3))</f>
        <v>178</v>
      </c>
      <c r="AH131" s="61">
        <f>IF(COUNTIFS(allFYsTable[Code], SummaryTable[[#This Row],[Code]], allFYsTable[year2], AC$3)=0, NotFound, SUMIFS(allFYsTable[DiffAmount], allFYsTable[Code], SummaryTable[[#This Row],[Code]], allFYsTable[year2], AC$3))</f>
        <v>0</v>
      </c>
      <c r="AI131" s="63">
        <f>IF(SummaryTable[[#This Row],[OriginalBudget25]]=0, IF(SummaryTable[[#This Row],[DiffAmount25]]=0, ZeroBudgetNoSpending, ZeroBudgetWithSpending), SummaryTable[[#This Row],[DiffAmount25]]/SummaryTable[[#This Row],[OriginalBudget25]])</f>
        <v>0</v>
      </c>
      <c r="AJ131" s="62">
        <f>IF(COUNTIFS(allFYsTable[Code], SummaryTable[[#This Row],[Code]], allFYsTable[year2], AJ$3)=0, NotFound, SUMIFS(allFYsTable[OriginalBudget], allFYsTable[Code], SummaryTable[[#This Row],[Code]], allFYsTable[year2], AJ$3))</f>
        <v>170</v>
      </c>
      <c r="AK131" s="61">
        <f>SummaryTable[[#This Row],[OriginalBudget24]]-SummaryTable[[#This Row],[OriginalBudget23]]</f>
        <v>6</v>
      </c>
      <c r="AL131" s="54">
        <f>SummaryTable[[#This Row],[BudgetIncreaseAmount24]]/SummaryTable[[#This Row],[OriginalBudget23]]</f>
        <v>3.6585365853658534E-2</v>
      </c>
      <c r="AM131" s="61">
        <f>IF(COUNTIFS(allFYsTable[Code], SummaryTable[[#This Row],[Code]], allFYsTable[year2], AK$3)=0, NotFound, SUMIFS(allFYsTable[RevisedBudget], allFYsTable[Code], SummaryTable[[#This Row],[Code]], allFYsTable[year2], AJ$3))</f>
        <v>170</v>
      </c>
      <c r="AN131" s="61">
        <f>IF(COUNTIFS(allFYsTable[Code], SummaryTable[[#This Row],[Code]], allFYsTable[year2], AJ$3)=0, NotFound, SUMIFS(allFYsTable[Actual], allFYsTable[Code], SummaryTable[[#This Row],[Code]], allFYsTable[year2], AJ$3))</f>
        <v>170</v>
      </c>
      <c r="AO131" s="61">
        <f>IF(COUNTIFS(allFYsTable[Code], SummaryTable[[#This Row],[Code]], allFYsTable[year2], AJ$3)=0, NotFound, SUMIFS(allFYsTable[DiffAmount], allFYsTable[Code], SummaryTable[[#This Row],[Code]], allFYsTable[year2], AJ$3))</f>
        <v>0</v>
      </c>
      <c r="AP131" s="63">
        <f>IF(SummaryTable[[#This Row],[OriginalBudget24]]=0, IF(SummaryTable[[#This Row],[DiffAmount24]]=0, ZeroBudgetNoSpending, ZeroBudgetWithSpending), SummaryTable[[#This Row],[DiffAmount24]]/SummaryTable[[#This Row],[OriginalBudget24]])</f>
        <v>0</v>
      </c>
      <c r="AQ131" s="62">
        <f>IF(COUNTIFS(allFYsTable[Code], SummaryTable[[#This Row],[Code]], allFYsTable[year2], AQ$3)=0, NotFound, SUMIFS(allFYsTable[OriginalBudget], allFYsTable[Code], SummaryTable[[#This Row],[Code]], allFYsTable[year2], AQ$3))</f>
        <v>164</v>
      </c>
      <c r="AR131" s="61">
        <f>SummaryTable[[#This Row],[OriginalBudget23]]-SummaryTable[[#This Row],[OriginalBudget22]]</f>
        <v>-2</v>
      </c>
      <c r="AS131" s="54">
        <f>SummaryTable[[#This Row],[BudgetIncreaseAmount23]]/SummaryTable[[#This Row],[OriginalBudget22]]</f>
        <v>-1.2048192771084338E-2</v>
      </c>
      <c r="AT131" s="61">
        <f>IF(COUNTIFS(allFYsTable[Code], SummaryTable[[#This Row],[Code]], allFYsTable[year2], AQ$3)=0, NotFound, SUMIFS(allFYsTable[RevisedBudget], allFYsTable[Code], SummaryTable[[#This Row],[Code]], allFYsTable[year2], AQ$3))</f>
        <v>164</v>
      </c>
      <c r="AU131" s="61">
        <f>IF(COUNTIFS(allFYsTable[Code], SummaryTable[[#This Row],[Code]], allFYsTable[year2], AQ$3)=0, NotFound, SUMIFS(allFYsTable[Actual], allFYsTable[Code], SummaryTable[[#This Row],[Code]], allFYsTable[year2], AQ$3))</f>
        <v>164</v>
      </c>
      <c r="AV131" s="61">
        <f>IF(COUNTIFS(allFYsTable[Code], SummaryTable[[#This Row],[Code]], allFYsTable[year2], AQ$3)=0, NotFound, SUMIFS(allFYsTable[DiffAmount], allFYsTable[Code], SummaryTable[[#This Row],[Code]], allFYsTable[year2], AQ$3))</f>
        <v>0</v>
      </c>
      <c r="AW131" s="63">
        <f>IF(SummaryTable[[#This Row],[OriginalBudget23]]=0, IF(SummaryTable[[#This Row],[DiffAmount23]]=0, ZeroBudgetNoSpending, ZeroBudgetWithSpending), SummaryTable[[#This Row],[DiffAmount23]]/SummaryTable[[#This Row],[OriginalBudget23]])</f>
        <v>0</v>
      </c>
      <c r="AX131" s="62">
        <f>IF(COUNTIFS(allFYsTable[Code], SummaryTable[[#This Row],[Code]], allFYsTable[year2], AX$3)=0, NotFound, SUMIFS(allFYsTable[OriginalBudget], allFYsTable[Code], SummaryTable[[#This Row],[Code]], allFYsTable[year2], AX$3))</f>
        <v>166</v>
      </c>
      <c r="AY131" s="61">
        <f>SummaryTable[[#This Row],[OriginalBudget22]]-SummaryTable[[#This Row],[OriginalBudget21]]</f>
        <v>1</v>
      </c>
      <c r="AZ131" s="54">
        <f>SummaryTable[[#This Row],[BudgetIncreaseAmount22]]/SummaryTable[[#This Row],[OriginalBudget21]]</f>
        <v>6.0606060606060606E-3</v>
      </c>
      <c r="BA131" s="61">
        <f>IF(COUNTIFS(allFYsTable[Code], SummaryTable[[#This Row],[Code]], allFYsTable[year2], AX$3)=0, NotFound, SUMIFS(allFYsTable[RevisedBudget], allFYsTable[Code], SummaryTable[[#This Row],[Code]], allFYsTable[year2], AX$3))</f>
        <v>166</v>
      </c>
      <c r="BB131" s="61">
        <f>IF(COUNTIFS(allFYsTable[Code], SummaryTable[[#This Row],[Code]], allFYsTable[year2], AX$3)=0, NotFound, SUMIFS(allFYsTable[Actual], allFYsTable[Code], SummaryTable[[#This Row],[Code]], allFYsTable[year2], AX$3))</f>
        <v>166</v>
      </c>
      <c r="BC131" s="61">
        <f>IF(COUNTIFS(allFYsTable[Code], SummaryTable[[#This Row],[Code]], allFYsTable[year2], AX$3)=0, NotFound, SUMIFS(allFYsTable[DiffAmount], allFYsTable[Code], SummaryTable[[#This Row],[Code]], allFYsTable[year2], AX$3))</f>
        <v>0</v>
      </c>
      <c r="BD131" s="63">
        <f>IF(SummaryTable[[#This Row],[OriginalBudget22]]=0, IF(SummaryTable[[#This Row],[DiffAmount22]]=0, ZeroBudgetNoSpending, ZeroBudgetWithSpending), SummaryTable[[#This Row],[DiffAmount22]]/SummaryTable[[#This Row],[OriginalBudget22]])</f>
        <v>0</v>
      </c>
      <c r="BE131" s="62">
        <f>IF(COUNTIFS(allFYsTable[Code], SummaryTable[[#This Row],[Code]], allFYsTable[year2], BE$3)=0, NotFound, SUMIFS(allFYsTable[OriginalBudget], allFYsTable[Code], SummaryTable[[#This Row],[Code]], allFYsTable[year2], BE$3))</f>
        <v>165</v>
      </c>
      <c r="BF131" s="61">
        <f>SummaryTable[[#This Row],[OriginalBudget21]]-SummaryTable[[#This Row],[OriginalBudget20]]</f>
        <v>7</v>
      </c>
      <c r="BG131" s="54">
        <f>SummaryTable[[#This Row],[BudgetIncreaseAmount21]]/SummaryTable[[#This Row],[OriginalBudget20]]</f>
        <v>4.4303797468354431E-2</v>
      </c>
      <c r="BH131" s="61">
        <f>IF(COUNTIFS(allFYsTable[Code], SummaryTable[[#This Row],[Code]], allFYsTable[year2], BE$3)=0, NotFound, SUMIFS(allFYsTable[RevisedBudget], allFYsTable[Code], SummaryTable[[#This Row],[Code]], allFYsTable[year2], BE$3))</f>
        <v>165</v>
      </c>
      <c r="BI131" s="61">
        <f>IF(COUNTIFS(allFYsTable[Code], SummaryTable[[#This Row],[Code]], allFYsTable[year2], BE$3)=0, NotFound, SUMIFS(allFYsTable[Actual], allFYsTable[Code], SummaryTable[[#This Row],[Code]], allFYsTable[year2], BE$3))</f>
        <v>165</v>
      </c>
      <c r="BJ131" s="61">
        <f>IF(COUNTIFS(allFYsTable[Code], SummaryTable[[#This Row],[Code]], allFYsTable[year2], BE$3)=0, NotFound, SUMIFS(allFYsTable[DiffAmount], allFYsTable[Code], SummaryTable[[#This Row],[Code]], allFYsTable[year2], BE$3))</f>
        <v>0</v>
      </c>
      <c r="BK131" s="63">
        <f>IF(SummaryTable[[#This Row],[OriginalBudget21]]=0, IF(SummaryTable[[#This Row],[DiffAmount21]]=0, ZeroBudgetNoSpending, ZeroBudgetWithSpending), SummaryTable[[#This Row],[DiffAmount21]]/SummaryTable[[#This Row],[OriginalBudget21]])</f>
        <v>0</v>
      </c>
      <c r="BL131" s="62">
        <f>IF(COUNTIFS(allFYsTable[Code], SummaryTable[[#This Row],[Code]], allFYsTable[year2], BL$3)=0, NotFound, SUMIFS(allFYsTable[OriginalBudget], allFYsTable[Code], SummaryTable[[#This Row],[Code]], allFYsTable[year2], BL$3))</f>
        <v>158</v>
      </c>
      <c r="BM131" s="61">
        <f>SummaryTable[[#This Row],[OriginalBudget20]]-SummaryTable[[#This Row],[OriginalBudget19]]</f>
        <v>7</v>
      </c>
      <c r="BN131" s="54">
        <f>SummaryTable[[#This Row],[BudgetIncreaseAmount20]]/SummaryTable[[#This Row],[OriginalBudget19]]</f>
        <v>4.6357615894039736E-2</v>
      </c>
      <c r="BO131" s="61">
        <f>IF(COUNTIFS(allFYsTable[Code], SummaryTable[[#This Row],[Code]], allFYsTable[year2], BL$3)=0, NotFound, SUMIFS(allFYsTable[RevisedBudget], allFYsTable[Code], SummaryTable[[#This Row],[Code]], allFYsTable[year2], BL$3))</f>
        <v>158</v>
      </c>
      <c r="BP131" s="61">
        <f>IF(COUNTIFS(allFYsTable[Code], SummaryTable[[#This Row],[Code]], allFYsTable[year2], BL$3)=0, NotFound, SUMIFS(allFYsTable[Actual], allFYsTable[Code], SummaryTable[[#This Row],[Code]], allFYsTable[year2], BL$3))</f>
        <v>158</v>
      </c>
      <c r="BQ131" s="61">
        <f>IF(COUNTIFS(allFYsTable[Code], SummaryTable[[#This Row],[Code]], allFYsTable[year2], BL$3)=0, NotFound, SUMIFS(allFYsTable[DiffAmount], allFYsTable[Code], SummaryTable[[#This Row],[Code]], allFYsTable[year2], BL$3))</f>
        <v>0</v>
      </c>
      <c r="BR131" s="63">
        <f>IF(SummaryTable[[#This Row],[OriginalBudget20]]=0, IF(SummaryTable[[#This Row],[DiffAmount20]]=0, ZeroBudgetNoSpending, ZeroBudgetWithSpending), SummaryTable[[#This Row],[DiffAmount20]]/SummaryTable[[#This Row],[OriginalBudget20]])</f>
        <v>0</v>
      </c>
      <c r="BS131" s="62">
        <f>IF(COUNTIFS(allFYsTable[Code], SummaryTable[[#This Row],[Code]], allFYsTable[year2], BS$3)=0, NotFound, SUMIFS(allFYsTable[OriginalBudget], allFYsTable[Code], SummaryTable[[#This Row],[Code]], allFYsTable[year2], BS$3))</f>
        <v>151</v>
      </c>
      <c r="BT131" s="61">
        <f>SummaryTable[[#This Row],[OriginalBudget19]]-SummaryTable[[#This Row],[OriginalBudget18]]</f>
        <v>10</v>
      </c>
      <c r="BU131" s="54">
        <f>SummaryTable[[#This Row],[BudgetIncreaseAmount19]]/SummaryTable[[#This Row],[OriginalBudget18]]</f>
        <v>7.0921985815602842E-2</v>
      </c>
      <c r="BV131" s="61">
        <f>IF(COUNTIFS(allFYsTable[Code], SummaryTable[[#This Row],[Code]], allFYsTable[year2], BS$3)=0, NotFound, SUMIFS(allFYsTable[RevisedBudget], allFYsTable[Code], SummaryTable[[#This Row],[Code]], allFYsTable[year2], BS$3))</f>
        <v>151</v>
      </c>
      <c r="BW131" s="61">
        <f>IF(COUNTIFS(allFYsTable[Code], SummaryTable[[#This Row],[Code]], allFYsTable[year2], BS$3)=0, NotFound, SUMIFS(allFYsTable[Actual], allFYsTable[Code], SummaryTable[[#This Row],[Code]], allFYsTable[year2], BS$3))</f>
        <v>151</v>
      </c>
      <c r="BX131" s="61">
        <f>IF(COUNTIFS(allFYsTable[Code], SummaryTable[[#This Row],[Code]], allFYsTable[year2], BS$3)=0, NotFound, SUMIFS(allFYsTable[DiffAmount], allFYsTable[Code], SummaryTable[[#This Row],[Code]], allFYsTable[year2], BS$3))</f>
        <v>0</v>
      </c>
      <c r="BY131" s="63">
        <f>IF(SummaryTable[[#This Row],[OriginalBudget19]]=0, IF(SummaryTable[[#This Row],[DiffAmount19]]=0, ZeroBudgetNoSpending, ZeroBudgetWithSpending), SummaryTable[[#This Row],[DiffAmount19]]/SummaryTable[[#This Row],[OriginalBudget19]])</f>
        <v>0</v>
      </c>
      <c r="BZ131" s="62">
        <f>IF(COUNTIFS(allFYsTable[Code], SummaryTable[[#This Row],[Code]], allFYsTable[year2], BZ$3)=0, NotFound, SUMIFS(allFYsTable[OriginalBudget], allFYsTable[Code], SummaryTable[[#This Row],[Code]], allFYsTable[year2], BZ$3))</f>
        <v>141</v>
      </c>
      <c r="CA131" s="61">
        <f>SummaryTable[[#This Row],[OriginalBudget18]]-SummaryTable[[#This Row],[OriginalBudget17]]</f>
        <v>2</v>
      </c>
      <c r="CB131" s="54">
        <f>SummaryTable[[#This Row],[BudgetIncreaseAmount18]]/SummaryTable[[#This Row],[OriginalBudget17]]</f>
        <v>1.4388489208633094E-2</v>
      </c>
      <c r="CC131" s="61">
        <f>IF(COUNTIFS(allFYsTable[Code], SummaryTable[[#This Row],[Code]], allFYsTable[year2], BZ$3)=0, NotFound, SUMIFS(allFYsTable[RevisedBudget], allFYsTable[Code], SummaryTable[[#This Row],[Code]], allFYsTable[year2], BZ$3))</f>
        <v>141</v>
      </c>
      <c r="CD131" s="61">
        <f>IF(COUNTIFS(allFYsTable[Code], SummaryTable[[#This Row],[Code]], allFYsTable[year2], BZ$3)=0, NotFound, SUMIFS(allFYsTable[Actual], allFYsTable[Code], SummaryTable[[#This Row],[Code]], allFYsTable[year2], BZ$3))</f>
        <v>141</v>
      </c>
      <c r="CE131" s="61">
        <f>IF(COUNTIFS(allFYsTable[Code], SummaryTable[[#This Row],[Code]], allFYsTable[year2], BZ$3)=0, NotFound, SUMIFS(allFYsTable[DiffAmount], allFYsTable[Code], SummaryTable[[#This Row],[Code]], allFYsTable[year2], BZ$3))</f>
        <v>0</v>
      </c>
      <c r="CF131" s="63">
        <f>IF(SummaryTable[[#This Row],[OriginalBudget18]]=0, IF(SummaryTable[[#This Row],[DiffAmount18]]=0, ZeroBudgetNoSpending, ZeroBudgetWithSpending), SummaryTable[[#This Row],[DiffAmount18]]/SummaryTable[[#This Row],[OriginalBudget18]])</f>
        <v>0</v>
      </c>
      <c r="CG131" s="62">
        <f>IF(COUNTIFS(allFYsTable[Code], SummaryTable[[#This Row],[Code]], allFYsTable[year2], CG$3)=0, NotFound, SUMIFS(allFYsTable[OriginalBudget], allFYsTable[Code], SummaryTable[[#This Row],[Code]], allFYsTable[year2], CG$3))</f>
        <v>139</v>
      </c>
      <c r="CH131" s="61">
        <f>SummaryTable[[#This Row],[OriginalBudget17]]-SummaryTable[[#This Row],[OriginalBudget16]]</f>
        <v>12</v>
      </c>
      <c r="CI131" s="54">
        <f>SummaryTable[[#This Row],[BudgetIncreaseAmount17]]/SummaryTable[[#This Row],[OriginalBudget16]]</f>
        <v>9.4488188976377951E-2</v>
      </c>
      <c r="CJ131" s="61">
        <f>IF(COUNTIFS(allFYsTable[Code], SummaryTable[[#This Row],[Code]], allFYsTable[year2], CG$3)=0, NotFound, SUMIFS(allFYsTable[RevisedBudget], allFYsTable[Code], SummaryTable[[#This Row],[Code]], allFYsTable[year2], CG$3))</f>
        <v>139</v>
      </c>
      <c r="CK131" s="61">
        <f>IF(COUNTIFS(allFYsTable[Code], SummaryTable[[#This Row],[Code]], allFYsTable[year2], CG$3)=0, NotFound, SUMIFS(allFYsTable[Actual], allFYsTable[Code], SummaryTable[[#This Row],[Code]], allFYsTable[year2], CG$3))</f>
        <v>139</v>
      </c>
      <c r="CL131" s="61">
        <f>IF(COUNTIFS(allFYsTable[Code], SummaryTable[[#This Row],[Code]], allFYsTable[year2], CG$3)=0, NotFound, SUMIFS(allFYsTable[DiffAmount], allFYsTable[Code], SummaryTable[[#This Row],[Code]], allFYsTable[year2], CG$3))</f>
        <v>0</v>
      </c>
      <c r="CM131" s="63">
        <f>IF(SummaryTable[[#This Row],[OriginalBudget17]]=0, IF(SummaryTable[[#This Row],[DiffAmount17]]=0, ZeroBudgetNoSpending, ZeroBudgetWithSpending), SummaryTable[[#This Row],[DiffAmount17]]/SummaryTable[[#This Row],[OriginalBudget17]])</f>
        <v>0</v>
      </c>
      <c r="CN131" s="62">
        <f>IF(COUNTIFS(allFYsTable[Code], SummaryTable[[#This Row],[Code]], allFYsTable[year2], CN$3)=0, NotFound, SUMIFS(allFYsTable[OriginalBudget], allFYsTable[Code], SummaryTable[[#This Row],[Code]], allFYsTable[year2], CN$3))</f>
        <v>127</v>
      </c>
      <c r="CO131" s="61">
        <f>SummaryTable[[#This Row],[OriginalBudget16]]-SummaryTable[[#This Row],[OriginalBudget15]]</f>
        <v>0</v>
      </c>
      <c r="CP131" s="54">
        <f>SummaryTable[[#This Row],[BudgetIncreaseAmount16]]/SummaryTable[[#This Row],[OriginalBudget15]]</f>
        <v>0</v>
      </c>
      <c r="CQ131" s="61">
        <f>IF(COUNTIFS(allFYsTable[Code], SummaryTable[[#This Row],[Code]], allFYsTable[year2], CN$3)=0, NotFound, SUMIFS(allFYsTable[RevisedBudget], allFYsTable[Code], SummaryTable[[#This Row],[Code]], allFYsTable[year2], CN$3))</f>
        <v>127</v>
      </c>
      <c r="CR131" s="61">
        <f>IF(COUNTIFS(allFYsTable[Code], SummaryTable[[#This Row],[Code]], allFYsTable[year2], CN$3)=0, NotFound, SUMIFS(allFYsTable[Actual], allFYsTable[Code], SummaryTable[[#This Row],[Code]], allFYsTable[year2], CN$3))</f>
        <v>127</v>
      </c>
      <c r="CS131" s="61">
        <f>IF(COUNTIFS(allFYsTable[Code], SummaryTable[[#This Row],[Code]], allFYsTable[year2], CN$3)=0, NotFound, SUMIFS(allFYsTable[DiffAmount], allFYsTable[Code], SummaryTable[[#This Row],[Code]], allFYsTable[year2], CN$3))</f>
        <v>0</v>
      </c>
      <c r="CT131" s="63">
        <f>IF(SummaryTable[[#This Row],[OriginalBudget16]]=0, IF(SummaryTable[[#This Row],[DiffAmount16]]=0, ZeroBudgetNoSpending, ZeroBudgetWithSpending), SummaryTable[[#This Row],[DiffAmount16]]/SummaryTable[[#This Row],[OriginalBudget16]])</f>
        <v>0</v>
      </c>
      <c r="CU131" s="62">
        <f>IF(COUNTIFS(allFYsTable[Code], SummaryTable[[#This Row],[Code]], allFYsTable[year2], CU$3)=0, NotFound, SUMIFS(allFYsTable[OriginalBudget], allFYsTable[Code], SummaryTable[[#This Row],[Code]], allFYsTable[year2], CU$3))</f>
        <v>127</v>
      </c>
      <c r="CV131" s="61">
        <f>SummaryTable[[#This Row],[OriginalBudget15]]-SummaryTable[[#This Row],[OriginalBudget14]]</f>
        <v>1</v>
      </c>
      <c r="CW131" s="54">
        <f>SummaryTable[[#This Row],[BudgetIncreaseAmount15]]/SummaryTable[[#This Row],[OriginalBudget14]]</f>
        <v>7.9365079365079361E-3</v>
      </c>
      <c r="CX131" s="61">
        <f>IF(COUNTIFS(allFYsTable[Code], SummaryTable[[#This Row],[Code]], allFYsTable[year2], CU$3)=0, NotFound, SUMIFS(allFYsTable[RevisedBudget], allFYsTable[Code], SummaryTable[[#This Row],[Code]], allFYsTable[year2], CU$3))</f>
        <v>127</v>
      </c>
      <c r="CY131" s="61">
        <f>IF(COUNTIFS(allFYsTable[Code], SummaryTable[[#This Row],[Code]], allFYsTable[year2], CU$3)=0, NotFound, SUMIFS(allFYsTable[Actual], allFYsTable[Code], SummaryTable[[#This Row],[Code]], allFYsTable[year2], CU$3))</f>
        <v>127</v>
      </c>
      <c r="CZ131" s="61">
        <f>IF(COUNTIFS(allFYsTable[Code], SummaryTable[[#This Row],[Code]], allFYsTable[year2], CU$3)=0, NotFound, SUMIFS(allFYsTable[DiffAmount], allFYsTable[Code], SummaryTable[[#This Row],[Code]], allFYsTable[year2], CU$3))</f>
        <v>0</v>
      </c>
      <c r="DA131" s="63">
        <f>IF(SummaryTable[[#This Row],[OriginalBudget15]]=0, IF(SummaryTable[[#This Row],[DiffAmount15]]=0, ZeroBudgetNoSpending, ZeroBudgetWithSpending), SummaryTable[[#This Row],[DiffAmount15]]/SummaryTable[[#This Row],[OriginalBudget15]])</f>
        <v>0</v>
      </c>
      <c r="DB131" s="62">
        <f>IF(COUNTIFS(allFYsTable[Code], SummaryTable[[#This Row],[Code]], allFYsTable[year2], DB$3)=0, NotFound, SUMIFS(allFYsTable[OriginalBudget], allFYsTable[Code], SummaryTable[[#This Row],[Code]], allFYsTable[year2], DB$3))</f>
        <v>126</v>
      </c>
      <c r="DC131" s="61">
        <f>SummaryTable[[#This Row],[OriginalBudget14]]-SummaryTable[[#This Row],[OriginalBudget13]]</f>
        <v>0</v>
      </c>
      <c r="DD131" s="54">
        <f>SummaryTable[[#This Row],[BudgetIncreaseAmount14]]/SummaryTable[[#This Row],[OriginalBudget13]]</f>
        <v>0</v>
      </c>
      <c r="DE131" s="61">
        <f>IF(COUNTIFS(allFYsTable[Code], SummaryTable[[#This Row],[Code]], allFYsTable[year2], DB$3)=0, NotFound, SUMIFS(allFYsTable[RevisedBudget], allFYsTable[Code], SummaryTable[[#This Row],[Code]], allFYsTable[year2], DB$3))</f>
        <v>126</v>
      </c>
      <c r="DF131" s="61">
        <f>IF(COUNTIFS(allFYsTable[Code], SummaryTable[[#This Row],[Code]], allFYsTable[year2], DB$3)=0, NotFound, SUMIFS(allFYsTable[Actual], allFYsTable[Code], SummaryTable[[#This Row],[Code]], allFYsTable[year2], DB$3))</f>
        <v>126</v>
      </c>
      <c r="DG131" s="61">
        <f>IF(COUNTIFS(allFYsTable[Code], SummaryTable[[#This Row],[Code]], allFYsTable[year2], DB$3)=0, NotFound, SUMIFS(allFYsTable[DiffAmount], allFYsTable[Code], SummaryTable[[#This Row],[Code]], allFYsTable[year2], DB$3))</f>
        <v>0</v>
      </c>
      <c r="DH131" s="63">
        <f>IF(SummaryTable[[#This Row],[OriginalBudget14]]=0, IF(SummaryTable[[#This Row],[DiffAmount14]]=0, ZeroBudgetNoSpending, ZeroBudgetWithSpending), SummaryTable[[#This Row],[DiffAmount14]]/SummaryTable[[#This Row],[OriginalBudget14]])</f>
        <v>0</v>
      </c>
      <c r="DI131" s="62">
        <f>IF(COUNTIFS(allFYsTable[Code], SummaryTable[[#This Row],[Code]], allFYsTable[year2], DI$3)=0, NotFound, SUMIFS(allFYsTable[OriginalBudget], allFYsTable[Code], SummaryTable[[#This Row],[Code]], allFYsTable[year2], DI$3))</f>
        <v>126</v>
      </c>
      <c r="DJ131" s="61">
        <f>SummaryTable[[#This Row],[OriginalBudget13]]-SummaryTable[[#This Row],[OriginalBudget12]]</f>
        <v>0</v>
      </c>
      <c r="DK131" s="54">
        <f>SummaryTable[[#This Row],[BudgetIncreaseAmount13]]/SummaryTable[[#This Row],[OriginalBudget12]]</f>
        <v>0</v>
      </c>
      <c r="DL131" s="61">
        <f>IF(COUNTIFS(allFYsTable[Code], SummaryTable[[#This Row],[Code]], allFYsTable[year2], DI$3)=0, NotFound, SUMIFS(allFYsTable[RevisedBudget], allFYsTable[Code], SummaryTable[[#This Row],[Code]], allFYsTable[year2], DI$3))</f>
        <v>126</v>
      </c>
      <c r="DM131" s="61">
        <f>IF(COUNTIFS(allFYsTable[Code], SummaryTable[[#This Row],[Code]], allFYsTable[year2], DI$3)=0, NotFound, SUMIFS(allFYsTable[Actual], allFYsTable[Code], SummaryTable[[#This Row],[Code]], allFYsTable[year2], DI$3))</f>
        <v>126</v>
      </c>
      <c r="DN131" s="61">
        <f>IF(COUNTIFS(allFYsTable[Code], SummaryTable[[#This Row],[Code]], allFYsTable[year2], DI$3)=0, NotFound, SUMIFS(allFYsTable[DiffAmount], allFYsTable[Code], SummaryTable[[#This Row],[Code]], allFYsTable[year2], DI$3))</f>
        <v>0</v>
      </c>
      <c r="DO131" s="63">
        <f>IF(SummaryTable[[#This Row],[OriginalBudget13]]=0, IF(SummaryTable[[#This Row],[DiffAmount13]]=0, ZeroBudgetNoSpending, ZeroBudgetWithSpending), SummaryTable[[#This Row],[DiffAmount13]]/SummaryTable[[#This Row],[OriginalBudget13]])</f>
        <v>0</v>
      </c>
      <c r="DP131" s="62">
        <f>IF(COUNTIFS(allFYsTable[Code], SummaryTable[[#This Row],[Code]], allFYsTable[year2], DP$3)=0, NotFound, SUMIFS(allFYsTable[OriginalBudget], allFYsTable[Code], SummaryTable[[#This Row],[Code]], allFYsTable[year2], DP$3))</f>
        <v>126</v>
      </c>
      <c r="DQ131" s="61">
        <f>SummaryTable[[#This Row],[OriginalBudget12]]-SummaryTable[[#This Row],[OriginalBudget11]]</f>
        <v>3</v>
      </c>
      <c r="DR131" s="54">
        <f>SummaryTable[[#This Row],[BudgetIncreaseAmount12]]/SummaryTable[[#This Row],[OriginalBudget11]]</f>
        <v>2.4390243902439025E-2</v>
      </c>
      <c r="DS131" s="61">
        <f>IF(COUNTIFS(allFYsTable[Code], SummaryTable[[#This Row],[Code]], allFYsTable[year2], DP$3)=0, NotFound, SUMIFS(allFYsTable[RevisedBudget], allFYsTable[Code], SummaryTable[[#This Row],[Code]], allFYsTable[year2], DP$3))</f>
        <v>126</v>
      </c>
      <c r="DT131" s="61">
        <f>IF(COUNTIFS(allFYsTable[Code], SummaryTable[[#This Row],[Code]], allFYsTable[year2], DP$3)=0, NotFound, SUMIFS(allFYsTable[Actual], allFYsTable[Code], SummaryTable[[#This Row],[Code]], allFYsTable[year2], DP$3))</f>
        <v>126</v>
      </c>
      <c r="DU131" s="61">
        <f>IF(COUNTIFS(allFYsTable[Code], SummaryTable[[#This Row],[Code]], allFYsTable[year2], DP$3)=0, NotFound, SUMIFS(allFYsTable[DiffAmount], allFYsTable[Code], SummaryTable[[#This Row],[Code]], allFYsTable[year2], DP$3))</f>
        <v>0</v>
      </c>
      <c r="DV131" s="63">
        <f>IF(SummaryTable[[#This Row],[OriginalBudget12]]=0, IF(SummaryTable[[#This Row],[DiffAmount12]]=0, ZeroBudgetNoSpending, ZeroBudgetWithSpending), SummaryTable[[#This Row],[DiffAmount12]]/SummaryTable[[#This Row],[OriginalBudget12]])</f>
        <v>0</v>
      </c>
      <c r="DW131" s="62">
        <f>IF(COUNTIFS(allFYsTable[Code], SummaryTable[[#This Row],[Code]], allFYsTable[year2], DW$3)=0, NotFound, SUMIFS(allFYsTable[OriginalBudget], allFYsTable[Code], SummaryTable[[#This Row],[Code]], allFYsTable[year2], DW$3))</f>
        <v>123</v>
      </c>
      <c r="DX131" s="61">
        <f>SummaryTable[[#This Row],[OriginalBudget11]]-SummaryTable[[#This Row],[OriginalBudget10]]</f>
        <v>0</v>
      </c>
      <c r="DY131" s="54">
        <f>SummaryTable[[#This Row],[BudgetIncreaseAmount11]]/SummaryTable[[#This Row],[OriginalBudget10]]</f>
        <v>0</v>
      </c>
      <c r="DZ131" s="61">
        <f>IF(COUNTIFS(allFYsTable[Code], SummaryTable[[#This Row],[Code]], allFYsTable[year2], DW$3)=0, NotFound, SUMIFS(allFYsTable[RevisedBudget], allFYsTable[Code], SummaryTable[[#This Row],[Code]], allFYsTable[year2], DW$3))</f>
        <v>123</v>
      </c>
      <c r="EA131" s="61">
        <f>IF(COUNTIFS(allFYsTable[Code], SummaryTable[[#This Row],[Code]], allFYsTable[year2], DW$3)=0, NotFound, SUMIFS(allFYsTable[Actual], allFYsTable[Code], SummaryTable[[#This Row],[Code]], allFYsTable[year2], DW$3))</f>
        <v>123</v>
      </c>
      <c r="EB131" s="61">
        <f>IF(COUNTIFS(allFYsTable[Code], SummaryTable[[#This Row],[Code]], allFYsTable[year2], DW$3)=0, NotFound, SUMIFS(allFYsTable[DiffAmount], allFYsTable[Code], SummaryTable[[#This Row],[Code]], allFYsTable[year2], DW$3))</f>
        <v>0</v>
      </c>
      <c r="EC131" s="63">
        <f>IF(SummaryTable[[#This Row],[OriginalBudget11]]=0, IF(SummaryTable[[#This Row],[DiffAmount11]]=0, ZeroBudgetNoSpending, ZeroBudgetWithSpending), SummaryTable[[#This Row],[DiffAmount11]]/SummaryTable[[#This Row],[OriginalBudget11]])</f>
        <v>0</v>
      </c>
      <c r="ED131" s="62">
        <f>IF(COUNTIFS(allFYsTable[Code], SummaryTable[[#This Row],[Code]], allFYsTable[year2], ED$3)=0, NotFound, SUMIFS(allFYsTable[OriginalBudget], allFYsTable[Code], SummaryTable[[#This Row],[Code]], allFYsTable[year2], ED$3))</f>
        <v>123</v>
      </c>
      <c r="EE131" s="61">
        <f>SummaryTable[[#This Row],[OriginalBudget10]]-SummaryTable[[#This Row],[OriginalBudget09]]</f>
        <v>10</v>
      </c>
      <c r="EF131" s="54">
        <f>SummaryTable[[#This Row],[BudgetIncreaseAmount10]]/SummaryTable[[#This Row],[OriginalBudget09]]</f>
        <v>8.8495575221238937E-2</v>
      </c>
      <c r="EG131" s="61">
        <f>IF(COUNTIFS(allFYsTable[Code], SummaryTable[[#This Row],[Code]], allFYsTable[year2], ED$3)=0, NotFound, SUMIFS(allFYsTable[RevisedBudget], allFYsTable[Code], SummaryTable[[#This Row],[Code]], allFYsTable[year2], ED$3))</f>
        <v>123</v>
      </c>
      <c r="EH131" s="61">
        <f>IF(COUNTIFS(allFYsTable[Code], SummaryTable[[#This Row],[Code]], allFYsTable[year2], ED$3)=0, NotFound, SUMIFS(allFYsTable[Actual], allFYsTable[Code], SummaryTable[[#This Row],[Code]], allFYsTable[year2], ED$3))</f>
        <v>123</v>
      </c>
      <c r="EI131" s="61">
        <f>IF(COUNTIFS(allFYsTable[Code], SummaryTable[[#This Row],[Code]], allFYsTable[year2], ED$3)=0, NotFound, SUMIFS(allFYsTable[DiffAmount], allFYsTable[Code], SummaryTable[[#This Row],[Code]], allFYsTable[year2], ED$3))</f>
        <v>0</v>
      </c>
      <c r="EJ131" s="63">
        <f>IF(SummaryTable[[#This Row],[OriginalBudget10]]=0, IF(SummaryTable[[#This Row],[DiffAmount10]]=0, ZeroBudgetNoSpending, ZeroBudgetWithSpending), SummaryTable[[#This Row],[DiffAmount10]]/SummaryTable[[#This Row],[OriginalBudget10]])</f>
        <v>0</v>
      </c>
      <c r="EK131" s="62">
        <f>IF(COUNTIFS(allFYsTable[Code], SummaryTable[[#This Row],[Code]], allFYsTable[year2], EK$3)=0, NotFound, SUMIFS(allFYsTable[OriginalBudget], allFYsTable[Code], SummaryTable[[#This Row],[Code]], allFYsTable[year2], EK$3))</f>
        <v>113</v>
      </c>
      <c r="EL131" s="61">
        <f>SummaryTable[[#This Row],[OriginalBudget09]]-SummaryTable[[#This Row],[OriginalBudget08]]</f>
        <v>0</v>
      </c>
      <c r="EM131" s="54">
        <f>SummaryTable[[#This Row],[BudgetIncreaseAmount09]]/SummaryTable[[#This Row],[OriginalBudget08]]</f>
        <v>0</v>
      </c>
      <c r="EN131" s="61">
        <f>IF(COUNTIFS(allFYsTable[Code], SummaryTable[[#This Row],[Code]], allFYsTable[year2], EK$3)=0, NotFound, SUMIFS(allFYsTable[RevisedBudget], allFYsTable[Code], SummaryTable[[#This Row],[Code]], allFYsTable[year2], EK$3))</f>
        <v>113</v>
      </c>
      <c r="EO131" s="61">
        <f>IF(COUNTIFS(allFYsTable[Code], SummaryTable[[#This Row],[Code]], allFYsTable[year2], EK$3)=0, NotFound, SUMIFS(allFYsTable[Actual], allFYsTable[Code], SummaryTable[[#This Row],[Code]], allFYsTable[year2], EK$3))</f>
        <v>113</v>
      </c>
      <c r="EP131" s="61">
        <f>IF(COUNTIFS(allFYsTable[Code], SummaryTable[[#This Row],[Code]], allFYsTable[year2], EK$3)=0, NotFound, SUMIFS(allFYsTable[DiffAmount], allFYsTable[Code], SummaryTable[[#This Row],[Code]], allFYsTable[year2], EK$3))</f>
        <v>0</v>
      </c>
      <c r="EQ131" s="63">
        <f>IF(SummaryTable[[#This Row],[OriginalBudget09]]=0, IF(SummaryTable[[#This Row],[DiffAmount09]]=0, ZeroBudgetNoSpending, ZeroBudgetWithSpending), SummaryTable[[#This Row],[DiffAmount09]]/SummaryTable[[#This Row],[OriginalBudget09]])</f>
        <v>0</v>
      </c>
      <c r="ER131" s="62">
        <f>IF(COUNTIFS(allFYsTable[Code], SummaryTable[[#This Row],[Code]], allFYsTable[year2], ER$3)=0, NotFound, SUMIFS(allFYsTable[OriginalBudget], allFYsTable[Code], SummaryTable[[#This Row],[Code]], allFYsTable[year2], ER$3))</f>
        <v>113</v>
      </c>
      <c r="ES131" s="61">
        <f>SummaryTable[[#This Row],[OriginalBudget08]]-SummaryTable[[#This Row],[OriginalBudget07]]</f>
        <v>3</v>
      </c>
      <c r="ET131" s="54">
        <f>SummaryTable[[#This Row],[BudgetIncreaseAmount08]]/SummaryTable[[#This Row],[OriginalBudget07]]</f>
        <v>2.7272727272727271E-2</v>
      </c>
      <c r="EU131" s="61">
        <f>IF(COUNTIFS(allFYsTable[Code], SummaryTable[[#This Row],[Code]], allFYsTable[year2], ER$3)=0, NotFound, SUMIFS(allFYsTable[RevisedBudget], allFYsTable[Code], SummaryTable[[#This Row],[Code]], allFYsTable[year2], ER$3))</f>
        <v>113</v>
      </c>
      <c r="EV131" s="61">
        <f>IF(COUNTIFS(allFYsTable[Code], SummaryTable[[#This Row],[Code]], allFYsTable[year2], ER$3)=0, NotFound, SUMIFS(allFYsTable[Actual], allFYsTable[Code], SummaryTable[[#This Row],[Code]], allFYsTable[year2], ER$3))</f>
        <v>113</v>
      </c>
      <c r="EW131" s="61">
        <f>IF(COUNTIFS(allFYsTable[Code], SummaryTable[[#This Row],[Code]], allFYsTable[year2], ER$3)=0, NotFound, SUMIFS(allFYsTable[DiffAmount], allFYsTable[Code], SummaryTable[[#This Row],[Code]], allFYsTable[year2], ER$3))</f>
        <v>0</v>
      </c>
      <c r="EX131" s="63">
        <f>IF(SummaryTable[[#This Row],[OriginalBudget08]]=0, IF(SummaryTable[[#This Row],[DiffAmount08]]=0, ZeroBudgetNoSpending, ZeroBudgetWithSpending), SummaryTable[[#This Row],[DiffAmount08]]/SummaryTable[[#This Row],[OriginalBudget08]])</f>
        <v>0</v>
      </c>
      <c r="EY131" s="62">
        <f>IF(COUNTIFS(allFYsTable[Code], SummaryTable[[#This Row],[Code]], allFYsTable[year2], EY$3)=0, NotFound, SUMIFS(allFYsTable[OriginalBudget], allFYsTable[Code], SummaryTable[[#This Row],[Code]], allFYsTable[year2], EY$3))</f>
        <v>110</v>
      </c>
      <c r="EZ131" s="61">
        <f>SummaryTable[[#This Row],[OriginalBudget07]]-SummaryTable[[#This Row],[OriginalBudget06]]</f>
        <v>0</v>
      </c>
      <c r="FA131" s="54">
        <f>SummaryTable[[#This Row],[BudgetIncreaseAmount07]]/SummaryTable[[#This Row],[OriginalBudget06]]</f>
        <v>0</v>
      </c>
      <c r="FB131" s="61">
        <f>IF(COUNTIFS(allFYsTable[Code], SummaryTable[[#This Row],[Code]], allFYsTable[year2], EY$3)=0, NotFound, SUMIFS(allFYsTable[RevisedBudget], allFYsTable[Code], SummaryTable[[#This Row],[Code]], allFYsTable[year2], EY$3))</f>
        <v>110</v>
      </c>
      <c r="FC131" s="61">
        <f>IF(COUNTIFS(allFYsTable[Code], SummaryTable[[#This Row],[Code]], allFYsTable[year2], EY$3)=0, NotFound, SUMIFS(allFYsTable[Actual], allFYsTable[Code], SummaryTable[[#This Row],[Code]], allFYsTable[year2], EY$3))</f>
        <v>110</v>
      </c>
      <c r="FD131" s="61">
        <f>IF(COUNTIFS(allFYsTable[Code], SummaryTable[[#This Row],[Code]], allFYsTable[year2], EY$3)=0, NotFound, SUMIFS(allFYsTable[DiffAmount], allFYsTable[Code], SummaryTable[[#This Row],[Code]], allFYsTable[year2], EY$3))</f>
        <v>0</v>
      </c>
      <c r="FE131" s="63">
        <f>IF(SummaryTable[[#This Row],[OriginalBudget07]]=0, IF(SummaryTable[[#This Row],[DiffAmount07]]=0, ZeroBudgetNoSpending, ZeroBudgetWithSpending), SummaryTable[[#This Row],[DiffAmount07]]/SummaryTable[[#This Row],[OriginalBudget07]])</f>
        <v>0</v>
      </c>
      <c r="FF131" s="62">
        <f>IF(COUNTIFS(allFYsTable[Code], SummaryTable[[#This Row],[Code]], allFYsTable[year2], FF$3)=0, NotFound, SUMIFS(allFYsTable[OriginalBudget], allFYsTable[Code], SummaryTable[[#This Row],[Code]], allFYsTable[year2], FF$3))</f>
        <v>110</v>
      </c>
      <c r="FI131" s="61">
        <f>IF(COUNTIFS(allFYsTable[Code], SummaryTable[[#This Row],[Code]], allFYsTable[year2], FF$3)=0, NotFound, SUMIFS(allFYsTable[RevisedBudget], allFYsTable[Code], SummaryTable[[#This Row],[Code]], allFYsTable[year2], FF$3))</f>
        <v>110</v>
      </c>
      <c r="FJ131" s="61">
        <f>IF(COUNTIFS(allFYsTable[Code], SummaryTable[[#This Row],[Code]], allFYsTable[year2], FF$3)=0, NotFound, SUMIFS(allFYsTable[Actual], allFYsTable[Code], SummaryTable[[#This Row],[Code]], allFYsTable[year2], FF$3))</f>
        <v>110</v>
      </c>
      <c r="FK131" s="61">
        <f>IF(COUNTIFS(allFYsTable[Code], SummaryTable[[#This Row],[Code]], allFYsTable[year2], FF$3)=0, NotFound, SUMIFS(allFYsTable[DiffAmount], allFYsTable[Code], SummaryTable[[#This Row],[Code]], allFYsTable[year2], FF$3))</f>
        <v>0</v>
      </c>
      <c r="FL131" s="63">
        <f>IF(SummaryTable[[#This Row],[OriginalBudget06]]=0, IF(SummaryTable[[#This Row],[DiffAmount06]]=0, ZeroBudgetNoSpending, ZeroBudgetWithSpending), SummaryTable[[#This Row],[DiffAmount06]]/SummaryTable[[#This Row],[OriginalBudget06]])</f>
        <v>0</v>
      </c>
    </row>
    <row r="132" spans="1:168" x14ac:dyDescent="0.45">
      <c r="A132" t="s">
        <v>821</v>
      </c>
      <c r="B132">
        <f>_xlfn.MAXIFS(allFYsTable[year2], allFYsTable[Code], SummaryTable[[#This Row],[Code]])</f>
        <v>2025</v>
      </c>
      <c r="C132" t="str">
        <f>_xlfn.XLOOKUP(SummaryTable[[#This Row],[Code]], NameCodingTable[Code], NameCodingTable[Most Recent Category per allFYs])</f>
        <v>Governmental direction and support</v>
      </c>
      <c r="D132" t="str">
        <f>_xlfn.XLOOKUP(SummaryTable[[#This Row],[Code]], NameCodingTable[Code], NameCodingTable[Unit Display Name])</f>
        <v>Workforce Investments Account</v>
      </c>
      <c r="E132" t="str">
        <f>_xlfn.XLOOKUP(SummaryTable[[#This Row],[Code]], NameCodingTable[Code], NameCodingTable[Type])</f>
        <v>xother</v>
      </c>
      <c r="F13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17</v>
      </c>
      <c r="G13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32" s="54">
        <f>SummaryTable[[#This Row],['# Over]]/SummaryTable[[#This Row],[Count]]</f>
        <v>0</v>
      </c>
      <c r="I13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15</v>
      </c>
      <c r="J132" s="54">
        <f>SummaryTable[[#This Row],['# Under]]/SummaryTable[[#This Row],[Count]]</f>
        <v>0.88235294117647056</v>
      </c>
      <c r="K13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2</v>
      </c>
      <c r="L132" s="54">
        <f>SummaryTable[[#This Row],['# Equal]]/SummaryTable[[#This Row],[Count]]</f>
        <v>0.11764705882352941</v>
      </c>
      <c r="M132" s="61">
        <f>SUMIFS(allFYsTable[OriginalBudget],allFYsTable[Code],SummaryTable[[#This Row],[Code]])/SummaryTable[[#This Row],[Count]]</f>
        <v>64207.823529411762</v>
      </c>
      <c r="N132" s="61">
        <f>SUMIFS(allFYsTable[Actual],allFYsTable[Code],SummaryTable[[#This Row],[Code]])/SummaryTable[[#This Row],[Count]]</f>
        <v>0</v>
      </c>
      <c r="O132" s="61">
        <f>SummaryTable[[#This Row],[AvgActAmt]]-SummaryTable[[#This Row],[AvgBudAmt]]</f>
        <v>-64207.823529411762</v>
      </c>
      <c r="P132" s="54">
        <f>IF(SummaryTable[[#This Row],[AvgBudAmt]]=0, IF(SummaryTable[[#This Row],[AvgDiff'#]]=0, 0, NamedFields!$C$3), SummaryTable[[#This Row],[AvgDiff'#]]/SummaryTable[[#This Row],[AvgBudAmt]])</f>
        <v>-1</v>
      </c>
      <c r="Q132" s="61">
        <f>IFERROR(SUMIFS(allFYsTable[OriginalBudget],allFYsTable[Code],SummaryTable[[#This Row],[Code]],allFYsTable[DiffAmount], "&gt;0")/SummaryTable[[#This Row],['# Over]], 0)</f>
        <v>0</v>
      </c>
      <c r="R132" s="61">
        <f>IFERROR(SUMIFS(allFYsTable[Actual],allFYsTable[Code],SummaryTable[[#This Row],[Code]],allFYsTable[DiffAmount], "&gt;0")/SummaryTable[[#This Row],['# Over]], 0)</f>
        <v>0</v>
      </c>
      <c r="S132" s="61">
        <f>SummaryTable[[#This Row],[OverAvgAct]]-SummaryTable[[#This Row],[OverAvgBud]]</f>
        <v>0</v>
      </c>
      <c r="T132" s="54">
        <f>IF(SummaryTable[[#This Row],[OverAvgBud]]=0, IF(SummaryTable[[#This Row],[OverAvgDiff'#]]=0, ZeroBudgetNoSpending, ZeroBudgetWithSpending), SummaryTable[[#This Row],[OverAvgDiff'#]]/SummaryTable[[#This Row],[OverAvgBud]])</f>
        <v>0</v>
      </c>
      <c r="U132" s="61">
        <f>IFERROR(SUMIFS(allFYsTable[OriginalBudget],allFYsTable[Code],SummaryTable[[#This Row],[Code]],allFYsTable[DiffAmount], "&lt;0")/SummaryTable[[#This Row],['# Under]], 0)</f>
        <v>72768.866666666669</v>
      </c>
      <c r="V132" s="61">
        <f>IFERROR( SUMIFS(allFYsTable[Actual],allFYsTable[Code],SummaryTable[[#This Row],[Code]],allFYsTable[DiffAmount], "&lt;0")/SummaryTable[[#This Row],['# Under]], 0)</f>
        <v>0</v>
      </c>
      <c r="W132" s="61">
        <f>SummaryTable[[#This Row],[UnderAvgAct]]-SummaryTable[[#This Row],[UnderAvgBud]]</f>
        <v>-72768.866666666669</v>
      </c>
      <c r="X132" s="54">
        <f>IF(SummaryTable[[#This Row],[UnderAvgBud]]=0, IF(SummaryTable[[#This Row],[UnderAvgDiff'#]]=0, ZeroBudgetNoSpending, NamedFields!$C$3), SummaryTable[[#This Row],[UnderAvgDiff'#]]/SummaryTable[[#This Row],[UnderAvgBud]])</f>
        <v>-1</v>
      </c>
      <c r="Y13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13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2" s="54">
        <f>IF(SummaryTable[[#This Row],[IncreaseYears]]=0, ZeroBudgetNoSpending, SummaryTable[[#This Row],[OSinIncreaseYear'#]]/SummaryTable[[#This Row],[IncreaseYears]])</f>
        <v>0</v>
      </c>
      <c r="AB132" s="58" t="str">
        <f>SummaryTable[[#This Row],[Code]]</f>
        <v>UP0</v>
      </c>
      <c r="AC132" s="62">
        <f>IF(COUNTIFS(allFYsTable[Code], SummaryTable[[#This Row],[Code]], allFYsTable[year2], AC$3)=0, NotFound, SUMIFS(allFYsTable[OriginalBudget], allFYsTable[Code], SummaryTable[[#This Row],[Code]], allFYsTable[year2], AC$3))</f>
        <v>103249</v>
      </c>
      <c r="AD132" s="61">
        <f>SummaryTable[[#This Row],[OriginalBudget25]]-SummaryTable[[#This Row],[OriginalBudget24]]</f>
        <v>-103206</v>
      </c>
      <c r="AE132" s="54">
        <f>SummaryTable[[#This Row],[BudgetIncreaseAmount25]]/SummaryTable[[#This Row],[OriginalBudget24]]</f>
        <v>-0.49989586108352912</v>
      </c>
      <c r="AF132" s="61">
        <f>IF(COUNTIFS(allFYsTable[Code], SummaryTable[[#This Row],[Code]], allFYsTable[year2], AC$3)=0, NotFound, SUMIFS(allFYsTable[RevisedBudget], allFYsTable[Code], SummaryTable[[#This Row],[Code]], allFYsTable[year2], AC$3))</f>
        <v>0</v>
      </c>
      <c r="AG132" s="61">
        <f>IF(COUNTIFS(allFYsTable[Code], SummaryTable[[#This Row],[Code]], allFYsTable[year2], AC$3)=0, NotFound, SUMIFS(allFYsTable[Actual], allFYsTable[Code], SummaryTable[[#This Row],[Code]], allFYsTable[year2], AC$3))</f>
        <v>0</v>
      </c>
      <c r="AH132" s="61">
        <f>IF(COUNTIFS(allFYsTable[Code], SummaryTable[[#This Row],[Code]], allFYsTable[year2], AC$3)=0, NotFound, SUMIFS(allFYsTable[DiffAmount], allFYsTable[Code], SummaryTable[[#This Row],[Code]], allFYsTable[year2], AC$3))</f>
        <v>-103249</v>
      </c>
      <c r="AI132" s="63">
        <f>IF(SummaryTable[[#This Row],[OriginalBudget25]]=0, IF(SummaryTable[[#This Row],[DiffAmount25]]=0, ZeroBudgetNoSpending, ZeroBudgetWithSpending), SummaryTable[[#This Row],[DiffAmount25]]/SummaryTable[[#This Row],[OriginalBudget25]])</f>
        <v>-1</v>
      </c>
      <c r="AJ132" s="62">
        <f>IF(COUNTIFS(allFYsTable[Code], SummaryTable[[#This Row],[Code]], allFYsTable[year2], AJ$3)=0, NotFound, SUMIFS(allFYsTable[OriginalBudget], allFYsTable[Code], SummaryTable[[#This Row],[Code]], allFYsTable[year2], AJ$3))</f>
        <v>206455</v>
      </c>
      <c r="AK132" s="61">
        <f>SummaryTable[[#This Row],[OriginalBudget24]]-SummaryTable[[#This Row],[OriginalBudget23]]</f>
        <v>142279</v>
      </c>
      <c r="AL132" s="54">
        <f>SummaryTable[[#This Row],[BudgetIncreaseAmount24]]/SummaryTable[[#This Row],[OriginalBudget23]]</f>
        <v>2.2170125903764646</v>
      </c>
      <c r="AM132" s="61">
        <f>IF(COUNTIFS(allFYsTable[Code], SummaryTable[[#This Row],[Code]], allFYsTable[year2], AK$3)=0, NotFound, SUMIFS(allFYsTable[RevisedBudget], allFYsTable[Code], SummaryTable[[#This Row],[Code]], allFYsTable[year2], AJ$3))</f>
        <v>62345</v>
      </c>
      <c r="AN132" s="61">
        <f>IF(COUNTIFS(allFYsTable[Code], SummaryTable[[#This Row],[Code]], allFYsTable[year2], AJ$3)=0, NotFound, SUMIFS(allFYsTable[Actual], allFYsTable[Code], SummaryTable[[#This Row],[Code]], allFYsTable[year2], AJ$3))</f>
        <v>0</v>
      </c>
      <c r="AO132" s="61">
        <f>IF(COUNTIFS(allFYsTable[Code], SummaryTable[[#This Row],[Code]], allFYsTable[year2], AJ$3)=0, NotFound, SUMIFS(allFYsTable[DiffAmount], allFYsTable[Code], SummaryTable[[#This Row],[Code]], allFYsTable[year2], AJ$3))</f>
        <v>-206455</v>
      </c>
      <c r="AP132" s="63">
        <f>IF(SummaryTable[[#This Row],[OriginalBudget24]]=0, IF(SummaryTable[[#This Row],[DiffAmount24]]=0, ZeroBudgetNoSpending, ZeroBudgetWithSpending), SummaryTable[[#This Row],[DiffAmount24]]/SummaryTable[[#This Row],[OriginalBudget24]])</f>
        <v>-1</v>
      </c>
      <c r="AQ132" s="62">
        <f>IF(COUNTIFS(allFYsTable[Code], SummaryTable[[#This Row],[Code]], allFYsTable[year2], AQ$3)=0, NotFound, SUMIFS(allFYsTable[OriginalBudget], allFYsTable[Code], SummaryTable[[#This Row],[Code]], allFYsTable[year2], AQ$3))</f>
        <v>64176</v>
      </c>
      <c r="AR132" s="61">
        <f>SummaryTable[[#This Row],[OriginalBudget23]]-SummaryTable[[#This Row],[OriginalBudget22]]</f>
        <v>-8273</v>
      </c>
      <c r="AS132" s="54">
        <f>SummaryTable[[#This Row],[BudgetIncreaseAmount23]]/SummaryTable[[#This Row],[OriginalBudget22]]</f>
        <v>-0.11419067205896562</v>
      </c>
      <c r="AT132" s="61">
        <f>IF(COUNTIFS(allFYsTable[Code], SummaryTable[[#This Row],[Code]], allFYsTable[year2], AQ$3)=0, NotFound, SUMIFS(allFYsTable[RevisedBudget], allFYsTable[Code], SummaryTable[[#This Row],[Code]], allFYsTable[year2], AQ$3))</f>
        <v>0</v>
      </c>
      <c r="AU132" s="61">
        <f>IF(COUNTIFS(allFYsTable[Code], SummaryTable[[#This Row],[Code]], allFYsTable[year2], AQ$3)=0, NotFound, SUMIFS(allFYsTable[Actual], allFYsTable[Code], SummaryTable[[#This Row],[Code]], allFYsTable[year2], AQ$3))</f>
        <v>0</v>
      </c>
      <c r="AV132" s="61">
        <f>IF(COUNTIFS(allFYsTable[Code], SummaryTable[[#This Row],[Code]], allFYsTable[year2], AQ$3)=0, NotFound, SUMIFS(allFYsTable[DiffAmount], allFYsTable[Code], SummaryTable[[#This Row],[Code]], allFYsTable[year2], AQ$3))</f>
        <v>-64176</v>
      </c>
      <c r="AW132" s="63">
        <f>IF(SummaryTable[[#This Row],[OriginalBudget23]]=0, IF(SummaryTable[[#This Row],[DiffAmount23]]=0, ZeroBudgetNoSpending, ZeroBudgetWithSpending), SummaryTable[[#This Row],[DiffAmount23]]/SummaryTable[[#This Row],[OriginalBudget23]])</f>
        <v>-1</v>
      </c>
      <c r="AX132" s="62">
        <f>IF(COUNTIFS(allFYsTable[Code], SummaryTable[[#This Row],[Code]], allFYsTable[year2], AX$3)=0, NotFound, SUMIFS(allFYsTable[OriginalBudget], allFYsTable[Code], SummaryTable[[#This Row],[Code]], allFYsTable[year2], AX$3))</f>
        <v>72449</v>
      </c>
      <c r="AY132" s="61">
        <f>SummaryTable[[#This Row],[OriginalBudget22]]-SummaryTable[[#This Row],[OriginalBudget21]]</f>
        <v>72449</v>
      </c>
      <c r="AZ132" s="54" t="e">
        <f>SummaryTable[[#This Row],[BudgetIncreaseAmount22]]/SummaryTable[[#This Row],[OriginalBudget21]]</f>
        <v>#DIV/0!</v>
      </c>
      <c r="BA132" s="61">
        <f>IF(COUNTIFS(allFYsTable[Code], SummaryTable[[#This Row],[Code]], allFYsTable[year2], AX$3)=0, NotFound, SUMIFS(allFYsTable[RevisedBudget], allFYsTable[Code], SummaryTable[[#This Row],[Code]], allFYsTable[year2], AX$3))</f>
        <v>102264</v>
      </c>
      <c r="BB132" s="61">
        <f>IF(COUNTIFS(allFYsTable[Code], SummaryTable[[#This Row],[Code]], allFYsTable[year2], AX$3)=0, NotFound, SUMIFS(allFYsTable[Actual], allFYsTable[Code], SummaryTable[[#This Row],[Code]], allFYsTable[year2], AX$3))</f>
        <v>0</v>
      </c>
      <c r="BC132" s="61">
        <f>IF(COUNTIFS(allFYsTable[Code], SummaryTable[[#This Row],[Code]], allFYsTable[year2], AX$3)=0, NotFound, SUMIFS(allFYsTable[DiffAmount], allFYsTable[Code], SummaryTable[[#This Row],[Code]], allFYsTable[year2], AX$3))</f>
        <v>-72449</v>
      </c>
      <c r="BD132" s="63">
        <f>IF(SummaryTable[[#This Row],[OriginalBudget22]]=0, IF(SummaryTable[[#This Row],[DiffAmount22]]=0, ZeroBudgetNoSpending, ZeroBudgetWithSpending), SummaryTable[[#This Row],[DiffAmount22]]/SummaryTable[[#This Row],[OriginalBudget22]])</f>
        <v>-1</v>
      </c>
      <c r="BE132" s="62">
        <f>IF(COUNTIFS(allFYsTable[Code], SummaryTable[[#This Row],[Code]], allFYsTable[year2], BE$3)=0, NotFound, SUMIFS(allFYsTable[OriginalBudget], allFYsTable[Code], SummaryTable[[#This Row],[Code]], allFYsTable[year2], BE$3))</f>
        <v>0</v>
      </c>
      <c r="BF132" s="61">
        <f>SummaryTable[[#This Row],[OriginalBudget21]]-SummaryTable[[#This Row],[OriginalBudget20]]</f>
        <v>-89068</v>
      </c>
      <c r="BG132" s="54">
        <f>SummaryTable[[#This Row],[BudgetIncreaseAmount21]]/SummaryTable[[#This Row],[OriginalBudget20]]</f>
        <v>-1</v>
      </c>
      <c r="BH132" s="61">
        <f>IF(COUNTIFS(allFYsTable[Code], SummaryTable[[#This Row],[Code]], allFYsTable[year2], BE$3)=0, NotFound, SUMIFS(allFYsTable[RevisedBudget], allFYsTable[Code], SummaryTable[[#This Row],[Code]], allFYsTable[year2], BE$3))</f>
        <v>15192</v>
      </c>
      <c r="BI132" s="61">
        <f>IF(COUNTIFS(allFYsTable[Code], SummaryTable[[#This Row],[Code]], allFYsTable[year2], BE$3)=0, NotFound, SUMIFS(allFYsTable[Actual], allFYsTable[Code], SummaryTable[[#This Row],[Code]], allFYsTable[year2], BE$3))</f>
        <v>0</v>
      </c>
      <c r="BJ132" s="61">
        <f>IF(COUNTIFS(allFYsTable[Code], SummaryTable[[#This Row],[Code]], allFYsTable[year2], BE$3)=0, NotFound, SUMIFS(allFYsTable[DiffAmount], allFYsTable[Code], SummaryTable[[#This Row],[Code]], allFYsTable[year2], BE$3))</f>
        <v>0</v>
      </c>
      <c r="BK132" s="63">
        <f>IF(SummaryTable[[#This Row],[OriginalBudget21]]=0, IF(SummaryTable[[#This Row],[DiffAmount21]]=0, ZeroBudgetNoSpending, ZeroBudgetWithSpending), SummaryTable[[#This Row],[DiffAmount21]]/SummaryTable[[#This Row],[OriginalBudget21]])</f>
        <v>0</v>
      </c>
      <c r="BL132" s="62">
        <f>IF(COUNTIFS(allFYsTable[Code], SummaryTable[[#This Row],[Code]], allFYsTable[year2], BL$3)=0, NotFound, SUMIFS(allFYsTable[OriginalBudget], allFYsTable[Code], SummaryTable[[#This Row],[Code]], allFYsTable[year2], BL$3))</f>
        <v>89068</v>
      </c>
      <c r="BM132" s="61">
        <f>SummaryTable[[#This Row],[OriginalBudget20]]-SummaryTable[[#This Row],[OriginalBudget19]]</f>
        <v>37301</v>
      </c>
      <c r="BN132" s="54">
        <f>SummaryTable[[#This Row],[BudgetIncreaseAmount20]]/SummaryTable[[#This Row],[OriginalBudget19]]</f>
        <v>0.72055556628740314</v>
      </c>
      <c r="BO132" s="61">
        <f>IF(COUNTIFS(allFYsTable[Code], SummaryTable[[#This Row],[Code]], allFYsTable[year2], BL$3)=0, NotFound, SUMIFS(allFYsTable[RevisedBudget], allFYsTable[Code], SummaryTable[[#This Row],[Code]], allFYsTable[year2], BL$3))</f>
        <v>5311</v>
      </c>
      <c r="BP132" s="61">
        <f>IF(COUNTIFS(allFYsTable[Code], SummaryTable[[#This Row],[Code]], allFYsTable[year2], BL$3)=0, NotFound, SUMIFS(allFYsTable[Actual], allFYsTable[Code], SummaryTable[[#This Row],[Code]], allFYsTable[year2], BL$3))</f>
        <v>0</v>
      </c>
      <c r="BQ132" s="61">
        <f>IF(COUNTIFS(allFYsTable[Code], SummaryTable[[#This Row],[Code]], allFYsTable[year2], BL$3)=0, NotFound, SUMIFS(allFYsTable[DiffAmount], allFYsTable[Code], SummaryTable[[#This Row],[Code]], allFYsTable[year2], BL$3))</f>
        <v>-89068</v>
      </c>
      <c r="BR132" s="63">
        <f>IF(SummaryTable[[#This Row],[OriginalBudget20]]=0, IF(SummaryTable[[#This Row],[DiffAmount20]]=0, ZeroBudgetNoSpending, ZeroBudgetWithSpending), SummaryTable[[#This Row],[DiffAmount20]]/SummaryTable[[#This Row],[OriginalBudget20]])</f>
        <v>-1</v>
      </c>
      <c r="BS132" s="62">
        <f>IF(COUNTIFS(allFYsTable[Code], SummaryTable[[#This Row],[Code]], allFYsTable[year2], BS$3)=0, NotFound, SUMIFS(allFYsTable[OriginalBudget], allFYsTable[Code], SummaryTable[[#This Row],[Code]], allFYsTable[year2], BS$3))</f>
        <v>51767</v>
      </c>
      <c r="BT132" s="61">
        <f>SummaryTable[[#This Row],[OriginalBudget19]]-SummaryTable[[#This Row],[OriginalBudget18]]</f>
        <v>-129809</v>
      </c>
      <c r="BU132" s="54">
        <f>SummaryTable[[#This Row],[BudgetIncreaseAmount19]]/SummaryTable[[#This Row],[OriginalBudget18]]</f>
        <v>-0.71490174912984095</v>
      </c>
      <c r="BV132" s="61">
        <f>IF(COUNTIFS(allFYsTable[Code], SummaryTable[[#This Row],[Code]], allFYsTable[year2], BS$3)=0, NotFound, SUMIFS(allFYsTable[RevisedBudget], allFYsTable[Code], SummaryTable[[#This Row],[Code]], allFYsTable[year2], BS$3))</f>
        <v>447</v>
      </c>
      <c r="BW132" s="61">
        <f>IF(COUNTIFS(allFYsTable[Code], SummaryTable[[#This Row],[Code]], allFYsTable[year2], BS$3)=0, NotFound, SUMIFS(allFYsTable[Actual], allFYsTable[Code], SummaryTable[[#This Row],[Code]], allFYsTable[year2], BS$3))</f>
        <v>0</v>
      </c>
      <c r="BX132" s="61">
        <f>IF(COUNTIFS(allFYsTable[Code], SummaryTable[[#This Row],[Code]], allFYsTable[year2], BS$3)=0, NotFound, SUMIFS(allFYsTable[DiffAmount], allFYsTable[Code], SummaryTable[[#This Row],[Code]], allFYsTable[year2], BS$3))</f>
        <v>-51767</v>
      </c>
      <c r="BY132" s="63">
        <f>IF(SummaryTable[[#This Row],[OriginalBudget19]]=0, IF(SummaryTable[[#This Row],[DiffAmount19]]=0, ZeroBudgetNoSpending, ZeroBudgetWithSpending), SummaryTable[[#This Row],[DiffAmount19]]/SummaryTable[[#This Row],[OriginalBudget19]])</f>
        <v>-1</v>
      </c>
      <c r="BZ132" s="62">
        <f>IF(COUNTIFS(allFYsTable[Code], SummaryTable[[#This Row],[Code]], allFYsTable[year2], BZ$3)=0, NotFound, SUMIFS(allFYsTable[OriginalBudget], allFYsTable[Code], SummaryTable[[#This Row],[Code]], allFYsTable[year2], BZ$3))</f>
        <v>181576</v>
      </c>
      <c r="CA132" s="61">
        <f>SummaryTable[[#This Row],[OriginalBudget18]]-SummaryTable[[#This Row],[OriginalBudget17]]</f>
        <v>163551</v>
      </c>
      <c r="CB132" s="54">
        <f>SummaryTable[[#This Row],[BudgetIncreaseAmount18]]/SummaryTable[[#This Row],[OriginalBudget17]]</f>
        <v>9.0735644937586688</v>
      </c>
      <c r="CC132" s="61">
        <f>IF(COUNTIFS(allFYsTable[Code], SummaryTable[[#This Row],[Code]], allFYsTable[year2], BZ$3)=0, NotFound, SUMIFS(allFYsTable[RevisedBudget], allFYsTable[Code], SummaryTable[[#This Row],[Code]], allFYsTable[year2], BZ$3))</f>
        <v>18381</v>
      </c>
      <c r="CD132" s="61">
        <f>IF(COUNTIFS(allFYsTable[Code], SummaryTable[[#This Row],[Code]], allFYsTable[year2], BZ$3)=0, NotFound, SUMIFS(allFYsTable[Actual], allFYsTable[Code], SummaryTable[[#This Row],[Code]], allFYsTable[year2], BZ$3))</f>
        <v>0</v>
      </c>
      <c r="CE132" s="61">
        <f>IF(COUNTIFS(allFYsTable[Code], SummaryTable[[#This Row],[Code]], allFYsTable[year2], BZ$3)=0, NotFound, SUMIFS(allFYsTable[DiffAmount], allFYsTable[Code], SummaryTable[[#This Row],[Code]], allFYsTable[year2], BZ$3))</f>
        <v>-181576</v>
      </c>
      <c r="CF132" s="63">
        <f>IF(SummaryTable[[#This Row],[OriginalBudget18]]=0, IF(SummaryTable[[#This Row],[DiffAmount18]]=0, ZeroBudgetNoSpending, ZeroBudgetWithSpending), SummaryTable[[#This Row],[DiffAmount18]]/SummaryTable[[#This Row],[OriginalBudget18]])</f>
        <v>-1</v>
      </c>
      <c r="CG132" s="62">
        <f>IF(COUNTIFS(allFYsTable[Code], SummaryTable[[#This Row],[Code]], allFYsTable[year2], CG$3)=0, NotFound, SUMIFS(allFYsTable[OriginalBudget], allFYsTable[Code], SummaryTable[[#This Row],[Code]], allFYsTable[year2], CG$3))</f>
        <v>18025</v>
      </c>
      <c r="CH132" s="61">
        <f>SummaryTable[[#This Row],[OriginalBudget17]]-SummaryTable[[#This Row],[OriginalBudget16]]</f>
        <v>210</v>
      </c>
      <c r="CI132" s="54">
        <f>SummaryTable[[#This Row],[BudgetIncreaseAmount17]]/SummaryTable[[#This Row],[OriginalBudget16]]</f>
        <v>1.1787819253438114E-2</v>
      </c>
      <c r="CJ132" s="61">
        <f>IF(COUNTIFS(allFYsTable[Code], SummaryTable[[#This Row],[Code]], allFYsTable[year2], CG$3)=0, NotFound, SUMIFS(allFYsTable[RevisedBudget], allFYsTable[Code], SummaryTable[[#This Row],[Code]], allFYsTable[year2], CG$3))</f>
        <v>0</v>
      </c>
      <c r="CK132" s="61">
        <f>IF(COUNTIFS(allFYsTable[Code], SummaryTable[[#This Row],[Code]], allFYsTable[year2], CG$3)=0, NotFound, SUMIFS(allFYsTable[Actual], allFYsTable[Code], SummaryTable[[#This Row],[Code]], allFYsTable[year2], CG$3))</f>
        <v>0</v>
      </c>
      <c r="CL132" s="61">
        <f>IF(COUNTIFS(allFYsTable[Code], SummaryTable[[#This Row],[Code]], allFYsTable[year2], CG$3)=0, NotFound, SUMIFS(allFYsTable[DiffAmount], allFYsTable[Code], SummaryTable[[#This Row],[Code]], allFYsTable[year2], CG$3))</f>
        <v>-18025</v>
      </c>
      <c r="CM132" s="63">
        <f>IF(SummaryTable[[#This Row],[OriginalBudget17]]=0, IF(SummaryTable[[#This Row],[DiffAmount17]]=0, ZeroBudgetNoSpending, ZeroBudgetWithSpending), SummaryTable[[#This Row],[DiffAmount17]]/SummaryTable[[#This Row],[OriginalBudget17]])</f>
        <v>-1</v>
      </c>
      <c r="CN132" s="62">
        <f>IF(COUNTIFS(allFYsTable[Code], SummaryTable[[#This Row],[Code]], allFYsTable[year2], CN$3)=0, NotFound, SUMIFS(allFYsTable[OriginalBudget], allFYsTable[Code], SummaryTable[[#This Row],[Code]], allFYsTable[year2], CN$3))</f>
        <v>17815</v>
      </c>
      <c r="CO132" s="61">
        <f>SummaryTable[[#This Row],[OriginalBudget16]]-SummaryTable[[#This Row],[OriginalBudget15]]</f>
        <v>-24237</v>
      </c>
      <c r="CP132" s="54">
        <f>SummaryTable[[#This Row],[BudgetIncreaseAmount16]]/SummaryTable[[#This Row],[OriginalBudget15]]</f>
        <v>-0.57635784267097878</v>
      </c>
      <c r="CQ132" s="61">
        <f>IF(COUNTIFS(allFYsTable[Code], SummaryTable[[#This Row],[Code]], allFYsTable[year2], CN$3)=0, NotFound, SUMIFS(allFYsTable[RevisedBudget], allFYsTable[Code], SummaryTable[[#This Row],[Code]], allFYsTable[year2], CN$3))</f>
        <v>0</v>
      </c>
      <c r="CR132" s="61">
        <f>IF(COUNTIFS(allFYsTable[Code], SummaryTable[[#This Row],[Code]], allFYsTable[year2], CN$3)=0, NotFound, SUMIFS(allFYsTable[Actual], allFYsTable[Code], SummaryTable[[#This Row],[Code]], allFYsTable[year2], CN$3))</f>
        <v>0</v>
      </c>
      <c r="CS132" s="61">
        <f>IF(COUNTIFS(allFYsTable[Code], SummaryTable[[#This Row],[Code]], allFYsTable[year2], CN$3)=0, NotFound, SUMIFS(allFYsTable[DiffAmount], allFYsTable[Code], SummaryTable[[#This Row],[Code]], allFYsTable[year2], CN$3))</f>
        <v>-17815</v>
      </c>
      <c r="CT132" s="63">
        <f>IF(SummaryTable[[#This Row],[OriginalBudget16]]=0, IF(SummaryTable[[#This Row],[DiffAmount16]]=0, ZeroBudgetNoSpending, ZeroBudgetWithSpending), SummaryTable[[#This Row],[DiffAmount16]]/SummaryTable[[#This Row],[OriginalBudget16]])</f>
        <v>-1</v>
      </c>
      <c r="CU132" s="62">
        <f>IF(COUNTIFS(allFYsTable[Code], SummaryTable[[#This Row],[Code]], allFYsTable[year2], CU$3)=0, NotFound, SUMIFS(allFYsTable[OriginalBudget], allFYsTable[Code], SummaryTable[[#This Row],[Code]], allFYsTable[year2], CU$3))</f>
        <v>42052</v>
      </c>
      <c r="CV132" s="61">
        <f>SummaryTable[[#This Row],[OriginalBudget15]]-SummaryTable[[#This Row],[OriginalBudget14]]</f>
        <v>-17390</v>
      </c>
      <c r="CW132" s="54">
        <f>SummaryTable[[#This Row],[BudgetIncreaseAmount15]]/SummaryTable[[#This Row],[OriginalBudget14]]</f>
        <v>-0.29255408633626057</v>
      </c>
      <c r="CX132" s="61">
        <f>IF(COUNTIFS(allFYsTable[Code], SummaryTable[[#This Row],[Code]], allFYsTable[year2], CU$3)=0, NotFound, SUMIFS(allFYsTable[RevisedBudget], allFYsTable[Code], SummaryTable[[#This Row],[Code]], allFYsTable[year2], CU$3))</f>
        <v>98</v>
      </c>
      <c r="CY132" s="61">
        <f>IF(COUNTIFS(allFYsTable[Code], SummaryTable[[#This Row],[Code]], allFYsTable[year2], CU$3)=0, NotFound, SUMIFS(allFYsTable[Actual], allFYsTable[Code], SummaryTable[[#This Row],[Code]], allFYsTable[year2], CU$3))</f>
        <v>0</v>
      </c>
      <c r="CZ132" s="61">
        <f>IF(COUNTIFS(allFYsTable[Code], SummaryTable[[#This Row],[Code]], allFYsTable[year2], CU$3)=0, NotFound, SUMIFS(allFYsTable[DiffAmount], allFYsTable[Code], SummaryTable[[#This Row],[Code]], allFYsTable[year2], CU$3))</f>
        <v>-42052</v>
      </c>
      <c r="DA132" s="63">
        <f>IF(SummaryTable[[#This Row],[OriginalBudget15]]=0, IF(SummaryTable[[#This Row],[DiffAmount15]]=0, ZeroBudgetNoSpending, ZeroBudgetWithSpending), SummaryTable[[#This Row],[DiffAmount15]]/SummaryTable[[#This Row],[OriginalBudget15]])</f>
        <v>-1</v>
      </c>
      <c r="DB132" s="62">
        <f>IF(COUNTIFS(allFYsTable[Code], SummaryTable[[#This Row],[Code]], allFYsTable[year2], DB$3)=0, NotFound, SUMIFS(allFYsTable[OriginalBudget], allFYsTable[Code], SummaryTable[[#This Row],[Code]], allFYsTable[year2], DB$3))</f>
        <v>59442</v>
      </c>
      <c r="DC132" s="61">
        <f>SummaryTable[[#This Row],[OriginalBudget14]]-SummaryTable[[#This Row],[OriginalBudget13]]</f>
        <v>59442</v>
      </c>
      <c r="DD132" s="54" t="e">
        <f>SummaryTable[[#This Row],[BudgetIncreaseAmount14]]/SummaryTable[[#This Row],[OriginalBudget13]]</f>
        <v>#DIV/0!</v>
      </c>
      <c r="DE132" s="61">
        <f>IF(COUNTIFS(allFYsTable[Code], SummaryTable[[#This Row],[Code]], allFYsTable[year2], DB$3)=0, NotFound, SUMIFS(allFYsTable[RevisedBudget], allFYsTable[Code], SummaryTable[[#This Row],[Code]], allFYsTable[year2], DB$3))</f>
        <v>4305</v>
      </c>
      <c r="DF132" s="61">
        <f>IF(COUNTIFS(allFYsTable[Code], SummaryTable[[#This Row],[Code]], allFYsTable[year2], DB$3)=0, NotFound, SUMIFS(allFYsTable[Actual], allFYsTable[Code], SummaryTable[[#This Row],[Code]], allFYsTable[year2], DB$3))</f>
        <v>0</v>
      </c>
      <c r="DG132" s="61">
        <f>IF(COUNTIFS(allFYsTable[Code], SummaryTable[[#This Row],[Code]], allFYsTable[year2], DB$3)=0, NotFound, SUMIFS(allFYsTable[DiffAmount], allFYsTable[Code], SummaryTable[[#This Row],[Code]], allFYsTable[year2], DB$3))</f>
        <v>-59442</v>
      </c>
      <c r="DH132" s="63">
        <f>IF(SummaryTable[[#This Row],[OriginalBudget14]]=0, IF(SummaryTable[[#This Row],[DiffAmount14]]=0, ZeroBudgetNoSpending, ZeroBudgetWithSpending), SummaryTable[[#This Row],[DiffAmount14]]/SummaryTable[[#This Row],[OriginalBudget14]])</f>
        <v>-1</v>
      </c>
      <c r="DI132" s="62">
        <f>IF(COUNTIFS(allFYsTable[Code], SummaryTable[[#This Row],[Code]], allFYsTable[year2], DI$3)=0, NotFound, SUMIFS(allFYsTable[OriginalBudget], allFYsTable[Code], SummaryTable[[#This Row],[Code]], allFYsTable[year2], DI$3))</f>
        <v>0</v>
      </c>
      <c r="DJ132" s="61" t="e">
        <f>SummaryTable[[#This Row],[OriginalBudget13]]-SummaryTable[[#This Row],[OriginalBudget12]]</f>
        <v>#N/A</v>
      </c>
      <c r="DK132" s="54" t="e">
        <f>SummaryTable[[#This Row],[BudgetIncreaseAmount13]]/SummaryTable[[#This Row],[OriginalBudget12]]</f>
        <v>#N/A</v>
      </c>
      <c r="DL132" s="61">
        <f>IF(COUNTIFS(allFYsTable[Code], SummaryTable[[#This Row],[Code]], allFYsTable[year2], DI$3)=0, NotFound, SUMIFS(allFYsTable[RevisedBudget], allFYsTable[Code], SummaryTable[[#This Row],[Code]], allFYsTable[year2], DI$3))</f>
        <v>502</v>
      </c>
      <c r="DM132" s="61">
        <f>IF(COUNTIFS(allFYsTable[Code], SummaryTable[[#This Row],[Code]], allFYsTable[year2], DI$3)=0, NotFound, SUMIFS(allFYsTable[Actual], allFYsTable[Code], SummaryTable[[#This Row],[Code]], allFYsTable[year2], DI$3))</f>
        <v>0</v>
      </c>
      <c r="DN132" s="61">
        <f>IF(COUNTIFS(allFYsTable[Code], SummaryTable[[#This Row],[Code]], allFYsTable[year2], DI$3)=0, NotFound, SUMIFS(allFYsTable[DiffAmount], allFYsTable[Code], SummaryTable[[#This Row],[Code]], allFYsTable[year2], DI$3))</f>
        <v>0</v>
      </c>
      <c r="DO132" s="63">
        <f>IF(SummaryTable[[#This Row],[OriginalBudget13]]=0, IF(SummaryTable[[#This Row],[DiffAmount13]]=0, ZeroBudgetNoSpending, ZeroBudgetWithSpending), SummaryTable[[#This Row],[DiffAmount13]]/SummaryTable[[#This Row],[OriginalBudget13]])</f>
        <v>0</v>
      </c>
      <c r="DP132" s="62" t="e">
        <f>IF(COUNTIFS(allFYsTable[Code], SummaryTable[[#This Row],[Code]], allFYsTable[year2], DP$3)=0, NotFound, SUMIFS(allFYsTable[OriginalBudget], allFYsTable[Code], SummaryTable[[#This Row],[Code]], allFYsTable[year2], DP$3))</f>
        <v>#N/A</v>
      </c>
      <c r="DQ132" s="61" t="e">
        <f>SummaryTable[[#This Row],[OriginalBudget12]]-SummaryTable[[#This Row],[OriginalBudget11]]</f>
        <v>#N/A</v>
      </c>
      <c r="DR132" s="54" t="e">
        <f>SummaryTable[[#This Row],[BudgetIncreaseAmount12]]/SummaryTable[[#This Row],[OriginalBudget11]]</f>
        <v>#N/A</v>
      </c>
      <c r="DS132" s="61" t="e">
        <f>IF(COUNTIFS(allFYsTable[Code], SummaryTable[[#This Row],[Code]], allFYsTable[year2], DP$3)=0, NotFound, SUMIFS(allFYsTable[RevisedBudget], allFYsTable[Code], SummaryTable[[#This Row],[Code]], allFYsTable[year2], DP$3))</f>
        <v>#N/A</v>
      </c>
      <c r="DT132" s="61" t="e">
        <f>IF(COUNTIFS(allFYsTable[Code], SummaryTable[[#This Row],[Code]], allFYsTable[year2], DP$3)=0, NotFound, SUMIFS(allFYsTable[Actual], allFYsTable[Code], SummaryTable[[#This Row],[Code]], allFYsTable[year2], DP$3))</f>
        <v>#N/A</v>
      </c>
      <c r="DU132" s="61" t="e">
        <f>IF(COUNTIFS(allFYsTable[Code], SummaryTable[[#This Row],[Code]], allFYsTable[year2], DP$3)=0, NotFound, SUMIFS(allFYsTable[DiffAmount], allFYsTable[Code], SummaryTable[[#This Row],[Code]], allFYsTable[year2], DP$3))</f>
        <v>#N/A</v>
      </c>
      <c r="DV132" s="63" t="e">
        <f>IF(SummaryTable[[#This Row],[OriginalBudget12]]=0, IF(SummaryTable[[#This Row],[DiffAmount12]]=0, ZeroBudgetNoSpending, ZeroBudgetWithSpending), SummaryTable[[#This Row],[DiffAmount12]]/SummaryTable[[#This Row],[OriginalBudget12]])</f>
        <v>#N/A</v>
      </c>
      <c r="DW132" s="62" t="e">
        <f>IF(COUNTIFS(allFYsTable[Code], SummaryTable[[#This Row],[Code]], allFYsTable[year2], DW$3)=0, NotFound, SUMIFS(allFYsTable[OriginalBudget], allFYsTable[Code], SummaryTable[[#This Row],[Code]], allFYsTable[year2], DW$3))</f>
        <v>#N/A</v>
      </c>
      <c r="DX132" s="61" t="e">
        <f>SummaryTable[[#This Row],[OriginalBudget11]]-SummaryTable[[#This Row],[OriginalBudget10]]</f>
        <v>#N/A</v>
      </c>
      <c r="DY132" s="54" t="e">
        <f>SummaryTable[[#This Row],[BudgetIncreaseAmount11]]/SummaryTable[[#This Row],[OriginalBudget10]]</f>
        <v>#N/A</v>
      </c>
      <c r="DZ132" s="61" t="e">
        <f>IF(COUNTIFS(allFYsTable[Code], SummaryTable[[#This Row],[Code]], allFYsTable[year2], DW$3)=0, NotFound, SUMIFS(allFYsTable[RevisedBudget], allFYsTable[Code], SummaryTable[[#This Row],[Code]], allFYsTable[year2], DW$3))</f>
        <v>#N/A</v>
      </c>
      <c r="EA132" s="61" t="e">
        <f>IF(COUNTIFS(allFYsTable[Code], SummaryTable[[#This Row],[Code]], allFYsTable[year2], DW$3)=0, NotFound, SUMIFS(allFYsTable[Actual], allFYsTable[Code], SummaryTable[[#This Row],[Code]], allFYsTable[year2], DW$3))</f>
        <v>#N/A</v>
      </c>
      <c r="EB132" s="61" t="e">
        <f>IF(COUNTIFS(allFYsTable[Code], SummaryTable[[#This Row],[Code]], allFYsTable[year2], DW$3)=0, NotFound, SUMIFS(allFYsTable[DiffAmount], allFYsTable[Code], SummaryTable[[#This Row],[Code]], allFYsTable[year2], DW$3))</f>
        <v>#N/A</v>
      </c>
      <c r="EC132" s="63" t="e">
        <f>IF(SummaryTable[[#This Row],[OriginalBudget11]]=0, IF(SummaryTable[[#This Row],[DiffAmount11]]=0, ZeroBudgetNoSpending, ZeroBudgetWithSpending), SummaryTable[[#This Row],[DiffAmount11]]/SummaryTable[[#This Row],[OriginalBudget11]])</f>
        <v>#N/A</v>
      </c>
      <c r="ED132" s="62" t="e">
        <f>IF(COUNTIFS(allFYsTable[Code], SummaryTable[[#This Row],[Code]], allFYsTable[year2], ED$3)=0, NotFound, SUMIFS(allFYsTable[OriginalBudget], allFYsTable[Code], SummaryTable[[#This Row],[Code]], allFYsTable[year2], ED$3))</f>
        <v>#N/A</v>
      </c>
      <c r="EE132" s="61" t="e">
        <f>SummaryTable[[#This Row],[OriginalBudget10]]-SummaryTable[[#This Row],[OriginalBudget09]]</f>
        <v>#N/A</v>
      </c>
      <c r="EF132" s="54" t="e">
        <f>SummaryTable[[#This Row],[BudgetIncreaseAmount10]]/SummaryTable[[#This Row],[OriginalBudget09]]</f>
        <v>#N/A</v>
      </c>
      <c r="EG132" s="61" t="e">
        <f>IF(COUNTIFS(allFYsTable[Code], SummaryTable[[#This Row],[Code]], allFYsTable[year2], ED$3)=0, NotFound, SUMIFS(allFYsTable[RevisedBudget], allFYsTable[Code], SummaryTable[[#This Row],[Code]], allFYsTable[year2], ED$3))</f>
        <v>#N/A</v>
      </c>
      <c r="EH132" s="61" t="e">
        <f>IF(COUNTIFS(allFYsTable[Code], SummaryTable[[#This Row],[Code]], allFYsTable[year2], ED$3)=0, NotFound, SUMIFS(allFYsTable[Actual], allFYsTable[Code], SummaryTable[[#This Row],[Code]], allFYsTable[year2], ED$3))</f>
        <v>#N/A</v>
      </c>
      <c r="EI132" s="61" t="e">
        <f>IF(COUNTIFS(allFYsTable[Code], SummaryTable[[#This Row],[Code]], allFYsTable[year2], ED$3)=0, NotFound, SUMIFS(allFYsTable[DiffAmount], allFYsTable[Code], SummaryTable[[#This Row],[Code]], allFYsTable[year2], ED$3))</f>
        <v>#N/A</v>
      </c>
      <c r="EJ132" s="63" t="e">
        <f>IF(SummaryTable[[#This Row],[OriginalBudget10]]=0, IF(SummaryTable[[#This Row],[DiffAmount10]]=0, ZeroBudgetNoSpending, ZeroBudgetWithSpending), SummaryTable[[#This Row],[DiffAmount10]]/SummaryTable[[#This Row],[OriginalBudget10]])</f>
        <v>#N/A</v>
      </c>
      <c r="EK132" s="62">
        <f>IF(COUNTIFS(allFYsTable[Code], SummaryTable[[#This Row],[Code]], allFYsTable[year2], EK$3)=0, NotFound, SUMIFS(allFYsTable[OriginalBudget], allFYsTable[Code], SummaryTable[[#This Row],[Code]], allFYsTable[year2], EK$3))</f>
        <v>26691</v>
      </c>
      <c r="EL132" s="61">
        <f>SummaryTable[[#This Row],[OriginalBudget09]]-SummaryTable[[#This Row],[OriginalBudget08]]</f>
        <v>5647</v>
      </c>
      <c r="EM132" s="54">
        <f>SummaryTable[[#This Row],[BudgetIncreaseAmount09]]/SummaryTable[[#This Row],[OriginalBudget08]]</f>
        <v>0.2683425204333777</v>
      </c>
      <c r="EN132" s="61">
        <f>IF(COUNTIFS(allFYsTable[Code], SummaryTable[[#This Row],[Code]], allFYsTable[year2], EK$3)=0, NotFound, SUMIFS(allFYsTable[RevisedBudget], allFYsTable[Code], SummaryTable[[#This Row],[Code]], allFYsTable[year2], EK$3))</f>
        <v>1</v>
      </c>
      <c r="EO132" s="61">
        <f>IF(COUNTIFS(allFYsTable[Code], SummaryTable[[#This Row],[Code]], allFYsTable[year2], EK$3)=0, NotFound, SUMIFS(allFYsTable[Actual], allFYsTable[Code], SummaryTable[[#This Row],[Code]], allFYsTable[year2], EK$3))</f>
        <v>0</v>
      </c>
      <c r="EP132" s="61">
        <f>IF(COUNTIFS(allFYsTable[Code], SummaryTable[[#This Row],[Code]], allFYsTable[year2], EK$3)=0, NotFound, SUMIFS(allFYsTable[DiffAmount], allFYsTable[Code], SummaryTable[[#This Row],[Code]], allFYsTable[year2], EK$3))</f>
        <v>-26691</v>
      </c>
      <c r="EQ132" s="63">
        <f>IF(SummaryTable[[#This Row],[OriginalBudget09]]=0, IF(SummaryTable[[#This Row],[DiffAmount09]]=0, ZeroBudgetNoSpending, ZeroBudgetWithSpending), SummaryTable[[#This Row],[DiffAmount09]]/SummaryTable[[#This Row],[OriginalBudget09]])</f>
        <v>-1</v>
      </c>
      <c r="ER132" s="62">
        <f>IF(COUNTIFS(allFYsTable[Code], SummaryTable[[#This Row],[Code]], allFYsTable[year2], ER$3)=0, NotFound, SUMIFS(allFYsTable[OriginalBudget], allFYsTable[Code], SummaryTable[[#This Row],[Code]], allFYsTable[year2], ER$3))</f>
        <v>21044</v>
      </c>
      <c r="ES132" s="61">
        <f>SummaryTable[[#This Row],[OriginalBudget08]]-SummaryTable[[#This Row],[OriginalBudget07]]</f>
        <v>-17456</v>
      </c>
      <c r="ET132" s="54">
        <f>SummaryTable[[#This Row],[BudgetIncreaseAmount08]]/SummaryTable[[#This Row],[OriginalBudget07]]</f>
        <v>-0.45340259740259742</v>
      </c>
      <c r="EU132" s="61">
        <f>IF(COUNTIFS(allFYsTable[Code], SummaryTable[[#This Row],[Code]], allFYsTable[year2], ER$3)=0, NotFound, SUMIFS(allFYsTable[RevisedBudget], allFYsTable[Code], SummaryTable[[#This Row],[Code]], allFYsTable[year2], ER$3))</f>
        <v>11927</v>
      </c>
      <c r="EV132" s="61">
        <f>IF(COUNTIFS(allFYsTable[Code], SummaryTable[[#This Row],[Code]], allFYsTable[year2], ER$3)=0, NotFound, SUMIFS(allFYsTable[Actual], allFYsTable[Code], SummaryTable[[#This Row],[Code]], allFYsTable[year2], ER$3))</f>
        <v>0</v>
      </c>
      <c r="EW132" s="61">
        <f>IF(COUNTIFS(allFYsTable[Code], SummaryTable[[#This Row],[Code]], allFYsTable[year2], ER$3)=0, NotFound, SUMIFS(allFYsTable[DiffAmount], allFYsTable[Code], SummaryTable[[#This Row],[Code]], allFYsTable[year2], ER$3))</f>
        <v>-21044</v>
      </c>
      <c r="EX132" s="63">
        <f>IF(SummaryTable[[#This Row],[OriginalBudget08]]=0, IF(SummaryTable[[#This Row],[DiffAmount08]]=0, ZeroBudgetNoSpending, ZeroBudgetWithSpending), SummaryTable[[#This Row],[DiffAmount08]]/SummaryTable[[#This Row],[OriginalBudget08]])</f>
        <v>-1</v>
      </c>
      <c r="EY132" s="62">
        <f>IF(COUNTIFS(allFYsTable[Code], SummaryTable[[#This Row],[Code]], allFYsTable[year2], EY$3)=0, NotFound, SUMIFS(allFYsTable[OriginalBudget], allFYsTable[Code], SummaryTable[[#This Row],[Code]], allFYsTable[year2], EY$3))</f>
        <v>38500</v>
      </c>
      <c r="EZ132" s="61">
        <f>SummaryTable[[#This Row],[OriginalBudget07]]-SummaryTable[[#This Row],[OriginalBudget06]]</f>
        <v>-22610</v>
      </c>
      <c r="FA132" s="54">
        <f>SummaryTable[[#This Row],[BudgetIncreaseAmount07]]/SummaryTable[[#This Row],[OriginalBudget06]]</f>
        <v>-0.36998854524627722</v>
      </c>
      <c r="FB132" s="61">
        <f>IF(COUNTIFS(allFYsTable[Code], SummaryTable[[#This Row],[Code]], allFYsTable[year2], EY$3)=0, NotFound, SUMIFS(allFYsTable[RevisedBudget], allFYsTable[Code], SummaryTable[[#This Row],[Code]], allFYsTable[year2], EY$3))</f>
        <v>7873</v>
      </c>
      <c r="FC132" s="61">
        <f>IF(COUNTIFS(allFYsTable[Code], SummaryTable[[#This Row],[Code]], allFYsTable[year2], EY$3)=0, NotFound, SUMIFS(allFYsTable[Actual], allFYsTable[Code], SummaryTable[[#This Row],[Code]], allFYsTable[year2], EY$3))</f>
        <v>0</v>
      </c>
      <c r="FD132" s="61">
        <f>IF(COUNTIFS(allFYsTable[Code], SummaryTable[[#This Row],[Code]], allFYsTable[year2], EY$3)=0, NotFound, SUMIFS(allFYsTable[DiffAmount], allFYsTable[Code], SummaryTable[[#This Row],[Code]], allFYsTable[year2], EY$3))</f>
        <v>-38500</v>
      </c>
      <c r="FE132" s="63">
        <f>IF(SummaryTable[[#This Row],[OriginalBudget07]]=0, IF(SummaryTable[[#This Row],[DiffAmount07]]=0, ZeroBudgetNoSpending, ZeroBudgetWithSpending), SummaryTable[[#This Row],[DiffAmount07]]/SummaryTable[[#This Row],[OriginalBudget07]])</f>
        <v>-1</v>
      </c>
      <c r="FF132" s="62">
        <f>IF(COUNTIFS(allFYsTable[Code], SummaryTable[[#This Row],[Code]], allFYsTable[year2], FF$3)=0, NotFound, SUMIFS(allFYsTable[OriginalBudget], allFYsTable[Code], SummaryTable[[#This Row],[Code]], allFYsTable[year2], FF$3))</f>
        <v>61110</v>
      </c>
      <c r="FI132" s="61">
        <f>IF(COUNTIFS(allFYsTable[Code], SummaryTable[[#This Row],[Code]], allFYsTable[year2], FF$3)=0, NotFound, SUMIFS(allFYsTable[RevisedBudget], allFYsTable[Code], SummaryTable[[#This Row],[Code]], allFYsTable[year2], FF$3))</f>
        <v>9562</v>
      </c>
      <c r="FJ132" s="61">
        <f>IF(COUNTIFS(allFYsTable[Code], SummaryTable[[#This Row],[Code]], allFYsTable[year2], FF$3)=0, NotFound, SUMIFS(allFYsTable[Actual], allFYsTable[Code], SummaryTable[[#This Row],[Code]], allFYsTable[year2], FF$3))</f>
        <v>0</v>
      </c>
      <c r="FK132" s="61">
        <f>IF(COUNTIFS(allFYsTable[Code], SummaryTable[[#This Row],[Code]], allFYsTable[year2], FF$3)=0, NotFound, SUMIFS(allFYsTable[DiffAmount], allFYsTable[Code], SummaryTable[[#This Row],[Code]], allFYsTable[year2], FF$3))</f>
        <v>-61110</v>
      </c>
      <c r="FL132" s="63">
        <f>IF(SummaryTable[[#This Row],[OriginalBudget06]]=0, IF(SummaryTable[[#This Row],[DiffAmount06]]=0, ZeroBudgetNoSpending, ZeroBudgetWithSpending), SummaryTable[[#This Row],[DiffAmount06]]/SummaryTable[[#This Row],[OriginalBudget06]])</f>
        <v>-1</v>
      </c>
    </row>
    <row r="133" spans="1:168" x14ac:dyDescent="0.45">
      <c r="A133" t="s">
        <v>809</v>
      </c>
      <c r="B133">
        <f>_xlfn.MAXIFS(allFYsTable[year2], allFYsTable[Code], SummaryTable[[#This Row],[Code]])</f>
        <v>2024</v>
      </c>
      <c r="C133" t="str">
        <f>_xlfn.XLOOKUP(SummaryTable[[#This Row],[Code]], NameCodingTable[Code], NameCodingTable[Most Recent Category per allFYs])</f>
        <v>Other</v>
      </c>
      <c r="D133" t="str">
        <f>_xlfn.XLOOKUP(SummaryTable[[#This Row],[Code]], NameCodingTable[Code], NameCodingTable[Unit Display Name])</f>
        <v>Child Wealth fund</v>
      </c>
      <c r="E133" t="str">
        <f>_xlfn.XLOOKUP(SummaryTable[[#This Row],[Code]], NameCodingTable[Code], NameCodingTable[Type])</f>
        <v>xother</v>
      </c>
      <c r="F13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3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33" s="54">
        <f>SummaryTable[[#This Row],['# Over]]/SummaryTable[[#This Row],[Count]]</f>
        <v>0</v>
      </c>
      <c r="I13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33" s="54">
        <f>SummaryTable[[#This Row],['# Under]]/SummaryTable[[#This Row],[Count]]</f>
        <v>0</v>
      </c>
      <c r="K13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33" s="54">
        <f>SummaryTable[[#This Row],['# Equal]]/SummaryTable[[#This Row],[Count]]</f>
        <v>1</v>
      </c>
      <c r="M133" s="61">
        <f>SUMIFS(allFYsTable[OriginalBudget],allFYsTable[Code],SummaryTable[[#This Row],[Code]])/SummaryTable[[#This Row],[Count]]</f>
        <v>8815</v>
      </c>
      <c r="N133" s="61">
        <f>SUMIFS(allFYsTable[Actual],allFYsTable[Code],SummaryTable[[#This Row],[Code]])/SummaryTable[[#This Row],[Count]]</f>
        <v>8815</v>
      </c>
      <c r="O133" s="61">
        <f>SummaryTable[[#This Row],[AvgActAmt]]-SummaryTable[[#This Row],[AvgBudAmt]]</f>
        <v>0</v>
      </c>
      <c r="P133" s="54">
        <f>IF(SummaryTable[[#This Row],[AvgBudAmt]]=0, IF(SummaryTable[[#This Row],[AvgDiff'#]]=0, 0, NamedFields!$C$3), SummaryTable[[#This Row],[AvgDiff'#]]/SummaryTable[[#This Row],[AvgBudAmt]])</f>
        <v>0</v>
      </c>
      <c r="Q133" s="61">
        <f>IFERROR(SUMIFS(allFYsTable[OriginalBudget],allFYsTable[Code],SummaryTable[[#This Row],[Code]],allFYsTable[DiffAmount], "&gt;0")/SummaryTable[[#This Row],['# Over]], 0)</f>
        <v>0</v>
      </c>
      <c r="R133" s="61">
        <f>IFERROR(SUMIFS(allFYsTable[Actual],allFYsTable[Code],SummaryTable[[#This Row],[Code]],allFYsTable[DiffAmount], "&gt;0")/SummaryTable[[#This Row],['# Over]], 0)</f>
        <v>0</v>
      </c>
      <c r="S133" s="61">
        <f>SummaryTable[[#This Row],[OverAvgAct]]-SummaryTable[[#This Row],[OverAvgBud]]</f>
        <v>0</v>
      </c>
      <c r="T133" s="54">
        <f>IF(SummaryTable[[#This Row],[OverAvgBud]]=0, IF(SummaryTable[[#This Row],[OverAvgDiff'#]]=0, ZeroBudgetNoSpending, ZeroBudgetWithSpending), SummaryTable[[#This Row],[OverAvgDiff'#]]/SummaryTable[[#This Row],[OverAvgBud]])</f>
        <v>0</v>
      </c>
      <c r="U133" s="61">
        <f>IFERROR(SUMIFS(allFYsTable[OriginalBudget],allFYsTable[Code],SummaryTable[[#This Row],[Code]],allFYsTable[DiffAmount], "&lt;0")/SummaryTable[[#This Row],['# Under]], 0)</f>
        <v>0</v>
      </c>
      <c r="V133" s="61">
        <f>IFERROR( SUMIFS(allFYsTable[Actual],allFYsTable[Code],SummaryTable[[#This Row],[Code]],allFYsTable[DiffAmount], "&lt;0")/SummaryTable[[#This Row],['# Under]], 0)</f>
        <v>0</v>
      </c>
      <c r="W133" s="61">
        <f>SummaryTable[[#This Row],[UnderAvgAct]]-SummaryTable[[#This Row],[UnderAvgBud]]</f>
        <v>0</v>
      </c>
      <c r="X133" s="54">
        <f>IF(SummaryTable[[#This Row],[UnderAvgBud]]=0, IF(SummaryTable[[#This Row],[UnderAvgDiff'#]]=0, ZeroBudgetNoSpending, NamedFields!$C$3), SummaryTable[[#This Row],[UnderAvgDiff'#]]/SummaryTable[[#This Row],[UnderAvgBud]])</f>
        <v>0</v>
      </c>
      <c r="Y13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3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3" s="54">
        <f>IF(SummaryTable[[#This Row],[IncreaseYears]]=0, ZeroBudgetNoSpending, SummaryTable[[#This Row],[OSinIncreaseYear'#]]/SummaryTable[[#This Row],[IncreaseYears]])</f>
        <v>0</v>
      </c>
      <c r="AB133" s="58" t="str">
        <f>SummaryTable[[#This Row],[Code]]</f>
        <v>BV0</v>
      </c>
      <c r="AC133" s="62" t="e">
        <f>IF(COUNTIFS(allFYsTable[Code], SummaryTable[[#This Row],[Code]], allFYsTable[year2], AC$3)=0, NotFound, SUMIFS(allFYsTable[OriginalBudget], allFYsTable[Code], SummaryTable[[#This Row],[Code]], allFYsTable[year2], AC$3))</f>
        <v>#N/A</v>
      </c>
      <c r="AD133" s="61" t="e">
        <f>SummaryTable[[#This Row],[OriginalBudget25]]-SummaryTable[[#This Row],[OriginalBudget24]]</f>
        <v>#N/A</v>
      </c>
      <c r="AE133" s="54" t="e">
        <f>SummaryTable[[#This Row],[BudgetIncreaseAmount25]]/SummaryTable[[#This Row],[OriginalBudget24]]</f>
        <v>#N/A</v>
      </c>
      <c r="AF133" s="61" t="e">
        <f>IF(COUNTIFS(allFYsTable[Code], SummaryTable[[#This Row],[Code]], allFYsTable[year2], AC$3)=0, NotFound, SUMIFS(allFYsTable[RevisedBudget], allFYsTable[Code], SummaryTable[[#This Row],[Code]], allFYsTable[year2], AC$3))</f>
        <v>#N/A</v>
      </c>
      <c r="AG133" s="61" t="e">
        <f>IF(COUNTIFS(allFYsTable[Code], SummaryTable[[#This Row],[Code]], allFYsTable[year2], AC$3)=0, NotFound, SUMIFS(allFYsTable[Actual], allFYsTable[Code], SummaryTable[[#This Row],[Code]], allFYsTable[year2], AC$3))</f>
        <v>#N/A</v>
      </c>
      <c r="AH133" s="61" t="e">
        <f>IF(COUNTIFS(allFYsTable[Code], SummaryTable[[#This Row],[Code]], allFYsTable[year2], AC$3)=0, NotFound, SUMIFS(allFYsTable[DiffAmount], allFYsTable[Code], SummaryTable[[#This Row],[Code]], allFYsTable[year2], AC$3))</f>
        <v>#N/A</v>
      </c>
      <c r="AI133" s="63" t="e">
        <f>IF(SummaryTable[[#This Row],[OriginalBudget25]]=0, IF(SummaryTable[[#This Row],[DiffAmount25]]=0, ZeroBudgetNoSpending, ZeroBudgetWithSpending), SummaryTable[[#This Row],[DiffAmount25]]/SummaryTable[[#This Row],[OriginalBudget25]])</f>
        <v>#N/A</v>
      </c>
      <c r="AJ133" s="62">
        <f>IF(COUNTIFS(allFYsTable[Code], SummaryTable[[#This Row],[Code]], allFYsTable[year2], AJ$3)=0, NotFound, SUMIFS(allFYsTable[OriginalBudget], allFYsTable[Code], SummaryTable[[#This Row],[Code]], allFYsTable[year2], AJ$3))</f>
        <v>8815</v>
      </c>
      <c r="AK133" s="61" t="e">
        <f>SummaryTable[[#This Row],[OriginalBudget24]]-SummaryTable[[#This Row],[OriginalBudget23]]</f>
        <v>#N/A</v>
      </c>
      <c r="AL133" s="54" t="e">
        <f>SummaryTable[[#This Row],[BudgetIncreaseAmount24]]/SummaryTable[[#This Row],[OriginalBudget23]]</f>
        <v>#N/A</v>
      </c>
      <c r="AM133" s="61">
        <f>IF(COUNTIFS(allFYsTable[Code], SummaryTable[[#This Row],[Code]], allFYsTable[year2], AK$3)=0, NotFound, SUMIFS(allFYsTable[RevisedBudget], allFYsTable[Code], SummaryTable[[#This Row],[Code]], allFYsTable[year2], AJ$3))</f>
        <v>8815</v>
      </c>
      <c r="AN133" s="61">
        <f>IF(COUNTIFS(allFYsTable[Code], SummaryTable[[#This Row],[Code]], allFYsTable[year2], AJ$3)=0, NotFound, SUMIFS(allFYsTable[Actual], allFYsTable[Code], SummaryTable[[#This Row],[Code]], allFYsTable[year2], AJ$3))</f>
        <v>8815</v>
      </c>
      <c r="AO133" s="61">
        <f>IF(COUNTIFS(allFYsTable[Code], SummaryTable[[#This Row],[Code]], allFYsTable[year2], AJ$3)=0, NotFound, SUMIFS(allFYsTable[DiffAmount], allFYsTable[Code], SummaryTable[[#This Row],[Code]], allFYsTable[year2], AJ$3))</f>
        <v>0</v>
      </c>
      <c r="AP133" s="63">
        <f>IF(SummaryTable[[#This Row],[OriginalBudget24]]=0, IF(SummaryTable[[#This Row],[DiffAmount24]]=0, ZeroBudgetNoSpending, ZeroBudgetWithSpending), SummaryTable[[#This Row],[DiffAmount24]]/SummaryTable[[#This Row],[OriginalBudget24]])</f>
        <v>0</v>
      </c>
      <c r="AQ133" s="62" t="e">
        <f>IF(COUNTIFS(allFYsTable[Code], SummaryTable[[#This Row],[Code]], allFYsTable[year2], AQ$3)=0, NotFound, SUMIFS(allFYsTable[OriginalBudget], allFYsTable[Code], SummaryTable[[#This Row],[Code]], allFYsTable[year2], AQ$3))</f>
        <v>#N/A</v>
      </c>
      <c r="AR133" s="61" t="e">
        <f>SummaryTable[[#This Row],[OriginalBudget23]]-SummaryTable[[#This Row],[OriginalBudget22]]</f>
        <v>#N/A</v>
      </c>
      <c r="AS133" s="54" t="e">
        <f>SummaryTable[[#This Row],[BudgetIncreaseAmount23]]/SummaryTable[[#This Row],[OriginalBudget22]]</f>
        <v>#N/A</v>
      </c>
      <c r="AT133" s="61" t="e">
        <f>IF(COUNTIFS(allFYsTable[Code], SummaryTable[[#This Row],[Code]], allFYsTable[year2], AQ$3)=0, NotFound, SUMIFS(allFYsTable[RevisedBudget], allFYsTable[Code], SummaryTable[[#This Row],[Code]], allFYsTable[year2], AQ$3))</f>
        <v>#N/A</v>
      </c>
      <c r="AU133" s="61" t="e">
        <f>IF(COUNTIFS(allFYsTable[Code], SummaryTable[[#This Row],[Code]], allFYsTable[year2], AQ$3)=0, NotFound, SUMIFS(allFYsTable[Actual], allFYsTable[Code], SummaryTable[[#This Row],[Code]], allFYsTable[year2], AQ$3))</f>
        <v>#N/A</v>
      </c>
      <c r="AV133" s="61" t="e">
        <f>IF(COUNTIFS(allFYsTable[Code], SummaryTable[[#This Row],[Code]], allFYsTable[year2], AQ$3)=0, NotFound, SUMIFS(allFYsTable[DiffAmount], allFYsTable[Code], SummaryTable[[#This Row],[Code]], allFYsTable[year2], AQ$3))</f>
        <v>#N/A</v>
      </c>
      <c r="AW133" s="63" t="e">
        <f>IF(SummaryTable[[#This Row],[OriginalBudget23]]=0, IF(SummaryTable[[#This Row],[DiffAmount23]]=0, ZeroBudgetNoSpending, ZeroBudgetWithSpending), SummaryTable[[#This Row],[DiffAmount23]]/SummaryTable[[#This Row],[OriginalBudget23]])</f>
        <v>#N/A</v>
      </c>
      <c r="AX133" s="62" t="e">
        <f>IF(COUNTIFS(allFYsTable[Code], SummaryTable[[#This Row],[Code]], allFYsTable[year2], AX$3)=0, NotFound, SUMIFS(allFYsTable[OriginalBudget], allFYsTable[Code], SummaryTable[[#This Row],[Code]], allFYsTable[year2], AX$3))</f>
        <v>#N/A</v>
      </c>
      <c r="AY133" s="61" t="e">
        <f>SummaryTable[[#This Row],[OriginalBudget22]]-SummaryTable[[#This Row],[OriginalBudget21]]</f>
        <v>#N/A</v>
      </c>
      <c r="AZ133" s="54" t="e">
        <f>SummaryTable[[#This Row],[BudgetIncreaseAmount22]]/SummaryTable[[#This Row],[OriginalBudget21]]</f>
        <v>#N/A</v>
      </c>
      <c r="BA133" s="61" t="e">
        <f>IF(COUNTIFS(allFYsTable[Code], SummaryTable[[#This Row],[Code]], allFYsTable[year2], AX$3)=0, NotFound, SUMIFS(allFYsTable[RevisedBudget], allFYsTable[Code], SummaryTable[[#This Row],[Code]], allFYsTable[year2], AX$3))</f>
        <v>#N/A</v>
      </c>
      <c r="BB133" s="61" t="e">
        <f>IF(COUNTIFS(allFYsTable[Code], SummaryTable[[#This Row],[Code]], allFYsTable[year2], AX$3)=0, NotFound, SUMIFS(allFYsTable[Actual], allFYsTable[Code], SummaryTable[[#This Row],[Code]], allFYsTable[year2], AX$3))</f>
        <v>#N/A</v>
      </c>
      <c r="BC133" s="61" t="e">
        <f>IF(COUNTIFS(allFYsTable[Code], SummaryTable[[#This Row],[Code]], allFYsTable[year2], AX$3)=0, NotFound, SUMIFS(allFYsTable[DiffAmount], allFYsTable[Code], SummaryTable[[#This Row],[Code]], allFYsTable[year2], AX$3))</f>
        <v>#N/A</v>
      </c>
      <c r="BD133" s="63" t="e">
        <f>IF(SummaryTable[[#This Row],[OriginalBudget22]]=0, IF(SummaryTable[[#This Row],[DiffAmount22]]=0, ZeroBudgetNoSpending, ZeroBudgetWithSpending), SummaryTable[[#This Row],[DiffAmount22]]/SummaryTable[[#This Row],[OriginalBudget22]])</f>
        <v>#N/A</v>
      </c>
      <c r="BE133" s="62" t="e">
        <f>IF(COUNTIFS(allFYsTable[Code], SummaryTable[[#This Row],[Code]], allFYsTable[year2], BE$3)=0, NotFound, SUMIFS(allFYsTable[OriginalBudget], allFYsTable[Code], SummaryTable[[#This Row],[Code]], allFYsTable[year2], BE$3))</f>
        <v>#N/A</v>
      </c>
      <c r="BF133" s="61" t="e">
        <f>SummaryTable[[#This Row],[OriginalBudget21]]-SummaryTable[[#This Row],[OriginalBudget20]]</f>
        <v>#N/A</v>
      </c>
      <c r="BG133" s="54" t="e">
        <f>SummaryTable[[#This Row],[BudgetIncreaseAmount21]]/SummaryTable[[#This Row],[OriginalBudget20]]</f>
        <v>#N/A</v>
      </c>
      <c r="BH133" s="61" t="e">
        <f>IF(COUNTIFS(allFYsTable[Code], SummaryTable[[#This Row],[Code]], allFYsTable[year2], BE$3)=0, NotFound, SUMIFS(allFYsTable[RevisedBudget], allFYsTable[Code], SummaryTable[[#This Row],[Code]], allFYsTable[year2], BE$3))</f>
        <v>#N/A</v>
      </c>
      <c r="BI133" s="61" t="e">
        <f>IF(COUNTIFS(allFYsTable[Code], SummaryTable[[#This Row],[Code]], allFYsTable[year2], BE$3)=0, NotFound, SUMIFS(allFYsTable[Actual], allFYsTable[Code], SummaryTable[[#This Row],[Code]], allFYsTable[year2], BE$3))</f>
        <v>#N/A</v>
      </c>
      <c r="BJ133" s="61" t="e">
        <f>IF(COUNTIFS(allFYsTable[Code], SummaryTable[[#This Row],[Code]], allFYsTable[year2], BE$3)=0, NotFound, SUMIFS(allFYsTable[DiffAmount], allFYsTable[Code], SummaryTable[[#This Row],[Code]], allFYsTable[year2], BE$3))</f>
        <v>#N/A</v>
      </c>
      <c r="BK133" s="63" t="e">
        <f>IF(SummaryTable[[#This Row],[OriginalBudget21]]=0, IF(SummaryTable[[#This Row],[DiffAmount21]]=0, ZeroBudgetNoSpending, ZeroBudgetWithSpending), SummaryTable[[#This Row],[DiffAmount21]]/SummaryTable[[#This Row],[OriginalBudget21]])</f>
        <v>#N/A</v>
      </c>
      <c r="BL133" s="62" t="e">
        <f>IF(COUNTIFS(allFYsTable[Code], SummaryTable[[#This Row],[Code]], allFYsTable[year2], BL$3)=0, NotFound, SUMIFS(allFYsTable[OriginalBudget], allFYsTable[Code], SummaryTable[[#This Row],[Code]], allFYsTable[year2], BL$3))</f>
        <v>#N/A</v>
      </c>
      <c r="BM133" s="61" t="e">
        <f>SummaryTable[[#This Row],[OriginalBudget20]]-SummaryTable[[#This Row],[OriginalBudget19]]</f>
        <v>#N/A</v>
      </c>
      <c r="BN133" s="54" t="e">
        <f>SummaryTable[[#This Row],[BudgetIncreaseAmount20]]/SummaryTable[[#This Row],[OriginalBudget19]]</f>
        <v>#N/A</v>
      </c>
      <c r="BO133" s="61" t="e">
        <f>IF(COUNTIFS(allFYsTable[Code], SummaryTable[[#This Row],[Code]], allFYsTable[year2], BL$3)=0, NotFound, SUMIFS(allFYsTable[RevisedBudget], allFYsTable[Code], SummaryTable[[#This Row],[Code]], allFYsTable[year2], BL$3))</f>
        <v>#N/A</v>
      </c>
      <c r="BP133" s="61" t="e">
        <f>IF(COUNTIFS(allFYsTable[Code], SummaryTable[[#This Row],[Code]], allFYsTable[year2], BL$3)=0, NotFound, SUMIFS(allFYsTable[Actual], allFYsTable[Code], SummaryTable[[#This Row],[Code]], allFYsTable[year2], BL$3))</f>
        <v>#N/A</v>
      </c>
      <c r="BQ133" s="61" t="e">
        <f>IF(COUNTIFS(allFYsTable[Code], SummaryTable[[#This Row],[Code]], allFYsTable[year2], BL$3)=0, NotFound, SUMIFS(allFYsTable[DiffAmount], allFYsTable[Code], SummaryTable[[#This Row],[Code]], allFYsTable[year2], BL$3))</f>
        <v>#N/A</v>
      </c>
      <c r="BR133" s="63" t="e">
        <f>IF(SummaryTable[[#This Row],[OriginalBudget20]]=0, IF(SummaryTable[[#This Row],[DiffAmount20]]=0, ZeroBudgetNoSpending, ZeroBudgetWithSpending), SummaryTable[[#This Row],[DiffAmount20]]/SummaryTable[[#This Row],[OriginalBudget20]])</f>
        <v>#N/A</v>
      </c>
      <c r="BS133" s="62" t="e">
        <f>IF(COUNTIFS(allFYsTable[Code], SummaryTable[[#This Row],[Code]], allFYsTable[year2], BS$3)=0, NotFound, SUMIFS(allFYsTable[OriginalBudget], allFYsTable[Code], SummaryTable[[#This Row],[Code]], allFYsTable[year2], BS$3))</f>
        <v>#N/A</v>
      </c>
      <c r="BT133" s="61" t="e">
        <f>SummaryTable[[#This Row],[OriginalBudget19]]-SummaryTable[[#This Row],[OriginalBudget18]]</f>
        <v>#N/A</v>
      </c>
      <c r="BU133" s="54" t="e">
        <f>SummaryTable[[#This Row],[BudgetIncreaseAmount19]]/SummaryTable[[#This Row],[OriginalBudget18]]</f>
        <v>#N/A</v>
      </c>
      <c r="BV133" s="61" t="e">
        <f>IF(COUNTIFS(allFYsTable[Code], SummaryTable[[#This Row],[Code]], allFYsTable[year2], BS$3)=0, NotFound, SUMIFS(allFYsTable[RevisedBudget], allFYsTable[Code], SummaryTable[[#This Row],[Code]], allFYsTable[year2], BS$3))</f>
        <v>#N/A</v>
      </c>
      <c r="BW133" s="61" t="e">
        <f>IF(COUNTIFS(allFYsTable[Code], SummaryTable[[#This Row],[Code]], allFYsTable[year2], BS$3)=0, NotFound, SUMIFS(allFYsTable[Actual], allFYsTable[Code], SummaryTable[[#This Row],[Code]], allFYsTable[year2], BS$3))</f>
        <v>#N/A</v>
      </c>
      <c r="BX133" s="61" t="e">
        <f>IF(COUNTIFS(allFYsTable[Code], SummaryTable[[#This Row],[Code]], allFYsTable[year2], BS$3)=0, NotFound, SUMIFS(allFYsTable[DiffAmount], allFYsTable[Code], SummaryTable[[#This Row],[Code]], allFYsTable[year2], BS$3))</f>
        <v>#N/A</v>
      </c>
      <c r="BY133" s="63" t="e">
        <f>IF(SummaryTable[[#This Row],[OriginalBudget19]]=0, IF(SummaryTable[[#This Row],[DiffAmount19]]=0, ZeroBudgetNoSpending, ZeroBudgetWithSpending), SummaryTable[[#This Row],[DiffAmount19]]/SummaryTable[[#This Row],[OriginalBudget19]])</f>
        <v>#N/A</v>
      </c>
      <c r="BZ133" s="62" t="e">
        <f>IF(COUNTIFS(allFYsTable[Code], SummaryTable[[#This Row],[Code]], allFYsTable[year2], BZ$3)=0, NotFound, SUMIFS(allFYsTable[OriginalBudget], allFYsTable[Code], SummaryTable[[#This Row],[Code]], allFYsTable[year2], BZ$3))</f>
        <v>#N/A</v>
      </c>
      <c r="CA133" s="61" t="e">
        <f>SummaryTable[[#This Row],[OriginalBudget18]]-SummaryTable[[#This Row],[OriginalBudget17]]</f>
        <v>#N/A</v>
      </c>
      <c r="CB133" s="54" t="e">
        <f>SummaryTable[[#This Row],[BudgetIncreaseAmount18]]/SummaryTable[[#This Row],[OriginalBudget17]]</f>
        <v>#N/A</v>
      </c>
      <c r="CC133" s="61" t="e">
        <f>IF(COUNTIFS(allFYsTable[Code], SummaryTable[[#This Row],[Code]], allFYsTable[year2], BZ$3)=0, NotFound, SUMIFS(allFYsTable[RevisedBudget], allFYsTable[Code], SummaryTable[[#This Row],[Code]], allFYsTable[year2], BZ$3))</f>
        <v>#N/A</v>
      </c>
      <c r="CD133" s="61" t="e">
        <f>IF(COUNTIFS(allFYsTable[Code], SummaryTable[[#This Row],[Code]], allFYsTable[year2], BZ$3)=0, NotFound, SUMIFS(allFYsTable[Actual], allFYsTable[Code], SummaryTable[[#This Row],[Code]], allFYsTable[year2], BZ$3))</f>
        <v>#N/A</v>
      </c>
      <c r="CE133" s="61" t="e">
        <f>IF(COUNTIFS(allFYsTable[Code], SummaryTable[[#This Row],[Code]], allFYsTable[year2], BZ$3)=0, NotFound, SUMIFS(allFYsTable[DiffAmount], allFYsTable[Code], SummaryTable[[#This Row],[Code]], allFYsTable[year2], BZ$3))</f>
        <v>#N/A</v>
      </c>
      <c r="CF133" s="63" t="e">
        <f>IF(SummaryTable[[#This Row],[OriginalBudget18]]=0, IF(SummaryTable[[#This Row],[DiffAmount18]]=0, ZeroBudgetNoSpending, ZeroBudgetWithSpending), SummaryTable[[#This Row],[DiffAmount18]]/SummaryTable[[#This Row],[OriginalBudget18]])</f>
        <v>#N/A</v>
      </c>
      <c r="CG133" s="62" t="e">
        <f>IF(COUNTIFS(allFYsTable[Code], SummaryTable[[#This Row],[Code]], allFYsTable[year2], CG$3)=0, NotFound, SUMIFS(allFYsTable[OriginalBudget], allFYsTable[Code], SummaryTable[[#This Row],[Code]], allFYsTable[year2], CG$3))</f>
        <v>#N/A</v>
      </c>
      <c r="CH133" s="61" t="e">
        <f>SummaryTable[[#This Row],[OriginalBudget17]]-SummaryTable[[#This Row],[OriginalBudget16]]</f>
        <v>#N/A</v>
      </c>
      <c r="CI133" s="54" t="e">
        <f>SummaryTable[[#This Row],[BudgetIncreaseAmount17]]/SummaryTable[[#This Row],[OriginalBudget16]]</f>
        <v>#N/A</v>
      </c>
      <c r="CJ133" s="61" t="e">
        <f>IF(COUNTIFS(allFYsTable[Code], SummaryTable[[#This Row],[Code]], allFYsTable[year2], CG$3)=0, NotFound, SUMIFS(allFYsTable[RevisedBudget], allFYsTable[Code], SummaryTable[[#This Row],[Code]], allFYsTable[year2], CG$3))</f>
        <v>#N/A</v>
      </c>
      <c r="CK133" s="61" t="e">
        <f>IF(COUNTIFS(allFYsTable[Code], SummaryTable[[#This Row],[Code]], allFYsTable[year2], CG$3)=0, NotFound, SUMIFS(allFYsTable[Actual], allFYsTable[Code], SummaryTable[[#This Row],[Code]], allFYsTable[year2], CG$3))</f>
        <v>#N/A</v>
      </c>
      <c r="CL133" s="61" t="e">
        <f>IF(COUNTIFS(allFYsTable[Code], SummaryTable[[#This Row],[Code]], allFYsTable[year2], CG$3)=0, NotFound, SUMIFS(allFYsTable[DiffAmount], allFYsTable[Code], SummaryTable[[#This Row],[Code]], allFYsTable[year2], CG$3))</f>
        <v>#N/A</v>
      </c>
      <c r="CM133" s="63" t="e">
        <f>IF(SummaryTable[[#This Row],[OriginalBudget17]]=0, IF(SummaryTable[[#This Row],[DiffAmount17]]=0, ZeroBudgetNoSpending, ZeroBudgetWithSpending), SummaryTable[[#This Row],[DiffAmount17]]/SummaryTable[[#This Row],[OriginalBudget17]])</f>
        <v>#N/A</v>
      </c>
      <c r="CN133" s="62" t="e">
        <f>IF(COUNTIFS(allFYsTable[Code], SummaryTable[[#This Row],[Code]], allFYsTable[year2], CN$3)=0, NotFound, SUMIFS(allFYsTable[OriginalBudget], allFYsTable[Code], SummaryTable[[#This Row],[Code]], allFYsTable[year2], CN$3))</f>
        <v>#N/A</v>
      </c>
      <c r="CO133" s="61" t="e">
        <f>SummaryTable[[#This Row],[OriginalBudget16]]-SummaryTable[[#This Row],[OriginalBudget15]]</f>
        <v>#N/A</v>
      </c>
      <c r="CP133" s="54" t="e">
        <f>SummaryTable[[#This Row],[BudgetIncreaseAmount16]]/SummaryTable[[#This Row],[OriginalBudget15]]</f>
        <v>#N/A</v>
      </c>
      <c r="CQ133" s="61" t="e">
        <f>IF(COUNTIFS(allFYsTable[Code], SummaryTable[[#This Row],[Code]], allFYsTable[year2], CN$3)=0, NotFound, SUMIFS(allFYsTable[RevisedBudget], allFYsTable[Code], SummaryTable[[#This Row],[Code]], allFYsTable[year2], CN$3))</f>
        <v>#N/A</v>
      </c>
      <c r="CR133" s="61" t="e">
        <f>IF(COUNTIFS(allFYsTable[Code], SummaryTable[[#This Row],[Code]], allFYsTable[year2], CN$3)=0, NotFound, SUMIFS(allFYsTable[Actual], allFYsTable[Code], SummaryTable[[#This Row],[Code]], allFYsTable[year2], CN$3))</f>
        <v>#N/A</v>
      </c>
      <c r="CS133" s="61" t="e">
        <f>IF(COUNTIFS(allFYsTable[Code], SummaryTable[[#This Row],[Code]], allFYsTable[year2], CN$3)=0, NotFound, SUMIFS(allFYsTable[DiffAmount], allFYsTable[Code], SummaryTable[[#This Row],[Code]], allFYsTable[year2], CN$3))</f>
        <v>#N/A</v>
      </c>
      <c r="CT133" s="63" t="e">
        <f>IF(SummaryTable[[#This Row],[OriginalBudget16]]=0, IF(SummaryTable[[#This Row],[DiffAmount16]]=0, ZeroBudgetNoSpending, ZeroBudgetWithSpending), SummaryTable[[#This Row],[DiffAmount16]]/SummaryTable[[#This Row],[OriginalBudget16]])</f>
        <v>#N/A</v>
      </c>
      <c r="CU133" s="62" t="e">
        <f>IF(COUNTIFS(allFYsTable[Code], SummaryTable[[#This Row],[Code]], allFYsTable[year2], CU$3)=0, NotFound, SUMIFS(allFYsTable[OriginalBudget], allFYsTable[Code], SummaryTable[[#This Row],[Code]], allFYsTable[year2], CU$3))</f>
        <v>#N/A</v>
      </c>
      <c r="CV133" s="61" t="e">
        <f>SummaryTable[[#This Row],[OriginalBudget15]]-SummaryTable[[#This Row],[OriginalBudget14]]</f>
        <v>#N/A</v>
      </c>
      <c r="CW133" s="54" t="e">
        <f>SummaryTable[[#This Row],[BudgetIncreaseAmount15]]/SummaryTable[[#This Row],[OriginalBudget14]]</f>
        <v>#N/A</v>
      </c>
      <c r="CX133" s="61" t="e">
        <f>IF(COUNTIFS(allFYsTable[Code], SummaryTable[[#This Row],[Code]], allFYsTable[year2], CU$3)=0, NotFound, SUMIFS(allFYsTable[RevisedBudget], allFYsTable[Code], SummaryTable[[#This Row],[Code]], allFYsTable[year2], CU$3))</f>
        <v>#N/A</v>
      </c>
      <c r="CY133" s="61" t="e">
        <f>IF(COUNTIFS(allFYsTable[Code], SummaryTable[[#This Row],[Code]], allFYsTable[year2], CU$3)=0, NotFound, SUMIFS(allFYsTable[Actual], allFYsTable[Code], SummaryTable[[#This Row],[Code]], allFYsTable[year2], CU$3))</f>
        <v>#N/A</v>
      </c>
      <c r="CZ133" s="61" t="e">
        <f>IF(COUNTIFS(allFYsTable[Code], SummaryTable[[#This Row],[Code]], allFYsTable[year2], CU$3)=0, NotFound, SUMIFS(allFYsTable[DiffAmount], allFYsTable[Code], SummaryTable[[#This Row],[Code]], allFYsTable[year2], CU$3))</f>
        <v>#N/A</v>
      </c>
      <c r="DA133" s="63" t="e">
        <f>IF(SummaryTable[[#This Row],[OriginalBudget15]]=0, IF(SummaryTable[[#This Row],[DiffAmount15]]=0, ZeroBudgetNoSpending, ZeroBudgetWithSpending), SummaryTable[[#This Row],[DiffAmount15]]/SummaryTable[[#This Row],[OriginalBudget15]])</f>
        <v>#N/A</v>
      </c>
      <c r="DB133" s="62" t="e">
        <f>IF(COUNTIFS(allFYsTable[Code], SummaryTable[[#This Row],[Code]], allFYsTable[year2], DB$3)=0, NotFound, SUMIFS(allFYsTable[OriginalBudget], allFYsTable[Code], SummaryTable[[#This Row],[Code]], allFYsTable[year2], DB$3))</f>
        <v>#N/A</v>
      </c>
      <c r="DC133" s="61" t="e">
        <f>SummaryTable[[#This Row],[OriginalBudget14]]-SummaryTable[[#This Row],[OriginalBudget13]]</f>
        <v>#N/A</v>
      </c>
      <c r="DD133" s="54" t="e">
        <f>SummaryTable[[#This Row],[BudgetIncreaseAmount14]]/SummaryTable[[#This Row],[OriginalBudget13]]</f>
        <v>#N/A</v>
      </c>
      <c r="DE133" s="61" t="e">
        <f>IF(COUNTIFS(allFYsTable[Code], SummaryTable[[#This Row],[Code]], allFYsTable[year2], DB$3)=0, NotFound, SUMIFS(allFYsTable[RevisedBudget], allFYsTable[Code], SummaryTable[[#This Row],[Code]], allFYsTable[year2], DB$3))</f>
        <v>#N/A</v>
      </c>
      <c r="DF133" s="61" t="e">
        <f>IF(COUNTIFS(allFYsTable[Code], SummaryTable[[#This Row],[Code]], allFYsTable[year2], DB$3)=0, NotFound, SUMIFS(allFYsTable[Actual], allFYsTable[Code], SummaryTable[[#This Row],[Code]], allFYsTable[year2], DB$3))</f>
        <v>#N/A</v>
      </c>
      <c r="DG133" s="61" t="e">
        <f>IF(COUNTIFS(allFYsTable[Code], SummaryTable[[#This Row],[Code]], allFYsTable[year2], DB$3)=0, NotFound, SUMIFS(allFYsTable[DiffAmount], allFYsTable[Code], SummaryTable[[#This Row],[Code]], allFYsTable[year2], DB$3))</f>
        <v>#N/A</v>
      </c>
      <c r="DH133" s="63" t="e">
        <f>IF(SummaryTable[[#This Row],[OriginalBudget14]]=0, IF(SummaryTable[[#This Row],[DiffAmount14]]=0, ZeroBudgetNoSpending, ZeroBudgetWithSpending), SummaryTable[[#This Row],[DiffAmount14]]/SummaryTable[[#This Row],[OriginalBudget14]])</f>
        <v>#N/A</v>
      </c>
      <c r="DI133" s="62" t="e">
        <f>IF(COUNTIFS(allFYsTable[Code], SummaryTable[[#This Row],[Code]], allFYsTable[year2], DI$3)=0, NotFound, SUMIFS(allFYsTable[OriginalBudget], allFYsTable[Code], SummaryTable[[#This Row],[Code]], allFYsTable[year2], DI$3))</f>
        <v>#N/A</v>
      </c>
      <c r="DJ133" s="61" t="e">
        <f>SummaryTable[[#This Row],[OriginalBudget13]]-SummaryTable[[#This Row],[OriginalBudget12]]</f>
        <v>#N/A</v>
      </c>
      <c r="DK133" s="54" t="e">
        <f>SummaryTable[[#This Row],[BudgetIncreaseAmount13]]/SummaryTable[[#This Row],[OriginalBudget12]]</f>
        <v>#N/A</v>
      </c>
      <c r="DL133" s="61" t="e">
        <f>IF(COUNTIFS(allFYsTable[Code], SummaryTable[[#This Row],[Code]], allFYsTable[year2], DI$3)=0, NotFound, SUMIFS(allFYsTable[RevisedBudget], allFYsTable[Code], SummaryTable[[#This Row],[Code]], allFYsTable[year2], DI$3))</f>
        <v>#N/A</v>
      </c>
      <c r="DM133" s="61" t="e">
        <f>IF(COUNTIFS(allFYsTable[Code], SummaryTable[[#This Row],[Code]], allFYsTable[year2], DI$3)=0, NotFound, SUMIFS(allFYsTable[Actual], allFYsTable[Code], SummaryTable[[#This Row],[Code]], allFYsTable[year2], DI$3))</f>
        <v>#N/A</v>
      </c>
      <c r="DN133" s="61" t="e">
        <f>IF(COUNTIFS(allFYsTable[Code], SummaryTable[[#This Row],[Code]], allFYsTable[year2], DI$3)=0, NotFound, SUMIFS(allFYsTable[DiffAmount], allFYsTable[Code], SummaryTable[[#This Row],[Code]], allFYsTable[year2], DI$3))</f>
        <v>#N/A</v>
      </c>
      <c r="DO133" s="63" t="e">
        <f>IF(SummaryTable[[#This Row],[OriginalBudget13]]=0, IF(SummaryTable[[#This Row],[DiffAmount13]]=0, ZeroBudgetNoSpending, ZeroBudgetWithSpending), SummaryTable[[#This Row],[DiffAmount13]]/SummaryTable[[#This Row],[OriginalBudget13]])</f>
        <v>#N/A</v>
      </c>
      <c r="DP133" s="62" t="e">
        <f>IF(COUNTIFS(allFYsTable[Code], SummaryTable[[#This Row],[Code]], allFYsTable[year2], DP$3)=0, NotFound, SUMIFS(allFYsTable[OriginalBudget], allFYsTable[Code], SummaryTable[[#This Row],[Code]], allFYsTable[year2], DP$3))</f>
        <v>#N/A</v>
      </c>
      <c r="DQ133" s="61" t="e">
        <f>SummaryTable[[#This Row],[OriginalBudget12]]-SummaryTable[[#This Row],[OriginalBudget11]]</f>
        <v>#N/A</v>
      </c>
      <c r="DR133" s="54" t="e">
        <f>SummaryTable[[#This Row],[BudgetIncreaseAmount12]]/SummaryTable[[#This Row],[OriginalBudget11]]</f>
        <v>#N/A</v>
      </c>
      <c r="DS133" s="61" t="e">
        <f>IF(COUNTIFS(allFYsTable[Code], SummaryTable[[#This Row],[Code]], allFYsTable[year2], DP$3)=0, NotFound, SUMIFS(allFYsTable[RevisedBudget], allFYsTable[Code], SummaryTable[[#This Row],[Code]], allFYsTable[year2], DP$3))</f>
        <v>#N/A</v>
      </c>
      <c r="DT133" s="61" t="e">
        <f>IF(COUNTIFS(allFYsTable[Code], SummaryTable[[#This Row],[Code]], allFYsTable[year2], DP$3)=0, NotFound, SUMIFS(allFYsTable[Actual], allFYsTable[Code], SummaryTable[[#This Row],[Code]], allFYsTable[year2], DP$3))</f>
        <v>#N/A</v>
      </c>
      <c r="DU133" s="61" t="e">
        <f>IF(COUNTIFS(allFYsTable[Code], SummaryTable[[#This Row],[Code]], allFYsTable[year2], DP$3)=0, NotFound, SUMIFS(allFYsTable[DiffAmount], allFYsTable[Code], SummaryTable[[#This Row],[Code]], allFYsTable[year2], DP$3))</f>
        <v>#N/A</v>
      </c>
      <c r="DV133" s="63" t="e">
        <f>IF(SummaryTable[[#This Row],[OriginalBudget12]]=0, IF(SummaryTable[[#This Row],[DiffAmount12]]=0, ZeroBudgetNoSpending, ZeroBudgetWithSpending), SummaryTable[[#This Row],[DiffAmount12]]/SummaryTable[[#This Row],[OriginalBudget12]])</f>
        <v>#N/A</v>
      </c>
      <c r="DW133" s="62" t="e">
        <f>IF(COUNTIFS(allFYsTable[Code], SummaryTable[[#This Row],[Code]], allFYsTable[year2], DW$3)=0, NotFound, SUMIFS(allFYsTable[OriginalBudget], allFYsTable[Code], SummaryTable[[#This Row],[Code]], allFYsTable[year2], DW$3))</f>
        <v>#N/A</v>
      </c>
      <c r="DX133" s="61" t="e">
        <f>SummaryTable[[#This Row],[OriginalBudget11]]-SummaryTable[[#This Row],[OriginalBudget10]]</f>
        <v>#N/A</v>
      </c>
      <c r="DY133" s="54" t="e">
        <f>SummaryTable[[#This Row],[BudgetIncreaseAmount11]]/SummaryTable[[#This Row],[OriginalBudget10]]</f>
        <v>#N/A</v>
      </c>
      <c r="DZ133" s="61" t="e">
        <f>IF(COUNTIFS(allFYsTable[Code], SummaryTable[[#This Row],[Code]], allFYsTable[year2], DW$3)=0, NotFound, SUMIFS(allFYsTable[RevisedBudget], allFYsTable[Code], SummaryTable[[#This Row],[Code]], allFYsTable[year2], DW$3))</f>
        <v>#N/A</v>
      </c>
      <c r="EA133" s="61" t="e">
        <f>IF(COUNTIFS(allFYsTable[Code], SummaryTable[[#This Row],[Code]], allFYsTable[year2], DW$3)=0, NotFound, SUMIFS(allFYsTable[Actual], allFYsTable[Code], SummaryTable[[#This Row],[Code]], allFYsTable[year2], DW$3))</f>
        <v>#N/A</v>
      </c>
      <c r="EB133" s="61" t="e">
        <f>IF(COUNTIFS(allFYsTable[Code], SummaryTable[[#This Row],[Code]], allFYsTable[year2], DW$3)=0, NotFound, SUMIFS(allFYsTable[DiffAmount], allFYsTable[Code], SummaryTable[[#This Row],[Code]], allFYsTable[year2], DW$3))</f>
        <v>#N/A</v>
      </c>
      <c r="EC133" s="63" t="e">
        <f>IF(SummaryTable[[#This Row],[OriginalBudget11]]=0, IF(SummaryTable[[#This Row],[DiffAmount11]]=0, ZeroBudgetNoSpending, ZeroBudgetWithSpending), SummaryTable[[#This Row],[DiffAmount11]]/SummaryTable[[#This Row],[OriginalBudget11]])</f>
        <v>#N/A</v>
      </c>
      <c r="ED133" s="62" t="e">
        <f>IF(COUNTIFS(allFYsTable[Code], SummaryTable[[#This Row],[Code]], allFYsTable[year2], ED$3)=0, NotFound, SUMIFS(allFYsTable[OriginalBudget], allFYsTable[Code], SummaryTable[[#This Row],[Code]], allFYsTable[year2], ED$3))</f>
        <v>#N/A</v>
      </c>
      <c r="EE133" s="61" t="e">
        <f>SummaryTable[[#This Row],[OriginalBudget10]]-SummaryTable[[#This Row],[OriginalBudget09]]</f>
        <v>#N/A</v>
      </c>
      <c r="EF133" s="54" t="e">
        <f>SummaryTable[[#This Row],[BudgetIncreaseAmount10]]/SummaryTable[[#This Row],[OriginalBudget09]]</f>
        <v>#N/A</v>
      </c>
      <c r="EG133" s="61" t="e">
        <f>IF(COUNTIFS(allFYsTable[Code], SummaryTable[[#This Row],[Code]], allFYsTable[year2], ED$3)=0, NotFound, SUMIFS(allFYsTable[RevisedBudget], allFYsTable[Code], SummaryTable[[#This Row],[Code]], allFYsTable[year2], ED$3))</f>
        <v>#N/A</v>
      </c>
      <c r="EH133" s="61" t="e">
        <f>IF(COUNTIFS(allFYsTable[Code], SummaryTable[[#This Row],[Code]], allFYsTable[year2], ED$3)=0, NotFound, SUMIFS(allFYsTable[Actual], allFYsTable[Code], SummaryTable[[#This Row],[Code]], allFYsTable[year2], ED$3))</f>
        <v>#N/A</v>
      </c>
      <c r="EI133" s="61" t="e">
        <f>IF(COUNTIFS(allFYsTable[Code], SummaryTable[[#This Row],[Code]], allFYsTable[year2], ED$3)=0, NotFound, SUMIFS(allFYsTable[DiffAmount], allFYsTable[Code], SummaryTable[[#This Row],[Code]], allFYsTable[year2], ED$3))</f>
        <v>#N/A</v>
      </c>
      <c r="EJ133" s="63" t="e">
        <f>IF(SummaryTable[[#This Row],[OriginalBudget10]]=0, IF(SummaryTable[[#This Row],[DiffAmount10]]=0, ZeroBudgetNoSpending, ZeroBudgetWithSpending), SummaryTable[[#This Row],[DiffAmount10]]/SummaryTable[[#This Row],[OriginalBudget10]])</f>
        <v>#N/A</v>
      </c>
      <c r="EK133" s="62" t="e">
        <f>IF(COUNTIFS(allFYsTable[Code], SummaryTable[[#This Row],[Code]], allFYsTable[year2], EK$3)=0, NotFound, SUMIFS(allFYsTable[OriginalBudget], allFYsTable[Code], SummaryTable[[#This Row],[Code]], allFYsTable[year2], EK$3))</f>
        <v>#N/A</v>
      </c>
      <c r="EL133" s="61" t="e">
        <f>SummaryTable[[#This Row],[OriginalBudget09]]-SummaryTable[[#This Row],[OriginalBudget08]]</f>
        <v>#N/A</v>
      </c>
      <c r="EM133" s="54" t="e">
        <f>SummaryTable[[#This Row],[BudgetIncreaseAmount09]]/SummaryTable[[#This Row],[OriginalBudget08]]</f>
        <v>#N/A</v>
      </c>
      <c r="EN133" s="61" t="e">
        <f>IF(COUNTIFS(allFYsTable[Code], SummaryTable[[#This Row],[Code]], allFYsTable[year2], EK$3)=0, NotFound, SUMIFS(allFYsTable[RevisedBudget], allFYsTable[Code], SummaryTable[[#This Row],[Code]], allFYsTable[year2], EK$3))</f>
        <v>#N/A</v>
      </c>
      <c r="EO133" s="61" t="e">
        <f>IF(COUNTIFS(allFYsTable[Code], SummaryTable[[#This Row],[Code]], allFYsTable[year2], EK$3)=0, NotFound, SUMIFS(allFYsTable[Actual], allFYsTable[Code], SummaryTable[[#This Row],[Code]], allFYsTable[year2], EK$3))</f>
        <v>#N/A</v>
      </c>
      <c r="EP133" s="61" t="e">
        <f>IF(COUNTIFS(allFYsTable[Code], SummaryTable[[#This Row],[Code]], allFYsTable[year2], EK$3)=0, NotFound, SUMIFS(allFYsTable[DiffAmount], allFYsTable[Code], SummaryTable[[#This Row],[Code]], allFYsTable[year2], EK$3))</f>
        <v>#N/A</v>
      </c>
      <c r="EQ133" s="63" t="e">
        <f>IF(SummaryTable[[#This Row],[OriginalBudget09]]=0, IF(SummaryTable[[#This Row],[DiffAmount09]]=0, ZeroBudgetNoSpending, ZeroBudgetWithSpending), SummaryTable[[#This Row],[DiffAmount09]]/SummaryTable[[#This Row],[OriginalBudget09]])</f>
        <v>#N/A</v>
      </c>
      <c r="ER133" s="62" t="e">
        <f>IF(COUNTIFS(allFYsTable[Code], SummaryTable[[#This Row],[Code]], allFYsTable[year2], ER$3)=0, NotFound, SUMIFS(allFYsTable[OriginalBudget], allFYsTable[Code], SummaryTable[[#This Row],[Code]], allFYsTable[year2], ER$3))</f>
        <v>#N/A</v>
      </c>
      <c r="ES133" s="61" t="e">
        <f>SummaryTable[[#This Row],[OriginalBudget08]]-SummaryTable[[#This Row],[OriginalBudget07]]</f>
        <v>#N/A</v>
      </c>
      <c r="ET133" s="54" t="e">
        <f>SummaryTable[[#This Row],[BudgetIncreaseAmount08]]/SummaryTable[[#This Row],[OriginalBudget07]]</f>
        <v>#N/A</v>
      </c>
      <c r="EU133" s="61" t="e">
        <f>IF(COUNTIFS(allFYsTable[Code], SummaryTable[[#This Row],[Code]], allFYsTable[year2], ER$3)=0, NotFound, SUMIFS(allFYsTable[RevisedBudget], allFYsTable[Code], SummaryTable[[#This Row],[Code]], allFYsTable[year2], ER$3))</f>
        <v>#N/A</v>
      </c>
      <c r="EV133" s="61" t="e">
        <f>IF(COUNTIFS(allFYsTable[Code], SummaryTable[[#This Row],[Code]], allFYsTable[year2], ER$3)=0, NotFound, SUMIFS(allFYsTable[Actual], allFYsTable[Code], SummaryTable[[#This Row],[Code]], allFYsTable[year2], ER$3))</f>
        <v>#N/A</v>
      </c>
      <c r="EW133" s="61" t="e">
        <f>IF(COUNTIFS(allFYsTable[Code], SummaryTable[[#This Row],[Code]], allFYsTable[year2], ER$3)=0, NotFound, SUMIFS(allFYsTable[DiffAmount], allFYsTable[Code], SummaryTable[[#This Row],[Code]], allFYsTable[year2], ER$3))</f>
        <v>#N/A</v>
      </c>
      <c r="EX133" s="63" t="e">
        <f>IF(SummaryTable[[#This Row],[OriginalBudget08]]=0, IF(SummaryTable[[#This Row],[DiffAmount08]]=0, ZeroBudgetNoSpending, ZeroBudgetWithSpending), SummaryTable[[#This Row],[DiffAmount08]]/SummaryTable[[#This Row],[OriginalBudget08]])</f>
        <v>#N/A</v>
      </c>
      <c r="EY133" s="62" t="e">
        <f>IF(COUNTIFS(allFYsTable[Code], SummaryTable[[#This Row],[Code]], allFYsTable[year2], EY$3)=0, NotFound, SUMIFS(allFYsTable[OriginalBudget], allFYsTable[Code], SummaryTable[[#This Row],[Code]], allFYsTable[year2], EY$3))</f>
        <v>#N/A</v>
      </c>
      <c r="EZ133" s="61" t="e">
        <f>SummaryTable[[#This Row],[OriginalBudget07]]-SummaryTable[[#This Row],[OriginalBudget06]]</f>
        <v>#N/A</v>
      </c>
      <c r="FA133" s="54" t="e">
        <f>SummaryTable[[#This Row],[BudgetIncreaseAmount07]]/SummaryTable[[#This Row],[OriginalBudget06]]</f>
        <v>#N/A</v>
      </c>
      <c r="FB133" s="61" t="e">
        <f>IF(COUNTIFS(allFYsTable[Code], SummaryTable[[#This Row],[Code]], allFYsTable[year2], EY$3)=0, NotFound, SUMIFS(allFYsTable[RevisedBudget], allFYsTable[Code], SummaryTable[[#This Row],[Code]], allFYsTable[year2], EY$3))</f>
        <v>#N/A</v>
      </c>
      <c r="FC133" s="61" t="e">
        <f>IF(COUNTIFS(allFYsTable[Code], SummaryTable[[#This Row],[Code]], allFYsTable[year2], EY$3)=0, NotFound, SUMIFS(allFYsTable[Actual], allFYsTable[Code], SummaryTable[[#This Row],[Code]], allFYsTable[year2], EY$3))</f>
        <v>#N/A</v>
      </c>
      <c r="FD133" s="61" t="e">
        <f>IF(COUNTIFS(allFYsTable[Code], SummaryTable[[#This Row],[Code]], allFYsTable[year2], EY$3)=0, NotFound, SUMIFS(allFYsTable[DiffAmount], allFYsTable[Code], SummaryTable[[#This Row],[Code]], allFYsTable[year2], EY$3))</f>
        <v>#N/A</v>
      </c>
      <c r="FE133" s="63" t="e">
        <f>IF(SummaryTable[[#This Row],[OriginalBudget07]]=0, IF(SummaryTable[[#This Row],[DiffAmount07]]=0, ZeroBudgetNoSpending, ZeroBudgetWithSpending), SummaryTable[[#This Row],[DiffAmount07]]/SummaryTable[[#This Row],[OriginalBudget07]])</f>
        <v>#N/A</v>
      </c>
      <c r="FF133" s="62" t="e">
        <f>IF(COUNTIFS(allFYsTable[Code], SummaryTable[[#This Row],[Code]], allFYsTable[year2], FF$3)=0, NotFound, SUMIFS(allFYsTable[OriginalBudget], allFYsTable[Code], SummaryTable[[#This Row],[Code]], allFYsTable[year2], FF$3))</f>
        <v>#N/A</v>
      </c>
      <c r="FI133" s="61" t="e">
        <f>IF(COUNTIFS(allFYsTable[Code], SummaryTable[[#This Row],[Code]], allFYsTable[year2], FF$3)=0, NotFound, SUMIFS(allFYsTable[RevisedBudget], allFYsTable[Code], SummaryTable[[#This Row],[Code]], allFYsTable[year2], FF$3))</f>
        <v>#N/A</v>
      </c>
      <c r="FJ133" s="61" t="e">
        <f>IF(COUNTIFS(allFYsTable[Code], SummaryTable[[#This Row],[Code]], allFYsTable[year2], FF$3)=0, NotFound, SUMIFS(allFYsTable[Actual], allFYsTable[Code], SummaryTable[[#This Row],[Code]], allFYsTable[year2], FF$3))</f>
        <v>#N/A</v>
      </c>
      <c r="FK133" s="61" t="e">
        <f>IF(COUNTIFS(allFYsTable[Code], SummaryTable[[#This Row],[Code]], allFYsTable[year2], FF$3)=0, NotFound, SUMIFS(allFYsTable[DiffAmount], allFYsTable[Code], SummaryTable[[#This Row],[Code]], allFYsTable[year2], FF$3))</f>
        <v>#N/A</v>
      </c>
      <c r="FL133" s="63" t="e">
        <f>IF(SummaryTable[[#This Row],[OriginalBudget06]]=0, IF(SummaryTable[[#This Row],[DiffAmount06]]=0, ZeroBudgetNoSpending, ZeroBudgetWithSpending), SummaryTable[[#This Row],[DiffAmount06]]/SummaryTable[[#This Row],[OriginalBudget06]])</f>
        <v>#N/A</v>
      </c>
    </row>
    <row r="134" spans="1:168" x14ac:dyDescent="0.45">
      <c r="A134" t="s">
        <v>823</v>
      </c>
      <c r="B134">
        <f>_xlfn.MAXIFS(allFYsTable[year2], allFYsTable[Code], SummaryTable[[#This Row],[Code]])</f>
        <v>2024</v>
      </c>
      <c r="C134" t="str">
        <f>_xlfn.XLOOKUP(SummaryTable[[#This Row],[Code]], NameCodingTable[Code], NameCodingTable[Most Recent Category per allFYs])</f>
        <v>Human Support Services</v>
      </c>
      <c r="D134" t="str">
        <f>_xlfn.XLOOKUP(SummaryTable[[#This Row],[Code]], NameCodingTable[Code], NameCodingTable[Unit Display Name])</f>
        <v>D.C. Health Benefit Exchange Subsidy</v>
      </c>
      <c r="E134" t="str">
        <f>_xlfn.XLOOKUP(SummaryTable[[#This Row],[Code]], NameCodingTable[Code], NameCodingTable[Type])</f>
        <v>xother</v>
      </c>
      <c r="F13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3</v>
      </c>
      <c r="G13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34" s="54">
        <f>SummaryTable[[#This Row],['# Over]]/SummaryTable[[#This Row],[Count]]</f>
        <v>0</v>
      </c>
      <c r="I13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34" s="54">
        <f>SummaryTable[[#This Row],['# Under]]/SummaryTable[[#This Row],[Count]]</f>
        <v>0</v>
      </c>
      <c r="K13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3</v>
      </c>
      <c r="L134" s="54">
        <f>SummaryTable[[#This Row],['# Equal]]/SummaryTable[[#This Row],[Count]]</f>
        <v>1</v>
      </c>
      <c r="M134" s="61">
        <f>SUMIFS(allFYsTable[OriginalBudget],allFYsTable[Code],SummaryTable[[#This Row],[Code]])/SummaryTable[[#This Row],[Count]]</f>
        <v>0</v>
      </c>
      <c r="N134" s="61">
        <f>SUMIFS(allFYsTable[Actual],allFYsTable[Code],SummaryTable[[#This Row],[Code]])/SummaryTable[[#This Row],[Count]]</f>
        <v>0</v>
      </c>
      <c r="O134" s="61">
        <f>SummaryTable[[#This Row],[AvgActAmt]]-SummaryTable[[#This Row],[AvgBudAmt]]</f>
        <v>0</v>
      </c>
      <c r="P134" s="54">
        <f>IF(SummaryTable[[#This Row],[AvgBudAmt]]=0, IF(SummaryTable[[#This Row],[AvgDiff'#]]=0, 0, NamedFields!$C$3), SummaryTable[[#This Row],[AvgDiff'#]]/SummaryTable[[#This Row],[AvgBudAmt]])</f>
        <v>0</v>
      </c>
      <c r="Q134" s="61">
        <f>IFERROR(SUMIFS(allFYsTable[OriginalBudget],allFYsTable[Code],SummaryTable[[#This Row],[Code]],allFYsTable[DiffAmount], "&gt;0")/SummaryTable[[#This Row],['# Over]], 0)</f>
        <v>0</v>
      </c>
      <c r="R134" s="61">
        <f>IFERROR(SUMIFS(allFYsTable[Actual],allFYsTable[Code],SummaryTable[[#This Row],[Code]],allFYsTable[DiffAmount], "&gt;0")/SummaryTable[[#This Row],['# Over]], 0)</f>
        <v>0</v>
      </c>
      <c r="S134" s="61">
        <f>SummaryTable[[#This Row],[OverAvgAct]]-SummaryTable[[#This Row],[OverAvgBud]]</f>
        <v>0</v>
      </c>
      <c r="T134" s="54">
        <f>IF(SummaryTable[[#This Row],[OverAvgBud]]=0, IF(SummaryTable[[#This Row],[OverAvgDiff'#]]=0, ZeroBudgetNoSpending, ZeroBudgetWithSpending), SummaryTable[[#This Row],[OverAvgDiff'#]]/SummaryTable[[#This Row],[OverAvgBud]])</f>
        <v>0</v>
      </c>
      <c r="U134" s="61">
        <f>IFERROR(SUMIFS(allFYsTable[OriginalBudget],allFYsTable[Code],SummaryTable[[#This Row],[Code]],allFYsTable[DiffAmount], "&lt;0")/SummaryTable[[#This Row],['# Under]], 0)</f>
        <v>0</v>
      </c>
      <c r="V134" s="61">
        <f>IFERROR( SUMIFS(allFYsTable[Actual],allFYsTable[Code],SummaryTable[[#This Row],[Code]],allFYsTable[DiffAmount], "&lt;0")/SummaryTable[[#This Row],['# Under]], 0)</f>
        <v>0</v>
      </c>
      <c r="W134" s="61">
        <f>SummaryTable[[#This Row],[UnderAvgAct]]-SummaryTable[[#This Row],[UnderAvgBud]]</f>
        <v>0</v>
      </c>
      <c r="X134" s="54">
        <f>IF(SummaryTable[[#This Row],[UnderAvgBud]]=0, IF(SummaryTable[[#This Row],[UnderAvgDiff'#]]=0, ZeroBudgetNoSpending, NamedFields!$C$3), SummaryTable[[#This Row],[UnderAvgDiff'#]]/SummaryTable[[#This Row],[UnderAvgBud]])</f>
        <v>0</v>
      </c>
      <c r="Y13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3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4" s="54">
        <f>IF(SummaryTable[[#This Row],[IncreaseYears]]=0, ZeroBudgetNoSpending, SummaryTable[[#This Row],[OSinIncreaseYear'#]]/SummaryTable[[#This Row],[IncreaseYears]])</f>
        <v>0</v>
      </c>
      <c r="AB134" s="58" t="str">
        <f>SummaryTable[[#This Row],[Code]]</f>
        <v>HI0</v>
      </c>
      <c r="AC134" s="62" t="e">
        <f>IF(COUNTIFS(allFYsTable[Code], SummaryTable[[#This Row],[Code]], allFYsTable[year2], AC$3)=0, NotFound, SUMIFS(allFYsTable[OriginalBudget], allFYsTable[Code], SummaryTable[[#This Row],[Code]], allFYsTable[year2], AC$3))</f>
        <v>#N/A</v>
      </c>
      <c r="AD134" s="61" t="e">
        <f>SummaryTable[[#This Row],[OriginalBudget25]]-SummaryTable[[#This Row],[OriginalBudget24]]</f>
        <v>#N/A</v>
      </c>
      <c r="AE134" s="54" t="e">
        <f>SummaryTable[[#This Row],[BudgetIncreaseAmount25]]/SummaryTable[[#This Row],[OriginalBudget24]]</f>
        <v>#N/A</v>
      </c>
      <c r="AF134" s="61" t="e">
        <f>IF(COUNTIFS(allFYsTable[Code], SummaryTable[[#This Row],[Code]], allFYsTable[year2], AC$3)=0, NotFound, SUMIFS(allFYsTable[RevisedBudget], allFYsTable[Code], SummaryTable[[#This Row],[Code]], allFYsTable[year2], AC$3))</f>
        <v>#N/A</v>
      </c>
      <c r="AG134" s="61" t="e">
        <f>IF(COUNTIFS(allFYsTable[Code], SummaryTable[[#This Row],[Code]], allFYsTable[year2], AC$3)=0, NotFound, SUMIFS(allFYsTable[Actual], allFYsTable[Code], SummaryTable[[#This Row],[Code]], allFYsTable[year2], AC$3))</f>
        <v>#N/A</v>
      </c>
      <c r="AH134" s="61" t="e">
        <f>IF(COUNTIFS(allFYsTable[Code], SummaryTable[[#This Row],[Code]], allFYsTable[year2], AC$3)=0, NotFound, SUMIFS(allFYsTable[DiffAmount], allFYsTable[Code], SummaryTable[[#This Row],[Code]], allFYsTable[year2], AC$3))</f>
        <v>#N/A</v>
      </c>
      <c r="AI134" s="63" t="e">
        <f>IF(SummaryTable[[#This Row],[OriginalBudget25]]=0, IF(SummaryTable[[#This Row],[DiffAmount25]]=0, ZeroBudgetNoSpending, ZeroBudgetWithSpending), SummaryTable[[#This Row],[DiffAmount25]]/SummaryTable[[#This Row],[OriginalBudget25]])</f>
        <v>#N/A</v>
      </c>
      <c r="AJ134" s="62">
        <f>IF(COUNTIFS(allFYsTable[Code], SummaryTable[[#This Row],[Code]], allFYsTable[year2], AJ$3)=0, NotFound, SUMIFS(allFYsTable[OriginalBudget], allFYsTable[Code], SummaryTable[[#This Row],[Code]], allFYsTable[year2], AJ$3))</f>
        <v>0</v>
      </c>
      <c r="AK134" s="61">
        <f>SummaryTable[[#This Row],[OriginalBudget24]]-SummaryTable[[#This Row],[OriginalBudget23]]</f>
        <v>0</v>
      </c>
      <c r="AL134" s="54" t="e">
        <f>SummaryTable[[#This Row],[BudgetIncreaseAmount24]]/SummaryTable[[#This Row],[OriginalBudget23]]</f>
        <v>#DIV/0!</v>
      </c>
      <c r="AM134" s="61">
        <f>IF(COUNTIFS(allFYsTable[Code], SummaryTable[[#This Row],[Code]], allFYsTable[year2], AK$3)=0, NotFound, SUMIFS(allFYsTable[RevisedBudget], allFYsTable[Code], SummaryTable[[#This Row],[Code]], allFYsTable[year2], AJ$3))</f>
        <v>0</v>
      </c>
      <c r="AN134" s="61">
        <f>IF(COUNTIFS(allFYsTable[Code], SummaryTable[[#This Row],[Code]], allFYsTable[year2], AJ$3)=0, NotFound, SUMIFS(allFYsTable[Actual], allFYsTable[Code], SummaryTable[[#This Row],[Code]], allFYsTable[year2], AJ$3))</f>
        <v>0</v>
      </c>
      <c r="AO134" s="61">
        <f>IF(COUNTIFS(allFYsTable[Code], SummaryTable[[#This Row],[Code]], allFYsTable[year2], AJ$3)=0, NotFound, SUMIFS(allFYsTable[DiffAmount], allFYsTable[Code], SummaryTable[[#This Row],[Code]], allFYsTable[year2], AJ$3))</f>
        <v>0</v>
      </c>
      <c r="AP134" s="63">
        <f>IF(SummaryTable[[#This Row],[OriginalBudget24]]=0, IF(SummaryTable[[#This Row],[DiffAmount24]]=0, ZeroBudgetNoSpending, ZeroBudgetWithSpending), SummaryTable[[#This Row],[DiffAmount24]]/SummaryTable[[#This Row],[OriginalBudget24]])</f>
        <v>0</v>
      </c>
      <c r="AQ134" s="62">
        <f>IF(COUNTIFS(allFYsTable[Code], SummaryTable[[#This Row],[Code]], allFYsTable[year2], AQ$3)=0, NotFound, SUMIFS(allFYsTable[OriginalBudget], allFYsTable[Code], SummaryTable[[#This Row],[Code]], allFYsTable[year2], AQ$3))</f>
        <v>0</v>
      </c>
      <c r="AR134" s="61">
        <f>SummaryTable[[#This Row],[OriginalBudget23]]-SummaryTable[[#This Row],[OriginalBudget22]]</f>
        <v>0</v>
      </c>
      <c r="AS134" s="54" t="e">
        <f>SummaryTable[[#This Row],[BudgetIncreaseAmount23]]/SummaryTable[[#This Row],[OriginalBudget22]]</f>
        <v>#DIV/0!</v>
      </c>
      <c r="AT134" s="61">
        <f>IF(COUNTIFS(allFYsTable[Code], SummaryTable[[#This Row],[Code]], allFYsTable[year2], AQ$3)=0, NotFound, SUMIFS(allFYsTable[RevisedBudget], allFYsTable[Code], SummaryTable[[#This Row],[Code]], allFYsTable[year2], AQ$3))</f>
        <v>0</v>
      </c>
      <c r="AU134" s="61">
        <f>IF(COUNTIFS(allFYsTable[Code], SummaryTable[[#This Row],[Code]], allFYsTable[year2], AQ$3)=0, NotFound, SUMIFS(allFYsTable[Actual], allFYsTable[Code], SummaryTable[[#This Row],[Code]], allFYsTable[year2], AQ$3))</f>
        <v>0</v>
      </c>
      <c r="AV134" s="61">
        <f>IF(COUNTIFS(allFYsTable[Code], SummaryTable[[#This Row],[Code]], allFYsTable[year2], AQ$3)=0, NotFound, SUMIFS(allFYsTable[DiffAmount], allFYsTable[Code], SummaryTable[[#This Row],[Code]], allFYsTable[year2], AQ$3))</f>
        <v>0</v>
      </c>
      <c r="AW134" s="63">
        <f>IF(SummaryTable[[#This Row],[OriginalBudget23]]=0, IF(SummaryTable[[#This Row],[DiffAmount23]]=0, ZeroBudgetNoSpending, ZeroBudgetWithSpending), SummaryTable[[#This Row],[DiffAmount23]]/SummaryTable[[#This Row],[OriginalBudget23]])</f>
        <v>0</v>
      </c>
      <c r="AX134" s="62">
        <f>IF(COUNTIFS(allFYsTable[Code], SummaryTable[[#This Row],[Code]], allFYsTable[year2], AX$3)=0, NotFound, SUMIFS(allFYsTable[OriginalBudget], allFYsTable[Code], SummaryTable[[#This Row],[Code]], allFYsTable[year2], AX$3))</f>
        <v>0</v>
      </c>
      <c r="AY134" s="61" t="e">
        <f>SummaryTable[[#This Row],[OriginalBudget22]]-SummaryTable[[#This Row],[OriginalBudget21]]</f>
        <v>#N/A</v>
      </c>
      <c r="AZ134" s="54" t="e">
        <f>SummaryTable[[#This Row],[BudgetIncreaseAmount22]]/SummaryTable[[#This Row],[OriginalBudget21]]</f>
        <v>#N/A</v>
      </c>
      <c r="BA134" s="61">
        <f>IF(COUNTIFS(allFYsTable[Code], SummaryTable[[#This Row],[Code]], allFYsTable[year2], AX$3)=0, NotFound, SUMIFS(allFYsTable[RevisedBudget], allFYsTable[Code], SummaryTable[[#This Row],[Code]], allFYsTable[year2], AX$3))</f>
        <v>0</v>
      </c>
      <c r="BB134" s="61">
        <f>IF(COUNTIFS(allFYsTable[Code], SummaryTable[[#This Row],[Code]], allFYsTable[year2], AX$3)=0, NotFound, SUMIFS(allFYsTable[Actual], allFYsTable[Code], SummaryTable[[#This Row],[Code]], allFYsTable[year2], AX$3))</f>
        <v>0</v>
      </c>
      <c r="BC134" s="61">
        <f>IF(COUNTIFS(allFYsTable[Code], SummaryTable[[#This Row],[Code]], allFYsTable[year2], AX$3)=0, NotFound, SUMIFS(allFYsTable[DiffAmount], allFYsTable[Code], SummaryTable[[#This Row],[Code]], allFYsTable[year2], AX$3))</f>
        <v>0</v>
      </c>
      <c r="BD134" s="63">
        <f>IF(SummaryTable[[#This Row],[OriginalBudget22]]=0, IF(SummaryTable[[#This Row],[DiffAmount22]]=0, ZeroBudgetNoSpending, ZeroBudgetWithSpending), SummaryTable[[#This Row],[DiffAmount22]]/SummaryTable[[#This Row],[OriginalBudget22]])</f>
        <v>0</v>
      </c>
      <c r="BE134" s="62" t="e">
        <f>IF(COUNTIFS(allFYsTable[Code], SummaryTable[[#This Row],[Code]], allFYsTable[year2], BE$3)=0, NotFound, SUMIFS(allFYsTable[OriginalBudget], allFYsTable[Code], SummaryTable[[#This Row],[Code]], allFYsTable[year2], BE$3))</f>
        <v>#N/A</v>
      </c>
      <c r="BF134" s="61" t="e">
        <f>SummaryTable[[#This Row],[OriginalBudget21]]-SummaryTable[[#This Row],[OriginalBudget20]]</f>
        <v>#N/A</v>
      </c>
      <c r="BG134" s="54" t="e">
        <f>SummaryTable[[#This Row],[BudgetIncreaseAmount21]]/SummaryTable[[#This Row],[OriginalBudget20]]</f>
        <v>#N/A</v>
      </c>
      <c r="BH134" s="61" t="e">
        <f>IF(COUNTIFS(allFYsTable[Code], SummaryTable[[#This Row],[Code]], allFYsTable[year2], BE$3)=0, NotFound, SUMIFS(allFYsTable[RevisedBudget], allFYsTable[Code], SummaryTable[[#This Row],[Code]], allFYsTable[year2], BE$3))</f>
        <v>#N/A</v>
      </c>
      <c r="BI134" s="61" t="e">
        <f>IF(COUNTIFS(allFYsTable[Code], SummaryTable[[#This Row],[Code]], allFYsTable[year2], BE$3)=0, NotFound, SUMIFS(allFYsTable[Actual], allFYsTable[Code], SummaryTable[[#This Row],[Code]], allFYsTable[year2], BE$3))</f>
        <v>#N/A</v>
      </c>
      <c r="BJ134" s="61" t="e">
        <f>IF(COUNTIFS(allFYsTable[Code], SummaryTable[[#This Row],[Code]], allFYsTable[year2], BE$3)=0, NotFound, SUMIFS(allFYsTable[DiffAmount], allFYsTable[Code], SummaryTable[[#This Row],[Code]], allFYsTable[year2], BE$3))</f>
        <v>#N/A</v>
      </c>
      <c r="BK134" s="63" t="e">
        <f>IF(SummaryTable[[#This Row],[OriginalBudget21]]=0, IF(SummaryTable[[#This Row],[DiffAmount21]]=0, ZeroBudgetNoSpending, ZeroBudgetWithSpending), SummaryTable[[#This Row],[DiffAmount21]]/SummaryTable[[#This Row],[OriginalBudget21]])</f>
        <v>#N/A</v>
      </c>
      <c r="BL134" s="62" t="e">
        <f>IF(COUNTIFS(allFYsTable[Code], SummaryTable[[#This Row],[Code]], allFYsTable[year2], BL$3)=0, NotFound, SUMIFS(allFYsTable[OriginalBudget], allFYsTable[Code], SummaryTable[[#This Row],[Code]], allFYsTable[year2], BL$3))</f>
        <v>#N/A</v>
      </c>
      <c r="BM134" s="61" t="e">
        <f>SummaryTable[[#This Row],[OriginalBudget20]]-SummaryTable[[#This Row],[OriginalBudget19]]</f>
        <v>#N/A</v>
      </c>
      <c r="BN134" s="54" t="e">
        <f>SummaryTable[[#This Row],[BudgetIncreaseAmount20]]/SummaryTable[[#This Row],[OriginalBudget19]]</f>
        <v>#N/A</v>
      </c>
      <c r="BO134" s="61" t="e">
        <f>IF(COUNTIFS(allFYsTable[Code], SummaryTable[[#This Row],[Code]], allFYsTable[year2], BL$3)=0, NotFound, SUMIFS(allFYsTable[RevisedBudget], allFYsTable[Code], SummaryTable[[#This Row],[Code]], allFYsTable[year2], BL$3))</f>
        <v>#N/A</v>
      </c>
      <c r="BP134" s="61" t="e">
        <f>IF(COUNTIFS(allFYsTable[Code], SummaryTable[[#This Row],[Code]], allFYsTable[year2], BL$3)=0, NotFound, SUMIFS(allFYsTable[Actual], allFYsTable[Code], SummaryTable[[#This Row],[Code]], allFYsTable[year2], BL$3))</f>
        <v>#N/A</v>
      </c>
      <c r="BQ134" s="61" t="e">
        <f>IF(COUNTIFS(allFYsTable[Code], SummaryTable[[#This Row],[Code]], allFYsTable[year2], BL$3)=0, NotFound, SUMIFS(allFYsTable[DiffAmount], allFYsTable[Code], SummaryTable[[#This Row],[Code]], allFYsTable[year2], BL$3))</f>
        <v>#N/A</v>
      </c>
      <c r="BR134" s="63" t="e">
        <f>IF(SummaryTable[[#This Row],[OriginalBudget20]]=0, IF(SummaryTable[[#This Row],[DiffAmount20]]=0, ZeroBudgetNoSpending, ZeroBudgetWithSpending), SummaryTable[[#This Row],[DiffAmount20]]/SummaryTable[[#This Row],[OriginalBudget20]])</f>
        <v>#N/A</v>
      </c>
      <c r="BS134" s="62" t="e">
        <f>IF(COUNTIFS(allFYsTable[Code], SummaryTable[[#This Row],[Code]], allFYsTable[year2], BS$3)=0, NotFound, SUMIFS(allFYsTable[OriginalBudget], allFYsTable[Code], SummaryTable[[#This Row],[Code]], allFYsTable[year2], BS$3))</f>
        <v>#N/A</v>
      </c>
      <c r="BT134" s="61" t="e">
        <f>SummaryTable[[#This Row],[OriginalBudget19]]-SummaryTable[[#This Row],[OriginalBudget18]]</f>
        <v>#N/A</v>
      </c>
      <c r="BU134" s="54" t="e">
        <f>SummaryTable[[#This Row],[BudgetIncreaseAmount19]]/SummaryTable[[#This Row],[OriginalBudget18]]</f>
        <v>#N/A</v>
      </c>
      <c r="BV134" s="61" t="e">
        <f>IF(COUNTIFS(allFYsTable[Code], SummaryTable[[#This Row],[Code]], allFYsTable[year2], BS$3)=0, NotFound, SUMIFS(allFYsTable[RevisedBudget], allFYsTable[Code], SummaryTable[[#This Row],[Code]], allFYsTable[year2], BS$3))</f>
        <v>#N/A</v>
      </c>
      <c r="BW134" s="61" t="e">
        <f>IF(COUNTIFS(allFYsTable[Code], SummaryTable[[#This Row],[Code]], allFYsTable[year2], BS$3)=0, NotFound, SUMIFS(allFYsTable[Actual], allFYsTable[Code], SummaryTable[[#This Row],[Code]], allFYsTable[year2], BS$3))</f>
        <v>#N/A</v>
      </c>
      <c r="BX134" s="61" t="e">
        <f>IF(COUNTIFS(allFYsTable[Code], SummaryTable[[#This Row],[Code]], allFYsTable[year2], BS$3)=0, NotFound, SUMIFS(allFYsTable[DiffAmount], allFYsTable[Code], SummaryTable[[#This Row],[Code]], allFYsTable[year2], BS$3))</f>
        <v>#N/A</v>
      </c>
      <c r="BY134" s="63" t="e">
        <f>IF(SummaryTable[[#This Row],[OriginalBudget19]]=0, IF(SummaryTable[[#This Row],[DiffAmount19]]=0, ZeroBudgetNoSpending, ZeroBudgetWithSpending), SummaryTable[[#This Row],[DiffAmount19]]/SummaryTable[[#This Row],[OriginalBudget19]])</f>
        <v>#N/A</v>
      </c>
      <c r="BZ134" s="62" t="e">
        <f>IF(COUNTIFS(allFYsTable[Code], SummaryTable[[#This Row],[Code]], allFYsTable[year2], BZ$3)=0, NotFound, SUMIFS(allFYsTable[OriginalBudget], allFYsTable[Code], SummaryTable[[#This Row],[Code]], allFYsTable[year2], BZ$3))</f>
        <v>#N/A</v>
      </c>
      <c r="CA134" s="61" t="e">
        <f>SummaryTable[[#This Row],[OriginalBudget18]]-SummaryTable[[#This Row],[OriginalBudget17]]</f>
        <v>#N/A</v>
      </c>
      <c r="CB134" s="54" t="e">
        <f>SummaryTable[[#This Row],[BudgetIncreaseAmount18]]/SummaryTable[[#This Row],[OriginalBudget17]]</f>
        <v>#N/A</v>
      </c>
      <c r="CC134" s="61" t="e">
        <f>IF(COUNTIFS(allFYsTable[Code], SummaryTable[[#This Row],[Code]], allFYsTable[year2], BZ$3)=0, NotFound, SUMIFS(allFYsTable[RevisedBudget], allFYsTable[Code], SummaryTable[[#This Row],[Code]], allFYsTable[year2], BZ$3))</f>
        <v>#N/A</v>
      </c>
      <c r="CD134" s="61" t="e">
        <f>IF(COUNTIFS(allFYsTable[Code], SummaryTable[[#This Row],[Code]], allFYsTable[year2], BZ$3)=0, NotFound, SUMIFS(allFYsTable[Actual], allFYsTable[Code], SummaryTable[[#This Row],[Code]], allFYsTable[year2], BZ$3))</f>
        <v>#N/A</v>
      </c>
      <c r="CE134" s="61" t="e">
        <f>IF(COUNTIFS(allFYsTable[Code], SummaryTable[[#This Row],[Code]], allFYsTable[year2], BZ$3)=0, NotFound, SUMIFS(allFYsTable[DiffAmount], allFYsTable[Code], SummaryTable[[#This Row],[Code]], allFYsTable[year2], BZ$3))</f>
        <v>#N/A</v>
      </c>
      <c r="CF134" s="63" t="e">
        <f>IF(SummaryTable[[#This Row],[OriginalBudget18]]=0, IF(SummaryTable[[#This Row],[DiffAmount18]]=0, ZeroBudgetNoSpending, ZeroBudgetWithSpending), SummaryTable[[#This Row],[DiffAmount18]]/SummaryTable[[#This Row],[OriginalBudget18]])</f>
        <v>#N/A</v>
      </c>
      <c r="CG134" s="62" t="e">
        <f>IF(COUNTIFS(allFYsTable[Code], SummaryTable[[#This Row],[Code]], allFYsTable[year2], CG$3)=0, NotFound, SUMIFS(allFYsTable[OriginalBudget], allFYsTable[Code], SummaryTable[[#This Row],[Code]], allFYsTable[year2], CG$3))</f>
        <v>#N/A</v>
      </c>
      <c r="CH134" s="61" t="e">
        <f>SummaryTable[[#This Row],[OriginalBudget17]]-SummaryTable[[#This Row],[OriginalBudget16]]</f>
        <v>#N/A</v>
      </c>
      <c r="CI134" s="54" t="e">
        <f>SummaryTable[[#This Row],[BudgetIncreaseAmount17]]/SummaryTable[[#This Row],[OriginalBudget16]]</f>
        <v>#N/A</v>
      </c>
      <c r="CJ134" s="61" t="e">
        <f>IF(COUNTIFS(allFYsTable[Code], SummaryTable[[#This Row],[Code]], allFYsTable[year2], CG$3)=0, NotFound, SUMIFS(allFYsTable[RevisedBudget], allFYsTable[Code], SummaryTable[[#This Row],[Code]], allFYsTable[year2], CG$3))</f>
        <v>#N/A</v>
      </c>
      <c r="CK134" s="61" t="e">
        <f>IF(COUNTIFS(allFYsTable[Code], SummaryTable[[#This Row],[Code]], allFYsTable[year2], CG$3)=0, NotFound, SUMIFS(allFYsTable[Actual], allFYsTable[Code], SummaryTable[[#This Row],[Code]], allFYsTable[year2], CG$3))</f>
        <v>#N/A</v>
      </c>
      <c r="CL134" s="61" t="e">
        <f>IF(COUNTIFS(allFYsTable[Code], SummaryTable[[#This Row],[Code]], allFYsTable[year2], CG$3)=0, NotFound, SUMIFS(allFYsTable[DiffAmount], allFYsTable[Code], SummaryTable[[#This Row],[Code]], allFYsTable[year2], CG$3))</f>
        <v>#N/A</v>
      </c>
      <c r="CM134" s="63" t="e">
        <f>IF(SummaryTable[[#This Row],[OriginalBudget17]]=0, IF(SummaryTable[[#This Row],[DiffAmount17]]=0, ZeroBudgetNoSpending, ZeroBudgetWithSpending), SummaryTable[[#This Row],[DiffAmount17]]/SummaryTable[[#This Row],[OriginalBudget17]])</f>
        <v>#N/A</v>
      </c>
      <c r="CN134" s="62" t="e">
        <f>IF(COUNTIFS(allFYsTable[Code], SummaryTable[[#This Row],[Code]], allFYsTable[year2], CN$3)=0, NotFound, SUMIFS(allFYsTable[OriginalBudget], allFYsTable[Code], SummaryTable[[#This Row],[Code]], allFYsTable[year2], CN$3))</f>
        <v>#N/A</v>
      </c>
      <c r="CO134" s="61" t="e">
        <f>SummaryTable[[#This Row],[OriginalBudget16]]-SummaryTable[[#This Row],[OriginalBudget15]]</f>
        <v>#N/A</v>
      </c>
      <c r="CP134" s="54" t="e">
        <f>SummaryTable[[#This Row],[BudgetIncreaseAmount16]]/SummaryTable[[#This Row],[OriginalBudget15]]</f>
        <v>#N/A</v>
      </c>
      <c r="CQ134" s="61" t="e">
        <f>IF(COUNTIFS(allFYsTable[Code], SummaryTable[[#This Row],[Code]], allFYsTable[year2], CN$3)=0, NotFound, SUMIFS(allFYsTable[RevisedBudget], allFYsTable[Code], SummaryTable[[#This Row],[Code]], allFYsTable[year2], CN$3))</f>
        <v>#N/A</v>
      </c>
      <c r="CR134" s="61" t="e">
        <f>IF(COUNTIFS(allFYsTable[Code], SummaryTable[[#This Row],[Code]], allFYsTable[year2], CN$3)=0, NotFound, SUMIFS(allFYsTable[Actual], allFYsTable[Code], SummaryTable[[#This Row],[Code]], allFYsTable[year2], CN$3))</f>
        <v>#N/A</v>
      </c>
      <c r="CS134" s="61" t="e">
        <f>IF(COUNTIFS(allFYsTable[Code], SummaryTable[[#This Row],[Code]], allFYsTable[year2], CN$3)=0, NotFound, SUMIFS(allFYsTable[DiffAmount], allFYsTable[Code], SummaryTable[[#This Row],[Code]], allFYsTable[year2], CN$3))</f>
        <v>#N/A</v>
      </c>
      <c r="CT134" s="63" t="e">
        <f>IF(SummaryTable[[#This Row],[OriginalBudget16]]=0, IF(SummaryTable[[#This Row],[DiffAmount16]]=0, ZeroBudgetNoSpending, ZeroBudgetWithSpending), SummaryTable[[#This Row],[DiffAmount16]]/SummaryTable[[#This Row],[OriginalBudget16]])</f>
        <v>#N/A</v>
      </c>
      <c r="CU134" s="62" t="e">
        <f>IF(COUNTIFS(allFYsTable[Code], SummaryTable[[#This Row],[Code]], allFYsTable[year2], CU$3)=0, NotFound, SUMIFS(allFYsTable[OriginalBudget], allFYsTable[Code], SummaryTable[[#This Row],[Code]], allFYsTable[year2], CU$3))</f>
        <v>#N/A</v>
      </c>
      <c r="CV134" s="61" t="e">
        <f>SummaryTable[[#This Row],[OriginalBudget15]]-SummaryTable[[#This Row],[OriginalBudget14]]</f>
        <v>#N/A</v>
      </c>
      <c r="CW134" s="54" t="e">
        <f>SummaryTable[[#This Row],[BudgetIncreaseAmount15]]/SummaryTable[[#This Row],[OriginalBudget14]]</f>
        <v>#N/A</v>
      </c>
      <c r="CX134" s="61" t="e">
        <f>IF(COUNTIFS(allFYsTable[Code], SummaryTable[[#This Row],[Code]], allFYsTable[year2], CU$3)=0, NotFound, SUMIFS(allFYsTable[RevisedBudget], allFYsTable[Code], SummaryTable[[#This Row],[Code]], allFYsTable[year2], CU$3))</f>
        <v>#N/A</v>
      </c>
      <c r="CY134" s="61" t="e">
        <f>IF(COUNTIFS(allFYsTable[Code], SummaryTable[[#This Row],[Code]], allFYsTable[year2], CU$3)=0, NotFound, SUMIFS(allFYsTable[Actual], allFYsTable[Code], SummaryTable[[#This Row],[Code]], allFYsTable[year2], CU$3))</f>
        <v>#N/A</v>
      </c>
      <c r="CZ134" s="61" t="e">
        <f>IF(COUNTIFS(allFYsTable[Code], SummaryTable[[#This Row],[Code]], allFYsTable[year2], CU$3)=0, NotFound, SUMIFS(allFYsTable[DiffAmount], allFYsTable[Code], SummaryTable[[#This Row],[Code]], allFYsTable[year2], CU$3))</f>
        <v>#N/A</v>
      </c>
      <c r="DA134" s="63" t="e">
        <f>IF(SummaryTable[[#This Row],[OriginalBudget15]]=0, IF(SummaryTable[[#This Row],[DiffAmount15]]=0, ZeroBudgetNoSpending, ZeroBudgetWithSpending), SummaryTable[[#This Row],[DiffAmount15]]/SummaryTable[[#This Row],[OriginalBudget15]])</f>
        <v>#N/A</v>
      </c>
      <c r="DB134" s="62" t="e">
        <f>IF(COUNTIFS(allFYsTable[Code], SummaryTable[[#This Row],[Code]], allFYsTable[year2], DB$3)=0, NotFound, SUMIFS(allFYsTable[OriginalBudget], allFYsTable[Code], SummaryTable[[#This Row],[Code]], allFYsTable[year2], DB$3))</f>
        <v>#N/A</v>
      </c>
      <c r="DC134" s="61" t="e">
        <f>SummaryTable[[#This Row],[OriginalBudget14]]-SummaryTable[[#This Row],[OriginalBudget13]]</f>
        <v>#N/A</v>
      </c>
      <c r="DD134" s="54" t="e">
        <f>SummaryTable[[#This Row],[BudgetIncreaseAmount14]]/SummaryTable[[#This Row],[OriginalBudget13]]</f>
        <v>#N/A</v>
      </c>
      <c r="DE134" s="61" t="e">
        <f>IF(COUNTIFS(allFYsTable[Code], SummaryTable[[#This Row],[Code]], allFYsTable[year2], DB$3)=0, NotFound, SUMIFS(allFYsTable[RevisedBudget], allFYsTable[Code], SummaryTable[[#This Row],[Code]], allFYsTable[year2], DB$3))</f>
        <v>#N/A</v>
      </c>
      <c r="DF134" s="61" t="e">
        <f>IF(COUNTIFS(allFYsTable[Code], SummaryTable[[#This Row],[Code]], allFYsTable[year2], DB$3)=0, NotFound, SUMIFS(allFYsTable[Actual], allFYsTable[Code], SummaryTable[[#This Row],[Code]], allFYsTable[year2], DB$3))</f>
        <v>#N/A</v>
      </c>
      <c r="DG134" s="61" t="e">
        <f>IF(COUNTIFS(allFYsTable[Code], SummaryTable[[#This Row],[Code]], allFYsTable[year2], DB$3)=0, NotFound, SUMIFS(allFYsTable[DiffAmount], allFYsTable[Code], SummaryTable[[#This Row],[Code]], allFYsTable[year2], DB$3))</f>
        <v>#N/A</v>
      </c>
      <c r="DH134" s="63" t="e">
        <f>IF(SummaryTable[[#This Row],[OriginalBudget14]]=0, IF(SummaryTable[[#This Row],[DiffAmount14]]=0, ZeroBudgetNoSpending, ZeroBudgetWithSpending), SummaryTable[[#This Row],[DiffAmount14]]/SummaryTable[[#This Row],[OriginalBudget14]])</f>
        <v>#N/A</v>
      </c>
      <c r="DI134" s="62" t="e">
        <f>IF(COUNTIFS(allFYsTable[Code], SummaryTable[[#This Row],[Code]], allFYsTable[year2], DI$3)=0, NotFound, SUMIFS(allFYsTable[OriginalBudget], allFYsTable[Code], SummaryTable[[#This Row],[Code]], allFYsTable[year2], DI$3))</f>
        <v>#N/A</v>
      </c>
      <c r="DJ134" s="61" t="e">
        <f>SummaryTable[[#This Row],[OriginalBudget13]]-SummaryTable[[#This Row],[OriginalBudget12]]</f>
        <v>#N/A</v>
      </c>
      <c r="DK134" s="54" t="e">
        <f>SummaryTable[[#This Row],[BudgetIncreaseAmount13]]/SummaryTable[[#This Row],[OriginalBudget12]]</f>
        <v>#N/A</v>
      </c>
      <c r="DL134" s="61" t="e">
        <f>IF(COUNTIFS(allFYsTable[Code], SummaryTable[[#This Row],[Code]], allFYsTable[year2], DI$3)=0, NotFound, SUMIFS(allFYsTable[RevisedBudget], allFYsTable[Code], SummaryTable[[#This Row],[Code]], allFYsTable[year2], DI$3))</f>
        <v>#N/A</v>
      </c>
      <c r="DM134" s="61" t="e">
        <f>IF(COUNTIFS(allFYsTable[Code], SummaryTable[[#This Row],[Code]], allFYsTable[year2], DI$3)=0, NotFound, SUMIFS(allFYsTable[Actual], allFYsTable[Code], SummaryTable[[#This Row],[Code]], allFYsTable[year2], DI$3))</f>
        <v>#N/A</v>
      </c>
      <c r="DN134" s="61" t="e">
        <f>IF(COUNTIFS(allFYsTable[Code], SummaryTable[[#This Row],[Code]], allFYsTable[year2], DI$3)=0, NotFound, SUMIFS(allFYsTable[DiffAmount], allFYsTable[Code], SummaryTable[[#This Row],[Code]], allFYsTable[year2], DI$3))</f>
        <v>#N/A</v>
      </c>
      <c r="DO134" s="63" t="e">
        <f>IF(SummaryTable[[#This Row],[OriginalBudget13]]=0, IF(SummaryTable[[#This Row],[DiffAmount13]]=0, ZeroBudgetNoSpending, ZeroBudgetWithSpending), SummaryTable[[#This Row],[DiffAmount13]]/SummaryTable[[#This Row],[OriginalBudget13]])</f>
        <v>#N/A</v>
      </c>
      <c r="DP134" s="62" t="e">
        <f>IF(COUNTIFS(allFYsTable[Code], SummaryTable[[#This Row],[Code]], allFYsTable[year2], DP$3)=0, NotFound, SUMIFS(allFYsTable[OriginalBudget], allFYsTable[Code], SummaryTable[[#This Row],[Code]], allFYsTable[year2], DP$3))</f>
        <v>#N/A</v>
      </c>
      <c r="DQ134" s="61" t="e">
        <f>SummaryTable[[#This Row],[OriginalBudget12]]-SummaryTable[[#This Row],[OriginalBudget11]]</f>
        <v>#N/A</v>
      </c>
      <c r="DR134" s="54" t="e">
        <f>SummaryTable[[#This Row],[BudgetIncreaseAmount12]]/SummaryTable[[#This Row],[OriginalBudget11]]</f>
        <v>#N/A</v>
      </c>
      <c r="DS134" s="61" t="e">
        <f>IF(COUNTIFS(allFYsTable[Code], SummaryTable[[#This Row],[Code]], allFYsTable[year2], DP$3)=0, NotFound, SUMIFS(allFYsTable[RevisedBudget], allFYsTable[Code], SummaryTable[[#This Row],[Code]], allFYsTable[year2], DP$3))</f>
        <v>#N/A</v>
      </c>
      <c r="DT134" s="61" t="e">
        <f>IF(COUNTIFS(allFYsTable[Code], SummaryTable[[#This Row],[Code]], allFYsTable[year2], DP$3)=0, NotFound, SUMIFS(allFYsTable[Actual], allFYsTable[Code], SummaryTable[[#This Row],[Code]], allFYsTable[year2], DP$3))</f>
        <v>#N/A</v>
      </c>
      <c r="DU134" s="61" t="e">
        <f>IF(COUNTIFS(allFYsTable[Code], SummaryTable[[#This Row],[Code]], allFYsTable[year2], DP$3)=0, NotFound, SUMIFS(allFYsTable[DiffAmount], allFYsTable[Code], SummaryTable[[#This Row],[Code]], allFYsTable[year2], DP$3))</f>
        <v>#N/A</v>
      </c>
      <c r="DV134" s="63" t="e">
        <f>IF(SummaryTable[[#This Row],[OriginalBudget12]]=0, IF(SummaryTable[[#This Row],[DiffAmount12]]=0, ZeroBudgetNoSpending, ZeroBudgetWithSpending), SummaryTable[[#This Row],[DiffAmount12]]/SummaryTable[[#This Row],[OriginalBudget12]])</f>
        <v>#N/A</v>
      </c>
      <c r="DW134" s="62" t="e">
        <f>IF(COUNTIFS(allFYsTable[Code], SummaryTable[[#This Row],[Code]], allFYsTable[year2], DW$3)=0, NotFound, SUMIFS(allFYsTable[OriginalBudget], allFYsTable[Code], SummaryTable[[#This Row],[Code]], allFYsTable[year2], DW$3))</f>
        <v>#N/A</v>
      </c>
      <c r="DX134" s="61" t="e">
        <f>SummaryTable[[#This Row],[OriginalBudget11]]-SummaryTable[[#This Row],[OriginalBudget10]]</f>
        <v>#N/A</v>
      </c>
      <c r="DY134" s="54" t="e">
        <f>SummaryTable[[#This Row],[BudgetIncreaseAmount11]]/SummaryTable[[#This Row],[OriginalBudget10]]</f>
        <v>#N/A</v>
      </c>
      <c r="DZ134" s="61" t="e">
        <f>IF(COUNTIFS(allFYsTable[Code], SummaryTable[[#This Row],[Code]], allFYsTable[year2], DW$3)=0, NotFound, SUMIFS(allFYsTable[RevisedBudget], allFYsTable[Code], SummaryTable[[#This Row],[Code]], allFYsTable[year2], DW$3))</f>
        <v>#N/A</v>
      </c>
      <c r="EA134" s="61" t="e">
        <f>IF(COUNTIFS(allFYsTable[Code], SummaryTable[[#This Row],[Code]], allFYsTable[year2], DW$3)=0, NotFound, SUMIFS(allFYsTable[Actual], allFYsTable[Code], SummaryTable[[#This Row],[Code]], allFYsTable[year2], DW$3))</f>
        <v>#N/A</v>
      </c>
      <c r="EB134" s="61" t="e">
        <f>IF(COUNTIFS(allFYsTable[Code], SummaryTable[[#This Row],[Code]], allFYsTable[year2], DW$3)=0, NotFound, SUMIFS(allFYsTable[DiffAmount], allFYsTable[Code], SummaryTable[[#This Row],[Code]], allFYsTable[year2], DW$3))</f>
        <v>#N/A</v>
      </c>
      <c r="EC134" s="63" t="e">
        <f>IF(SummaryTable[[#This Row],[OriginalBudget11]]=0, IF(SummaryTable[[#This Row],[DiffAmount11]]=0, ZeroBudgetNoSpending, ZeroBudgetWithSpending), SummaryTable[[#This Row],[DiffAmount11]]/SummaryTable[[#This Row],[OriginalBudget11]])</f>
        <v>#N/A</v>
      </c>
      <c r="ED134" s="62" t="e">
        <f>IF(COUNTIFS(allFYsTable[Code], SummaryTable[[#This Row],[Code]], allFYsTable[year2], ED$3)=0, NotFound, SUMIFS(allFYsTable[OriginalBudget], allFYsTable[Code], SummaryTable[[#This Row],[Code]], allFYsTable[year2], ED$3))</f>
        <v>#N/A</v>
      </c>
      <c r="EE134" s="61" t="e">
        <f>SummaryTable[[#This Row],[OriginalBudget10]]-SummaryTable[[#This Row],[OriginalBudget09]]</f>
        <v>#N/A</v>
      </c>
      <c r="EF134" s="54" t="e">
        <f>SummaryTable[[#This Row],[BudgetIncreaseAmount10]]/SummaryTable[[#This Row],[OriginalBudget09]]</f>
        <v>#N/A</v>
      </c>
      <c r="EG134" s="61" t="e">
        <f>IF(COUNTIFS(allFYsTable[Code], SummaryTable[[#This Row],[Code]], allFYsTable[year2], ED$3)=0, NotFound, SUMIFS(allFYsTable[RevisedBudget], allFYsTable[Code], SummaryTable[[#This Row],[Code]], allFYsTable[year2], ED$3))</f>
        <v>#N/A</v>
      </c>
      <c r="EH134" s="61" t="e">
        <f>IF(COUNTIFS(allFYsTable[Code], SummaryTable[[#This Row],[Code]], allFYsTable[year2], ED$3)=0, NotFound, SUMIFS(allFYsTable[Actual], allFYsTable[Code], SummaryTable[[#This Row],[Code]], allFYsTable[year2], ED$3))</f>
        <v>#N/A</v>
      </c>
      <c r="EI134" s="61" t="e">
        <f>IF(COUNTIFS(allFYsTable[Code], SummaryTable[[#This Row],[Code]], allFYsTable[year2], ED$3)=0, NotFound, SUMIFS(allFYsTable[DiffAmount], allFYsTable[Code], SummaryTable[[#This Row],[Code]], allFYsTable[year2], ED$3))</f>
        <v>#N/A</v>
      </c>
      <c r="EJ134" s="63" t="e">
        <f>IF(SummaryTable[[#This Row],[OriginalBudget10]]=0, IF(SummaryTable[[#This Row],[DiffAmount10]]=0, ZeroBudgetNoSpending, ZeroBudgetWithSpending), SummaryTable[[#This Row],[DiffAmount10]]/SummaryTable[[#This Row],[OriginalBudget10]])</f>
        <v>#N/A</v>
      </c>
      <c r="EK134" s="62" t="e">
        <f>IF(COUNTIFS(allFYsTable[Code], SummaryTable[[#This Row],[Code]], allFYsTable[year2], EK$3)=0, NotFound, SUMIFS(allFYsTable[OriginalBudget], allFYsTable[Code], SummaryTable[[#This Row],[Code]], allFYsTable[year2], EK$3))</f>
        <v>#N/A</v>
      </c>
      <c r="EL134" s="61" t="e">
        <f>SummaryTable[[#This Row],[OriginalBudget09]]-SummaryTable[[#This Row],[OriginalBudget08]]</f>
        <v>#N/A</v>
      </c>
      <c r="EM134" s="54" t="e">
        <f>SummaryTable[[#This Row],[BudgetIncreaseAmount09]]/SummaryTable[[#This Row],[OriginalBudget08]]</f>
        <v>#N/A</v>
      </c>
      <c r="EN134" s="61" t="e">
        <f>IF(COUNTIFS(allFYsTable[Code], SummaryTable[[#This Row],[Code]], allFYsTable[year2], EK$3)=0, NotFound, SUMIFS(allFYsTable[RevisedBudget], allFYsTable[Code], SummaryTable[[#This Row],[Code]], allFYsTable[year2], EK$3))</f>
        <v>#N/A</v>
      </c>
      <c r="EO134" s="61" t="e">
        <f>IF(COUNTIFS(allFYsTable[Code], SummaryTable[[#This Row],[Code]], allFYsTable[year2], EK$3)=0, NotFound, SUMIFS(allFYsTable[Actual], allFYsTable[Code], SummaryTable[[#This Row],[Code]], allFYsTable[year2], EK$3))</f>
        <v>#N/A</v>
      </c>
      <c r="EP134" s="61" t="e">
        <f>IF(COUNTIFS(allFYsTable[Code], SummaryTable[[#This Row],[Code]], allFYsTable[year2], EK$3)=0, NotFound, SUMIFS(allFYsTable[DiffAmount], allFYsTable[Code], SummaryTable[[#This Row],[Code]], allFYsTable[year2], EK$3))</f>
        <v>#N/A</v>
      </c>
      <c r="EQ134" s="63" t="e">
        <f>IF(SummaryTable[[#This Row],[OriginalBudget09]]=0, IF(SummaryTable[[#This Row],[DiffAmount09]]=0, ZeroBudgetNoSpending, ZeroBudgetWithSpending), SummaryTable[[#This Row],[DiffAmount09]]/SummaryTable[[#This Row],[OriginalBudget09]])</f>
        <v>#N/A</v>
      </c>
      <c r="ER134" s="62" t="e">
        <f>IF(COUNTIFS(allFYsTable[Code], SummaryTable[[#This Row],[Code]], allFYsTable[year2], ER$3)=0, NotFound, SUMIFS(allFYsTable[OriginalBudget], allFYsTable[Code], SummaryTable[[#This Row],[Code]], allFYsTable[year2], ER$3))</f>
        <v>#N/A</v>
      </c>
      <c r="ES134" s="61" t="e">
        <f>SummaryTable[[#This Row],[OriginalBudget08]]-SummaryTable[[#This Row],[OriginalBudget07]]</f>
        <v>#N/A</v>
      </c>
      <c r="ET134" s="54" t="e">
        <f>SummaryTable[[#This Row],[BudgetIncreaseAmount08]]/SummaryTable[[#This Row],[OriginalBudget07]]</f>
        <v>#N/A</v>
      </c>
      <c r="EU134" s="61" t="e">
        <f>IF(COUNTIFS(allFYsTable[Code], SummaryTable[[#This Row],[Code]], allFYsTable[year2], ER$3)=0, NotFound, SUMIFS(allFYsTable[RevisedBudget], allFYsTable[Code], SummaryTable[[#This Row],[Code]], allFYsTable[year2], ER$3))</f>
        <v>#N/A</v>
      </c>
      <c r="EV134" s="61" t="e">
        <f>IF(COUNTIFS(allFYsTable[Code], SummaryTable[[#This Row],[Code]], allFYsTable[year2], ER$3)=0, NotFound, SUMIFS(allFYsTable[Actual], allFYsTable[Code], SummaryTable[[#This Row],[Code]], allFYsTable[year2], ER$3))</f>
        <v>#N/A</v>
      </c>
      <c r="EW134" s="61" t="e">
        <f>IF(COUNTIFS(allFYsTable[Code], SummaryTable[[#This Row],[Code]], allFYsTable[year2], ER$3)=0, NotFound, SUMIFS(allFYsTable[DiffAmount], allFYsTable[Code], SummaryTable[[#This Row],[Code]], allFYsTable[year2], ER$3))</f>
        <v>#N/A</v>
      </c>
      <c r="EX134" s="63" t="e">
        <f>IF(SummaryTable[[#This Row],[OriginalBudget08]]=0, IF(SummaryTable[[#This Row],[DiffAmount08]]=0, ZeroBudgetNoSpending, ZeroBudgetWithSpending), SummaryTable[[#This Row],[DiffAmount08]]/SummaryTable[[#This Row],[OriginalBudget08]])</f>
        <v>#N/A</v>
      </c>
      <c r="EY134" s="62" t="e">
        <f>IF(COUNTIFS(allFYsTable[Code], SummaryTable[[#This Row],[Code]], allFYsTable[year2], EY$3)=0, NotFound, SUMIFS(allFYsTable[OriginalBudget], allFYsTable[Code], SummaryTable[[#This Row],[Code]], allFYsTable[year2], EY$3))</f>
        <v>#N/A</v>
      </c>
      <c r="EZ134" s="61" t="e">
        <f>SummaryTable[[#This Row],[OriginalBudget07]]-SummaryTable[[#This Row],[OriginalBudget06]]</f>
        <v>#N/A</v>
      </c>
      <c r="FA134" s="54" t="e">
        <f>SummaryTable[[#This Row],[BudgetIncreaseAmount07]]/SummaryTable[[#This Row],[OriginalBudget06]]</f>
        <v>#N/A</v>
      </c>
      <c r="FB134" s="61" t="e">
        <f>IF(COUNTIFS(allFYsTable[Code], SummaryTable[[#This Row],[Code]], allFYsTable[year2], EY$3)=0, NotFound, SUMIFS(allFYsTable[RevisedBudget], allFYsTable[Code], SummaryTable[[#This Row],[Code]], allFYsTable[year2], EY$3))</f>
        <v>#N/A</v>
      </c>
      <c r="FC134" s="61" t="e">
        <f>IF(COUNTIFS(allFYsTable[Code], SummaryTable[[#This Row],[Code]], allFYsTable[year2], EY$3)=0, NotFound, SUMIFS(allFYsTable[Actual], allFYsTable[Code], SummaryTable[[#This Row],[Code]], allFYsTable[year2], EY$3))</f>
        <v>#N/A</v>
      </c>
      <c r="FD134" s="61" t="e">
        <f>IF(COUNTIFS(allFYsTable[Code], SummaryTable[[#This Row],[Code]], allFYsTable[year2], EY$3)=0, NotFound, SUMIFS(allFYsTable[DiffAmount], allFYsTable[Code], SummaryTable[[#This Row],[Code]], allFYsTable[year2], EY$3))</f>
        <v>#N/A</v>
      </c>
      <c r="FE134" s="63" t="e">
        <f>IF(SummaryTable[[#This Row],[OriginalBudget07]]=0, IF(SummaryTable[[#This Row],[DiffAmount07]]=0, ZeroBudgetNoSpending, ZeroBudgetWithSpending), SummaryTable[[#This Row],[DiffAmount07]]/SummaryTable[[#This Row],[OriginalBudget07]])</f>
        <v>#N/A</v>
      </c>
      <c r="FF134" s="62" t="e">
        <f>IF(COUNTIFS(allFYsTable[Code], SummaryTable[[#This Row],[Code]], allFYsTable[year2], FF$3)=0, NotFound, SUMIFS(allFYsTable[OriginalBudget], allFYsTable[Code], SummaryTable[[#This Row],[Code]], allFYsTable[year2], FF$3))</f>
        <v>#N/A</v>
      </c>
      <c r="FI134" s="61" t="e">
        <f>IF(COUNTIFS(allFYsTable[Code], SummaryTable[[#This Row],[Code]], allFYsTable[year2], FF$3)=0, NotFound, SUMIFS(allFYsTable[RevisedBudget], allFYsTable[Code], SummaryTable[[#This Row],[Code]], allFYsTable[year2], FF$3))</f>
        <v>#N/A</v>
      </c>
      <c r="FJ134" s="61" t="e">
        <f>IF(COUNTIFS(allFYsTable[Code], SummaryTable[[#This Row],[Code]], allFYsTable[year2], FF$3)=0, NotFound, SUMIFS(allFYsTable[Actual], allFYsTable[Code], SummaryTable[[#This Row],[Code]], allFYsTable[year2], FF$3))</f>
        <v>#N/A</v>
      </c>
      <c r="FK134" s="61" t="e">
        <f>IF(COUNTIFS(allFYsTable[Code], SummaryTable[[#This Row],[Code]], allFYsTable[year2], FF$3)=0, NotFound, SUMIFS(allFYsTable[DiffAmount], allFYsTable[Code], SummaryTable[[#This Row],[Code]], allFYsTable[year2], FF$3))</f>
        <v>#N/A</v>
      </c>
      <c r="FL134" s="63" t="e">
        <f>IF(SummaryTable[[#This Row],[OriginalBudget06]]=0, IF(SummaryTable[[#This Row],[DiffAmount06]]=0, ZeroBudgetNoSpending, ZeroBudgetWithSpending), SummaryTable[[#This Row],[DiffAmount06]]/SummaryTable[[#This Row],[OriginalBudget06]])</f>
        <v>#N/A</v>
      </c>
    </row>
    <row r="135" spans="1:168" x14ac:dyDescent="0.45">
      <c r="A135" t="s">
        <v>847</v>
      </c>
      <c r="B135">
        <f>_xlfn.MAXIFS(allFYsTable[year2], allFYsTable[Code], SummaryTable[[#This Row],[Code]])</f>
        <v>2024</v>
      </c>
      <c r="C135" t="str">
        <f>_xlfn.XLOOKUP(SummaryTable[[#This Row],[Code]], NameCodingTable[Code], NameCodingTable[Most Recent Category per allFYs])</f>
        <v>Other</v>
      </c>
      <c r="D135" t="str">
        <f>_xlfn.XLOOKUP(SummaryTable[[#This Row],[Code]], NameCodingTable[Code], NameCodingTable[Unit Display Name])</f>
        <v>Emergency and Contingency Reserve Funds</v>
      </c>
      <c r="E135" t="str">
        <f>_xlfn.XLOOKUP(SummaryTable[[#This Row],[Code]], NameCodingTable[Code], NameCodingTable[Type])</f>
        <v>xother</v>
      </c>
      <c r="F13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9</v>
      </c>
      <c r="G13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35" s="54">
        <f>SummaryTable[[#This Row],['# Over]]/SummaryTable[[#This Row],[Count]]</f>
        <v>0.1111111111111111</v>
      </c>
      <c r="I13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4</v>
      </c>
      <c r="J135" s="54">
        <f>SummaryTable[[#This Row],['# Under]]/SummaryTable[[#This Row],[Count]]</f>
        <v>0.44444444444444442</v>
      </c>
      <c r="K13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4</v>
      </c>
      <c r="L135" s="54">
        <f>SummaryTable[[#This Row],['# Equal]]/SummaryTable[[#This Row],[Count]]</f>
        <v>0.44444444444444442</v>
      </c>
      <c r="M135" s="61">
        <f>SUMIFS(allFYsTable[OriginalBudget],allFYsTable[Code],SummaryTable[[#This Row],[Code]])/SummaryTable[[#This Row],[Count]]</f>
        <v>1361.1111111111111</v>
      </c>
      <c r="N135" s="61">
        <f>SUMIFS(allFYsTable[Actual],allFYsTable[Code],SummaryTable[[#This Row],[Code]])/SummaryTable[[#This Row],[Count]]</f>
        <v>1598.6666666666667</v>
      </c>
      <c r="O135" s="61">
        <f>SummaryTable[[#This Row],[AvgActAmt]]-SummaryTable[[#This Row],[AvgBudAmt]]</f>
        <v>237.55555555555566</v>
      </c>
      <c r="P135" s="54">
        <f>IF(SummaryTable[[#This Row],[AvgBudAmt]]=0, IF(SummaryTable[[#This Row],[AvgDiff'#]]=0, 0, NamedFields!$C$3), SummaryTable[[#This Row],[AvgDiff'#]]/SummaryTable[[#This Row],[AvgBudAmt]])</f>
        <v>0.17453061224489805</v>
      </c>
      <c r="Q135" s="61">
        <f>IFERROR(SUMIFS(allFYsTable[OriginalBudget],allFYsTable[Code],SummaryTable[[#This Row],[Code]],allFYsTable[DiffAmount], "&gt;0")/SummaryTable[[#This Row],['# Over]], 0)</f>
        <v>0</v>
      </c>
      <c r="R135" s="61">
        <f>IFERROR(SUMIFS(allFYsTable[Actual],allFYsTable[Code],SummaryTable[[#This Row],[Code]],allFYsTable[DiffAmount], "&gt;0")/SummaryTable[[#This Row],['# Over]], 0)</f>
        <v>14388</v>
      </c>
      <c r="S135" s="61">
        <f>SummaryTable[[#This Row],[OverAvgAct]]-SummaryTable[[#This Row],[OverAvgBud]]</f>
        <v>14388</v>
      </c>
      <c r="T135" s="54">
        <f>IF(SummaryTable[[#This Row],[OverAvgBud]]=0, IF(SummaryTable[[#This Row],[OverAvgDiff'#]]=0, ZeroBudgetNoSpending, ZeroBudgetWithSpending), SummaryTable[[#This Row],[OverAvgDiff'#]]/SummaryTable[[#This Row],[OverAvgBud]])</f>
        <v>99.99</v>
      </c>
      <c r="U135" s="61">
        <f>IFERROR(SUMIFS(allFYsTable[OriginalBudget],allFYsTable[Code],SummaryTable[[#This Row],[Code]],allFYsTable[DiffAmount], "&lt;0")/SummaryTable[[#This Row],['# Under]], 0)</f>
        <v>3062.5</v>
      </c>
      <c r="V135" s="61">
        <f>IFERROR( SUMIFS(allFYsTable[Actual],allFYsTable[Code],SummaryTable[[#This Row],[Code]],allFYsTable[DiffAmount], "&lt;0")/SummaryTable[[#This Row],['# Under]], 0)</f>
        <v>0</v>
      </c>
      <c r="W135" s="61">
        <f>SummaryTable[[#This Row],[UnderAvgAct]]-SummaryTable[[#This Row],[UnderAvgBud]]</f>
        <v>-3062.5</v>
      </c>
      <c r="X135" s="54">
        <f>IF(SummaryTable[[#This Row],[UnderAvgBud]]=0, IF(SummaryTable[[#This Row],[UnderAvgDiff'#]]=0, ZeroBudgetNoSpending, NamedFields!$C$3), SummaryTable[[#This Row],[UnderAvgDiff'#]]/SummaryTable[[#This Row],[UnderAvgBud]])</f>
        <v>-1</v>
      </c>
      <c r="Y13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3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5" s="54">
        <f>IF(SummaryTable[[#This Row],[IncreaseYears]]=0, ZeroBudgetNoSpending, SummaryTable[[#This Row],[OSinIncreaseYear'#]]/SummaryTable[[#This Row],[IncreaseYears]])</f>
        <v>0</v>
      </c>
      <c r="AB135" s="58" t="str">
        <f>SummaryTable[[#This Row],[Code]]</f>
        <v>SV0</v>
      </c>
      <c r="AC135" s="62" t="e">
        <f>IF(COUNTIFS(allFYsTable[Code], SummaryTable[[#This Row],[Code]], allFYsTable[year2], AC$3)=0, NotFound, SUMIFS(allFYsTable[OriginalBudget], allFYsTable[Code], SummaryTable[[#This Row],[Code]], allFYsTable[year2], AC$3))</f>
        <v>#N/A</v>
      </c>
      <c r="AD135" s="61" t="e">
        <f>SummaryTable[[#This Row],[OriginalBudget25]]-SummaryTable[[#This Row],[OriginalBudget24]]</f>
        <v>#N/A</v>
      </c>
      <c r="AE135" s="54" t="e">
        <f>SummaryTable[[#This Row],[BudgetIncreaseAmount25]]/SummaryTable[[#This Row],[OriginalBudget24]]</f>
        <v>#N/A</v>
      </c>
      <c r="AF135" s="61" t="e">
        <f>IF(COUNTIFS(allFYsTable[Code], SummaryTable[[#This Row],[Code]], allFYsTable[year2], AC$3)=0, NotFound, SUMIFS(allFYsTable[RevisedBudget], allFYsTable[Code], SummaryTable[[#This Row],[Code]], allFYsTable[year2], AC$3))</f>
        <v>#N/A</v>
      </c>
      <c r="AG135" s="61" t="e">
        <f>IF(COUNTIFS(allFYsTable[Code], SummaryTable[[#This Row],[Code]], allFYsTable[year2], AC$3)=0, NotFound, SUMIFS(allFYsTable[Actual], allFYsTable[Code], SummaryTable[[#This Row],[Code]], allFYsTable[year2], AC$3))</f>
        <v>#N/A</v>
      </c>
      <c r="AH135" s="61" t="e">
        <f>IF(COUNTIFS(allFYsTable[Code], SummaryTable[[#This Row],[Code]], allFYsTable[year2], AC$3)=0, NotFound, SUMIFS(allFYsTable[DiffAmount], allFYsTable[Code], SummaryTable[[#This Row],[Code]], allFYsTable[year2], AC$3))</f>
        <v>#N/A</v>
      </c>
      <c r="AI135" s="63" t="e">
        <f>IF(SummaryTable[[#This Row],[OriginalBudget25]]=0, IF(SummaryTable[[#This Row],[DiffAmount25]]=0, ZeroBudgetNoSpending, ZeroBudgetWithSpending), SummaryTable[[#This Row],[DiffAmount25]]/SummaryTable[[#This Row],[OriginalBudget25]])</f>
        <v>#N/A</v>
      </c>
      <c r="AJ135" s="62">
        <f>IF(COUNTIFS(allFYsTable[Code], SummaryTable[[#This Row],[Code]], allFYsTable[year2], AJ$3)=0, NotFound, SUMIFS(allFYsTable[OriginalBudget], allFYsTable[Code], SummaryTable[[#This Row],[Code]], allFYsTable[year2], AJ$3))</f>
        <v>0</v>
      </c>
      <c r="AK135" s="61" t="e">
        <f>SummaryTable[[#This Row],[OriginalBudget24]]-SummaryTable[[#This Row],[OriginalBudget23]]</f>
        <v>#N/A</v>
      </c>
      <c r="AL135" s="54" t="e">
        <f>SummaryTable[[#This Row],[BudgetIncreaseAmount24]]/SummaryTable[[#This Row],[OriginalBudget23]]</f>
        <v>#N/A</v>
      </c>
      <c r="AM135" s="61">
        <f>IF(COUNTIFS(allFYsTable[Code], SummaryTable[[#This Row],[Code]], allFYsTable[year2], AK$3)=0, NotFound, SUMIFS(allFYsTable[RevisedBudget], allFYsTable[Code], SummaryTable[[#This Row],[Code]], allFYsTable[year2], AJ$3))</f>
        <v>14388</v>
      </c>
      <c r="AN135" s="61">
        <f>IF(COUNTIFS(allFYsTable[Code], SummaryTable[[#This Row],[Code]], allFYsTable[year2], AJ$3)=0, NotFound, SUMIFS(allFYsTable[Actual], allFYsTable[Code], SummaryTable[[#This Row],[Code]], allFYsTable[year2], AJ$3))</f>
        <v>14388</v>
      </c>
      <c r="AO135" s="61">
        <f>IF(COUNTIFS(allFYsTable[Code], SummaryTable[[#This Row],[Code]], allFYsTable[year2], AJ$3)=0, NotFound, SUMIFS(allFYsTable[DiffAmount], allFYsTable[Code], SummaryTable[[#This Row],[Code]], allFYsTable[year2], AJ$3))</f>
        <v>14388</v>
      </c>
      <c r="AP135" s="63">
        <f>IF(SummaryTable[[#This Row],[OriginalBudget24]]=0, IF(SummaryTable[[#This Row],[DiffAmount24]]=0, ZeroBudgetNoSpending, ZeroBudgetWithSpending), SummaryTable[[#This Row],[DiffAmount24]]/SummaryTable[[#This Row],[OriginalBudget24]])</f>
        <v>99.99</v>
      </c>
      <c r="AQ135" s="62" t="e">
        <f>IF(COUNTIFS(allFYsTable[Code], SummaryTable[[#This Row],[Code]], allFYsTable[year2], AQ$3)=0, NotFound, SUMIFS(allFYsTable[OriginalBudget], allFYsTable[Code], SummaryTable[[#This Row],[Code]], allFYsTable[year2], AQ$3))</f>
        <v>#N/A</v>
      </c>
      <c r="AR135" s="61" t="e">
        <f>SummaryTable[[#This Row],[OriginalBudget23]]-SummaryTable[[#This Row],[OriginalBudget22]]</f>
        <v>#N/A</v>
      </c>
      <c r="AS135" s="54" t="e">
        <f>SummaryTable[[#This Row],[BudgetIncreaseAmount23]]/SummaryTable[[#This Row],[OriginalBudget22]]</f>
        <v>#N/A</v>
      </c>
      <c r="AT135" s="61" t="e">
        <f>IF(COUNTIFS(allFYsTable[Code], SummaryTable[[#This Row],[Code]], allFYsTable[year2], AQ$3)=0, NotFound, SUMIFS(allFYsTable[RevisedBudget], allFYsTable[Code], SummaryTable[[#This Row],[Code]], allFYsTable[year2], AQ$3))</f>
        <v>#N/A</v>
      </c>
      <c r="AU135" s="61" t="e">
        <f>IF(COUNTIFS(allFYsTable[Code], SummaryTable[[#This Row],[Code]], allFYsTable[year2], AQ$3)=0, NotFound, SUMIFS(allFYsTable[Actual], allFYsTable[Code], SummaryTable[[#This Row],[Code]], allFYsTable[year2], AQ$3))</f>
        <v>#N/A</v>
      </c>
      <c r="AV135" s="61" t="e">
        <f>IF(COUNTIFS(allFYsTable[Code], SummaryTable[[#This Row],[Code]], allFYsTable[year2], AQ$3)=0, NotFound, SUMIFS(allFYsTable[DiffAmount], allFYsTable[Code], SummaryTable[[#This Row],[Code]], allFYsTable[year2], AQ$3))</f>
        <v>#N/A</v>
      </c>
      <c r="AW135" s="63" t="e">
        <f>IF(SummaryTable[[#This Row],[OriginalBudget23]]=0, IF(SummaryTable[[#This Row],[DiffAmount23]]=0, ZeroBudgetNoSpending, ZeroBudgetWithSpending), SummaryTable[[#This Row],[DiffAmount23]]/SummaryTable[[#This Row],[OriginalBudget23]])</f>
        <v>#N/A</v>
      </c>
      <c r="AX135" s="62" t="e">
        <f>IF(COUNTIFS(allFYsTable[Code], SummaryTable[[#This Row],[Code]], allFYsTable[year2], AX$3)=0, NotFound, SUMIFS(allFYsTable[OriginalBudget], allFYsTable[Code], SummaryTable[[#This Row],[Code]], allFYsTable[year2], AX$3))</f>
        <v>#N/A</v>
      </c>
      <c r="AY135" s="61" t="e">
        <f>SummaryTable[[#This Row],[OriginalBudget22]]-SummaryTable[[#This Row],[OriginalBudget21]]</f>
        <v>#N/A</v>
      </c>
      <c r="AZ135" s="54" t="e">
        <f>SummaryTable[[#This Row],[BudgetIncreaseAmount22]]/SummaryTable[[#This Row],[OriginalBudget21]]</f>
        <v>#N/A</v>
      </c>
      <c r="BA135" s="61" t="e">
        <f>IF(COUNTIFS(allFYsTable[Code], SummaryTable[[#This Row],[Code]], allFYsTable[year2], AX$3)=0, NotFound, SUMIFS(allFYsTable[RevisedBudget], allFYsTable[Code], SummaryTable[[#This Row],[Code]], allFYsTable[year2], AX$3))</f>
        <v>#N/A</v>
      </c>
      <c r="BB135" s="61" t="e">
        <f>IF(COUNTIFS(allFYsTable[Code], SummaryTable[[#This Row],[Code]], allFYsTable[year2], AX$3)=0, NotFound, SUMIFS(allFYsTable[Actual], allFYsTable[Code], SummaryTable[[#This Row],[Code]], allFYsTable[year2], AX$3))</f>
        <v>#N/A</v>
      </c>
      <c r="BC135" s="61" t="e">
        <f>IF(COUNTIFS(allFYsTable[Code], SummaryTable[[#This Row],[Code]], allFYsTable[year2], AX$3)=0, NotFound, SUMIFS(allFYsTable[DiffAmount], allFYsTable[Code], SummaryTable[[#This Row],[Code]], allFYsTable[year2], AX$3))</f>
        <v>#N/A</v>
      </c>
      <c r="BD135" s="63" t="e">
        <f>IF(SummaryTable[[#This Row],[OriginalBudget22]]=0, IF(SummaryTable[[#This Row],[DiffAmount22]]=0, ZeroBudgetNoSpending, ZeroBudgetWithSpending), SummaryTable[[#This Row],[DiffAmount22]]/SummaryTable[[#This Row],[OriginalBudget22]])</f>
        <v>#N/A</v>
      </c>
      <c r="BE135" s="62" t="e">
        <f>IF(COUNTIFS(allFYsTable[Code], SummaryTable[[#This Row],[Code]], allFYsTable[year2], BE$3)=0, NotFound, SUMIFS(allFYsTable[OriginalBudget], allFYsTable[Code], SummaryTable[[#This Row],[Code]], allFYsTable[year2], BE$3))</f>
        <v>#N/A</v>
      </c>
      <c r="BF135" s="61" t="e">
        <f>SummaryTable[[#This Row],[OriginalBudget21]]-SummaryTable[[#This Row],[OriginalBudget20]]</f>
        <v>#N/A</v>
      </c>
      <c r="BG135" s="54" t="e">
        <f>SummaryTable[[#This Row],[BudgetIncreaseAmount21]]/SummaryTable[[#This Row],[OriginalBudget20]]</f>
        <v>#N/A</v>
      </c>
      <c r="BH135" s="61" t="e">
        <f>IF(COUNTIFS(allFYsTable[Code], SummaryTable[[#This Row],[Code]], allFYsTable[year2], BE$3)=0, NotFound, SUMIFS(allFYsTable[RevisedBudget], allFYsTable[Code], SummaryTable[[#This Row],[Code]], allFYsTable[year2], BE$3))</f>
        <v>#N/A</v>
      </c>
      <c r="BI135" s="61" t="e">
        <f>IF(COUNTIFS(allFYsTable[Code], SummaryTable[[#This Row],[Code]], allFYsTable[year2], BE$3)=0, NotFound, SUMIFS(allFYsTable[Actual], allFYsTable[Code], SummaryTable[[#This Row],[Code]], allFYsTable[year2], BE$3))</f>
        <v>#N/A</v>
      </c>
      <c r="BJ135" s="61" t="e">
        <f>IF(COUNTIFS(allFYsTable[Code], SummaryTable[[#This Row],[Code]], allFYsTable[year2], BE$3)=0, NotFound, SUMIFS(allFYsTable[DiffAmount], allFYsTable[Code], SummaryTable[[#This Row],[Code]], allFYsTable[year2], BE$3))</f>
        <v>#N/A</v>
      </c>
      <c r="BK135" s="63" t="e">
        <f>IF(SummaryTable[[#This Row],[OriginalBudget21]]=0, IF(SummaryTable[[#This Row],[DiffAmount21]]=0, ZeroBudgetNoSpending, ZeroBudgetWithSpending), SummaryTable[[#This Row],[DiffAmount21]]/SummaryTable[[#This Row],[OriginalBudget21]])</f>
        <v>#N/A</v>
      </c>
      <c r="BL135" s="62" t="e">
        <f>IF(COUNTIFS(allFYsTable[Code], SummaryTable[[#This Row],[Code]], allFYsTable[year2], BL$3)=0, NotFound, SUMIFS(allFYsTable[OriginalBudget], allFYsTable[Code], SummaryTable[[#This Row],[Code]], allFYsTable[year2], BL$3))</f>
        <v>#N/A</v>
      </c>
      <c r="BM135" s="61" t="e">
        <f>SummaryTable[[#This Row],[OriginalBudget20]]-SummaryTable[[#This Row],[OriginalBudget19]]</f>
        <v>#N/A</v>
      </c>
      <c r="BN135" s="54" t="e">
        <f>SummaryTable[[#This Row],[BudgetIncreaseAmount20]]/SummaryTable[[#This Row],[OriginalBudget19]]</f>
        <v>#N/A</v>
      </c>
      <c r="BO135" s="61" t="e">
        <f>IF(COUNTIFS(allFYsTable[Code], SummaryTable[[#This Row],[Code]], allFYsTable[year2], BL$3)=0, NotFound, SUMIFS(allFYsTable[RevisedBudget], allFYsTable[Code], SummaryTable[[#This Row],[Code]], allFYsTable[year2], BL$3))</f>
        <v>#N/A</v>
      </c>
      <c r="BP135" s="61" t="e">
        <f>IF(COUNTIFS(allFYsTable[Code], SummaryTable[[#This Row],[Code]], allFYsTable[year2], BL$3)=0, NotFound, SUMIFS(allFYsTable[Actual], allFYsTable[Code], SummaryTable[[#This Row],[Code]], allFYsTable[year2], BL$3))</f>
        <v>#N/A</v>
      </c>
      <c r="BQ135" s="61" t="e">
        <f>IF(COUNTIFS(allFYsTable[Code], SummaryTable[[#This Row],[Code]], allFYsTable[year2], BL$3)=0, NotFound, SUMIFS(allFYsTable[DiffAmount], allFYsTable[Code], SummaryTable[[#This Row],[Code]], allFYsTable[year2], BL$3))</f>
        <v>#N/A</v>
      </c>
      <c r="BR135" s="63" t="e">
        <f>IF(SummaryTable[[#This Row],[OriginalBudget20]]=0, IF(SummaryTable[[#This Row],[DiffAmount20]]=0, ZeroBudgetNoSpending, ZeroBudgetWithSpending), SummaryTable[[#This Row],[DiffAmount20]]/SummaryTable[[#This Row],[OriginalBudget20]])</f>
        <v>#N/A</v>
      </c>
      <c r="BS135" s="62">
        <f>IF(COUNTIFS(allFYsTable[Code], SummaryTable[[#This Row],[Code]], allFYsTable[year2], BS$3)=0, NotFound, SUMIFS(allFYsTable[OriginalBudget], allFYsTable[Code], SummaryTable[[#This Row],[Code]], allFYsTable[year2], BS$3))</f>
        <v>0</v>
      </c>
      <c r="BT135" s="61" t="e">
        <f>SummaryTable[[#This Row],[OriginalBudget19]]-SummaryTable[[#This Row],[OriginalBudget18]]</f>
        <v>#N/A</v>
      </c>
      <c r="BU135" s="54" t="e">
        <f>SummaryTable[[#This Row],[BudgetIncreaseAmount19]]/SummaryTable[[#This Row],[OriginalBudget18]]</f>
        <v>#N/A</v>
      </c>
      <c r="BV135" s="61">
        <f>IF(COUNTIFS(allFYsTable[Code], SummaryTable[[#This Row],[Code]], allFYsTable[year2], BS$3)=0, NotFound, SUMIFS(allFYsTable[RevisedBudget], allFYsTable[Code], SummaryTable[[#This Row],[Code]], allFYsTable[year2], BS$3))</f>
        <v>1252</v>
      </c>
      <c r="BW135" s="61">
        <f>IF(COUNTIFS(allFYsTable[Code], SummaryTable[[#This Row],[Code]], allFYsTable[year2], BS$3)=0, NotFound, SUMIFS(allFYsTable[Actual], allFYsTable[Code], SummaryTable[[#This Row],[Code]], allFYsTable[year2], BS$3))</f>
        <v>0</v>
      </c>
      <c r="BX135" s="61">
        <f>IF(COUNTIFS(allFYsTable[Code], SummaryTable[[#This Row],[Code]], allFYsTable[year2], BS$3)=0, NotFound, SUMIFS(allFYsTable[DiffAmount], allFYsTable[Code], SummaryTable[[#This Row],[Code]], allFYsTable[year2], BS$3))</f>
        <v>0</v>
      </c>
      <c r="BY135" s="63">
        <f>IF(SummaryTable[[#This Row],[OriginalBudget19]]=0, IF(SummaryTable[[#This Row],[DiffAmount19]]=0, ZeroBudgetNoSpending, ZeroBudgetWithSpending), SummaryTable[[#This Row],[DiffAmount19]]/SummaryTable[[#This Row],[OriginalBudget19]])</f>
        <v>0</v>
      </c>
      <c r="BZ135" s="62" t="e">
        <f>IF(COUNTIFS(allFYsTable[Code], SummaryTable[[#This Row],[Code]], allFYsTable[year2], BZ$3)=0, NotFound, SUMIFS(allFYsTable[OriginalBudget], allFYsTable[Code], SummaryTable[[#This Row],[Code]], allFYsTable[year2], BZ$3))</f>
        <v>#N/A</v>
      </c>
      <c r="CA135" s="61" t="e">
        <f>SummaryTable[[#This Row],[OriginalBudget18]]-SummaryTable[[#This Row],[OriginalBudget17]]</f>
        <v>#N/A</v>
      </c>
      <c r="CB135" s="54" t="e">
        <f>SummaryTable[[#This Row],[BudgetIncreaseAmount18]]/SummaryTable[[#This Row],[OriginalBudget17]]</f>
        <v>#N/A</v>
      </c>
      <c r="CC135" s="61" t="e">
        <f>IF(COUNTIFS(allFYsTable[Code], SummaryTable[[#This Row],[Code]], allFYsTable[year2], BZ$3)=0, NotFound, SUMIFS(allFYsTable[RevisedBudget], allFYsTable[Code], SummaryTable[[#This Row],[Code]], allFYsTable[year2], BZ$3))</f>
        <v>#N/A</v>
      </c>
      <c r="CD135" s="61" t="e">
        <f>IF(COUNTIFS(allFYsTable[Code], SummaryTable[[#This Row],[Code]], allFYsTable[year2], BZ$3)=0, NotFound, SUMIFS(allFYsTable[Actual], allFYsTable[Code], SummaryTable[[#This Row],[Code]], allFYsTable[year2], BZ$3))</f>
        <v>#N/A</v>
      </c>
      <c r="CE135" s="61" t="e">
        <f>IF(COUNTIFS(allFYsTable[Code], SummaryTable[[#This Row],[Code]], allFYsTable[year2], BZ$3)=0, NotFound, SUMIFS(allFYsTable[DiffAmount], allFYsTable[Code], SummaryTable[[#This Row],[Code]], allFYsTable[year2], BZ$3))</f>
        <v>#N/A</v>
      </c>
      <c r="CF135" s="63" t="e">
        <f>IF(SummaryTable[[#This Row],[OriginalBudget18]]=0, IF(SummaryTable[[#This Row],[DiffAmount18]]=0, ZeroBudgetNoSpending, ZeroBudgetWithSpending), SummaryTable[[#This Row],[DiffAmount18]]/SummaryTable[[#This Row],[OriginalBudget18]])</f>
        <v>#N/A</v>
      </c>
      <c r="CG135" s="62">
        <f>IF(COUNTIFS(allFYsTable[Code], SummaryTable[[#This Row],[Code]], allFYsTable[year2], CG$3)=0, NotFound, SUMIFS(allFYsTable[OriginalBudget], allFYsTable[Code], SummaryTable[[#This Row],[Code]], allFYsTable[year2], CG$3))</f>
        <v>0</v>
      </c>
      <c r="CH135" s="61" t="e">
        <f>SummaryTable[[#This Row],[OriginalBudget17]]-SummaryTable[[#This Row],[OriginalBudget16]]</f>
        <v>#N/A</v>
      </c>
      <c r="CI135" s="54" t="e">
        <f>SummaryTable[[#This Row],[BudgetIncreaseAmount17]]/SummaryTable[[#This Row],[OriginalBudget16]]</f>
        <v>#N/A</v>
      </c>
      <c r="CJ135" s="61">
        <f>IF(COUNTIFS(allFYsTable[Code], SummaryTable[[#This Row],[Code]], allFYsTable[year2], CG$3)=0, NotFound, SUMIFS(allFYsTable[RevisedBudget], allFYsTable[Code], SummaryTable[[#This Row],[Code]], allFYsTable[year2], CG$3))</f>
        <v>0</v>
      </c>
      <c r="CK135" s="61">
        <f>IF(COUNTIFS(allFYsTable[Code], SummaryTable[[#This Row],[Code]], allFYsTable[year2], CG$3)=0, NotFound, SUMIFS(allFYsTable[Actual], allFYsTable[Code], SummaryTable[[#This Row],[Code]], allFYsTable[year2], CG$3))</f>
        <v>0</v>
      </c>
      <c r="CL135" s="61">
        <f>IF(COUNTIFS(allFYsTable[Code], SummaryTable[[#This Row],[Code]], allFYsTable[year2], CG$3)=0, NotFound, SUMIFS(allFYsTable[DiffAmount], allFYsTable[Code], SummaryTable[[#This Row],[Code]], allFYsTable[year2], CG$3))</f>
        <v>0</v>
      </c>
      <c r="CM135" s="63">
        <f>IF(SummaryTable[[#This Row],[OriginalBudget17]]=0, IF(SummaryTable[[#This Row],[DiffAmount17]]=0, ZeroBudgetNoSpending, ZeroBudgetWithSpending), SummaryTable[[#This Row],[DiffAmount17]]/SummaryTable[[#This Row],[OriginalBudget17]])</f>
        <v>0</v>
      </c>
      <c r="CN135" s="62" t="e">
        <f>IF(COUNTIFS(allFYsTable[Code], SummaryTable[[#This Row],[Code]], allFYsTable[year2], CN$3)=0, NotFound, SUMIFS(allFYsTable[OriginalBudget], allFYsTable[Code], SummaryTable[[#This Row],[Code]], allFYsTable[year2], CN$3))</f>
        <v>#N/A</v>
      </c>
      <c r="CO135" s="61" t="e">
        <f>SummaryTable[[#This Row],[OriginalBudget16]]-SummaryTable[[#This Row],[OriginalBudget15]]</f>
        <v>#N/A</v>
      </c>
      <c r="CP135" s="54" t="e">
        <f>SummaryTable[[#This Row],[BudgetIncreaseAmount16]]/SummaryTable[[#This Row],[OriginalBudget15]]</f>
        <v>#N/A</v>
      </c>
      <c r="CQ135" s="61" t="e">
        <f>IF(COUNTIFS(allFYsTable[Code], SummaryTable[[#This Row],[Code]], allFYsTable[year2], CN$3)=0, NotFound, SUMIFS(allFYsTable[RevisedBudget], allFYsTable[Code], SummaryTable[[#This Row],[Code]], allFYsTable[year2], CN$3))</f>
        <v>#N/A</v>
      </c>
      <c r="CR135" s="61" t="e">
        <f>IF(COUNTIFS(allFYsTable[Code], SummaryTable[[#This Row],[Code]], allFYsTable[year2], CN$3)=0, NotFound, SUMIFS(allFYsTable[Actual], allFYsTable[Code], SummaryTable[[#This Row],[Code]], allFYsTable[year2], CN$3))</f>
        <v>#N/A</v>
      </c>
      <c r="CS135" s="61" t="e">
        <f>IF(COUNTIFS(allFYsTable[Code], SummaryTable[[#This Row],[Code]], allFYsTable[year2], CN$3)=0, NotFound, SUMIFS(allFYsTable[DiffAmount], allFYsTable[Code], SummaryTable[[#This Row],[Code]], allFYsTable[year2], CN$3))</f>
        <v>#N/A</v>
      </c>
      <c r="CT135" s="63" t="e">
        <f>IF(SummaryTable[[#This Row],[OriginalBudget16]]=0, IF(SummaryTable[[#This Row],[DiffAmount16]]=0, ZeroBudgetNoSpending, ZeroBudgetWithSpending), SummaryTable[[#This Row],[DiffAmount16]]/SummaryTable[[#This Row],[OriginalBudget16]])</f>
        <v>#N/A</v>
      </c>
      <c r="CU135" s="62">
        <f>IF(COUNTIFS(allFYsTable[Code], SummaryTable[[#This Row],[Code]], allFYsTable[year2], CU$3)=0, NotFound, SUMIFS(allFYsTable[OriginalBudget], allFYsTable[Code], SummaryTable[[#This Row],[Code]], allFYsTable[year2], CU$3))</f>
        <v>0</v>
      </c>
      <c r="CV135" s="61">
        <f>SummaryTable[[#This Row],[OriginalBudget15]]-SummaryTable[[#This Row],[OriginalBudget14]]</f>
        <v>-5500</v>
      </c>
      <c r="CW135" s="54">
        <f>SummaryTable[[#This Row],[BudgetIncreaseAmount15]]/SummaryTable[[#This Row],[OriginalBudget14]]</f>
        <v>-1</v>
      </c>
      <c r="CX135" s="61">
        <f>IF(COUNTIFS(allFYsTable[Code], SummaryTable[[#This Row],[Code]], allFYsTable[year2], CU$3)=0, NotFound, SUMIFS(allFYsTable[RevisedBudget], allFYsTable[Code], SummaryTable[[#This Row],[Code]], allFYsTable[year2], CU$3))</f>
        <v>61067</v>
      </c>
      <c r="CY135" s="61">
        <f>IF(COUNTIFS(allFYsTable[Code], SummaryTable[[#This Row],[Code]], allFYsTable[year2], CU$3)=0, NotFound, SUMIFS(allFYsTable[Actual], allFYsTable[Code], SummaryTable[[#This Row],[Code]], allFYsTable[year2], CU$3))</f>
        <v>0</v>
      </c>
      <c r="CZ135" s="61">
        <f>IF(COUNTIFS(allFYsTable[Code], SummaryTable[[#This Row],[Code]], allFYsTable[year2], CU$3)=0, NotFound, SUMIFS(allFYsTable[DiffAmount], allFYsTable[Code], SummaryTable[[#This Row],[Code]], allFYsTable[year2], CU$3))</f>
        <v>0</v>
      </c>
      <c r="DA135" s="63">
        <f>IF(SummaryTable[[#This Row],[OriginalBudget15]]=0, IF(SummaryTable[[#This Row],[DiffAmount15]]=0, ZeroBudgetNoSpending, ZeroBudgetWithSpending), SummaryTable[[#This Row],[DiffAmount15]]/SummaryTable[[#This Row],[OriginalBudget15]])</f>
        <v>0</v>
      </c>
      <c r="DB135" s="62">
        <f>IF(COUNTIFS(allFYsTable[Code], SummaryTable[[#This Row],[Code]], allFYsTable[year2], DB$3)=0, NotFound, SUMIFS(allFYsTable[OriginalBudget], allFYsTable[Code], SummaryTable[[#This Row],[Code]], allFYsTable[year2], DB$3))</f>
        <v>5500</v>
      </c>
      <c r="DC135" s="61">
        <f>SummaryTable[[#This Row],[OriginalBudget14]]-SummaryTable[[#This Row],[OriginalBudget13]]</f>
        <v>4750</v>
      </c>
      <c r="DD135" s="54">
        <f>SummaryTable[[#This Row],[BudgetIncreaseAmount14]]/SummaryTable[[#This Row],[OriginalBudget13]]</f>
        <v>6.333333333333333</v>
      </c>
      <c r="DE135" s="61">
        <f>IF(COUNTIFS(allFYsTable[Code], SummaryTable[[#This Row],[Code]], allFYsTable[year2], DB$3)=0, NotFound, SUMIFS(allFYsTable[RevisedBudget], allFYsTable[Code], SummaryTable[[#This Row],[Code]], allFYsTable[year2], DB$3))</f>
        <v>23512</v>
      </c>
      <c r="DF135" s="61">
        <f>IF(COUNTIFS(allFYsTable[Code], SummaryTable[[#This Row],[Code]], allFYsTable[year2], DB$3)=0, NotFound, SUMIFS(allFYsTable[Actual], allFYsTable[Code], SummaryTable[[#This Row],[Code]], allFYsTable[year2], DB$3))</f>
        <v>0</v>
      </c>
      <c r="DG135" s="61">
        <f>IF(COUNTIFS(allFYsTable[Code], SummaryTable[[#This Row],[Code]], allFYsTable[year2], DB$3)=0, NotFound, SUMIFS(allFYsTable[DiffAmount], allFYsTable[Code], SummaryTable[[#This Row],[Code]], allFYsTable[year2], DB$3))</f>
        <v>-5500</v>
      </c>
      <c r="DH135" s="63">
        <f>IF(SummaryTable[[#This Row],[OriginalBudget14]]=0, IF(SummaryTable[[#This Row],[DiffAmount14]]=0, ZeroBudgetNoSpending, ZeroBudgetWithSpending), SummaryTable[[#This Row],[DiffAmount14]]/SummaryTable[[#This Row],[OriginalBudget14]])</f>
        <v>-1</v>
      </c>
      <c r="DI135" s="62">
        <f>IF(COUNTIFS(allFYsTable[Code], SummaryTable[[#This Row],[Code]], allFYsTable[year2], DI$3)=0, NotFound, SUMIFS(allFYsTable[OriginalBudget], allFYsTable[Code], SummaryTable[[#This Row],[Code]], allFYsTable[year2], DI$3))</f>
        <v>750</v>
      </c>
      <c r="DJ135" s="61">
        <f>SummaryTable[[#This Row],[OriginalBudget13]]-SummaryTable[[#This Row],[OriginalBudget12]]</f>
        <v>-2250</v>
      </c>
      <c r="DK135" s="54">
        <f>SummaryTable[[#This Row],[BudgetIncreaseAmount13]]/SummaryTable[[#This Row],[OriginalBudget12]]</f>
        <v>-0.75</v>
      </c>
      <c r="DL135" s="61">
        <f>IF(COUNTIFS(allFYsTable[Code], SummaryTable[[#This Row],[Code]], allFYsTable[year2], DI$3)=0, NotFound, SUMIFS(allFYsTable[RevisedBudget], allFYsTable[Code], SummaryTable[[#This Row],[Code]], allFYsTable[year2], DI$3))</f>
        <v>144</v>
      </c>
      <c r="DM135" s="61">
        <f>IF(COUNTIFS(allFYsTable[Code], SummaryTable[[#This Row],[Code]], allFYsTable[year2], DI$3)=0, NotFound, SUMIFS(allFYsTable[Actual], allFYsTable[Code], SummaryTable[[#This Row],[Code]], allFYsTable[year2], DI$3))</f>
        <v>0</v>
      </c>
      <c r="DN135" s="61">
        <f>IF(COUNTIFS(allFYsTable[Code], SummaryTable[[#This Row],[Code]], allFYsTable[year2], DI$3)=0, NotFound, SUMIFS(allFYsTable[DiffAmount], allFYsTable[Code], SummaryTable[[#This Row],[Code]], allFYsTable[year2], DI$3))</f>
        <v>-750</v>
      </c>
      <c r="DO135" s="63">
        <f>IF(SummaryTable[[#This Row],[OriginalBudget13]]=0, IF(SummaryTable[[#This Row],[DiffAmount13]]=0, ZeroBudgetNoSpending, ZeroBudgetWithSpending), SummaryTable[[#This Row],[DiffAmount13]]/SummaryTable[[#This Row],[OriginalBudget13]])</f>
        <v>-1</v>
      </c>
      <c r="DP135" s="62">
        <f>IF(COUNTIFS(allFYsTable[Code], SummaryTable[[#This Row],[Code]], allFYsTable[year2], DP$3)=0, NotFound, SUMIFS(allFYsTable[OriginalBudget], allFYsTable[Code], SummaryTable[[#This Row],[Code]], allFYsTable[year2], DP$3))</f>
        <v>3000</v>
      </c>
      <c r="DQ135" s="61">
        <f>SummaryTable[[#This Row],[OriginalBudget12]]-SummaryTable[[#This Row],[OriginalBudget11]]</f>
        <v>0</v>
      </c>
      <c r="DR135" s="54">
        <f>SummaryTable[[#This Row],[BudgetIncreaseAmount12]]/SummaryTable[[#This Row],[OriginalBudget11]]</f>
        <v>0</v>
      </c>
      <c r="DS135" s="61">
        <f>IF(COUNTIFS(allFYsTable[Code], SummaryTable[[#This Row],[Code]], allFYsTable[year2], DP$3)=0, NotFound, SUMIFS(allFYsTable[RevisedBudget], allFYsTable[Code], SummaryTable[[#This Row],[Code]], allFYsTable[year2], DP$3))</f>
        <v>0</v>
      </c>
      <c r="DT135" s="61">
        <f>IF(COUNTIFS(allFYsTable[Code], SummaryTable[[#This Row],[Code]], allFYsTable[year2], DP$3)=0, NotFound, SUMIFS(allFYsTable[Actual], allFYsTable[Code], SummaryTable[[#This Row],[Code]], allFYsTable[year2], DP$3))</f>
        <v>0</v>
      </c>
      <c r="DU135" s="61">
        <f>IF(COUNTIFS(allFYsTable[Code], SummaryTable[[#This Row],[Code]], allFYsTable[year2], DP$3)=0, NotFound, SUMIFS(allFYsTable[DiffAmount], allFYsTable[Code], SummaryTable[[#This Row],[Code]], allFYsTable[year2], DP$3))</f>
        <v>-3000</v>
      </c>
      <c r="DV135" s="63">
        <f>IF(SummaryTable[[#This Row],[OriginalBudget12]]=0, IF(SummaryTable[[#This Row],[DiffAmount12]]=0, ZeroBudgetNoSpending, ZeroBudgetWithSpending), SummaryTable[[#This Row],[DiffAmount12]]/SummaryTable[[#This Row],[OriginalBudget12]])</f>
        <v>-1</v>
      </c>
      <c r="DW135" s="62">
        <f>IF(COUNTIFS(allFYsTable[Code], SummaryTable[[#This Row],[Code]], allFYsTable[year2], DW$3)=0, NotFound, SUMIFS(allFYsTable[OriginalBudget], allFYsTable[Code], SummaryTable[[#This Row],[Code]], allFYsTable[year2], DW$3))</f>
        <v>3000</v>
      </c>
      <c r="DX135" s="61">
        <f>SummaryTable[[#This Row],[OriginalBudget11]]-SummaryTable[[#This Row],[OriginalBudget10]]</f>
        <v>3000</v>
      </c>
      <c r="DY135" s="54" t="e">
        <f>SummaryTable[[#This Row],[BudgetIncreaseAmount11]]/SummaryTable[[#This Row],[OriginalBudget10]]</f>
        <v>#DIV/0!</v>
      </c>
      <c r="DZ135" s="61">
        <f>IF(COUNTIFS(allFYsTable[Code], SummaryTable[[#This Row],[Code]], allFYsTable[year2], DW$3)=0, NotFound, SUMIFS(allFYsTable[RevisedBudget], allFYsTable[Code], SummaryTable[[#This Row],[Code]], allFYsTable[year2], DW$3))</f>
        <v>3000</v>
      </c>
      <c r="EA135" s="61">
        <f>IF(COUNTIFS(allFYsTable[Code], SummaryTable[[#This Row],[Code]], allFYsTable[year2], DW$3)=0, NotFound, SUMIFS(allFYsTable[Actual], allFYsTable[Code], SummaryTable[[#This Row],[Code]], allFYsTable[year2], DW$3))</f>
        <v>0</v>
      </c>
      <c r="EB135" s="61">
        <f>IF(COUNTIFS(allFYsTable[Code], SummaryTable[[#This Row],[Code]], allFYsTable[year2], DW$3)=0, NotFound, SUMIFS(allFYsTable[DiffAmount], allFYsTable[Code], SummaryTable[[#This Row],[Code]], allFYsTable[year2], DW$3))</f>
        <v>-3000</v>
      </c>
      <c r="EC135" s="63">
        <f>IF(SummaryTable[[#This Row],[OriginalBudget11]]=0, IF(SummaryTable[[#This Row],[DiffAmount11]]=0, ZeroBudgetNoSpending, ZeroBudgetWithSpending), SummaryTable[[#This Row],[DiffAmount11]]/SummaryTable[[#This Row],[OriginalBudget11]])</f>
        <v>-1</v>
      </c>
      <c r="ED135" s="62">
        <f>IF(COUNTIFS(allFYsTable[Code], SummaryTable[[#This Row],[Code]], allFYsTable[year2], ED$3)=0, NotFound, SUMIFS(allFYsTable[OriginalBudget], allFYsTable[Code], SummaryTable[[#This Row],[Code]], allFYsTable[year2], ED$3))</f>
        <v>0</v>
      </c>
      <c r="EE135" s="61" t="e">
        <f>SummaryTable[[#This Row],[OriginalBudget10]]-SummaryTable[[#This Row],[OriginalBudget09]]</f>
        <v>#N/A</v>
      </c>
      <c r="EF135" s="54" t="e">
        <f>SummaryTable[[#This Row],[BudgetIncreaseAmount10]]/SummaryTable[[#This Row],[OriginalBudget09]]</f>
        <v>#N/A</v>
      </c>
      <c r="EG135" s="61">
        <f>IF(COUNTIFS(allFYsTable[Code], SummaryTable[[#This Row],[Code]], allFYsTable[year2], ED$3)=0, NotFound, SUMIFS(allFYsTable[RevisedBudget], allFYsTable[Code], SummaryTable[[#This Row],[Code]], allFYsTable[year2], ED$3))</f>
        <v>47480</v>
      </c>
      <c r="EH135" s="61">
        <f>IF(COUNTIFS(allFYsTable[Code], SummaryTable[[#This Row],[Code]], allFYsTable[year2], ED$3)=0, NotFound, SUMIFS(allFYsTable[Actual], allFYsTable[Code], SummaryTable[[#This Row],[Code]], allFYsTable[year2], ED$3))</f>
        <v>0</v>
      </c>
      <c r="EI135" s="61">
        <f>IF(COUNTIFS(allFYsTable[Code], SummaryTable[[#This Row],[Code]], allFYsTable[year2], ED$3)=0, NotFound, SUMIFS(allFYsTable[DiffAmount], allFYsTable[Code], SummaryTable[[#This Row],[Code]], allFYsTable[year2], ED$3))</f>
        <v>0</v>
      </c>
      <c r="EJ135" s="63">
        <f>IF(SummaryTable[[#This Row],[OriginalBudget10]]=0, IF(SummaryTable[[#This Row],[DiffAmount10]]=0, ZeroBudgetNoSpending, ZeroBudgetWithSpending), SummaryTable[[#This Row],[DiffAmount10]]/SummaryTable[[#This Row],[OriginalBudget10]])</f>
        <v>0</v>
      </c>
      <c r="EK135" s="62" t="e">
        <f>IF(COUNTIFS(allFYsTable[Code], SummaryTable[[#This Row],[Code]], allFYsTable[year2], EK$3)=0, NotFound, SUMIFS(allFYsTable[OriginalBudget], allFYsTable[Code], SummaryTable[[#This Row],[Code]], allFYsTable[year2], EK$3))</f>
        <v>#N/A</v>
      </c>
      <c r="EL135" s="61" t="e">
        <f>SummaryTable[[#This Row],[OriginalBudget09]]-SummaryTable[[#This Row],[OriginalBudget08]]</f>
        <v>#N/A</v>
      </c>
      <c r="EM135" s="54" t="e">
        <f>SummaryTable[[#This Row],[BudgetIncreaseAmount09]]/SummaryTable[[#This Row],[OriginalBudget08]]</f>
        <v>#N/A</v>
      </c>
      <c r="EN135" s="61" t="e">
        <f>IF(COUNTIFS(allFYsTable[Code], SummaryTable[[#This Row],[Code]], allFYsTable[year2], EK$3)=0, NotFound, SUMIFS(allFYsTable[RevisedBudget], allFYsTable[Code], SummaryTable[[#This Row],[Code]], allFYsTable[year2], EK$3))</f>
        <v>#N/A</v>
      </c>
      <c r="EO135" s="61" t="e">
        <f>IF(COUNTIFS(allFYsTable[Code], SummaryTable[[#This Row],[Code]], allFYsTable[year2], EK$3)=0, NotFound, SUMIFS(allFYsTable[Actual], allFYsTable[Code], SummaryTable[[#This Row],[Code]], allFYsTable[year2], EK$3))</f>
        <v>#N/A</v>
      </c>
      <c r="EP135" s="61" t="e">
        <f>IF(COUNTIFS(allFYsTable[Code], SummaryTable[[#This Row],[Code]], allFYsTable[year2], EK$3)=0, NotFound, SUMIFS(allFYsTable[DiffAmount], allFYsTable[Code], SummaryTable[[#This Row],[Code]], allFYsTable[year2], EK$3))</f>
        <v>#N/A</v>
      </c>
      <c r="EQ135" s="63" t="e">
        <f>IF(SummaryTable[[#This Row],[OriginalBudget09]]=0, IF(SummaryTable[[#This Row],[DiffAmount09]]=0, ZeroBudgetNoSpending, ZeroBudgetWithSpending), SummaryTable[[#This Row],[DiffAmount09]]/SummaryTable[[#This Row],[OriginalBudget09]])</f>
        <v>#N/A</v>
      </c>
      <c r="ER135" s="62" t="e">
        <f>IF(COUNTIFS(allFYsTable[Code], SummaryTable[[#This Row],[Code]], allFYsTable[year2], ER$3)=0, NotFound, SUMIFS(allFYsTable[OriginalBudget], allFYsTable[Code], SummaryTable[[#This Row],[Code]], allFYsTable[year2], ER$3))</f>
        <v>#N/A</v>
      </c>
      <c r="ES135" s="61" t="e">
        <f>SummaryTable[[#This Row],[OriginalBudget08]]-SummaryTable[[#This Row],[OriginalBudget07]]</f>
        <v>#N/A</v>
      </c>
      <c r="ET135" s="54" t="e">
        <f>SummaryTable[[#This Row],[BudgetIncreaseAmount08]]/SummaryTable[[#This Row],[OriginalBudget07]]</f>
        <v>#N/A</v>
      </c>
      <c r="EU135" s="61" t="e">
        <f>IF(COUNTIFS(allFYsTable[Code], SummaryTable[[#This Row],[Code]], allFYsTable[year2], ER$3)=0, NotFound, SUMIFS(allFYsTable[RevisedBudget], allFYsTable[Code], SummaryTable[[#This Row],[Code]], allFYsTable[year2], ER$3))</f>
        <v>#N/A</v>
      </c>
      <c r="EV135" s="61" t="e">
        <f>IF(COUNTIFS(allFYsTable[Code], SummaryTable[[#This Row],[Code]], allFYsTable[year2], ER$3)=0, NotFound, SUMIFS(allFYsTable[Actual], allFYsTable[Code], SummaryTable[[#This Row],[Code]], allFYsTable[year2], ER$3))</f>
        <v>#N/A</v>
      </c>
      <c r="EW135" s="61" t="e">
        <f>IF(COUNTIFS(allFYsTable[Code], SummaryTable[[#This Row],[Code]], allFYsTable[year2], ER$3)=0, NotFound, SUMIFS(allFYsTable[DiffAmount], allFYsTable[Code], SummaryTable[[#This Row],[Code]], allFYsTable[year2], ER$3))</f>
        <v>#N/A</v>
      </c>
      <c r="EX135" s="63" t="e">
        <f>IF(SummaryTable[[#This Row],[OriginalBudget08]]=0, IF(SummaryTable[[#This Row],[DiffAmount08]]=0, ZeroBudgetNoSpending, ZeroBudgetWithSpending), SummaryTable[[#This Row],[DiffAmount08]]/SummaryTable[[#This Row],[OriginalBudget08]])</f>
        <v>#N/A</v>
      </c>
      <c r="EY135" s="62" t="e">
        <f>IF(COUNTIFS(allFYsTable[Code], SummaryTable[[#This Row],[Code]], allFYsTable[year2], EY$3)=0, NotFound, SUMIFS(allFYsTable[OriginalBudget], allFYsTable[Code], SummaryTable[[#This Row],[Code]], allFYsTable[year2], EY$3))</f>
        <v>#N/A</v>
      </c>
      <c r="EZ135" s="61" t="e">
        <f>SummaryTable[[#This Row],[OriginalBudget07]]-SummaryTable[[#This Row],[OriginalBudget06]]</f>
        <v>#N/A</v>
      </c>
      <c r="FA135" s="54" t="e">
        <f>SummaryTable[[#This Row],[BudgetIncreaseAmount07]]/SummaryTable[[#This Row],[OriginalBudget06]]</f>
        <v>#N/A</v>
      </c>
      <c r="FB135" s="61" t="e">
        <f>IF(COUNTIFS(allFYsTable[Code], SummaryTable[[#This Row],[Code]], allFYsTable[year2], EY$3)=0, NotFound, SUMIFS(allFYsTable[RevisedBudget], allFYsTable[Code], SummaryTable[[#This Row],[Code]], allFYsTable[year2], EY$3))</f>
        <v>#N/A</v>
      </c>
      <c r="FC135" s="61" t="e">
        <f>IF(COUNTIFS(allFYsTable[Code], SummaryTable[[#This Row],[Code]], allFYsTable[year2], EY$3)=0, NotFound, SUMIFS(allFYsTable[Actual], allFYsTable[Code], SummaryTable[[#This Row],[Code]], allFYsTable[year2], EY$3))</f>
        <v>#N/A</v>
      </c>
      <c r="FD135" s="61" t="e">
        <f>IF(COUNTIFS(allFYsTable[Code], SummaryTable[[#This Row],[Code]], allFYsTable[year2], EY$3)=0, NotFound, SUMIFS(allFYsTable[DiffAmount], allFYsTable[Code], SummaryTable[[#This Row],[Code]], allFYsTable[year2], EY$3))</f>
        <v>#N/A</v>
      </c>
      <c r="FE135" s="63" t="e">
        <f>IF(SummaryTable[[#This Row],[OriginalBudget07]]=0, IF(SummaryTable[[#This Row],[DiffAmount07]]=0, ZeroBudgetNoSpending, ZeroBudgetWithSpending), SummaryTable[[#This Row],[DiffAmount07]]/SummaryTable[[#This Row],[OriginalBudget07]])</f>
        <v>#N/A</v>
      </c>
      <c r="FF135" s="62" t="e">
        <f>IF(COUNTIFS(allFYsTable[Code], SummaryTable[[#This Row],[Code]], allFYsTable[year2], FF$3)=0, NotFound, SUMIFS(allFYsTable[OriginalBudget], allFYsTable[Code], SummaryTable[[#This Row],[Code]], allFYsTable[year2], FF$3))</f>
        <v>#N/A</v>
      </c>
      <c r="FI135" s="61" t="e">
        <f>IF(COUNTIFS(allFYsTable[Code], SummaryTable[[#This Row],[Code]], allFYsTable[year2], FF$3)=0, NotFound, SUMIFS(allFYsTable[RevisedBudget], allFYsTable[Code], SummaryTable[[#This Row],[Code]], allFYsTable[year2], FF$3))</f>
        <v>#N/A</v>
      </c>
      <c r="FJ135" s="61" t="e">
        <f>IF(COUNTIFS(allFYsTable[Code], SummaryTable[[#This Row],[Code]], allFYsTable[year2], FF$3)=0, NotFound, SUMIFS(allFYsTable[Actual], allFYsTable[Code], SummaryTable[[#This Row],[Code]], allFYsTable[year2], FF$3))</f>
        <v>#N/A</v>
      </c>
      <c r="FK135" s="61" t="e">
        <f>IF(COUNTIFS(allFYsTable[Code], SummaryTable[[#This Row],[Code]], allFYsTable[year2], FF$3)=0, NotFound, SUMIFS(allFYsTable[DiffAmount], allFYsTable[Code], SummaryTable[[#This Row],[Code]], allFYsTable[year2], FF$3))</f>
        <v>#N/A</v>
      </c>
      <c r="FL135" s="63" t="e">
        <f>IF(SummaryTable[[#This Row],[OriginalBudget06]]=0, IF(SummaryTable[[#This Row],[DiffAmount06]]=0, ZeroBudgetNoSpending, ZeroBudgetWithSpending), SummaryTable[[#This Row],[DiffAmount06]]/SummaryTable[[#This Row],[OriginalBudget06]])</f>
        <v>#N/A</v>
      </c>
    </row>
    <row r="136" spans="1:168" x14ac:dyDescent="0.45">
      <c r="A136" t="s">
        <v>866</v>
      </c>
      <c r="B136">
        <f>_xlfn.MAXIFS(allFYsTable[year2], allFYsTable[Code], SummaryTable[[#This Row],[Code]])</f>
        <v>2024</v>
      </c>
      <c r="C136" t="str">
        <f>_xlfn.XLOOKUP(SummaryTable[[#This Row],[Code]], NameCodingTable[Code], NameCodingTable[Most Recent Category per allFYs])</f>
        <v>Economic development and regulation</v>
      </c>
      <c r="D136" t="str">
        <f>_xlfn.XLOOKUP(SummaryTable[[#This Row],[Code]], NameCodingTable[Code], NameCodingTable[Unit Display Name])</f>
        <v>Section 103 - Economic Development and Regulation</v>
      </c>
      <c r="E136" t="str">
        <f>_xlfn.XLOOKUP(SummaryTable[[#This Row],[Code]], NameCodingTable[Code], NameCodingTable[Type])</f>
        <v>Section103</v>
      </c>
      <c r="F13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4</v>
      </c>
      <c r="G13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136" s="54">
        <f>SummaryTable[[#This Row],['# Over]]/SummaryTable[[#This Row],[Count]]</f>
        <v>0.75</v>
      </c>
      <c r="I13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36" s="54">
        <f>SummaryTable[[#This Row],['# Under]]/SummaryTable[[#This Row],[Count]]</f>
        <v>0</v>
      </c>
      <c r="K13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36" s="54">
        <f>SummaryTable[[#This Row],['# Equal]]/SummaryTable[[#This Row],[Count]]</f>
        <v>0.25</v>
      </c>
      <c r="M136" s="61">
        <f>SUMIFS(allFYsTable[OriginalBudget],allFYsTable[Code],SummaryTable[[#This Row],[Code]])/SummaryTable[[#This Row],[Count]]</f>
        <v>0</v>
      </c>
      <c r="N136" s="61">
        <f>SUMIFS(allFYsTable[Actual],allFYsTable[Code],SummaryTable[[#This Row],[Code]])/SummaryTable[[#This Row],[Count]]</f>
        <v>1187.5</v>
      </c>
      <c r="O136" s="61">
        <f>SummaryTable[[#This Row],[AvgActAmt]]-SummaryTable[[#This Row],[AvgBudAmt]]</f>
        <v>1187.5</v>
      </c>
      <c r="P136" s="54">
        <f>IF(SummaryTable[[#This Row],[AvgBudAmt]]=0, IF(SummaryTable[[#This Row],[AvgDiff'#]]=0, 0, NamedFields!$C$3), SummaryTable[[#This Row],[AvgDiff'#]]/SummaryTable[[#This Row],[AvgBudAmt]])</f>
        <v>99.99</v>
      </c>
      <c r="Q136" s="61">
        <f>IFERROR(SUMIFS(allFYsTable[OriginalBudget],allFYsTable[Code],SummaryTable[[#This Row],[Code]],allFYsTable[DiffAmount], "&gt;0")/SummaryTable[[#This Row],['# Over]], 0)</f>
        <v>0</v>
      </c>
      <c r="R136" s="61">
        <f>IFERROR(SUMIFS(allFYsTable[Actual],allFYsTable[Code],SummaryTable[[#This Row],[Code]],allFYsTable[DiffAmount], "&gt;0")/SummaryTable[[#This Row],['# Over]], 0)</f>
        <v>1583.3333333333333</v>
      </c>
      <c r="S136" s="61">
        <f>SummaryTable[[#This Row],[OverAvgAct]]-SummaryTable[[#This Row],[OverAvgBud]]</f>
        <v>1583.3333333333333</v>
      </c>
      <c r="T136" s="54">
        <f>IF(SummaryTable[[#This Row],[OverAvgBud]]=0, IF(SummaryTable[[#This Row],[OverAvgDiff'#]]=0, ZeroBudgetNoSpending, ZeroBudgetWithSpending), SummaryTable[[#This Row],[OverAvgDiff'#]]/SummaryTable[[#This Row],[OverAvgBud]])</f>
        <v>99.99</v>
      </c>
      <c r="U136" s="61">
        <f>IFERROR(SUMIFS(allFYsTable[OriginalBudget],allFYsTable[Code],SummaryTable[[#This Row],[Code]],allFYsTable[DiffAmount], "&lt;0")/SummaryTable[[#This Row],['# Under]], 0)</f>
        <v>0</v>
      </c>
      <c r="V136" s="61">
        <f>IFERROR( SUMIFS(allFYsTable[Actual],allFYsTable[Code],SummaryTable[[#This Row],[Code]],allFYsTable[DiffAmount], "&lt;0")/SummaryTable[[#This Row],['# Under]], 0)</f>
        <v>0</v>
      </c>
      <c r="W136" s="61">
        <f>SummaryTable[[#This Row],[UnderAvgAct]]-SummaryTable[[#This Row],[UnderAvgBud]]</f>
        <v>0</v>
      </c>
      <c r="X136" s="54">
        <f>IF(SummaryTable[[#This Row],[UnderAvgBud]]=0, IF(SummaryTable[[#This Row],[UnderAvgDiff'#]]=0, ZeroBudgetNoSpending, NamedFields!$C$3), SummaryTable[[#This Row],[UnderAvgDiff'#]]/SummaryTable[[#This Row],[UnderAvgBud]])</f>
        <v>0</v>
      </c>
      <c r="Y13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3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6" s="54">
        <f>IF(SummaryTable[[#This Row],[IncreaseYears]]=0, ZeroBudgetNoSpending, SummaryTable[[#This Row],[OSinIncreaseYear'#]]/SummaryTable[[#This Row],[IncreaseYears]])</f>
        <v>0</v>
      </c>
      <c r="AB136" s="58" t="str">
        <f>SummaryTable[[#This Row],[Code]]</f>
        <v>XJE</v>
      </c>
      <c r="AC136" s="62" t="e">
        <f>IF(COUNTIFS(allFYsTable[Code], SummaryTable[[#This Row],[Code]], allFYsTable[year2], AC$3)=0, NotFound, SUMIFS(allFYsTable[OriginalBudget], allFYsTable[Code], SummaryTable[[#This Row],[Code]], allFYsTable[year2], AC$3))</f>
        <v>#N/A</v>
      </c>
      <c r="AD136" s="61" t="e">
        <f>SummaryTable[[#This Row],[OriginalBudget25]]-SummaryTable[[#This Row],[OriginalBudget24]]</f>
        <v>#N/A</v>
      </c>
      <c r="AE136" s="54" t="e">
        <f>SummaryTable[[#This Row],[BudgetIncreaseAmount25]]/SummaryTable[[#This Row],[OriginalBudget24]]</f>
        <v>#N/A</v>
      </c>
      <c r="AF136" s="61" t="e">
        <f>IF(COUNTIFS(allFYsTable[Code], SummaryTable[[#This Row],[Code]], allFYsTable[year2], AC$3)=0, NotFound, SUMIFS(allFYsTable[RevisedBudget], allFYsTable[Code], SummaryTable[[#This Row],[Code]], allFYsTable[year2], AC$3))</f>
        <v>#N/A</v>
      </c>
      <c r="AG136" s="61" t="e">
        <f>IF(COUNTIFS(allFYsTable[Code], SummaryTable[[#This Row],[Code]], allFYsTable[year2], AC$3)=0, NotFound, SUMIFS(allFYsTable[Actual], allFYsTable[Code], SummaryTable[[#This Row],[Code]], allFYsTable[year2], AC$3))</f>
        <v>#N/A</v>
      </c>
      <c r="AH136" s="61" t="e">
        <f>IF(COUNTIFS(allFYsTable[Code], SummaryTable[[#This Row],[Code]], allFYsTable[year2], AC$3)=0, NotFound, SUMIFS(allFYsTable[DiffAmount], allFYsTable[Code], SummaryTable[[#This Row],[Code]], allFYsTable[year2], AC$3))</f>
        <v>#N/A</v>
      </c>
      <c r="AI136" s="63" t="e">
        <f>IF(SummaryTable[[#This Row],[OriginalBudget25]]=0, IF(SummaryTable[[#This Row],[DiffAmount25]]=0, ZeroBudgetNoSpending, ZeroBudgetWithSpending), SummaryTable[[#This Row],[DiffAmount25]]/SummaryTable[[#This Row],[OriginalBudget25]])</f>
        <v>#N/A</v>
      </c>
      <c r="AJ136" s="62">
        <f>IF(COUNTIFS(allFYsTable[Code], SummaryTable[[#This Row],[Code]], allFYsTable[year2], AJ$3)=0, NotFound, SUMIFS(allFYsTable[OriginalBudget], allFYsTable[Code], SummaryTable[[#This Row],[Code]], allFYsTable[year2], AJ$3))</f>
        <v>0</v>
      </c>
      <c r="AK136" s="61" t="e">
        <f>SummaryTable[[#This Row],[OriginalBudget24]]-SummaryTable[[#This Row],[OriginalBudget23]]</f>
        <v>#N/A</v>
      </c>
      <c r="AL136" s="54" t="e">
        <f>SummaryTable[[#This Row],[BudgetIncreaseAmount24]]/SummaryTable[[#This Row],[OriginalBudget23]]</f>
        <v>#N/A</v>
      </c>
      <c r="AM136" s="61">
        <f>IF(COUNTIFS(allFYsTable[Code], SummaryTable[[#This Row],[Code]], allFYsTable[year2], AK$3)=0, NotFound, SUMIFS(allFYsTable[RevisedBudget], allFYsTable[Code], SummaryTable[[#This Row],[Code]], allFYsTable[year2], AJ$3))</f>
        <v>0</v>
      </c>
      <c r="AN136" s="61">
        <f>IF(COUNTIFS(allFYsTable[Code], SummaryTable[[#This Row],[Code]], allFYsTable[year2], AJ$3)=0, NotFound, SUMIFS(allFYsTable[Actual], allFYsTable[Code], SummaryTable[[#This Row],[Code]], allFYsTable[year2], AJ$3))</f>
        <v>0</v>
      </c>
      <c r="AO136" s="61">
        <f>IF(COUNTIFS(allFYsTable[Code], SummaryTable[[#This Row],[Code]], allFYsTable[year2], AJ$3)=0, NotFound, SUMIFS(allFYsTable[DiffAmount], allFYsTable[Code], SummaryTable[[#This Row],[Code]], allFYsTable[year2], AJ$3))</f>
        <v>0</v>
      </c>
      <c r="AP136" s="63">
        <f>IF(SummaryTable[[#This Row],[OriginalBudget24]]=0, IF(SummaryTable[[#This Row],[DiffAmount24]]=0, ZeroBudgetNoSpending, ZeroBudgetWithSpending), SummaryTable[[#This Row],[DiffAmount24]]/SummaryTable[[#This Row],[OriginalBudget24]])</f>
        <v>0</v>
      </c>
      <c r="AQ136" s="62" t="e">
        <f>IF(COUNTIFS(allFYsTable[Code], SummaryTable[[#This Row],[Code]], allFYsTable[year2], AQ$3)=0, NotFound, SUMIFS(allFYsTable[OriginalBudget], allFYsTable[Code], SummaryTable[[#This Row],[Code]], allFYsTable[year2], AQ$3))</f>
        <v>#N/A</v>
      </c>
      <c r="AR136" s="61" t="e">
        <f>SummaryTable[[#This Row],[OriginalBudget23]]-SummaryTable[[#This Row],[OriginalBudget22]]</f>
        <v>#N/A</v>
      </c>
      <c r="AS136" s="54" t="e">
        <f>SummaryTable[[#This Row],[BudgetIncreaseAmount23]]/SummaryTable[[#This Row],[OriginalBudget22]]</f>
        <v>#N/A</v>
      </c>
      <c r="AT136" s="61" t="e">
        <f>IF(COUNTIFS(allFYsTable[Code], SummaryTable[[#This Row],[Code]], allFYsTable[year2], AQ$3)=0, NotFound, SUMIFS(allFYsTable[RevisedBudget], allFYsTable[Code], SummaryTable[[#This Row],[Code]], allFYsTable[year2], AQ$3))</f>
        <v>#N/A</v>
      </c>
      <c r="AU136" s="61" t="e">
        <f>IF(COUNTIFS(allFYsTable[Code], SummaryTable[[#This Row],[Code]], allFYsTable[year2], AQ$3)=0, NotFound, SUMIFS(allFYsTable[Actual], allFYsTable[Code], SummaryTable[[#This Row],[Code]], allFYsTable[year2], AQ$3))</f>
        <v>#N/A</v>
      </c>
      <c r="AV136" s="61" t="e">
        <f>IF(COUNTIFS(allFYsTable[Code], SummaryTable[[#This Row],[Code]], allFYsTable[year2], AQ$3)=0, NotFound, SUMIFS(allFYsTable[DiffAmount], allFYsTable[Code], SummaryTable[[#This Row],[Code]], allFYsTable[year2], AQ$3))</f>
        <v>#N/A</v>
      </c>
      <c r="AW136" s="63" t="e">
        <f>IF(SummaryTable[[#This Row],[OriginalBudget23]]=0, IF(SummaryTable[[#This Row],[DiffAmount23]]=0, ZeroBudgetNoSpending, ZeroBudgetWithSpending), SummaryTable[[#This Row],[DiffAmount23]]/SummaryTable[[#This Row],[OriginalBudget23]])</f>
        <v>#N/A</v>
      </c>
      <c r="AX136" s="62" t="e">
        <f>IF(COUNTIFS(allFYsTable[Code], SummaryTable[[#This Row],[Code]], allFYsTable[year2], AX$3)=0, NotFound, SUMIFS(allFYsTable[OriginalBudget], allFYsTable[Code], SummaryTable[[#This Row],[Code]], allFYsTable[year2], AX$3))</f>
        <v>#N/A</v>
      </c>
      <c r="AY136" s="61" t="e">
        <f>SummaryTable[[#This Row],[OriginalBudget22]]-SummaryTable[[#This Row],[OriginalBudget21]]</f>
        <v>#N/A</v>
      </c>
      <c r="AZ136" s="54" t="e">
        <f>SummaryTable[[#This Row],[BudgetIncreaseAmount22]]/SummaryTable[[#This Row],[OriginalBudget21]]</f>
        <v>#N/A</v>
      </c>
      <c r="BA136" s="61" t="e">
        <f>IF(COUNTIFS(allFYsTable[Code], SummaryTable[[#This Row],[Code]], allFYsTable[year2], AX$3)=0, NotFound, SUMIFS(allFYsTable[RevisedBudget], allFYsTable[Code], SummaryTable[[#This Row],[Code]], allFYsTable[year2], AX$3))</f>
        <v>#N/A</v>
      </c>
      <c r="BB136" s="61" t="e">
        <f>IF(COUNTIFS(allFYsTable[Code], SummaryTable[[#This Row],[Code]], allFYsTable[year2], AX$3)=0, NotFound, SUMIFS(allFYsTable[Actual], allFYsTable[Code], SummaryTable[[#This Row],[Code]], allFYsTable[year2], AX$3))</f>
        <v>#N/A</v>
      </c>
      <c r="BC136" s="61" t="e">
        <f>IF(COUNTIFS(allFYsTable[Code], SummaryTable[[#This Row],[Code]], allFYsTable[year2], AX$3)=0, NotFound, SUMIFS(allFYsTable[DiffAmount], allFYsTable[Code], SummaryTable[[#This Row],[Code]], allFYsTable[year2], AX$3))</f>
        <v>#N/A</v>
      </c>
      <c r="BD136" s="63" t="e">
        <f>IF(SummaryTable[[#This Row],[OriginalBudget22]]=0, IF(SummaryTable[[#This Row],[DiffAmount22]]=0, ZeroBudgetNoSpending, ZeroBudgetWithSpending), SummaryTable[[#This Row],[DiffAmount22]]/SummaryTable[[#This Row],[OriginalBudget22]])</f>
        <v>#N/A</v>
      </c>
      <c r="BE136" s="62" t="e">
        <f>IF(COUNTIFS(allFYsTable[Code], SummaryTable[[#This Row],[Code]], allFYsTable[year2], BE$3)=0, NotFound, SUMIFS(allFYsTable[OriginalBudget], allFYsTable[Code], SummaryTable[[#This Row],[Code]], allFYsTable[year2], BE$3))</f>
        <v>#N/A</v>
      </c>
      <c r="BF136" s="61" t="e">
        <f>SummaryTable[[#This Row],[OriginalBudget21]]-SummaryTable[[#This Row],[OriginalBudget20]]</f>
        <v>#N/A</v>
      </c>
      <c r="BG136" s="54" t="e">
        <f>SummaryTable[[#This Row],[BudgetIncreaseAmount21]]/SummaryTable[[#This Row],[OriginalBudget20]]</f>
        <v>#N/A</v>
      </c>
      <c r="BH136" s="61" t="e">
        <f>IF(COUNTIFS(allFYsTable[Code], SummaryTable[[#This Row],[Code]], allFYsTable[year2], BE$3)=0, NotFound, SUMIFS(allFYsTable[RevisedBudget], allFYsTable[Code], SummaryTable[[#This Row],[Code]], allFYsTable[year2], BE$3))</f>
        <v>#N/A</v>
      </c>
      <c r="BI136" s="61" t="e">
        <f>IF(COUNTIFS(allFYsTable[Code], SummaryTable[[#This Row],[Code]], allFYsTable[year2], BE$3)=0, NotFound, SUMIFS(allFYsTable[Actual], allFYsTable[Code], SummaryTable[[#This Row],[Code]], allFYsTable[year2], BE$3))</f>
        <v>#N/A</v>
      </c>
      <c r="BJ136" s="61" t="e">
        <f>IF(COUNTIFS(allFYsTable[Code], SummaryTable[[#This Row],[Code]], allFYsTable[year2], BE$3)=0, NotFound, SUMIFS(allFYsTable[DiffAmount], allFYsTable[Code], SummaryTable[[#This Row],[Code]], allFYsTable[year2], BE$3))</f>
        <v>#N/A</v>
      </c>
      <c r="BK136" s="63" t="e">
        <f>IF(SummaryTable[[#This Row],[OriginalBudget21]]=0, IF(SummaryTable[[#This Row],[DiffAmount21]]=0, ZeroBudgetNoSpending, ZeroBudgetWithSpending), SummaryTable[[#This Row],[DiffAmount21]]/SummaryTable[[#This Row],[OriginalBudget21]])</f>
        <v>#N/A</v>
      </c>
      <c r="BL136" s="62" t="e">
        <f>IF(COUNTIFS(allFYsTable[Code], SummaryTable[[#This Row],[Code]], allFYsTable[year2], BL$3)=0, NotFound, SUMIFS(allFYsTable[OriginalBudget], allFYsTable[Code], SummaryTable[[#This Row],[Code]], allFYsTable[year2], BL$3))</f>
        <v>#N/A</v>
      </c>
      <c r="BM136" s="61" t="e">
        <f>SummaryTable[[#This Row],[OriginalBudget20]]-SummaryTable[[#This Row],[OriginalBudget19]]</f>
        <v>#N/A</v>
      </c>
      <c r="BN136" s="54" t="e">
        <f>SummaryTable[[#This Row],[BudgetIncreaseAmount20]]/SummaryTable[[#This Row],[OriginalBudget19]]</f>
        <v>#N/A</v>
      </c>
      <c r="BO136" s="61" t="e">
        <f>IF(COUNTIFS(allFYsTable[Code], SummaryTable[[#This Row],[Code]], allFYsTable[year2], BL$3)=0, NotFound, SUMIFS(allFYsTable[RevisedBudget], allFYsTable[Code], SummaryTable[[#This Row],[Code]], allFYsTable[year2], BL$3))</f>
        <v>#N/A</v>
      </c>
      <c r="BP136" s="61" t="e">
        <f>IF(COUNTIFS(allFYsTable[Code], SummaryTable[[#This Row],[Code]], allFYsTable[year2], BL$3)=0, NotFound, SUMIFS(allFYsTable[Actual], allFYsTable[Code], SummaryTable[[#This Row],[Code]], allFYsTable[year2], BL$3))</f>
        <v>#N/A</v>
      </c>
      <c r="BQ136" s="61" t="e">
        <f>IF(COUNTIFS(allFYsTable[Code], SummaryTable[[#This Row],[Code]], allFYsTable[year2], BL$3)=0, NotFound, SUMIFS(allFYsTable[DiffAmount], allFYsTable[Code], SummaryTable[[#This Row],[Code]], allFYsTable[year2], BL$3))</f>
        <v>#N/A</v>
      </c>
      <c r="BR136" s="63" t="e">
        <f>IF(SummaryTable[[#This Row],[OriginalBudget20]]=0, IF(SummaryTable[[#This Row],[DiffAmount20]]=0, ZeroBudgetNoSpending, ZeroBudgetWithSpending), SummaryTable[[#This Row],[DiffAmount20]]/SummaryTable[[#This Row],[OriginalBudget20]])</f>
        <v>#N/A</v>
      </c>
      <c r="BS136" s="62">
        <f>IF(COUNTIFS(allFYsTable[Code], SummaryTable[[#This Row],[Code]], allFYsTable[year2], BS$3)=0, NotFound, SUMIFS(allFYsTable[OriginalBudget], allFYsTable[Code], SummaryTable[[#This Row],[Code]], allFYsTable[year2], BS$3))</f>
        <v>0</v>
      </c>
      <c r="BT136" s="61" t="e">
        <f>SummaryTable[[#This Row],[OriginalBudget19]]-SummaryTable[[#This Row],[OriginalBudget18]]</f>
        <v>#N/A</v>
      </c>
      <c r="BU136" s="54" t="e">
        <f>SummaryTable[[#This Row],[BudgetIncreaseAmount19]]/SummaryTable[[#This Row],[OriginalBudget18]]</f>
        <v>#N/A</v>
      </c>
      <c r="BV136" s="61">
        <f>IF(COUNTIFS(allFYsTable[Code], SummaryTable[[#This Row],[Code]], allFYsTable[year2], BS$3)=0, NotFound, SUMIFS(allFYsTable[RevisedBudget], allFYsTable[Code], SummaryTable[[#This Row],[Code]], allFYsTable[year2], BS$3))</f>
        <v>14</v>
      </c>
      <c r="BW136" s="61">
        <f>IF(COUNTIFS(allFYsTable[Code], SummaryTable[[#This Row],[Code]], allFYsTable[year2], BS$3)=0, NotFound, SUMIFS(allFYsTable[Actual], allFYsTable[Code], SummaryTable[[#This Row],[Code]], allFYsTable[year2], BS$3))</f>
        <v>14</v>
      </c>
      <c r="BX136" s="61">
        <f>IF(COUNTIFS(allFYsTable[Code], SummaryTable[[#This Row],[Code]], allFYsTable[year2], BS$3)=0, NotFound, SUMIFS(allFYsTable[DiffAmount], allFYsTable[Code], SummaryTable[[#This Row],[Code]], allFYsTable[year2], BS$3))</f>
        <v>14</v>
      </c>
      <c r="BY136" s="63">
        <f>IF(SummaryTable[[#This Row],[OriginalBudget19]]=0, IF(SummaryTable[[#This Row],[DiffAmount19]]=0, ZeroBudgetNoSpending, ZeroBudgetWithSpending), SummaryTable[[#This Row],[DiffAmount19]]/SummaryTable[[#This Row],[OriginalBudget19]])</f>
        <v>99.99</v>
      </c>
      <c r="BZ136" s="62" t="e">
        <f>IF(COUNTIFS(allFYsTable[Code], SummaryTable[[#This Row],[Code]], allFYsTable[year2], BZ$3)=0, NotFound, SUMIFS(allFYsTable[OriginalBudget], allFYsTable[Code], SummaryTable[[#This Row],[Code]], allFYsTable[year2], BZ$3))</f>
        <v>#N/A</v>
      </c>
      <c r="CA136" s="61" t="e">
        <f>SummaryTable[[#This Row],[OriginalBudget18]]-SummaryTable[[#This Row],[OriginalBudget17]]</f>
        <v>#N/A</v>
      </c>
      <c r="CB136" s="54" t="e">
        <f>SummaryTable[[#This Row],[BudgetIncreaseAmount18]]/SummaryTable[[#This Row],[OriginalBudget17]]</f>
        <v>#N/A</v>
      </c>
      <c r="CC136" s="61" t="e">
        <f>IF(COUNTIFS(allFYsTable[Code], SummaryTable[[#This Row],[Code]], allFYsTable[year2], BZ$3)=0, NotFound, SUMIFS(allFYsTable[RevisedBudget], allFYsTable[Code], SummaryTable[[#This Row],[Code]], allFYsTable[year2], BZ$3))</f>
        <v>#N/A</v>
      </c>
      <c r="CD136" s="61" t="e">
        <f>IF(COUNTIFS(allFYsTable[Code], SummaryTable[[#This Row],[Code]], allFYsTable[year2], BZ$3)=0, NotFound, SUMIFS(allFYsTable[Actual], allFYsTable[Code], SummaryTable[[#This Row],[Code]], allFYsTable[year2], BZ$3))</f>
        <v>#N/A</v>
      </c>
      <c r="CE136" s="61" t="e">
        <f>IF(COUNTIFS(allFYsTable[Code], SummaryTable[[#This Row],[Code]], allFYsTable[year2], BZ$3)=0, NotFound, SUMIFS(allFYsTable[DiffAmount], allFYsTable[Code], SummaryTable[[#This Row],[Code]], allFYsTable[year2], BZ$3))</f>
        <v>#N/A</v>
      </c>
      <c r="CF136" s="63" t="e">
        <f>IF(SummaryTable[[#This Row],[OriginalBudget18]]=0, IF(SummaryTable[[#This Row],[DiffAmount18]]=0, ZeroBudgetNoSpending, ZeroBudgetWithSpending), SummaryTable[[#This Row],[DiffAmount18]]/SummaryTable[[#This Row],[OriginalBudget18]])</f>
        <v>#N/A</v>
      </c>
      <c r="CG136" s="62" t="e">
        <f>IF(COUNTIFS(allFYsTable[Code], SummaryTable[[#This Row],[Code]], allFYsTable[year2], CG$3)=0, NotFound, SUMIFS(allFYsTable[OriginalBudget], allFYsTable[Code], SummaryTable[[#This Row],[Code]], allFYsTable[year2], CG$3))</f>
        <v>#N/A</v>
      </c>
      <c r="CH136" s="61" t="e">
        <f>SummaryTable[[#This Row],[OriginalBudget17]]-SummaryTable[[#This Row],[OriginalBudget16]]</f>
        <v>#N/A</v>
      </c>
      <c r="CI136" s="54" t="e">
        <f>SummaryTable[[#This Row],[BudgetIncreaseAmount17]]/SummaryTable[[#This Row],[OriginalBudget16]]</f>
        <v>#N/A</v>
      </c>
      <c r="CJ136" s="61" t="e">
        <f>IF(COUNTIFS(allFYsTable[Code], SummaryTable[[#This Row],[Code]], allFYsTable[year2], CG$3)=0, NotFound, SUMIFS(allFYsTable[RevisedBudget], allFYsTable[Code], SummaryTable[[#This Row],[Code]], allFYsTable[year2], CG$3))</f>
        <v>#N/A</v>
      </c>
      <c r="CK136" s="61" t="e">
        <f>IF(COUNTIFS(allFYsTable[Code], SummaryTable[[#This Row],[Code]], allFYsTable[year2], CG$3)=0, NotFound, SUMIFS(allFYsTable[Actual], allFYsTable[Code], SummaryTable[[#This Row],[Code]], allFYsTable[year2], CG$3))</f>
        <v>#N/A</v>
      </c>
      <c r="CL136" s="61" t="e">
        <f>IF(COUNTIFS(allFYsTable[Code], SummaryTable[[#This Row],[Code]], allFYsTable[year2], CG$3)=0, NotFound, SUMIFS(allFYsTable[DiffAmount], allFYsTable[Code], SummaryTable[[#This Row],[Code]], allFYsTable[year2], CG$3))</f>
        <v>#N/A</v>
      </c>
      <c r="CM136" s="63" t="e">
        <f>IF(SummaryTable[[#This Row],[OriginalBudget17]]=0, IF(SummaryTable[[#This Row],[DiffAmount17]]=0, ZeroBudgetNoSpending, ZeroBudgetWithSpending), SummaryTable[[#This Row],[DiffAmount17]]/SummaryTable[[#This Row],[OriginalBudget17]])</f>
        <v>#N/A</v>
      </c>
      <c r="CN136" s="62">
        <f>IF(COUNTIFS(allFYsTable[Code], SummaryTable[[#This Row],[Code]], allFYsTable[year2], CN$3)=0, NotFound, SUMIFS(allFYsTable[OriginalBudget], allFYsTable[Code], SummaryTable[[#This Row],[Code]], allFYsTable[year2], CN$3))</f>
        <v>0</v>
      </c>
      <c r="CO136" s="61" t="e">
        <f>SummaryTable[[#This Row],[OriginalBudget16]]-SummaryTable[[#This Row],[OriginalBudget15]]</f>
        <v>#N/A</v>
      </c>
      <c r="CP136" s="54" t="e">
        <f>SummaryTable[[#This Row],[BudgetIncreaseAmount16]]/SummaryTable[[#This Row],[OriginalBudget15]]</f>
        <v>#N/A</v>
      </c>
      <c r="CQ136" s="61">
        <f>IF(COUNTIFS(allFYsTable[Code], SummaryTable[[#This Row],[Code]], allFYsTable[year2], CN$3)=0, NotFound, SUMIFS(allFYsTable[RevisedBudget], allFYsTable[Code], SummaryTable[[#This Row],[Code]], allFYsTable[year2], CN$3))</f>
        <v>938</v>
      </c>
      <c r="CR136" s="61">
        <f>IF(COUNTIFS(allFYsTable[Code], SummaryTable[[#This Row],[Code]], allFYsTable[year2], CN$3)=0, NotFound, SUMIFS(allFYsTable[Actual], allFYsTable[Code], SummaryTable[[#This Row],[Code]], allFYsTable[year2], CN$3))</f>
        <v>938</v>
      </c>
      <c r="CS136" s="61">
        <f>IF(COUNTIFS(allFYsTable[Code], SummaryTable[[#This Row],[Code]], allFYsTable[year2], CN$3)=0, NotFound, SUMIFS(allFYsTable[DiffAmount], allFYsTable[Code], SummaryTable[[#This Row],[Code]], allFYsTable[year2], CN$3))</f>
        <v>938</v>
      </c>
      <c r="CT136" s="63">
        <f>IF(SummaryTable[[#This Row],[OriginalBudget16]]=0, IF(SummaryTable[[#This Row],[DiffAmount16]]=0, ZeroBudgetNoSpending, ZeroBudgetWithSpending), SummaryTable[[#This Row],[DiffAmount16]]/SummaryTable[[#This Row],[OriginalBudget16]])</f>
        <v>99.99</v>
      </c>
      <c r="CU136" s="62" t="e">
        <f>IF(COUNTIFS(allFYsTable[Code], SummaryTable[[#This Row],[Code]], allFYsTable[year2], CU$3)=0, NotFound, SUMIFS(allFYsTable[OriginalBudget], allFYsTable[Code], SummaryTable[[#This Row],[Code]], allFYsTable[year2], CU$3))</f>
        <v>#N/A</v>
      </c>
      <c r="CV136" s="61" t="e">
        <f>SummaryTable[[#This Row],[OriginalBudget15]]-SummaryTable[[#This Row],[OriginalBudget14]]</f>
        <v>#N/A</v>
      </c>
      <c r="CW136" s="54" t="e">
        <f>SummaryTable[[#This Row],[BudgetIncreaseAmount15]]/SummaryTable[[#This Row],[OriginalBudget14]]</f>
        <v>#N/A</v>
      </c>
      <c r="CX136" s="61" t="e">
        <f>IF(COUNTIFS(allFYsTable[Code], SummaryTable[[#This Row],[Code]], allFYsTable[year2], CU$3)=0, NotFound, SUMIFS(allFYsTable[RevisedBudget], allFYsTable[Code], SummaryTable[[#This Row],[Code]], allFYsTable[year2], CU$3))</f>
        <v>#N/A</v>
      </c>
      <c r="CY136" s="61" t="e">
        <f>IF(COUNTIFS(allFYsTable[Code], SummaryTable[[#This Row],[Code]], allFYsTable[year2], CU$3)=0, NotFound, SUMIFS(allFYsTable[Actual], allFYsTable[Code], SummaryTable[[#This Row],[Code]], allFYsTable[year2], CU$3))</f>
        <v>#N/A</v>
      </c>
      <c r="CZ136" s="61" t="e">
        <f>IF(COUNTIFS(allFYsTable[Code], SummaryTable[[#This Row],[Code]], allFYsTable[year2], CU$3)=0, NotFound, SUMIFS(allFYsTable[DiffAmount], allFYsTable[Code], SummaryTable[[#This Row],[Code]], allFYsTable[year2], CU$3))</f>
        <v>#N/A</v>
      </c>
      <c r="DA136" s="63" t="e">
        <f>IF(SummaryTable[[#This Row],[OriginalBudget15]]=0, IF(SummaryTable[[#This Row],[DiffAmount15]]=0, ZeroBudgetNoSpending, ZeroBudgetWithSpending), SummaryTable[[#This Row],[DiffAmount15]]/SummaryTable[[#This Row],[OriginalBudget15]])</f>
        <v>#N/A</v>
      </c>
      <c r="DB136" s="62">
        <f>IF(COUNTIFS(allFYsTable[Code], SummaryTable[[#This Row],[Code]], allFYsTable[year2], DB$3)=0, NotFound, SUMIFS(allFYsTable[OriginalBudget], allFYsTable[Code], SummaryTable[[#This Row],[Code]], allFYsTable[year2], DB$3))</f>
        <v>0</v>
      </c>
      <c r="DC136" s="61" t="e">
        <f>SummaryTable[[#This Row],[OriginalBudget14]]-SummaryTable[[#This Row],[OriginalBudget13]]</f>
        <v>#N/A</v>
      </c>
      <c r="DD136" s="54" t="e">
        <f>SummaryTable[[#This Row],[BudgetIncreaseAmount14]]/SummaryTable[[#This Row],[OriginalBudget13]]</f>
        <v>#N/A</v>
      </c>
      <c r="DE136" s="61">
        <f>IF(COUNTIFS(allFYsTable[Code], SummaryTable[[#This Row],[Code]], allFYsTable[year2], DB$3)=0, NotFound, SUMIFS(allFYsTable[RevisedBudget], allFYsTable[Code], SummaryTable[[#This Row],[Code]], allFYsTable[year2], DB$3))</f>
        <v>3798</v>
      </c>
      <c r="DF136" s="61">
        <f>IF(COUNTIFS(allFYsTable[Code], SummaryTable[[#This Row],[Code]], allFYsTable[year2], DB$3)=0, NotFound, SUMIFS(allFYsTable[Actual], allFYsTable[Code], SummaryTable[[#This Row],[Code]], allFYsTable[year2], DB$3))</f>
        <v>3798</v>
      </c>
      <c r="DG136" s="61">
        <f>IF(COUNTIFS(allFYsTable[Code], SummaryTable[[#This Row],[Code]], allFYsTable[year2], DB$3)=0, NotFound, SUMIFS(allFYsTable[DiffAmount], allFYsTable[Code], SummaryTable[[#This Row],[Code]], allFYsTable[year2], DB$3))</f>
        <v>3798</v>
      </c>
      <c r="DH136" s="63">
        <f>IF(SummaryTable[[#This Row],[OriginalBudget14]]=0, IF(SummaryTable[[#This Row],[DiffAmount14]]=0, ZeroBudgetNoSpending, ZeroBudgetWithSpending), SummaryTable[[#This Row],[DiffAmount14]]/SummaryTable[[#This Row],[OriginalBudget14]])</f>
        <v>99.99</v>
      </c>
      <c r="DI136" s="62" t="e">
        <f>IF(COUNTIFS(allFYsTable[Code], SummaryTable[[#This Row],[Code]], allFYsTable[year2], DI$3)=0, NotFound, SUMIFS(allFYsTable[OriginalBudget], allFYsTable[Code], SummaryTable[[#This Row],[Code]], allFYsTable[year2], DI$3))</f>
        <v>#N/A</v>
      </c>
      <c r="DJ136" s="61" t="e">
        <f>SummaryTable[[#This Row],[OriginalBudget13]]-SummaryTable[[#This Row],[OriginalBudget12]]</f>
        <v>#N/A</v>
      </c>
      <c r="DK136" s="54" t="e">
        <f>SummaryTable[[#This Row],[BudgetIncreaseAmount13]]/SummaryTable[[#This Row],[OriginalBudget12]]</f>
        <v>#N/A</v>
      </c>
      <c r="DL136" s="61" t="e">
        <f>IF(COUNTIFS(allFYsTable[Code], SummaryTable[[#This Row],[Code]], allFYsTable[year2], DI$3)=0, NotFound, SUMIFS(allFYsTable[RevisedBudget], allFYsTable[Code], SummaryTable[[#This Row],[Code]], allFYsTable[year2], DI$3))</f>
        <v>#N/A</v>
      </c>
      <c r="DM136" s="61" t="e">
        <f>IF(COUNTIFS(allFYsTable[Code], SummaryTable[[#This Row],[Code]], allFYsTable[year2], DI$3)=0, NotFound, SUMIFS(allFYsTable[Actual], allFYsTable[Code], SummaryTable[[#This Row],[Code]], allFYsTable[year2], DI$3))</f>
        <v>#N/A</v>
      </c>
      <c r="DN136" s="61" t="e">
        <f>IF(COUNTIFS(allFYsTable[Code], SummaryTable[[#This Row],[Code]], allFYsTable[year2], DI$3)=0, NotFound, SUMIFS(allFYsTable[DiffAmount], allFYsTable[Code], SummaryTable[[#This Row],[Code]], allFYsTable[year2], DI$3))</f>
        <v>#N/A</v>
      </c>
      <c r="DO136" s="63" t="e">
        <f>IF(SummaryTable[[#This Row],[OriginalBudget13]]=0, IF(SummaryTable[[#This Row],[DiffAmount13]]=0, ZeroBudgetNoSpending, ZeroBudgetWithSpending), SummaryTable[[#This Row],[DiffAmount13]]/SummaryTable[[#This Row],[OriginalBudget13]])</f>
        <v>#N/A</v>
      </c>
      <c r="DP136" s="62" t="e">
        <f>IF(COUNTIFS(allFYsTable[Code], SummaryTable[[#This Row],[Code]], allFYsTable[year2], DP$3)=0, NotFound, SUMIFS(allFYsTable[OriginalBudget], allFYsTable[Code], SummaryTable[[#This Row],[Code]], allFYsTable[year2], DP$3))</f>
        <v>#N/A</v>
      </c>
      <c r="DQ136" s="61" t="e">
        <f>SummaryTable[[#This Row],[OriginalBudget12]]-SummaryTable[[#This Row],[OriginalBudget11]]</f>
        <v>#N/A</v>
      </c>
      <c r="DR136" s="54" t="e">
        <f>SummaryTable[[#This Row],[BudgetIncreaseAmount12]]/SummaryTable[[#This Row],[OriginalBudget11]]</f>
        <v>#N/A</v>
      </c>
      <c r="DS136" s="61" t="e">
        <f>IF(COUNTIFS(allFYsTable[Code], SummaryTable[[#This Row],[Code]], allFYsTable[year2], DP$3)=0, NotFound, SUMIFS(allFYsTable[RevisedBudget], allFYsTable[Code], SummaryTable[[#This Row],[Code]], allFYsTable[year2], DP$3))</f>
        <v>#N/A</v>
      </c>
      <c r="DT136" s="61" t="e">
        <f>IF(COUNTIFS(allFYsTable[Code], SummaryTable[[#This Row],[Code]], allFYsTable[year2], DP$3)=0, NotFound, SUMIFS(allFYsTable[Actual], allFYsTable[Code], SummaryTable[[#This Row],[Code]], allFYsTable[year2], DP$3))</f>
        <v>#N/A</v>
      </c>
      <c r="DU136" s="61" t="e">
        <f>IF(COUNTIFS(allFYsTable[Code], SummaryTable[[#This Row],[Code]], allFYsTable[year2], DP$3)=0, NotFound, SUMIFS(allFYsTable[DiffAmount], allFYsTable[Code], SummaryTable[[#This Row],[Code]], allFYsTable[year2], DP$3))</f>
        <v>#N/A</v>
      </c>
      <c r="DV136" s="63" t="e">
        <f>IF(SummaryTable[[#This Row],[OriginalBudget12]]=0, IF(SummaryTable[[#This Row],[DiffAmount12]]=0, ZeroBudgetNoSpending, ZeroBudgetWithSpending), SummaryTable[[#This Row],[DiffAmount12]]/SummaryTable[[#This Row],[OriginalBudget12]])</f>
        <v>#N/A</v>
      </c>
      <c r="DW136" s="62" t="e">
        <f>IF(COUNTIFS(allFYsTable[Code], SummaryTable[[#This Row],[Code]], allFYsTable[year2], DW$3)=0, NotFound, SUMIFS(allFYsTable[OriginalBudget], allFYsTable[Code], SummaryTable[[#This Row],[Code]], allFYsTable[year2], DW$3))</f>
        <v>#N/A</v>
      </c>
      <c r="DX136" s="61" t="e">
        <f>SummaryTable[[#This Row],[OriginalBudget11]]-SummaryTable[[#This Row],[OriginalBudget10]]</f>
        <v>#N/A</v>
      </c>
      <c r="DY136" s="54" t="e">
        <f>SummaryTable[[#This Row],[BudgetIncreaseAmount11]]/SummaryTable[[#This Row],[OriginalBudget10]]</f>
        <v>#N/A</v>
      </c>
      <c r="DZ136" s="61" t="e">
        <f>IF(COUNTIFS(allFYsTable[Code], SummaryTable[[#This Row],[Code]], allFYsTable[year2], DW$3)=0, NotFound, SUMIFS(allFYsTable[RevisedBudget], allFYsTable[Code], SummaryTable[[#This Row],[Code]], allFYsTable[year2], DW$3))</f>
        <v>#N/A</v>
      </c>
      <c r="EA136" s="61" t="e">
        <f>IF(COUNTIFS(allFYsTable[Code], SummaryTable[[#This Row],[Code]], allFYsTable[year2], DW$3)=0, NotFound, SUMIFS(allFYsTable[Actual], allFYsTable[Code], SummaryTable[[#This Row],[Code]], allFYsTable[year2], DW$3))</f>
        <v>#N/A</v>
      </c>
      <c r="EB136" s="61" t="e">
        <f>IF(COUNTIFS(allFYsTable[Code], SummaryTable[[#This Row],[Code]], allFYsTable[year2], DW$3)=0, NotFound, SUMIFS(allFYsTable[DiffAmount], allFYsTable[Code], SummaryTable[[#This Row],[Code]], allFYsTable[year2], DW$3))</f>
        <v>#N/A</v>
      </c>
      <c r="EC136" s="63" t="e">
        <f>IF(SummaryTable[[#This Row],[OriginalBudget11]]=0, IF(SummaryTable[[#This Row],[DiffAmount11]]=0, ZeroBudgetNoSpending, ZeroBudgetWithSpending), SummaryTable[[#This Row],[DiffAmount11]]/SummaryTable[[#This Row],[OriginalBudget11]])</f>
        <v>#N/A</v>
      </c>
      <c r="ED136" s="62" t="e">
        <f>IF(COUNTIFS(allFYsTable[Code], SummaryTable[[#This Row],[Code]], allFYsTable[year2], ED$3)=0, NotFound, SUMIFS(allFYsTable[OriginalBudget], allFYsTable[Code], SummaryTable[[#This Row],[Code]], allFYsTable[year2], ED$3))</f>
        <v>#N/A</v>
      </c>
      <c r="EE136" s="61" t="e">
        <f>SummaryTable[[#This Row],[OriginalBudget10]]-SummaryTable[[#This Row],[OriginalBudget09]]</f>
        <v>#N/A</v>
      </c>
      <c r="EF136" s="54" t="e">
        <f>SummaryTable[[#This Row],[BudgetIncreaseAmount10]]/SummaryTable[[#This Row],[OriginalBudget09]]</f>
        <v>#N/A</v>
      </c>
      <c r="EG136" s="61" t="e">
        <f>IF(COUNTIFS(allFYsTable[Code], SummaryTable[[#This Row],[Code]], allFYsTable[year2], ED$3)=0, NotFound, SUMIFS(allFYsTable[RevisedBudget], allFYsTable[Code], SummaryTable[[#This Row],[Code]], allFYsTable[year2], ED$3))</f>
        <v>#N/A</v>
      </c>
      <c r="EH136" s="61" t="e">
        <f>IF(COUNTIFS(allFYsTable[Code], SummaryTable[[#This Row],[Code]], allFYsTable[year2], ED$3)=0, NotFound, SUMIFS(allFYsTable[Actual], allFYsTable[Code], SummaryTable[[#This Row],[Code]], allFYsTable[year2], ED$3))</f>
        <v>#N/A</v>
      </c>
      <c r="EI136" s="61" t="e">
        <f>IF(COUNTIFS(allFYsTable[Code], SummaryTable[[#This Row],[Code]], allFYsTable[year2], ED$3)=0, NotFound, SUMIFS(allFYsTable[DiffAmount], allFYsTable[Code], SummaryTable[[#This Row],[Code]], allFYsTable[year2], ED$3))</f>
        <v>#N/A</v>
      </c>
      <c r="EJ136" s="63" t="e">
        <f>IF(SummaryTable[[#This Row],[OriginalBudget10]]=0, IF(SummaryTable[[#This Row],[DiffAmount10]]=0, ZeroBudgetNoSpending, ZeroBudgetWithSpending), SummaryTable[[#This Row],[DiffAmount10]]/SummaryTable[[#This Row],[OriginalBudget10]])</f>
        <v>#N/A</v>
      </c>
      <c r="EK136" s="62" t="e">
        <f>IF(COUNTIFS(allFYsTable[Code], SummaryTable[[#This Row],[Code]], allFYsTable[year2], EK$3)=0, NotFound, SUMIFS(allFYsTable[OriginalBudget], allFYsTable[Code], SummaryTable[[#This Row],[Code]], allFYsTable[year2], EK$3))</f>
        <v>#N/A</v>
      </c>
      <c r="EL136" s="61" t="e">
        <f>SummaryTable[[#This Row],[OriginalBudget09]]-SummaryTable[[#This Row],[OriginalBudget08]]</f>
        <v>#N/A</v>
      </c>
      <c r="EM136" s="54" t="e">
        <f>SummaryTable[[#This Row],[BudgetIncreaseAmount09]]/SummaryTable[[#This Row],[OriginalBudget08]]</f>
        <v>#N/A</v>
      </c>
      <c r="EN136" s="61" t="e">
        <f>IF(COUNTIFS(allFYsTable[Code], SummaryTable[[#This Row],[Code]], allFYsTable[year2], EK$3)=0, NotFound, SUMIFS(allFYsTable[RevisedBudget], allFYsTable[Code], SummaryTable[[#This Row],[Code]], allFYsTable[year2], EK$3))</f>
        <v>#N/A</v>
      </c>
      <c r="EO136" s="61" t="e">
        <f>IF(COUNTIFS(allFYsTable[Code], SummaryTable[[#This Row],[Code]], allFYsTable[year2], EK$3)=0, NotFound, SUMIFS(allFYsTable[Actual], allFYsTable[Code], SummaryTable[[#This Row],[Code]], allFYsTable[year2], EK$3))</f>
        <v>#N/A</v>
      </c>
      <c r="EP136" s="61" t="e">
        <f>IF(COUNTIFS(allFYsTable[Code], SummaryTable[[#This Row],[Code]], allFYsTable[year2], EK$3)=0, NotFound, SUMIFS(allFYsTable[DiffAmount], allFYsTable[Code], SummaryTable[[#This Row],[Code]], allFYsTable[year2], EK$3))</f>
        <v>#N/A</v>
      </c>
      <c r="EQ136" s="63" t="e">
        <f>IF(SummaryTable[[#This Row],[OriginalBudget09]]=0, IF(SummaryTable[[#This Row],[DiffAmount09]]=0, ZeroBudgetNoSpending, ZeroBudgetWithSpending), SummaryTable[[#This Row],[DiffAmount09]]/SummaryTable[[#This Row],[OriginalBudget09]])</f>
        <v>#N/A</v>
      </c>
      <c r="ER136" s="62" t="e">
        <f>IF(COUNTIFS(allFYsTable[Code], SummaryTable[[#This Row],[Code]], allFYsTable[year2], ER$3)=0, NotFound, SUMIFS(allFYsTable[OriginalBudget], allFYsTable[Code], SummaryTable[[#This Row],[Code]], allFYsTable[year2], ER$3))</f>
        <v>#N/A</v>
      </c>
      <c r="ES136" s="61" t="e">
        <f>SummaryTable[[#This Row],[OriginalBudget08]]-SummaryTable[[#This Row],[OriginalBudget07]]</f>
        <v>#N/A</v>
      </c>
      <c r="ET136" s="54" t="e">
        <f>SummaryTable[[#This Row],[BudgetIncreaseAmount08]]/SummaryTable[[#This Row],[OriginalBudget07]]</f>
        <v>#N/A</v>
      </c>
      <c r="EU136" s="61" t="e">
        <f>IF(COUNTIFS(allFYsTable[Code], SummaryTable[[#This Row],[Code]], allFYsTable[year2], ER$3)=0, NotFound, SUMIFS(allFYsTable[RevisedBudget], allFYsTable[Code], SummaryTable[[#This Row],[Code]], allFYsTable[year2], ER$3))</f>
        <v>#N/A</v>
      </c>
      <c r="EV136" s="61" t="e">
        <f>IF(COUNTIFS(allFYsTable[Code], SummaryTable[[#This Row],[Code]], allFYsTable[year2], ER$3)=0, NotFound, SUMIFS(allFYsTable[Actual], allFYsTable[Code], SummaryTable[[#This Row],[Code]], allFYsTable[year2], ER$3))</f>
        <v>#N/A</v>
      </c>
      <c r="EW136" s="61" t="e">
        <f>IF(COUNTIFS(allFYsTable[Code], SummaryTable[[#This Row],[Code]], allFYsTable[year2], ER$3)=0, NotFound, SUMIFS(allFYsTable[DiffAmount], allFYsTable[Code], SummaryTable[[#This Row],[Code]], allFYsTable[year2], ER$3))</f>
        <v>#N/A</v>
      </c>
      <c r="EX136" s="63" t="e">
        <f>IF(SummaryTable[[#This Row],[OriginalBudget08]]=0, IF(SummaryTable[[#This Row],[DiffAmount08]]=0, ZeroBudgetNoSpending, ZeroBudgetWithSpending), SummaryTable[[#This Row],[DiffAmount08]]/SummaryTable[[#This Row],[OriginalBudget08]])</f>
        <v>#N/A</v>
      </c>
      <c r="EY136" s="62" t="e">
        <f>IF(COUNTIFS(allFYsTable[Code], SummaryTable[[#This Row],[Code]], allFYsTable[year2], EY$3)=0, NotFound, SUMIFS(allFYsTable[OriginalBudget], allFYsTable[Code], SummaryTable[[#This Row],[Code]], allFYsTable[year2], EY$3))</f>
        <v>#N/A</v>
      </c>
      <c r="EZ136" s="61" t="e">
        <f>SummaryTable[[#This Row],[OriginalBudget07]]-SummaryTable[[#This Row],[OriginalBudget06]]</f>
        <v>#N/A</v>
      </c>
      <c r="FA136" s="54" t="e">
        <f>SummaryTable[[#This Row],[BudgetIncreaseAmount07]]/SummaryTable[[#This Row],[OriginalBudget06]]</f>
        <v>#N/A</v>
      </c>
      <c r="FB136" s="61" t="e">
        <f>IF(COUNTIFS(allFYsTable[Code], SummaryTable[[#This Row],[Code]], allFYsTable[year2], EY$3)=0, NotFound, SUMIFS(allFYsTable[RevisedBudget], allFYsTable[Code], SummaryTable[[#This Row],[Code]], allFYsTable[year2], EY$3))</f>
        <v>#N/A</v>
      </c>
      <c r="FC136" s="61" t="e">
        <f>IF(COUNTIFS(allFYsTable[Code], SummaryTable[[#This Row],[Code]], allFYsTable[year2], EY$3)=0, NotFound, SUMIFS(allFYsTable[Actual], allFYsTable[Code], SummaryTable[[#This Row],[Code]], allFYsTable[year2], EY$3))</f>
        <v>#N/A</v>
      </c>
      <c r="FD136" s="61" t="e">
        <f>IF(COUNTIFS(allFYsTable[Code], SummaryTable[[#This Row],[Code]], allFYsTable[year2], EY$3)=0, NotFound, SUMIFS(allFYsTable[DiffAmount], allFYsTable[Code], SummaryTable[[#This Row],[Code]], allFYsTable[year2], EY$3))</f>
        <v>#N/A</v>
      </c>
      <c r="FE136" s="63" t="e">
        <f>IF(SummaryTable[[#This Row],[OriginalBudget07]]=0, IF(SummaryTable[[#This Row],[DiffAmount07]]=0, ZeroBudgetNoSpending, ZeroBudgetWithSpending), SummaryTable[[#This Row],[DiffAmount07]]/SummaryTable[[#This Row],[OriginalBudget07]])</f>
        <v>#N/A</v>
      </c>
      <c r="FF136" s="62" t="e">
        <f>IF(COUNTIFS(allFYsTable[Code], SummaryTable[[#This Row],[Code]], allFYsTable[year2], FF$3)=0, NotFound, SUMIFS(allFYsTable[OriginalBudget], allFYsTable[Code], SummaryTable[[#This Row],[Code]], allFYsTable[year2], FF$3))</f>
        <v>#N/A</v>
      </c>
      <c r="FI136" s="61" t="e">
        <f>IF(COUNTIFS(allFYsTable[Code], SummaryTable[[#This Row],[Code]], allFYsTable[year2], FF$3)=0, NotFound, SUMIFS(allFYsTable[RevisedBudget], allFYsTable[Code], SummaryTable[[#This Row],[Code]], allFYsTable[year2], FF$3))</f>
        <v>#N/A</v>
      </c>
      <c r="FJ136" s="61" t="e">
        <f>IF(COUNTIFS(allFYsTable[Code], SummaryTable[[#This Row],[Code]], allFYsTable[year2], FF$3)=0, NotFound, SUMIFS(allFYsTable[Actual], allFYsTable[Code], SummaryTable[[#This Row],[Code]], allFYsTable[year2], FF$3))</f>
        <v>#N/A</v>
      </c>
      <c r="FK136" s="61" t="e">
        <f>IF(COUNTIFS(allFYsTable[Code], SummaryTable[[#This Row],[Code]], allFYsTable[year2], FF$3)=0, NotFound, SUMIFS(allFYsTable[DiffAmount], allFYsTable[Code], SummaryTable[[#This Row],[Code]], allFYsTable[year2], FF$3))</f>
        <v>#N/A</v>
      </c>
      <c r="FL136" s="63" t="e">
        <f>IF(SummaryTable[[#This Row],[OriginalBudget06]]=0, IF(SummaryTable[[#This Row],[DiffAmount06]]=0, ZeroBudgetNoSpending, ZeroBudgetWithSpending), SummaryTable[[#This Row],[DiffAmount06]]/SummaryTable[[#This Row],[OriginalBudget06]])</f>
        <v>#N/A</v>
      </c>
    </row>
    <row r="137" spans="1:168" x14ac:dyDescent="0.45">
      <c r="A137" t="s">
        <v>865</v>
      </c>
      <c r="B137">
        <f>_xlfn.MAXIFS(allFYsTable[year2], allFYsTable[Code], SummaryTable[[#This Row],[Code]])</f>
        <v>2024</v>
      </c>
      <c r="C137" t="str">
        <f>_xlfn.XLOOKUP(SummaryTable[[#This Row],[Code]], NameCodingTable[Code], NameCodingTable[Most Recent Category per allFYs])</f>
        <v>Governmental direction and support</v>
      </c>
      <c r="D137" t="str">
        <f>_xlfn.XLOOKUP(SummaryTable[[#This Row],[Code]], NameCodingTable[Code], NameCodingTable[Unit Display Name])</f>
        <v>Section 103 Judgments - Governmental Direction and Support</v>
      </c>
      <c r="E137" t="str">
        <f>_xlfn.XLOOKUP(SummaryTable[[#This Row],[Code]], NameCodingTable[Code], NameCodingTable[Type])</f>
        <v>Section103</v>
      </c>
      <c r="F13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11</v>
      </c>
      <c r="G13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10</v>
      </c>
      <c r="H137" s="54">
        <f>SummaryTable[[#This Row],['# Over]]/SummaryTable[[#This Row],[Count]]</f>
        <v>0.90909090909090906</v>
      </c>
      <c r="I13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37" s="54">
        <f>SummaryTable[[#This Row],['# Under]]/SummaryTable[[#This Row],[Count]]</f>
        <v>0</v>
      </c>
      <c r="K13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37" s="54">
        <f>SummaryTable[[#This Row],['# Equal]]/SummaryTable[[#This Row],[Count]]</f>
        <v>9.0909090909090912E-2</v>
      </c>
      <c r="M137" s="61">
        <f>SUMIFS(allFYsTable[OriginalBudget],allFYsTable[Code],SummaryTable[[#This Row],[Code]])/SummaryTable[[#This Row],[Count]]</f>
        <v>0</v>
      </c>
      <c r="N137" s="61">
        <f>SUMIFS(allFYsTable[Actual],allFYsTable[Code],SummaryTable[[#This Row],[Code]])/SummaryTable[[#This Row],[Count]]</f>
        <v>5506.545454545455</v>
      </c>
      <c r="O137" s="61">
        <f>SummaryTable[[#This Row],[AvgActAmt]]-SummaryTable[[#This Row],[AvgBudAmt]]</f>
        <v>5506.545454545455</v>
      </c>
      <c r="P137" s="54">
        <f>IF(SummaryTable[[#This Row],[AvgBudAmt]]=0, IF(SummaryTable[[#This Row],[AvgDiff'#]]=0, 0, NamedFields!$C$3), SummaryTable[[#This Row],[AvgDiff'#]]/SummaryTable[[#This Row],[AvgBudAmt]])</f>
        <v>99.99</v>
      </c>
      <c r="Q137" s="61">
        <f>IFERROR(SUMIFS(allFYsTable[OriginalBudget],allFYsTable[Code],SummaryTable[[#This Row],[Code]],allFYsTable[DiffAmount], "&gt;0")/SummaryTable[[#This Row],['# Over]], 0)</f>
        <v>0</v>
      </c>
      <c r="R137" s="61">
        <f>IFERROR(SUMIFS(allFYsTable[Actual],allFYsTable[Code],SummaryTable[[#This Row],[Code]],allFYsTable[DiffAmount], "&gt;0")/SummaryTable[[#This Row],['# Over]], 0)</f>
        <v>6057.2</v>
      </c>
      <c r="S137" s="61">
        <f>SummaryTable[[#This Row],[OverAvgAct]]-SummaryTable[[#This Row],[OverAvgBud]]</f>
        <v>6057.2</v>
      </c>
      <c r="T137" s="54">
        <f>IF(SummaryTable[[#This Row],[OverAvgBud]]=0, IF(SummaryTable[[#This Row],[OverAvgDiff'#]]=0, ZeroBudgetNoSpending, ZeroBudgetWithSpending), SummaryTable[[#This Row],[OverAvgDiff'#]]/SummaryTable[[#This Row],[OverAvgBud]])</f>
        <v>99.99</v>
      </c>
      <c r="U137" s="61">
        <f>IFERROR(SUMIFS(allFYsTable[OriginalBudget],allFYsTable[Code],SummaryTable[[#This Row],[Code]],allFYsTable[DiffAmount], "&lt;0")/SummaryTable[[#This Row],['# Under]], 0)</f>
        <v>0</v>
      </c>
      <c r="V137" s="61">
        <f>IFERROR( SUMIFS(allFYsTable[Actual],allFYsTable[Code],SummaryTable[[#This Row],[Code]],allFYsTable[DiffAmount], "&lt;0")/SummaryTable[[#This Row],['# Under]], 0)</f>
        <v>0</v>
      </c>
      <c r="W137" s="61">
        <f>SummaryTable[[#This Row],[UnderAvgAct]]-SummaryTable[[#This Row],[UnderAvgBud]]</f>
        <v>0</v>
      </c>
      <c r="X137" s="54">
        <f>IF(SummaryTable[[#This Row],[UnderAvgBud]]=0, IF(SummaryTable[[#This Row],[UnderAvgDiff'#]]=0, ZeroBudgetNoSpending, NamedFields!$C$3), SummaryTable[[#This Row],[UnderAvgDiff'#]]/SummaryTable[[#This Row],[UnderAvgBud]])</f>
        <v>0</v>
      </c>
      <c r="Y13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3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7" s="54">
        <f>IF(SummaryTable[[#This Row],[IncreaseYears]]=0, ZeroBudgetNoSpending, SummaryTable[[#This Row],[OSinIncreaseYear'#]]/SummaryTable[[#This Row],[IncreaseYears]])</f>
        <v>0</v>
      </c>
      <c r="AB137" s="58" t="str">
        <f>SummaryTable[[#This Row],[Code]]</f>
        <v>XJG</v>
      </c>
      <c r="AC137" s="62" t="e">
        <f>IF(COUNTIFS(allFYsTable[Code], SummaryTable[[#This Row],[Code]], allFYsTable[year2], AC$3)=0, NotFound, SUMIFS(allFYsTable[OriginalBudget], allFYsTable[Code], SummaryTable[[#This Row],[Code]], allFYsTable[year2], AC$3))</f>
        <v>#N/A</v>
      </c>
      <c r="AD137" s="61" t="e">
        <f>SummaryTable[[#This Row],[OriginalBudget25]]-SummaryTable[[#This Row],[OriginalBudget24]]</f>
        <v>#N/A</v>
      </c>
      <c r="AE137" s="54" t="e">
        <f>SummaryTable[[#This Row],[BudgetIncreaseAmount25]]/SummaryTable[[#This Row],[OriginalBudget24]]</f>
        <v>#N/A</v>
      </c>
      <c r="AF137" s="61" t="e">
        <f>IF(COUNTIFS(allFYsTable[Code], SummaryTable[[#This Row],[Code]], allFYsTable[year2], AC$3)=0, NotFound, SUMIFS(allFYsTable[RevisedBudget], allFYsTable[Code], SummaryTable[[#This Row],[Code]], allFYsTable[year2], AC$3))</f>
        <v>#N/A</v>
      </c>
      <c r="AG137" s="61" t="e">
        <f>IF(COUNTIFS(allFYsTable[Code], SummaryTable[[#This Row],[Code]], allFYsTable[year2], AC$3)=0, NotFound, SUMIFS(allFYsTable[Actual], allFYsTable[Code], SummaryTable[[#This Row],[Code]], allFYsTable[year2], AC$3))</f>
        <v>#N/A</v>
      </c>
      <c r="AH137" s="61" t="e">
        <f>IF(COUNTIFS(allFYsTable[Code], SummaryTable[[#This Row],[Code]], allFYsTable[year2], AC$3)=0, NotFound, SUMIFS(allFYsTable[DiffAmount], allFYsTable[Code], SummaryTable[[#This Row],[Code]], allFYsTable[year2], AC$3))</f>
        <v>#N/A</v>
      </c>
      <c r="AI137" s="63" t="e">
        <f>IF(SummaryTable[[#This Row],[OriginalBudget25]]=0, IF(SummaryTable[[#This Row],[DiffAmount25]]=0, ZeroBudgetNoSpending, ZeroBudgetWithSpending), SummaryTable[[#This Row],[DiffAmount25]]/SummaryTable[[#This Row],[OriginalBudget25]])</f>
        <v>#N/A</v>
      </c>
      <c r="AJ137" s="62">
        <f>IF(COUNTIFS(allFYsTable[Code], SummaryTable[[#This Row],[Code]], allFYsTable[year2], AJ$3)=0, NotFound, SUMIFS(allFYsTable[OriginalBudget], allFYsTable[Code], SummaryTable[[#This Row],[Code]], allFYsTable[year2], AJ$3))</f>
        <v>0</v>
      </c>
      <c r="AK137" s="61" t="e">
        <f>SummaryTable[[#This Row],[OriginalBudget24]]-SummaryTable[[#This Row],[OriginalBudget23]]</f>
        <v>#N/A</v>
      </c>
      <c r="AL137" s="54" t="e">
        <f>SummaryTable[[#This Row],[BudgetIncreaseAmount24]]/SummaryTable[[#This Row],[OriginalBudget23]]</f>
        <v>#N/A</v>
      </c>
      <c r="AM137" s="61">
        <f>IF(COUNTIFS(allFYsTable[Code], SummaryTable[[#This Row],[Code]], allFYsTable[year2], AK$3)=0, NotFound, SUMIFS(allFYsTable[RevisedBudget], allFYsTable[Code], SummaryTable[[#This Row],[Code]], allFYsTable[year2], AJ$3))</f>
        <v>6819</v>
      </c>
      <c r="AN137" s="61">
        <f>IF(COUNTIFS(allFYsTable[Code], SummaryTable[[#This Row],[Code]], allFYsTable[year2], AJ$3)=0, NotFound, SUMIFS(allFYsTable[Actual], allFYsTable[Code], SummaryTable[[#This Row],[Code]], allFYsTable[year2], AJ$3))</f>
        <v>6783</v>
      </c>
      <c r="AO137" s="61">
        <f>IF(COUNTIFS(allFYsTable[Code], SummaryTable[[#This Row],[Code]], allFYsTable[year2], AJ$3)=0, NotFound, SUMIFS(allFYsTable[DiffAmount], allFYsTable[Code], SummaryTable[[#This Row],[Code]], allFYsTable[year2], AJ$3))</f>
        <v>6783</v>
      </c>
      <c r="AP137" s="63">
        <f>IF(SummaryTable[[#This Row],[OriginalBudget24]]=0, IF(SummaryTable[[#This Row],[DiffAmount24]]=0, ZeroBudgetNoSpending, ZeroBudgetWithSpending), SummaryTable[[#This Row],[DiffAmount24]]/SummaryTable[[#This Row],[OriginalBudget24]])</f>
        <v>99.99</v>
      </c>
      <c r="AQ137" s="62" t="e">
        <f>IF(COUNTIFS(allFYsTable[Code], SummaryTable[[#This Row],[Code]], allFYsTable[year2], AQ$3)=0, NotFound, SUMIFS(allFYsTable[OriginalBudget], allFYsTable[Code], SummaryTable[[#This Row],[Code]], allFYsTable[year2], AQ$3))</f>
        <v>#N/A</v>
      </c>
      <c r="AR137" s="61" t="e">
        <f>SummaryTable[[#This Row],[OriginalBudget23]]-SummaryTable[[#This Row],[OriginalBudget22]]</f>
        <v>#N/A</v>
      </c>
      <c r="AS137" s="54" t="e">
        <f>SummaryTable[[#This Row],[BudgetIncreaseAmount23]]/SummaryTable[[#This Row],[OriginalBudget22]]</f>
        <v>#N/A</v>
      </c>
      <c r="AT137" s="61" t="e">
        <f>IF(COUNTIFS(allFYsTable[Code], SummaryTable[[#This Row],[Code]], allFYsTable[year2], AQ$3)=0, NotFound, SUMIFS(allFYsTable[RevisedBudget], allFYsTable[Code], SummaryTable[[#This Row],[Code]], allFYsTable[year2], AQ$3))</f>
        <v>#N/A</v>
      </c>
      <c r="AU137" s="61" t="e">
        <f>IF(COUNTIFS(allFYsTable[Code], SummaryTable[[#This Row],[Code]], allFYsTable[year2], AQ$3)=0, NotFound, SUMIFS(allFYsTable[Actual], allFYsTable[Code], SummaryTable[[#This Row],[Code]], allFYsTable[year2], AQ$3))</f>
        <v>#N/A</v>
      </c>
      <c r="AV137" s="61" t="e">
        <f>IF(COUNTIFS(allFYsTable[Code], SummaryTable[[#This Row],[Code]], allFYsTable[year2], AQ$3)=0, NotFound, SUMIFS(allFYsTable[DiffAmount], allFYsTable[Code], SummaryTable[[#This Row],[Code]], allFYsTable[year2], AQ$3))</f>
        <v>#N/A</v>
      </c>
      <c r="AW137" s="63" t="e">
        <f>IF(SummaryTable[[#This Row],[OriginalBudget23]]=0, IF(SummaryTable[[#This Row],[DiffAmount23]]=0, ZeroBudgetNoSpending, ZeroBudgetWithSpending), SummaryTable[[#This Row],[DiffAmount23]]/SummaryTable[[#This Row],[OriginalBudget23]])</f>
        <v>#N/A</v>
      </c>
      <c r="AX137" s="62" t="e">
        <f>IF(COUNTIFS(allFYsTable[Code], SummaryTable[[#This Row],[Code]], allFYsTable[year2], AX$3)=0, NotFound, SUMIFS(allFYsTable[OriginalBudget], allFYsTable[Code], SummaryTable[[#This Row],[Code]], allFYsTable[year2], AX$3))</f>
        <v>#N/A</v>
      </c>
      <c r="AY137" s="61" t="e">
        <f>SummaryTable[[#This Row],[OriginalBudget22]]-SummaryTable[[#This Row],[OriginalBudget21]]</f>
        <v>#N/A</v>
      </c>
      <c r="AZ137" s="54" t="e">
        <f>SummaryTable[[#This Row],[BudgetIncreaseAmount22]]/SummaryTable[[#This Row],[OriginalBudget21]]</f>
        <v>#N/A</v>
      </c>
      <c r="BA137" s="61" t="e">
        <f>IF(COUNTIFS(allFYsTable[Code], SummaryTable[[#This Row],[Code]], allFYsTable[year2], AX$3)=0, NotFound, SUMIFS(allFYsTable[RevisedBudget], allFYsTable[Code], SummaryTable[[#This Row],[Code]], allFYsTable[year2], AX$3))</f>
        <v>#N/A</v>
      </c>
      <c r="BB137" s="61" t="e">
        <f>IF(COUNTIFS(allFYsTable[Code], SummaryTable[[#This Row],[Code]], allFYsTable[year2], AX$3)=0, NotFound, SUMIFS(allFYsTable[Actual], allFYsTable[Code], SummaryTable[[#This Row],[Code]], allFYsTable[year2], AX$3))</f>
        <v>#N/A</v>
      </c>
      <c r="BC137" s="61" t="e">
        <f>IF(COUNTIFS(allFYsTable[Code], SummaryTable[[#This Row],[Code]], allFYsTable[year2], AX$3)=0, NotFound, SUMIFS(allFYsTable[DiffAmount], allFYsTable[Code], SummaryTable[[#This Row],[Code]], allFYsTable[year2], AX$3))</f>
        <v>#N/A</v>
      </c>
      <c r="BD137" s="63" t="e">
        <f>IF(SummaryTable[[#This Row],[OriginalBudget22]]=0, IF(SummaryTable[[#This Row],[DiffAmount22]]=0, ZeroBudgetNoSpending, ZeroBudgetWithSpending), SummaryTable[[#This Row],[DiffAmount22]]/SummaryTable[[#This Row],[OriginalBudget22]])</f>
        <v>#N/A</v>
      </c>
      <c r="BE137" s="62" t="e">
        <f>IF(COUNTIFS(allFYsTable[Code], SummaryTable[[#This Row],[Code]], allFYsTable[year2], BE$3)=0, NotFound, SUMIFS(allFYsTable[OriginalBudget], allFYsTable[Code], SummaryTable[[#This Row],[Code]], allFYsTable[year2], BE$3))</f>
        <v>#N/A</v>
      </c>
      <c r="BF137" s="61" t="e">
        <f>SummaryTable[[#This Row],[OriginalBudget21]]-SummaryTable[[#This Row],[OriginalBudget20]]</f>
        <v>#N/A</v>
      </c>
      <c r="BG137" s="54" t="e">
        <f>SummaryTable[[#This Row],[BudgetIncreaseAmount21]]/SummaryTable[[#This Row],[OriginalBudget20]]</f>
        <v>#N/A</v>
      </c>
      <c r="BH137" s="61" t="e">
        <f>IF(COUNTIFS(allFYsTable[Code], SummaryTable[[#This Row],[Code]], allFYsTable[year2], BE$3)=0, NotFound, SUMIFS(allFYsTable[RevisedBudget], allFYsTable[Code], SummaryTable[[#This Row],[Code]], allFYsTable[year2], BE$3))</f>
        <v>#N/A</v>
      </c>
      <c r="BI137" s="61" t="e">
        <f>IF(COUNTIFS(allFYsTable[Code], SummaryTable[[#This Row],[Code]], allFYsTable[year2], BE$3)=0, NotFound, SUMIFS(allFYsTable[Actual], allFYsTable[Code], SummaryTable[[#This Row],[Code]], allFYsTable[year2], BE$3))</f>
        <v>#N/A</v>
      </c>
      <c r="BJ137" s="61" t="e">
        <f>IF(COUNTIFS(allFYsTable[Code], SummaryTable[[#This Row],[Code]], allFYsTable[year2], BE$3)=0, NotFound, SUMIFS(allFYsTable[DiffAmount], allFYsTable[Code], SummaryTable[[#This Row],[Code]], allFYsTable[year2], BE$3))</f>
        <v>#N/A</v>
      </c>
      <c r="BK137" s="63" t="e">
        <f>IF(SummaryTable[[#This Row],[OriginalBudget21]]=0, IF(SummaryTable[[#This Row],[DiffAmount21]]=0, ZeroBudgetNoSpending, ZeroBudgetWithSpending), SummaryTable[[#This Row],[DiffAmount21]]/SummaryTable[[#This Row],[OriginalBudget21]])</f>
        <v>#N/A</v>
      </c>
      <c r="BL137" s="62">
        <f>IF(COUNTIFS(allFYsTable[Code], SummaryTable[[#This Row],[Code]], allFYsTable[year2], BL$3)=0, NotFound, SUMIFS(allFYsTable[OriginalBudget], allFYsTable[Code], SummaryTable[[#This Row],[Code]], allFYsTable[year2], BL$3))</f>
        <v>0</v>
      </c>
      <c r="BM137" s="61">
        <f>SummaryTable[[#This Row],[OriginalBudget20]]-SummaryTable[[#This Row],[OriginalBudget19]]</f>
        <v>0</v>
      </c>
      <c r="BN137" s="54" t="e">
        <f>SummaryTable[[#This Row],[BudgetIncreaseAmount20]]/SummaryTable[[#This Row],[OriginalBudget19]]</f>
        <v>#DIV/0!</v>
      </c>
      <c r="BO137" s="61">
        <f>IF(COUNTIFS(allFYsTable[Code], SummaryTable[[#This Row],[Code]], allFYsTable[year2], BL$3)=0, NotFound, SUMIFS(allFYsTable[RevisedBudget], allFYsTable[Code], SummaryTable[[#This Row],[Code]], allFYsTable[year2], BL$3))</f>
        <v>604</v>
      </c>
      <c r="BP137" s="61">
        <f>IF(COUNTIFS(allFYsTable[Code], SummaryTable[[#This Row],[Code]], allFYsTable[year2], BL$3)=0, NotFound, SUMIFS(allFYsTable[Actual], allFYsTable[Code], SummaryTable[[#This Row],[Code]], allFYsTable[year2], BL$3))</f>
        <v>604</v>
      </c>
      <c r="BQ137" s="61">
        <f>IF(COUNTIFS(allFYsTable[Code], SummaryTable[[#This Row],[Code]], allFYsTable[year2], BL$3)=0, NotFound, SUMIFS(allFYsTable[DiffAmount], allFYsTable[Code], SummaryTable[[#This Row],[Code]], allFYsTable[year2], BL$3))</f>
        <v>604</v>
      </c>
      <c r="BR137" s="63">
        <f>IF(SummaryTable[[#This Row],[OriginalBudget20]]=0, IF(SummaryTable[[#This Row],[DiffAmount20]]=0, ZeroBudgetNoSpending, ZeroBudgetWithSpending), SummaryTable[[#This Row],[DiffAmount20]]/SummaryTable[[#This Row],[OriginalBudget20]])</f>
        <v>99.99</v>
      </c>
      <c r="BS137" s="62">
        <f>IF(COUNTIFS(allFYsTable[Code], SummaryTable[[#This Row],[Code]], allFYsTable[year2], BS$3)=0, NotFound, SUMIFS(allFYsTable[OriginalBudget], allFYsTable[Code], SummaryTable[[#This Row],[Code]], allFYsTable[year2], BS$3))</f>
        <v>0</v>
      </c>
      <c r="BT137" s="61">
        <f>SummaryTable[[#This Row],[OriginalBudget19]]-SummaryTable[[#This Row],[OriginalBudget18]]</f>
        <v>0</v>
      </c>
      <c r="BU137" s="54" t="e">
        <f>SummaryTable[[#This Row],[BudgetIncreaseAmount19]]/SummaryTable[[#This Row],[OriginalBudget18]]</f>
        <v>#DIV/0!</v>
      </c>
      <c r="BV137" s="61">
        <f>IF(COUNTIFS(allFYsTable[Code], SummaryTable[[#This Row],[Code]], allFYsTable[year2], BS$3)=0, NotFound, SUMIFS(allFYsTable[RevisedBudget], allFYsTable[Code], SummaryTable[[#This Row],[Code]], allFYsTable[year2], BS$3))</f>
        <v>12914</v>
      </c>
      <c r="BW137" s="61">
        <f>IF(COUNTIFS(allFYsTable[Code], SummaryTable[[#This Row],[Code]], allFYsTable[year2], BS$3)=0, NotFound, SUMIFS(allFYsTable[Actual], allFYsTable[Code], SummaryTable[[#This Row],[Code]], allFYsTable[year2], BS$3))</f>
        <v>12914</v>
      </c>
      <c r="BX137" s="61">
        <f>IF(COUNTIFS(allFYsTable[Code], SummaryTable[[#This Row],[Code]], allFYsTable[year2], BS$3)=0, NotFound, SUMIFS(allFYsTable[DiffAmount], allFYsTable[Code], SummaryTable[[#This Row],[Code]], allFYsTable[year2], BS$3))</f>
        <v>12914</v>
      </c>
      <c r="BY137" s="63">
        <f>IF(SummaryTable[[#This Row],[OriginalBudget19]]=0, IF(SummaryTable[[#This Row],[DiffAmount19]]=0, ZeroBudgetNoSpending, ZeroBudgetWithSpending), SummaryTable[[#This Row],[DiffAmount19]]/SummaryTable[[#This Row],[OriginalBudget19]])</f>
        <v>99.99</v>
      </c>
      <c r="BZ137" s="62">
        <f>IF(COUNTIFS(allFYsTable[Code], SummaryTable[[#This Row],[Code]], allFYsTable[year2], BZ$3)=0, NotFound, SUMIFS(allFYsTable[OriginalBudget], allFYsTable[Code], SummaryTable[[#This Row],[Code]], allFYsTable[year2], BZ$3))</f>
        <v>0</v>
      </c>
      <c r="CA137" s="61">
        <f>SummaryTable[[#This Row],[OriginalBudget18]]-SummaryTable[[#This Row],[OriginalBudget17]]</f>
        <v>0</v>
      </c>
      <c r="CB137" s="54" t="e">
        <f>SummaryTable[[#This Row],[BudgetIncreaseAmount18]]/SummaryTable[[#This Row],[OriginalBudget17]]</f>
        <v>#DIV/0!</v>
      </c>
      <c r="CC137" s="61">
        <f>IF(COUNTIFS(allFYsTable[Code], SummaryTable[[#This Row],[Code]], allFYsTable[year2], BZ$3)=0, NotFound, SUMIFS(allFYsTable[RevisedBudget], allFYsTable[Code], SummaryTable[[#This Row],[Code]], allFYsTable[year2], BZ$3))</f>
        <v>10336</v>
      </c>
      <c r="CD137" s="61">
        <f>IF(COUNTIFS(allFYsTable[Code], SummaryTable[[#This Row],[Code]], allFYsTable[year2], BZ$3)=0, NotFound, SUMIFS(allFYsTable[Actual], allFYsTable[Code], SummaryTable[[#This Row],[Code]], allFYsTable[year2], BZ$3))</f>
        <v>10336</v>
      </c>
      <c r="CE137" s="61">
        <f>IF(COUNTIFS(allFYsTable[Code], SummaryTable[[#This Row],[Code]], allFYsTable[year2], BZ$3)=0, NotFound, SUMIFS(allFYsTable[DiffAmount], allFYsTable[Code], SummaryTable[[#This Row],[Code]], allFYsTable[year2], BZ$3))</f>
        <v>10336</v>
      </c>
      <c r="CF137" s="63">
        <f>IF(SummaryTable[[#This Row],[OriginalBudget18]]=0, IF(SummaryTable[[#This Row],[DiffAmount18]]=0, ZeroBudgetNoSpending, ZeroBudgetWithSpending), SummaryTable[[#This Row],[DiffAmount18]]/SummaryTable[[#This Row],[OriginalBudget18]])</f>
        <v>99.99</v>
      </c>
      <c r="CG137" s="62">
        <f>IF(COUNTIFS(allFYsTable[Code], SummaryTable[[#This Row],[Code]], allFYsTable[year2], CG$3)=0, NotFound, SUMIFS(allFYsTable[OriginalBudget], allFYsTable[Code], SummaryTable[[#This Row],[Code]], allFYsTable[year2], CG$3))</f>
        <v>0</v>
      </c>
      <c r="CH137" s="61">
        <f>SummaryTable[[#This Row],[OriginalBudget17]]-SummaryTable[[#This Row],[OriginalBudget16]]</f>
        <v>0</v>
      </c>
      <c r="CI137" s="54" t="e">
        <f>SummaryTable[[#This Row],[BudgetIncreaseAmount17]]/SummaryTable[[#This Row],[OriginalBudget16]]</f>
        <v>#DIV/0!</v>
      </c>
      <c r="CJ137" s="61">
        <f>IF(COUNTIFS(allFYsTable[Code], SummaryTable[[#This Row],[Code]], allFYsTable[year2], CG$3)=0, NotFound, SUMIFS(allFYsTable[RevisedBudget], allFYsTable[Code], SummaryTable[[#This Row],[Code]], allFYsTable[year2], CG$3))</f>
        <v>4346</v>
      </c>
      <c r="CK137" s="61">
        <f>IF(COUNTIFS(allFYsTable[Code], SummaryTable[[#This Row],[Code]], allFYsTable[year2], CG$3)=0, NotFound, SUMIFS(allFYsTable[Actual], allFYsTable[Code], SummaryTable[[#This Row],[Code]], allFYsTable[year2], CG$3))</f>
        <v>4346</v>
      </c>
      <c r="CL137" s="61">
        <f>IF(COUNTIFS(allFYsTable[Code], SummaryTable[[#This Row],[Code]], allFYsTable[year2], CG$3)=0, NotFound, SUMIFS(allFYsTable[DiffAmount], allFYsTable[Code], SummaryTable[[#This Row],[Code]], allFYsTable[year2], CG$3))</f>
        <v>4346</v>
      </c>
      <c r="CM137" s="63">
        <f>IF(SummaryTable[[#This Row],[OriginalBudget17]]=0, IF(SummaryTable[[#This Row],[DiffAmount17]]=0, ZeroBudgetNoSpending, ZeroBudgetWithSpending), SummaryTable[[#This Row],[DiffAmount17]]/SummaryTable[[#This Row],[OriginalBudget17]])</f>
        <v>99.99</v>
      </c>
      <c r="CN137" s="62">
        <f>IF(COUNTIFS(allFYsTable[Code], SummaryTable[[#This Row],[Code]], allFYsTable[year2], CN$3)=0, NotFound, SUMIFS(allFYsTable[OriginalBudget], allFYsTable[Code], SummaryTable[[#This Row],[Code]], allFYsTable[year2], CN$3))</f>
        <v>0</v>
      </c>
      <c r="CO137" s="61">
        <f>SummaryTable[[#This Row],[OriginalBudget16]]-SummaryTable[[#This Row],[OriginalBudget15]]</f>
        <v>0</v>
      </c>
      <c r="CP137" s="54" t="e">
        <f>SummaryTable[[#This Row],[BudgetIncreaseAmount16]]/SummaryTable[[#This Row],[OriginalBudget15]]</f>
        <v>#DIV/0!</v>
      </c>
      <c r="CQ137" s="61">
        <f>IF(COUNTIFS(allFYsTable[Code], SummaryTable[[#This Row],[Code]], allFYsTable[year2], CN$3)=0, NotFound, SUMIFS(allFYsTable[RevisedBudget], allFYsTable[Code], SummaryTable[[#This Row],[Code]], allFYsTable[year2], CN$3))</f>
        <v>9000</v>
      </c>
      <c r="CR137" s="61">
        <f>IF(COUNTIFS(allFYsTable[Code], SummaryTable[[#This Row],[Code]], allFYsTable[year2], CN$3)=0, NotFound, SUMIFS(allFYsTable[Actual], allFYsTable[Code], SummaryTable[[#This Row],[Code]], allFYsTable[year2], CN$3))</f>
        <v>9000</v>
      </c>
      <c r="CS137" s="61">
        <f>IF(COUNTIFS(allFYsTable[Code], SummaryTable[[#This Row],[Code]], allFYsTable[year2], CN$3)=0, NotFound, SUMIFS(allFYsTable[DiffAmount], allFYsTable[Code], SummaryTable[[#This Row],[Code]], allFYsTable[year2], CN$3))</f>
        <v>9000</v>
      </c>
      <c r="CT137" s="63">
        <f>IF(SummaryTable[[#This Row],[OriginalBudget16]]=0, IF(SummaryTable[[#This Row],[DiffAmount16]]=0, ZeroBudgetNoSpending, ZeroBudgetWithSpending), SummaryTable[[#This Row],[DiffAmount16]]/SummaryTable[[#This Row],[OriginalBudget16]])</f>
        <v>99.99</v>
      </c>
      <c r="CU137" s="62">
        <f>IF(COUNTIFS(allFYsTable[Code], SummaryTable[[#This Row],[Code]], allFYsTable[year2], CU$3)=0, NotFound, SUMIFS(allFYsTable[OriginalBudget], allFYsTable[Code], SummaryTable[[#This Row],[Code]], allFYsTable[year2], CU$3))</f>
        <v>0</v>
      </c>
      <c r="CV137" s="61">
        <f>SummaryTable[[#This Row],[OriginalBudget15]]-SummaryTable[[#This Row],[OriginalBudget14]]</f>
        <v>0</v>
      </c>
      <c r="CW137" s="54" t="e">
        <f>SummaryTable[[#This Row],[BudgetIncreaseAmount15]]/SummaryTable[[#This Row],[OriginalBudget14]]</f>
        <v>#DIV/0!</v>
      </c>
      <c r="CX137" s="61">
        <f>IF(COUNTIFS(allFYsTable[Code], SummaryTable[[#This Row],[Code]], allFYsTable[year2], CU$3)=0, NotFound, SUMIFS(allFYsTable[RevisedBudget], allFYsTable[Code], SummaryTable[[#This Row],[Code]], allFYsTable[year2], CU$3))</f>
        <v>0</v>
      </c>
      <c r="CY137" s="61">
        <f>IF(COUNTIFS(allFYsTable[Code], SummaryTable[[#This Row],[Code]], allFYsTable[year2], CU$3)=0, NotFound, SUMIFS(allFYsTable[Actual], allFYsTable[Code], SummaryTable[[#This Row],[Code]], allFYsTable[year2], CU$3))</f>
        <v>0</v>
      </c>
      <c r="CZ137" s="61">
        <f>IF(COUNTIFS(allFYsTable[Code], SummaryTable[[#This Row],[Code]], allFYsTable[year2], CU$3)=0, NotFound, SUMIFS(allFYsTable[DiffAmount], allFYsTable[Code], SummaryTable[[#This Row],[Code]], allFYsTable[year2], CU$3))</f>
        <v>0</v>
      </c>
      <c r="DA137" s="63">
        <f>IF(SummaryTable[[#This Row],[OriginalBudget15]]=0, IF(SummaryTable[[#This Row],[DiffAmount15]]=0, ZeroBudgetNoSpending, ZeroBudgetWithSpending), SummaryTable[[#This Row],[DiffAmount15]]/SummaryTable[[#This Row],[OriginalBudget15]])</f>
        <v>0</v>
      </c>
      <c r="DB137" s="62">
        <f>IF(COUNTIFS(allFYsTable[Code], SummaryTable[[#This Row],[Code]], allFYsTable[year2], DB$3)=0, NotFound, SUMIFS(allFYsTable[OriginalBudget], allFYsTable[Code], SummaryTable[[#This Row],[Code]], allFYsTable[year2], DB$3))</f>
        <v>0</v>
      </c>
      <c r="DC137" s="61" t="e">
        <f>SummaryTable[[#This Row],[OriginalBudget14]]-SummaryTable[[#This Row],[OriginalBudget13]]</f>
        <v>#N/A</v>
      </c>
      <c r="DD137" s="54" t="e">
        <f>SummaryTable[[#This Row],[BudgetIncreaseAmount14]]/SummaryTable[[#This Row],[OriginalBudget13]]</f>
        <v>#N/A</v>
      </c>
      <c r="DE137" s="61">
        <f>IF(COUNTIFS(allFYsTable[Code], SummaryTable[[#This Row],[Code]], allFYsTable[year2], DB$3)=0, NotFound, SUMIFS(allFYsTable[RevisedBudget], allFYsTable[Code], SummaryTable[[#This Row],[Code]], allFYsTable[year2], DB$3))</f>
        <v>910</v>
      </c>
      <c r="DF137" s="61">
        <f>IF(COUNTIFS(allFYsTable[Code], SummaryTable[[#This Row],[Code]], allFYsTable[year2], DB$3)=0, NotFound, SUMIFS(allFYsTable[Actual], allFYsTable[Code], SummaryTable[[#This Row],[Code]], allFYsTable[year2], DB$3))</f>
        <v>910</v>
      </c>
      <c r="DG137" s="61">
        <f>IF(COUNTIFS(allFYsTable[Code], SummaryTable[[#This Row],[Code]], allFYsTable[year2], DB$3)=0, NotFound, SUMIFS(allFYsTable[DiffAmount], allFYsTable[Code], SummaryTable[[#This Row],[Code]], allFYsTable[year2], DB$3))</f>
        <v>910</v>
      </c>
      <c r="DH137" s="63">
        <f>IF(SummaryTable[[#This Row],[OriginalBudget14]]=0, IF(SummaryTable[[#This Row],[DiffAmount14]]=0, ZeroBudgetNoSpending, ZeroBudgetWithSpending), SummaryTable[[#This Row],[DiffAmount14]]/SummaryTable[[#This Row],[OriginalBudget14]])</f>
        <v>99.99</v>
      </c>
      <c r="DI137" s="62" t="e">
        <f>IF(COUNTIFS(allFYsTable[Code], SummaryTable[[#This Row],[Code]], allFYsTable[year2], DI$3)=0, NotFound, SUMIFS(allFYsTable[OriginalBudget], allFYsTable[Code], SummaryTable[[#This Row],[Code]], allFYsTable[year2], DI$3))</f>
        <v>#N/A</v>
      </c>
      <c r="DJ137" s="61" t="e">
        <f>SummaryTable[[#This Row],[OriginalBudget13]]-SummaryTable[[#This Row],[OriginalBudget12]]</f>
        <v>#N/A</v>
      </c>
      <c r="DK137" s="54" t="e">
        <f>SummaryTable[[#This Row],[BudgetIncreaseAmount13]]/SummaryTable[[#This Row],[OriginalBudget12]]</f>
        <v>#N/A</v>
      </c>
      <c r="DL137" s="61" t="e">
        <f>IF(COUNTIFS(allFYsTable[Code], SummaryTable[[#This Row],[Code]], allFYsTable[year2], DI$3)=0, NotFound, SUMIFS(allFYsTable[RevisedBudget], allFYsTable[Code], SummaryTable[[#This Row],[Code]], allFYsTable[year2], DI$3))</f>
        <v>#N/A</v>
      </c>
      <c r="DM137" s="61" t="e">
        <f>IF(COUNTIFS(allFYsTable[Code], SummaryTable[[#This Row],[Code]], allFYsTable[year2], DI$3)=0, NotFound, SUMIFS(allFYsTable[Actual], allFYsTable[Code], SummaryTable[[#This Row],[Code]], allFYsTable[year2], DI$3))</f>
        <v>#N/A</v>
      </c>
      <c r="DN137" s="61" t="e">
        <f>IF(COUNTIFS(allFYsTable[Code], SummaryTable[[#This Row],[Code]], allFYsTable[year2], DI$3)=0, NotFound, SUMIFS(allFYsTable[DiffAmount], allFYsTable[Code], SummaryTable[[#This Row],[Code]], allFYsTable[year2], DI$3))</f>
        <v>#N/A</v>
      </c>
      <c r="DO137" s="63" t="e">
        <f>IF(SummaryTable[[#This Row],[OriginalBudget13]]=0, IF(SummaryTable[[#This Row],[DiffAmount13]]=0, ZeroBudgetNoSpending, ZeroBudgetWithSpending), SummaryTable[[#This Row],[DiffAmount13]]/SummaryTable[[#This Row],[OriginalBudget13]])</f>
        <v>#N/A</v>
      </c>
      <c r="DP137" s="62">
        <f>IF(COUNTIFS(allFYsTable[Code], SummaryTable[[#This Row],[Code]], allFYsTable[year2], DP$3)=0, NotFound, SUMIFS(allFYsTable[OriginalBudget], allFYsTable[Code], SummaryTable[[#This Row],[Code]], allFYsTable[year2], DP$3))</f>
        <v>0</v>
      </c>
      <c r="DQ137" s="61">
        <f>SummaryTable[[#This Row],[OriginalBudget12]]-SummaryTable[[#This Row],[OriginalBudget11]]</f>
        <v>0</v>
      </c>
      <c r="DR137" s="54" t="e">
        <f>SummaryTable[[#This Row],[BudgetIncreaseAmount12]]/SummaryTable[[#This Row],[OriginalBudget11]]</f>
        <v>#DIV/0!</v>
      </c>
      <c r="DS137" s="61">
        <f>IF(COUNTIFS(allFYsTable[Code], SummaryTable[[#This Row],[Code]], allFYsTable[year2], DP$3)=0, NotFound, SUMIFS(allFYsTable[RevisedBudget], allFYsTable[Code], SummaryTable[[#This Row],[Code]], allFYsTable[year2], DP$3))</f>
        <v>4896</v>
      </c>
      <c r="DT137" s="61">
        <f>IF(COUNTIFS(allFYsTable[Code], SummaryTable[[#This Row],[Code]], allFYsTable[year2], DP$3)=0, NotFound, SUMIFS(allFYsTable[Actual], allFYsTable[Code], SummaryTable[[#This Row],[Code]], allFYsTable[year2], DP$3))</f>
        <v>4896</v>
      </c>
      <c r="DU137" s="61">
        <f>IF(COUNTIFS(allFYsTable[Code], SummaryTable[[#This Row],[Code]], allFYsTable[year2], DP$3)=0, NotFound, SUMIFS(allFYsTable[DiffAmount], allFYsTable[Code], SummaryTable[[#This Row],[Code]], allFYsTable[year2], DP$3))</f>
        <v>4896</v>
      </c>
      <c r="DV137" s="63">
        <f>IF(SummaryTable[[#This Row],[OriginalBudget12]]=0, IF(SummaryTable[[#This Row],[DiffAmount12]]=0, ZeroBudgetNoSpending, ZeroBudgetWithSpending), SummaryTable[[#This Row],[DiffAmount12]]/SummaryTable[[#This Row],[OriginalBudget12]])</f>
        <v>99.99</v>
      </c>
      <c r="DW137" s="62">
        <f>IF(COUNTIFS(allFYsTable[Code], SummaryTable[[#This Row],[Code]], allFYsTable[year2], DW$3)=0, NotFound, SUMIFS(allFYsTable[OriginalBudget], allFYsTable[Code], SummaryTable[[#This Row],[Code]], allFYsTable[year2], DW$3))</f>
        <v>0</v>
      </c>
      <c r="DX137" s="61" t="e">
        <f>SummaryTable[[#This Row],[OriginalBudget11]]-SummaryTable[[#This Row],[OriginalBudget10]]</f>
        <v>#N/A</v>
      </c>
      <c r="DY137" s="54" t="e">
        <f>SummaryTable[[#This Row],[BudgetIncreaseAmount11]]/SummaryTable[[#This Row],[OriginalBudget10]]</f>
        <v>#N/A</v>
      </c>
      <c r="DZ137" s="61">
        <f>IF(COUNTIFS(allFYsTable[Code], SummaryTable[[#This Row],[Code]], allFYsTable[year2], DW$3)=0, NotFound, SUMIFS(allFYsTable[RevisedBudget], allFYsTable[Code], SummaryTable[[#This Row],[Code]], allFYsTable[year2], DW$3))</f>
        <v>783</v>
      </c>
      <c r="EA137" s="61">
        <f>IF(COUNTIFS(allFYsTable[Code], SummaryTable[[#This Row],[Code]], allFYsTable[year2], DW$3)=0, NotFound, SUMIFS(allFYsTable[Actual], allFYsTable[Code], SummaryTable[[#This Row],[Code]], allFYsTable[year2], DW$3))</f>
        <v>783</v>
      </c>
      <c r="EB137" s="61">
        <f>IF(COUNTIFS(allFYsTable[Code], SummaryTable[[#This Row],[Code]], allFYsTable[year2], DW$3)=0, NotFound, SUMIFS(allFYsTable[DiffAmount], allFYsTable[Code], SummaryTable[[#This Row],[Code]], allFYsTable[year2], DW$3))</f>
        <v>783</v>
      </c>
      <c r="EC137" s="63">
        <f>IF(SummaryTable[[#This Row],[OriginalBudget11]]=0, IF(SummaryTable[[#This Row],[DiffAmount11]]=0, ZeroBudgetNoSpending, ZeroBudgetWithSpending), SummaryTable[[#This Row],[DiffAmount11]]/SummaryTable[[#This Row],[OriginalBudget11]])</f>
        <v>99.99</v>
      </c>
      <c r="ED137" s="62" t="e">
        <f>IF(COUNTIFS(allFYsTable[Code], SummaryTable[[#This Row],[Code]], allFYsTable[year2], ED$3)=0, NotFound, SUMIFS(allFYsTable[OriginalBudget], allFYsTable[Code], SummaryTable[[#This Row],[Code]], allFYsTable[year2], ED$3))</f>
        <v>#N/A</v>
      </c>
      <c r="EE137" s="61" t="e">
        <f>SummaryTable[[#This Row],[OriginalBudget10]]-SummaryTable[[#This Row],[OriginalBudget09]]</f>
        <v>#N/A</v>
      </c>
      <c r="EF137" s="54" t="e">
        <f>SummaryTable[[#This Row],[BudgetIncreaseAmount10]]/SummaryTable[[#This Row],[OriginalBudget09]]</f>
        <v>#N/A</v>
      </c>
      <c r="EG137" s="61" t="e">
        <f>IF(COUNTIFS(allFYsTable[Code], SummaryTable[[#This Row],[Code]], allFYsTable[year2], ED$3)=0, NotFound, SUMIFS(allFYsTable[RevisedBudget], allFYsTable[Code], SummaryTable[[#This Row],[Code]], allFYsTable[year2], ED$3))</f>
        <v>#N/A</v>
      </c>
      <c r="EH137" s="61" t="e">
        <f>IF(COUNTIFS(allFYsTable[Code], SummaryTable[[#This Row],[Code]], allFYsTable[year2], ED$3)=0, NotFound, SUMIFS(allFYsTable[Actual], allFYsTable[Code], SummaryTable[[#This Row],[Code]], allFYsTable[year2], ED$3))</f>
        <v>#N/A</v>
      </c>
      <c r="EI137" s="61" t="e">
        <f>IF(COUNTIFS(allFYsTable[Code], SummaryTable[[#This Row],[Code]], allFYsTable[year2], ED$3)=0, NotFound, SUMIFS(allFYsTable[DiffAmount], allFYsTable[Code], SummaryTable[[#This Row],[Code]], allFYsTable[year2], ED$3))</f>
        <v>#N/A</v>
      </c>
      <c r="EJ137" s="63" t="e">
        <f>IF(SummaryTable[[#This Row],[OriginalBudget10]]=0, IF(SummaryTable[[#This Row],[DiffAmount10]]=0, ZeroBudgetNoSpending, ZeroBudgetWithSpending), SummaryTable[[#This Row],[DiffAmount10]]/SummaryTable[[#This Row],[OriginalBudget10]])</f>
        <v>#N/A</v>
      </c>
      <c r="EK137" s="62" t="e">
        <f>IF(COUNTIFS(allFYsTable[Code], SummaryTable[[#This Row],[Code]], allFYsTable[year2], EK$3)=0, NotFound, SUMIFS(allFYsTable[OriginalBudget], allFYsTable[Code], SummaryTable[[#This Row],[Code]], allFYsTable[year2], EK$3))</f>
        <v>#N/A</v>
      </c>
      <c r="EL137" s="61" t="e">
        <f>SummaryTable[[#This Row],[OriginalBudget09]]-SummaryTable[[#This Row],[OriginalBudget08]]</f>
        <v>#N/A</v>
      </c>
      <c r="EM137" s="54" t="e">
        <f>SummaryTable[[#This Row],[BudgetIncreaseAmount09]]/SummaryTable[[#This Row],[OriginalBudget08]]</f>
        <v>#N/A</v>
      </c>
      <c r="EN137" s="61" t="e">
        <f>IF(COUNTIFS(allFYsTable[Code], SummaryTable[[#This Row],[Code]], allFYsTable[year2], EK$3)=0, NotFound, SUMIFS(allFYsTable[RevisedBudget], allFYsTable[Code], SummaryTable[[#This Row],[Code]], allFYsTable[year2], EK$3))</f>
        <v>#N/A</v>
      </c>
      <c r="EO137" s="61" t="e">
        <f>IF(COUNTIFS(allFYsTable[Code], SummaryTable[[#This Row],[Code]], allFYsTable[year2], EK$3)=0, NotFound, SUMIFS(allFYsTable[Actual], allFYsTable[Code], SummaryTable[[#This Row],[Code]], allFYsTable[year2], EK$3))</f>
        <v>#N/A</v>
      </c>
      <c r="EP137" s="61" t="e">
        <f>IF(COUNTIFS(allFYsTable[Code], SummaryTable[[#This Row],[Code]], allFYsTable[year2], EK$3)=0, NotFound, SUMIFS(allFYsTable[DiffAmount], allFYsTable[Code], SummaryTable[[#This Row],[Code]], allFYsTable[year2], EK$3))</f>
        <v>#N/A</v>
      </c>
      <c r="EQ137" s="63" t="e">
        <f>IF(SummaryTable[[#This Row],[OriginalBudget09]]=0, IF(SummaryTable[[#This Row],[DiffAmount09]]=0, ZeroBudgetNoSpending, ZeroBudgetWithSpending), SummaryTable[[#This Row],[DiffAmount09]]/SummaryTable[[#This Row],[OriginalBudget09]])</f>
        <v>#N/A</v>
      </c>
      <c r="ER137" s="62">
        <f>IF(COUNTIFS(allFYsTable[Code], SummaryTable[[#This Row],[Code]], allFYsTable[year2], ER$3)=0, NotFound, SUMIFS(allFYsTable[OriginalBudget], allFYsTable[Code], SummaryTable[[#This Row],[Code]], allFYsTable[year2], ER$3))</f>
        <v>0</v>
      </c>
      <c r="ES137" s="61" t="e">
        <f>SummaryTable[[#This Row],[OriginalBudget08]]-SummaryTable[[#This Row],[OriginalBudget07]]</f>
        <v>#N/A</v>
      </c>
      <c r="ET137" s="54" t="e">
        <f>SummaryTable[[#This Row],[BudgetIncreaseAmount08]]/SummaryTable[[#This Row],[OriginalBudget07]]</f>
        <v>#N/A</v>
      </c>
      <c r="EU137" s="61">
        <f>IF(COUNTIFS(allFYsTable[Code], SummaryTable[[#This Row],[Code]], allFYsTable[year2], ER$3)=0, NotFound, SUMIFS(allFYsTable[RevisedBudget], allFYsTable[Code], SummaryTable[[#This Row],[Code]], allFYsTable[year2], ER$3))</f>
        <v>10000</v>
      </c>
      <c r="EV137" s="61">
        <f>IF(COUNTIFS(allFYsTable[Code], SummaryTable[[#This Row],[Code]], allFYsTable[year2], ER$3)=0, NotFound, SUMIFS(allFYsTable[Actual], allFYsTable[Code], SummaryTable[[#This Row],[Code]], allFYsTable[year2], ER$3))</f>
        <v>10000</v>
      </c>
      <c r="EW137" s="61">
        <f>IF(COUNTIFS(allFYsTable[Code], SummaryTable[[#This Row],[Code]], allFYsTable[year2], ER$3)=0, NotFound, SUMIFS(allFYsTable[DiffAmount], allFYsTable[Code], SummaryTable[[#This Row],[Code]], allFYsTable[year2], ER$3))</f>
        <v>10000</v>
      </c>
      <c r="EX137" s="63">
        <f>IF(SummaryTable[[#This Row],[OriginalBudget08]]=0, IF(SummaryTable[[#This Row],[DiffAmount08]]=0, ZeroBudgetNoSpending, ZeroBudgetWithSpending), SummaryTable[[#This Row],[DiffAmount08]]/SummaryTable[[#This Row],[OriginalBudget08]])</f>
        <v>99.99</v>
      </c>
      <c r="EY137" s="62" t="e">
        <f>IF(COUNTIFS(allFYsTable[Code], SummaryTable[[#This Row],[Code]], allFYsTable[year2], EY$3)=0, NotFound, SUMIFS(allFYsTable[OriginalBudget], allFYsTable[Code], SummaryTable[[#This Row],[Code]], allFYsTable[year2], EY$3))</f>
        <v>#N/A</v>
      </c>
      <c r="EZ137" s="61" t="e">
        <f>SummaryTable[[#This Row],[OriginalBudget07]]-SummaryTable[[#This Row],[OriginalBudget06]]</f>
        <v>#N/A</v>
      </c>
      <c r="FA137" s="54" t="e">
        <f>SummaryTable[[#This Row],[BudgetIncreaseAmount07]]/SummaryTable[[#This Row],[OriginalBudget06]]</f>
        <v>#N/A</v>
      </c>
      <c r="FB137" s="61" t="e">
        <f>IF(COUNTIFS(allFYsTable[Code], SummaryTable[[#This Row],[Code]], allFYsTable[year2], EY$3)=0, NotFound, SUMIFS(allFYsTable[RevisedBudget], allFYsTable[Code], SummaryTable[[#This Row],[Code]], allFYsTable[year2], EY$3))</f>
        <v>#N/A</v>
      </c>
      <c r="FC137" s="61" t="e">
        <f>IF(COUNTIFS(allFYsTable[Code], SummaryTable[[#This Row],[Code]], allFYsTable[year2], EY$3)=0, NotFound, SUMIFS(allFYsTable[Actual], allFYsTable[Code], SummaryTable[[#This Row],[Code]], allFYsTable[year2], EY$3))</f>
        <v>#N/A</v>
      </c>
      <c r="FD137" s="61" t="e">
        <f>IF(COUNTIFS(allFYsTable[Code], SummaryTable[[#This Row],[Code]], allFYsTable[year2], EY$3)=0, NotFound, SUMIFS(allFYsTable[DiffAmount], allFYsTable[Code], SummaryTable[[#This Row],[Code]], allFYsTable[year2], EY$3))</f>
        <v>#N/A</v>
      </c>
      <c r="FE137" s="63" t="e">
        <f>IF(SummaryTable[[#This Row],[OriginalBudget07]]=0, IF(SummaryTable[[#This Row],[DiffAmount07]]=0, ZeroBudgetNoSpending, ZeroBudgetWithSpending), SummaryTable[[#This Row],[DiffAmount07]]/SummaryTable[[#This Row],[OriginalBudget07]])</f>
        <v>#N/A</v>
      </c>
      <c r="FF137" s="62" t="e">
        <f>IF(COUNTIFS(allFYsTable[Code], SummaryTable[[#This Row],[Code]], allFYsTable[year2], FF$3)=0, NotFound, SUMIFS(allFYsTable[OriginalBudget], allFYsTable[Code], SummaryTable[[#This Row],[Code]], allFYsTable[year2], FF$3))</f>
        <v>#N/A</v>
      </c>
      <c r="FI137" s="61" t="e">
        <f>IF(COUNTIFS(allFYsTable[Code], SummaryTable[[#This Row],[Code]], allFYsTable[year2], FF$3)=0, NotFound, SUMIFS(allFYsTable[RevisedBudget], allFYsTable[Code], SummaryTable[[#This Row],[Code]], allFYsTable[year2], FF$3))</f>
        <v>#N/A</v>
      </c>
      <c r="FJ137" s="61" t="e">
        <f>IF(COUNTIFS(allFYsTable[Code], SummaryTable[[#This Row],[Code]], allFYsTable[year2], FF$3)=0, NotFound, SUMIFS(allFYsTable[Actual], allFYsTable[Code], SummaryTable[[#This Row],[Code]], allFYsTable[year2], FF$3))</f>
        <v>#N/A</v>
      </c>
      <c r="FK137" s="61" t="e">
        <f>IF(COUNTIFS(allFYsTable[Code], SummaryTable[[#This Row],[Code]], allFYsTable[year2], FF$3)=0, NotFound, SUMIFS(allFYsTable[DiffAmount], allFYsTable[Code], SummaryTable[[#This Row],[Code]], allFYsTable[year2], FF$3))</f>
        <v>#N/A</v>
      </c>
      <c r="FL137" s="63" t="e">
        <f>IF(SummaryTable[[#This Row],[OriginalBudget06]]=0, IF(SummaryTable[[#This Row],[DiffAmount06]]=0, ZeroBudgetNoSpending, ZeroBudgetWithSpending), SummaryTable[[#This Row],[DiffAmount06]]/SummaryTable[[#This Row],[OriginalBudget06]])</f>
        <v>#N/A</v>
      </c>
    </row>
    <row r="138" spans="1:168" x14ac:dyDescent="0.45">
      <c r="A138" t="s">
        <v>867</v>
      </c>
      <c r="B138">
        <f>_xlfn.MAXIFS(allFYsTable[year2], allFYsTable[Code], SummaryTable[[#This Row],[Code]])</f>
        <v>2024</v>
      </c>
      <c r="C138" t="str">
        <f>_xlfn.XLOOKUP(SummaryTable[[#This Row],[Code]], NameCodingTable[Code], NameCodingTable[Most Recent Category per allFYs])</f>
        <v>Public safety and justice</v>
      </c>
      <c r="D138" t="str">
        <f>_xlfn.XLOOKUP(SummaryTable[[#This Row],[Code]], NameCodingTable[Code], NameCodingTable[Unit Display Name])</f>
        <v>Section 103 Judgments - Public Safety and Justice</v>
      </c>
      <c r="E138" t="str">
        <f>_xlfn.XLOOKUP(SummaryTable[[#This Row],[Code]], NameCodingTable[Code], NameCodingTable[Type])</f>
        <v>xother</v>
      </c>
      <c r="F13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9</v>
      </c>
      <c r="G13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9</v>
      </c>
      <c r="H138" s="54">
        <f>SummaryTable[[#This Row],['# Over]]/SummaryTable[[#This Row],[Count]]</f>
        <v>1</v>
      </c>
      <c r="I13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38" s="54">
        <f>SummaryTable[[#This Row],['# Under]]/SummaryTable[[#This Row],[Count]]</f>
        <v>0</v>
      </c>
      <c r="K13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38" s="54">
        <f>SummaryTable[[#This Row],['# Equal]]/SummaryTable[[#This Row],[Count]]</f>
        <v>0</v>
      </c>
      <c r="M138" s="61">
        <f>SUMIFS(allFYsTable[OriginalBudget],allFYsTable[Code],SummaryTable[[#This Row],[Code]])/SummaryTable[[#This Row],[Count]]</f>
        <v>0</v>
      </c>
      <c r="N138" s="61">
        <f>SUMIFS(allFYsTable[Actual],allFYsTable[Code],SummaryTable[[#This Row],[Code]])/SummaryTable[[#This Row],[Count]]</f>
        <v>18432</v>
      </c>
      <c r="O138" s="61">
        <f>SummaryTable[[#This Row],[AvgActAmt]]-SummaryTable[[#This Row],[AvgBudAmt]]</f>
        <v>18432</v>
      </c>
      <c r="P138" s="54">
        <f>IF(SummaryTable[[#This Row],[AvgBudAmt]]=0, IF(SummaryTable[[#This Row],[AvgDiff'#]]=0, 0, NamedFields!$C$3), SummaryTable[[#This Row],[AvgDiff'#]]/SummaryTable[[#This Row],[AvgBudAmt]])</f>
        <v>99.99</v>
      </c>
      <c r="Q138" s="61">
        <f>IFERROR(SUMIFS(allFYsTable[OriginalBudget],allFYsTable[Code],SummaryTable[[#This Row],[Code]],allFYsTable[DiffAmount], "&gt;0")/SummaryTable[[#This Row],['# Over]], 0)</f>
        <v>0</v>
      </c>
      <c r="R138" s="61">
        <f>IFERROR(SUMIFS(allFYsTable[Actual],allFYsTable[Code],SummaryTable[[#This Row],[Code]],allFYsTable[DiffAmount], "&gt;0")/SummaryTable[[#This Row],['# Over]], 0)</f>
        <v>18432</v>
      </c>
      <c r="S138" s="61">
        <f>SummaryTable[[#This Row],[OverAvgAct]]-SummaryTable[[#This Row],[OverAvgBud]]</f>
        <v>18432</v>
      </c>
      <c r="T138" s="54">
        <f>IF(SummaryTable[[#This Row],[OverAvgBud]]=0, IF(SummaryTable[[#This Row],[OverAvgDiff'#]]=0, ZeroBudgetNoSpending, ZeroBudgetWithSpending), SummaryTable[[#This Row],[OverAvgDiff'#]]/SummaryTable[[#This Row],[OverAvgBud]])</f>
        <v>99.99</v>
      </c>
      <c r="U138" s="61">
        <f>IFERROR(SUMIFS(allFYsTable[OriginalBudget],allFYsTable[Code],SummaryTable[[#This Row],[Code]],allFYsTable[DiffAmount], "&lt;0")/SummaryTable[[#This Row],['# Under]], 0)</f>
        <v>0</v>
      </c>
      <c r="V138" s="61">
        <f>IFERROR( SUMIFS(allFYsTable[Actual],allFYsTable[Code],SummaryTable[[#This Row],[Code]],allFYsTable[DiffAmount], "&lt;0")/SummaryTable[[#This Row],['# Under]], 0)</f>
        <v>0</v>
      </c>
      <c r="W138" s="61">
        <f>SummaryTable[[#This Row],[UnderAvgAct]]-SummaryTable[[#This Row],[UnderAvgBud]]</f>
        <v>0</v>
      </c>
      <c r="X138" s="54">
        <f>IF(SummaryTable[[#This Row],[UnderAvgBud]]=0, IF(SummaryTable[[#This Row],[UnderAvgDiff'#]]=0, ZeroBudgetNoSpending, NamedFields!$C$3), SummaryTable[[#This Row],[UnderAvgDiff'#]]/SummaryTable[[#This Row],[UnderAvgBud]])</f>
        <v>0</v>
      </c>
      <c r="Y13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3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8" s="54">
        <f>IF(SummaryTable[[#This Row],[IncreaseYears]]=0, ZeroBudgetNoSpending, SummaryTable[[#This Row],[OSinIncreaseYear'#]]/SummaryTable[[#This Row],[IncreaseYears]])</f>
        <v>0</v>
      </c>
      <c r="AB138" s="58" t="str">
        <f>SummaryTable[[#This Row],[Code]]</f>
        <v>XJP</v>
      </c>
      <c r="AC138" s="62" t="e">
        <f>IF(COUNTIFS(allFYsTable[Code], SummaryTable[[#This Row],[Code]], allFYsTable[year2], AC$3)=0, NotFound, SUMIFS(allFYsTable[OriginalBudget], allFYsTable[Code], SummaryTable[[#This Row],[Code]], allFYsTable[year2], AC$3))</f>
        <v>#N/A</v>
      </c>
      <c r="AD138" s="61" t="e">
        <f>SummaryTable[[#This Row],[OriginalBudget25]]-SummaryTable[[#This Row],[OriginalBudget24]]</f>
        <v>#N/A</v>
      </c>
      <c r="AE138" s="54" t="e">
        <f>SummaryTable[[#This Row],[BudgetIncreaseAmount25]]/SummaryTable[[#This Row],[OriginalBudget24]]</f>
        <v>#N/A</v>
      </c>
      <c r="AF138" s="61" t="e">
        <f>IF(COUNTIFS(allFYsTable[Code], SummaryTable[[#This Row],[Code]], allFYsTable[year2], AC$3)=0, NotFound, SUMIFS(allFYsTable[RevisedBudget], allFYsTable[Code], SummaryTable[[#This Row],[Code]], allFYsTable[year2], AC$3))</f>
        <v>#N/A</v>
      </c>
      <c r="AG138" s="61" t="e">
        <f>IF(COUNTIFS(allFYsTable[Code], SummaryTable[[#This Row],[Code]], allFYsTable[year2], AC$3)=0, NotFound, SUMIFS(allFYsTable[Actual], allFYsTable[Code], SummaryTable[[#This Row],[Code]], allFYsTable[year2], AC$3))</f>
        <v>#N/A</v>
      </c>
      <c r="AH138" s="61" t="e">
        <f>IF(COUNTIFS(allFYsTable[Code], SummaryTable[[#This Row],[Code]], allFYsTable[year2], AC$3)=0, NotFound, SUMIFS(allFYsTable[DiffAmount], allFYsTable[Code], SummaryTable[[#This Row],[Code]], allFYsTable[year2], AC$3))</f>
        <v>#N/A</v>
      </c>
      <c r="AI138" s="63" t="e">
        <f>IF(SummaryTable[[#This Row],[OriginalBudget25]]=0, IF(SummaryTable[[#This Row],[DiffAmount25]]=0, ZeroBudgetNoSpending, ZeroBudgetWithSpending), SummaryTable[[#This Row],[DiffAmount25]]/SummaryTable[[#This Row],[OriginalBudget25]])</f>
        <v>#N/A</v>
      </c>
      <c r="AJ138" s="62">
        <f>IF(COUNTIFS(allFYsTable[Code], SummaryTable[[#This Row],[Code]], allFYsTable[year2], AJ$3)=0, NotFound, SUMIFS(allFYsTable[OriginalBudget], allFYsTable[Code], SummaryTable[[#This Row],[Code]], allFYsTable[year2], AJ$3))</f>
        <v>0</v>
      </c>
      <c r="AK138" s="61">
        <f>SummaryTable[[#This Row],[OriginalBudget24]]-SummaryTable[[#This Row],[OriginalBudget23]]</f>
        <v>0</v>
      </c>
      <c r="AL138" s="54" t="e">
        <f>SummaryTable[[#This Row],[BudgetIncreaseAmount24]]/SummaryTable[[#This Row],[OriginalBudget23]]</f>
        <v>#DIV/0!</v>
      </c>
      <c r="AM138" s="61">
        <f>IF(COUNTIFS(allFYsTable[Code], SummaryTable[[#This Row],[Code]], allFYsTable[year2], AK$3)=0, NotFound, SUMIFS(allFYsTable[RevisedBudget], allFYsTable[Code], SummaryTable[[#This Row],[Code]], allFYsTable[year2], AJ$3))</f>
        <v>3011</v>
      </c>
      <c r="AN138" s="61">
        <f>IF(COUNTIFS(allFYsTable[Code], SummaryTable[[#This Row],[Code]], allFYsTable[year2], AJ$3)=0, NotFound, SUMIFS(allFYsTable[Actual], allFYsTable[Code], SummaryTable[[#This Row],[Code]], allFYsTable[year2], AJ$3))</f>
        <v>3011</v>
      </c>
      <c r="AO138" s="61">
        <f>IF(COUNTIFS(allFYsTable[Code], SummaryTable[[#This Row],[Code]], allFYsTable[year2], AJ$3)=0, NotFound, SUMIFS(allFYsTable[DiffAmount], allFYsTable[Code], SummaryTable[[#This Row],[Code]], allFYsTable[year2], AJ$3))</f>
        <v>3011</v>
      </c>
      <c r="AP138" s="63">
        <f>IF(SummaryTable[[#This Row],[OriginalBudget24]]=0, IF(SummaryTable[[#This Row],[DiffAmount24]]=0, ZeroBudgetNoSpending, ZeroBudgetWithSpending), SummaryTable[[#This Row],[DiffAmount24]]/SummaryTable[[#This Row],[OriginalBudget24]])</f>
        <v>99.99</v>
      </c>
      <c r="AQ138" s="62">
        <f>IF(COUNTIFS(allFYsTable[Code], SummaryTable[[#This Row],[Code]], allFYsTable[year2], AQ$3)=0, NotFound, SUMIFS(allFYsTable[OriginalBudget], allFYsTable[Code], SummaryTable[[#This Row],[Code]], allFYsTable[year2], AQ$3))</f>
        <v>0</v>
      </c>
      <c r="AR138" s="61" t="e">
        <f>SummaryTable[[#This Row],[OriginalBudget23]]-SummaryTable[[#This Row],[OriginalBudget22]]</f>
        <v>#N/A</v>
      </c>
      <c r="AS138" s="54" t="e">
        <f>SummaryTable[[#This Row],[BudgetIncreaseAmount23]]/SummaryTable[[#This Row],[OriginalBudget22]]</f>
        <v>#N/A</v>
      </c>
      <c r="AT138" s="61">
        <f>IF(COUNTIFS(allFYsTable[Code], SummaryTable[[#This Row],[Code]], allFYsTable[year2], AQ$3)=0, NotFound, SUMIFS(allFYsTable[RevisedBudget], allFYsTable[Code], SummaryTable[[#This Row],[Code]], allFYsTable[year2], AQ$3))</f>
        <v>35000</v>
      </c>
      <c r="AU138" s="61">
        <f>IF(COUNTIFS(allFYsTable[Code], SummaryTable[[#This Row],[Code]], allFYsTable[year2], AQ$3)=0, NotFound, SUMIFS(allFYsTable[Actual], allFYsTable[Code], SummaryTable[[#This Row],[Code]], allFYsTable[year2], AQ$3))</f>
        <v>34750</v>
      </c>
      <c r="AV138" s="61">
        <f>IF(COUNTIFS(allFYsTable[Code], SummaryTable[[#This Row],[Code]], allFYsTable[year2], AQ$3)=0, NotFound, SUMIFS(allFYsTable[DiffAmount], allFYsTable[Code], SummaryTable[[#This Row],[Code]], allFYsTable[year2], AQ$3))</f>
        <v>34750</v>
      </c>
      <c r="AW138" s="63">
        <f>IF(SummaryTable[[#This Row],[OriginalBudget23]]=0, IF(SummaryTable[[#This Row],[DiffAmount23]]=0, ZeroBudgetNoSpending, ZeroBudgetWithSpending), SummaryTable[[#This Row],[DiffAmount23]]/SummaryTable[[#This Row],[OriginalBudget23]])</f>
        <v>99.99</v>
      </c>
      <c r="AX138" s="62" t="e">
        <f>IF(COUNTIFS(allFYsTable[Code], SummaryTable[[#This Row],[Code]], allFYsTable[year2], AX$3)=0, NotFound, SUMIFS(allFYsTable[OriginalBudget], allFYsTable[Code], SummaryTable[[#This Row],[Code]], allFYsTable[year2], AX$3))</f>
        <v>#N/A</v>
      </c>
      <c r="AY138" s="61" t="e">
        <f>SummaryTable[[#This Row],[OriginalBudget22]]-SummaryTable[[#This Row],[OriginalBudget21]]</f>
        <v>#N/A</v>
      </c>
      <c r="AZ138" s="54" t="e">
        <f>SummaryTable[[#This Row],[BudgetIncreaseAmount22]]/SummaryTable[[#This Row],[OriginalBudget21]]</f>
        <v>#N/A</v>
      </c>
      <c r="BA138" s="61" t="e">
        <f>IF(COUNTIFS(allFYsTable[Code], SummaryTable[[#This Row],[Code]], allFYsTable[year2], AX$3)=0, NotFound, SUMIFS(allFYsTable[RevisedBudget], allFYsTable[Code], SummaryTable[[#This Row],[Code]], allFYsTable[year2], AX$3))</f>
        <v>#N/A</v>
      </c>
      <c r="BB138" s="61" t="e">
        <f>IF(COUNTIFS(allFYsTable[Code], SummaryTable[[#This Row],[Code]], allFYsTable[year2], AX$3)=0, NotFound, SUMIFS(allFYsTable[Actual], allFYsTable[Code], SummaryTable[[#This Row],[Code]], allFYsTable[year2], AX$3))</f>
        <v>#N/A</v>
      </c>
      <c r="BC138" s="61" t="e">
        <f>IF(COUNTIFS(allFYsTable[Code], SummaryTable[[#This Row],[Code]], allFYsTable[year2], AX$3)=0, NotFound, SUMIFS(allFYsTable[DiffAmount], allFYsTable[Code], SummaryTable[[#This Row],[Code]], allFYsTable[year2], AX$3))</f>
        <v>#N/A</v>
      </c>
      <c r="BD138" s="63" t="e">
        <f>IF(SummaryTable[[#This Row],[OriginalBudget22]]=0, IF(SummaryTable[[#This Row],[DiffAmount22]]=0, ZeroBudgetNoSpending, ZeroBudgetWithSpending), SummaryTable[[#This Row],[DiffAmount22]]/SummaryTable[[#This Row],[OriginalBudget22]])</f>
        <v>#N/A</v>
      </c>
      <c r="BE138" s="62" t="e">
        <f>IF(COUNTIFS(allFYsTable[Code], SummaryTable[[#This Row],[Code]], allFYsTable[year2], BE$3)=0, NotFound, SUMIFS(allFYsTable[OriginalBudget], allFYsTable[Code], SummaryTable[[#This Row],[Code]], allFYsTable[year2], BE$3))</f>
        <v>#N/A</v>
      </c>
      <c r="BF138" s="61" t="e">
        <f>SummaryTable[[#This Row],[OriginalBudget21]]-SummaryTable[[#This Row],[OriginalBudget20]]</f>
        <v>#N/A</v>
      </c>
      <c r="BG138" s="54" t="e">
        <f>SummaryTable[[#This Row],[BudgetIncreaseAmount21]]/SummaryTable[[#This Row],[OriginalBudget20]]</f>
        <v>#N/A</v>
      </c>
      <c r="BH138" s="61" t="e">
        <f>IF(COUNTIFS(allFYsTable[Code], SummaryTable[[#This Row],[Code]], allFYsTable[year2], BE$3)=0, NotFound, SUMIFS(allFYsTable[RevisedBudget], allFYsTable[Code], SummaryTable[[#This Row],[Code]], allFYsTable[year2], BE$3))</f>
        <v>#N/A</v>
      </c>
      <c r="BI138" s="61" t="e">
        <f>IF(COUNTIFS(allFYsTable[Code], SummaryTable[[#This Row],[Code]], allFYsTable[year2], BE$3)=0, NotFound, SUMIFS(allFYsTable[Actual], allFYsTable[Code], SummaryTable[[#This Row],[Code]], allFYsTable[year2], BE$3))</f>
        <v>#N/A</v>
      </c>
      <c r="BJ138" s="61" t="e">
        <f>IF(COUNTIFS(allFYsTable[Code], SummaryTable[[#This Row],[Code]], allFYsTable[year2], BE$3)=0, NotFound, SUMIFS(allFYsTable[DiffAmount], allFYsTable[Code], SummaryTable[[#This Row],[Code]], allFYsTable[year2], BE$3))</f>
        <v>#N/A</v>
      </c>
      <c r="BK138" s="63" t="e">
        <f>IF(SummaryTable[[#This Row],[OriginalBudget21]]=0, IF(SummaryTable[[#This Row],[DiffAmount21]]=0, ZeroBudgetNoSpending, ZeroBudgetWithSpending), SummaryTable[[#This Row],[DiffAmount21]]/SummaryTable[[#This Row],[OriginalBudget21]])</f>
        <v>#N/A</v>
      </c>
      <c r="BL138" s="62" t="e">
        <f>IF(COUNTIFS(allFYsTable[Code], SummaryTable[[#This Row],[Code]], allFYsTable[year2], BL$3)=0, NotFound, SUMIFS(allFYsTable[OriginalBudget], allFYsTable[Code], SummaryTable[[#This Row],[Code]], allFYsTable[year2], BL$3))</f>
        <v>#N/A</v>
      </c>
      <c r="BM138" s="61" t="e">
        <f>SummaryTable[[#This Row],[OriginalBudget20]]-SummaryTable[[#This Row],[OriginalBudget19]]</f>
        <v>#N/A</v>
      </c>
      <c r="BN138" s="54" t="e">
        <f>SummaryTable[[#This Row],[BudgetIncreaseAmount20]]/SummaryTable[[#This Row],[OriginalBudget19]]</f>
        <v>#N/A</v>
      </c>
      <c r="BO138" s="61" t="e">
        <f>IF(COUNTIFS(allFYsTable[Code], SummaryTable[[#This Row],[Code]], allFYsTable[year2], BL$3)=0, NotFound, SUMIFS(allFYsTable[RevisedBudget], allFYsTable[Code], SummaryTable[[#This Row],[Code]], allFYsTable[year2], BL$3))</f>
        <v>#N/A</v>
      </c>
      <c r="BP138" s="61" t="e">
        <f>IF(COUNTIFS(allFYsTable[Code], SummaryTable[[#This Row],[Code]], allFYsTable[year2], BL$3)=0, NotFound, SUMIFS(allFYsTable[Actual], allFYsTable[Code], SummaryTable[[#This Row],[Code]], allFYsTable[year2], BL$3))</f>
        <v>#N/A</v>
      </c>
      <c r="BQ138" s="61" t="e">
        <f>IF(COUNTIFS(allFYsTable[Code], SummaryTable[[#This Row],[Code]], allFYsTable[year2], BL$3)=0, NotFound, SUMIFS(allFYsTable[DiffAmount], allFYsTable[Code], SummaryTable[[#This Row],[Code]], allFYsTable[year2], BL$3))</f>
        <v>#N/A</v>
      </c>
      <c r="BR138" s="63" t="e">
        <f>IF(SummaryTable[[#This Row],[OriginalBudget20]]=0, IF(SummaryTable[[#This Row],[DiffAmount20]]=0, ZeroBudgetNoSpending, ZeroBudgetWithSpending), SummaryTable[[#This Row],[DiffAmount20]]/SummaryTable[[#This Row],[OriginalBudget20]])</f>
        <v>#N/A</v>
      </c>
      <c r="BS138" s="62" t="e">
        <f>IF(COUNTIFS(allFYsTable[Code], SummaryTable[[#This Row],[Code]], allFYsTable[year2], BS$3)=0, NotFound, SUMIFS(allFYsTable[OriginalBudget], allFYsTable[Code], SummaryTable[[#This Row],[Code]], allFYsTable[year2], BS$3))</f>
        <v>#N/A</v>
      </c>
      <c r="BT138" s="61" t="e">
        <f>SummaryTable[[#This Row],[OriginalBudget19]]-SummaryTable[[#This Row],[OriginalBudget18]]</f>
        <v>#N/A</v>
      </c>
      <c r="BU138" s="54" t="e">
        <f>SummaryTable[[#This Row],[BudgetIncreaseAmount19]]/SummaryTable[[#This Row],[OriginalBudget18]]</f>
        <v>#N/A</v>
      </c>
      <c r="BV138" s="61" t="e">
        <f>IF(COUNTIFS(allFYsTable[Code], SummaryTable[[#This Row],[Code]], allFYsTable[year2], BS$3)=0, NotFound, SUMIFS(allFYsTable[RevisedBudget], allFYsTable[Code], SummaryTable[[#This Row],[Code]], allFYsTable[year2], BS$3))</f>
        <v>#N/A</v>
      </c>
      <c r="BW138" s="61" t="e">
        <f>IF(COUNTIFS(allFYsTable[Code], SummaryTable[[#This Row],[Code]], allFYsTable[year2], BS$3)=0, NotFound, SUMIFS(allFYsTable[Actual], allFYsTable[Code], SummaryTable[[#This Row],[Code]], allFYsTable[year2], BS$3))</f>
        <v>#N/A</v>
      </c>
      <c r="BX138" s="61" t="e">
        <f>IF(COUNTIFS(allFYsTable[Code], SummaryTable[[#This Row],[Code]], allFYsTable[year2], BS$3)=0, NotFound, SUMIFS(allFYsTable[DiffAmount], allFYsTable[Code], SummaryTable[[#This Row],[Code]], allFYsTable[year2], BS$3))</f>
        <v>#N/A</v>
      </c>
      <c r="BY138" s="63" t="e">
        <f>IF(SummaryTable[[#This Row],[OriginalBudget19]]=0, IF(SummaryTable[[#This Row],[DiffAmount19]]=0, ZeroBudgetNoSpending, ZeroBudgetWithSpending), SummaryTable[[#This Row],[DiffAmount19]]/SummaryTable[[#This Row],[OriginalBudget19]])</f>
        <v>#N/A</v>
      </c>
      <c r="BZ138" s="62" t="e">
        <f>IF(COUNTIFS(allFYsTable[Code], SummaryTable[[#This Row],[Code]], allFYsTable[year2], BZ$3)=0, NotFound, SUMIFS(allFYsTable[OriginalBudget], allFYsTable[Code], SummaryTable[[#This Row],[Code]], allFYsTable[year2], BZ$3))</f>
        <v>#N/A</v>
      </c>
      <c r="CA138" s="61" t="e">
        <f>SummaryTable[[#This Row],[OriginalBudget18]]-SummaryTable[[#This Row],[OriginalBudget17]]</f>
        <v>#N/A</v>
      </c>
      <c r="CB138" s="54" t="e">
        <f>SummaryTable[[#This Row],[BudgetIncreaseAmount18]]/SummaryTable[[#This Row],[OriginalBudget17]]</f>
        <v>#N/A</v>
      </c>
      <c r="CC138" s="61" t="e">
        <f>IF(COUNTIFS(allFYsTable[Code], SummaryTable[[#This Row],[Code]], allFYsTable[year2], BZ$3)=0, NotFound, SUMIFS(allFYsTable[RevisedBudget], allFYsTable[Code], SummaryTable[[#This Row],[Code]], allFYsTable[year2], BZ$3))</f>
        <v>#N/A</v>
      </c>
      <c r="CD138" s="61" t="e">
        <f>IF(COUNTIFS(allFYsTable[Code], SummaryTable[[#This Row],[Code]], allFYsTable[year2], BZ$3)=0, NotFound, SUMIFS(allFYsTable[Actual], allFYsTable[Code], SummaryTable[[#This Row],[Code]], allFYsTable[year2], BZ$3))</f>
        <v>#N/A</v>
      </c>
      <c r="CE138" s="61" t="e">
        <f>IF(COUNTIFS(allFYsTable[Code], SummaryTable[[#This Row],[Code]], allFYsTable[year2], BZ$3)=0, NotFound, SUMIFS(allFYsTable[DiffAmount], allFYsTable[Code], SummaryTable[[#This Row],[Code]], allFYsTable[year2], BZ$3))</f>
        <v>#N/A</v>
      </c>
      <c r="CF138" s="63" t="e">
        <f>IF(SummaryTable[[#This Row],[OriginalBudget18]]=0, IF(SummaryTable[[#This Row],[DiffAmount18]]=0, ZeroBudgetNoSpending, ZeroBudgetWithSpending), SummaryTable[[#This Row],[DiffAmount18]]/SummaryTable[[#This Row],[OriginalBudget18]])</f>
        <v>#N/A</v>
      </c>
      <c r="CG138" s="62">
        <f>IF(COUNTIFS(allFYsTable[Code], SummaryTable[[#This Row],[Code]], allFYsTable[year2], CG$3)=0, NotFound, SUMIFS(allFYsTable[OriginalBudget], allFYsTable[Code], SummaryTable[[#This Row],[Code]], allFYsTable[year2], CG$3))</f>
        <v>0</v>
      </c>
      <c r="CH138" s="61">
        <f>SummaryTable[[#This Row],[OriginalBudget17]]-SummaryTable[[#This Row],[OriginalBudget16]]</f>
        <v>0</v>
      </c>
      <c r="CI138" s="54" t="e">
        <f>SummaryTable[[#This Row],[BudgetIncreaseAmount17]]/SummaryTable[[#This Row],[OriginalBudget16]]</f>
        <v>#DIV/0!</v>
      </c>
      <c r="CJ138" s="61">
        <f>IF(COUNTIFS(allFYsTable[Code], SummaryTable[[#This Row],[Code]], allFYsTable[year2], CG$3)=0, NotFound, SUMIFS(allFYsTable[RevisedBudget], allFYsTable[Code], SummaryTable[[#This Row],[Code]], allFYsTable[year2], CG$3))</f>
        <v>340</v>
      </c>
      <c r="CK138" s="61">
        <f>IF(COUNTIFS(allFYsTable[Code], SummaryTable[[#This Row],[Code]], allFYsTable[year2], CG$3)=0, NotFound, SUMIFS(allFYsTable[Actual], allFYsTable[Code], SummaryTable[[#This Row],[Code]], allFYsTable[year2], CG$3))</f>
        <v>340</v>
      </c>
      <c r="CL138" s="61">
        <f>IF(COUNTIFS(allFYsTable[Code], SummaryTable[[#This Row],[Code]], allFYsTable[year2], CG$3)=0, NotFound, SUMIFS(allFYsTable[DiffAmount], allFYsTable[Code], SummaryTable[[#This Row],[Code]], allFYsTable[year2], CG$3))</f>
        <v>340</v>
      </c>
      <c r="CM138" s="63">
        <f>IF(SummaryTable[[#This Row],[OriginalBudget17]]=0, IF(SummaryTable[[#This Row],[DiffAmount17]]=0, ZeroBudgetNoSpending, ZeroBudgetWithSpending), SummaryTable[[#This Row],[DiffAmount17]]/SummaryTable[[#This Row],[OriginalBudget17]])</f>
        <v>99.99</v>
      </c>
      <c r="CN138" s="62">
        <f>IF(COUNTIFS(allFYsTable[Code], SummaryTable[[#This Row],[Code]], allFYsTable[year2], CN$3)=0, NotFound, SUMIFS(allFYsTable[OriginalBudget], allFYsTable[Code], SummaryTable[[#This Row],[Code]], allFYsTable[year2], CN$3))</f>
        <v>0</v>
      </c>
      <c r="CO138" s="61" t="e">
        <f>SummaryTable[[#This Row],[OriginalBudget16]]-SummaryTable[[#This Row],[OriginalBudget15]]</f>
        <v>#N/A</v>
      </c>
      <c r="CP138" s="54" t="e">
        <f>SummaryTable[[#This Row],[BudgetIncreaseAmount16]]/SummaryTable[[#This Row],[OriginalBudget15]]</f>
        <v>#N/A</v>
      </c>
      <c r="CQ138" s="61">
        <f>IF(COUNTIFS(allFYsTable[Code], SummaryTable[[#This Row],[Code]], allFYsTable[year2], CN$3)=0, NotFound, SUMIFS(allFYsTable[RevisedBudget], allFYsTable[Code], SummaryTable[[#This Row],[Code]], allFYsTable[year2], CN$3))</f>
        <v>89938</v>
      </c>
      <c r="CR138" s="61">
        <f>IF(COUNTIFS(allFYsTable[Code], SummaryTable[[#This Row],[Code]], allFYsTable[year2], CN$3)=0, NotFound, SUMIFS(allFYsTable[Actual], allFYsTable[Code], SummaryTable[[#This Row],[Code]], allFYsTable[year2], CN$3))</f>
        <v>89938</v>
      </c>
      <c r="CS138" s="61">
        <f>IF(COUNTIFS(allFYsTable[Code], SummaryTable[[#This Row],[Code]], allFYsTable[year2], CN$3)=0, NotFound, SUMIFS(allFYsTable[DiffAmount], allFYsTable[Code], SummaryTable[[#This Row],[Code]], allFYsTable[year2], CN$3))</f>
        <v>89938</v>
      </c>
      <c r="CT138" s="63">
        <f>IF(SummaryTable[[#This Row],[OriginalBudget16]]=0, IF(SummaryTable[[#This Row],[DiffAmount16]]=0, ZeroBudgetNoSpending, ZeroBudgetWithSpending), SummaryTable[[#This Row],[DiffAmount16]]/SummaryTable[[#This Row],[OriginalBudget16]])</f>
        <v>99.99</v>
      </c>
      <c r="CU138" s="62" t="e">
        <f>IF(COUNTIFS(allFYsTable[Code], SummaryTable[[#This Row],[Code]], allFYsTable[year2], CU$3)=0, NotFound, SUMIFS(allFYsTable[OriginalBudget], allFYsTable[Code], SummaryTable[[#This Row],[Code]], allFYsTable[year2], CU$3))</f>
        <v>#N/A</v>
      </c>
      <c r="CV138" s="61" t="e">
        <f>SummaryTable[[#This Row],[OriginalBudget15]]-SummaryTable[[#This Row],[OriginalBudget14]]</f>
        <v>#N/A</v>
      </c>
      <c r="CW138" s="54" t="e">
        <f>SummaryTable[[#This Row],[BudgetIncreaseAmount15]]/SummaryTable[[#This Row],[OriginalBudget14]]</f>
        <v>#N/A</v>
      </c>
      <c r="CX138" s="61" t="e">
        <f>IF(COUNTIFS(allFYsTable[Code], SummaryTable[[#This Row],[Code]], allFYsTable[year2], CU$3)=0, NotFound, SUMIFS(allFYsTable[RevisedBudget], allFYsTable[Code], SummaryTable[[#This Row],[Code]], allFYsTable[year2], CU$3))</f>
        <v>#N/A</v>
      </c>
      <c r="CY138" s="61" t="e">
        <f>IF(COUNTIFS(allFYsTable[Code], SummaryTable[[#This Row],[Code]], allFYsTable[year2], CU$3)=0, NotFound, SUMIFS(allFYsTable[Actual], allFYsTable[Code], SummaryTable[[#This Row],[Code]], allFYsTable[year2], CU$3))</f>
        <v>#N/A</v>
      </c>
      <c r="CZ138" s="61" t="e">
        <f>IF(COUNTIFS(allFYsTable[Code], SummaryTable[[#This Row],[Code]], allFYsTable[year2], CU$3)=0, NotFound, SUMIFS(allFYsTable[DiffAmount], allFYsTable[Code], SummaryTable[[#This Row],[Code]], allFYsTable[year2], CU$3))</f>
        <v>#N/A</v>
      </c>
      <c r="DA138" s="63" t="e">
        <f>IF(SummaryTable[[#This Row],[OriginalBudget15]]=0, IF(SummaryTable[[#This Row],[DiffAmount15]]=0, ZeroBudgetNoSpending, ZeroBudgetWithSpending), SummaryTable[[#This Row],[DiffAmount15]]/SummaryTable[[#This Row],[OriginalBudget15]])</f>
        <v>#N/A</v>
      </c>
      <c r="DB138" s="62">
        <f>IF(COUNTIFS(allFYsTable[Code], SummaryTable[[#This Row],[Code]], allFYsTable[year2], DB$3)=0, NotFound, SUMIFS(allFYsTable[OriginalBudget], allFYsTable[Code], SummaryTable[[#This Row],[Code]], allFYsTable[year2], DB$3))</f>
        <v>0</v>
      </c>
      <c r="DC138" s="61">
        <f>SummaryTable[[#This Row],[OriginalBudget14]]-SummaryTable[[#This Row],[OriginalBudget13]]</f>
        <v>0</v>
      </c>
      <c r="DD138" s="54" t="e">
        <f>SummaryTable[[#This Row],[BudgetIncreaseAmount14]]/SummaryTable[[#This Row],[OriginalBudget13]]</f>
        <v>#DIV/0!</v>
      </c>
      <c r="DE138" s="61">
        <f>IF(COUNTIFS(allFYsTable[Code], SummaryTable[[#This Row],[Code]], allFYsTable[year2], DB$3)=0, NotFound, SUMIFS(allFYsTable[RevisedBudget], allFYsTable[Code], SummaryTable[[#This Row],[Code]], allFYsTable[year2], DB$3))</f>
        <v>421</v>
      </c>
      <c r="DF138" s="61">
        <f>IF(COUNTIFS(allFYsTable[Code], SummaryTable[[#This Row],[Code]], allFYsTable[year2], DB$3)=0, NotFound, SUMIFS(allFYsTable[Actual], allFYsTable[Code], SummaryTable[[#This Row],[Code]], allFYsTable[year2], DB$3))</f>
        <v>421</v>
      </c>
      <c r="DG138" s="61">
        <f>IF(COUNTIFS(allFYsTable[Code], SummaryTable[[#This Row],[Code]], allFYsTable[year2], DB$3)=0, NotFound, SUMIFS(allFYsTable[DiffAmount], allFYsTable[Code], SummaryTable[[#This Row],[Code]], allFYsTable[year2], DB$3))</f>
        <v>421</v>
      </c>
      <c r="DH138" s="63">
        <f>IF(SummaryTable[[#This Row],[OriginalBudget14]]=0, IF(SummaryTable[[#This Row],[DiffAmount14]]=0, ZeroBudgetNoSpending, ZeroBudgetWithSpending), SummaryTable[[#This Row],[DiffAmount14]]/SummaryTable[[#This Row],[OriginalBudget14]])</f>
        <v>99.99</v>
      </c>
      <c r="DI138" s="62">
        <f>IF(COUNTIFS(allFYsTable[Code], SummaryTable[[#This Row],[Code]], allFYsTable[year2], DI$3)=0, NotFound, SUMIFS(allFYsTable[OriginalBudget], allFYsTable[Code], SummaryTable[[#This Row],[Code]], allFYsTable[year2], DI$3))</f>
        <v>0</v>
      </c>
      <c r="DJ138" s="61" t="e">
        <f>SummaryTable[[#This Row],[OriginalBudget13]]-SummaryTable[[#This Row],[OriginalBudget12]]</f>
        <v>#N/A</v>
      </c>
      <c r="DK138" s="54" t="e">
        <f>SummaryTable[[#This Row],[BudgetIncreaseAmount13]]/SummaryTable[[#This Row],[OriginalBudget12]]</f>
        <v>#N/A</v>
      </c>
      <c r="DL138" s="61">
        <f>IF(COUNTIFS(allFYsTable[Code], SummaryTable[[#This Row],[Code]], allFYsTable[year2], DI$3)=0, NotFound, SUMIFS(allFYsTable[RevisedBudget], allFYsTable[Code], SummaryTable[[#This Row],[Code]], allFYsTable[year2], DI$3))</f>
        <v>10210</v>
      </c>
      <c r="DM138" s="61">
        <f>IF(COUNTIFS(allFYsTable[Code], SummaryTable[[#This Row],[Code]], allFYsTable[year2], DI$3)=0, NotFound, SUMIFS(allFYsTable[Actual], allFYsTable[Code], SummaryTable[[#This Row],[Code]], allFYsTable[year2], DI$3))</f>
        <v>10210</v>
      </c>
      <c r="DN138" s="61">
        <f>IF(COUNTIFS(allFYsTable[Code], SummaryTable[[#This Row],[Code]], allFYsTable[year2], DI$3)=0, NotFound, SUMIFS(allFYsTable[DiffAmount], allFYsTable[Code], SummaryTable[[#This Row],[Code]], allFYsTable[year2], DI$3))</f>
        <v>10210</v>
      </c>
      <c r="DO138" s="63">
        <f>IF(SummaryTable[[#This Row],[OriginalBudget13]]=0, IF(SummaryTable[[#This Row],[DiffAmount13]]=0, ZeroBudgetNoSpending, ZeroBudgetWithSpending), SummaryTable[[#This Row],[DiffAmount13]]/SummaryTable[[#This Row],[OriginalBudget13]])</f>
        <v>99.99</v>
      </c>
      <c r="DP138" s="62" t="e">
        <f>IF(COUNTIFS(allFYsTable[Code], SummaryTable[[#This Row],[Code]], allFYsTable[year2], DP$3)=0, NotFound, SUMIFS(allFYsTable[OriginalBudget], allFYsTable[Code], SummaryTable[[#This Row],[Code]], allFYsTable[year2], DP$3))</f>
        <v>#N/A</v>
      </c>
      <c r="DQ138" s="61" t="e">
        <f>SummaryTable[[#This Row],[OriginalBudget12]]-SummaryTable[[#This Row],[OriginalBudget11]]</f>
        <v>#N/A</v>
      </c>
      <c r="DR138" s="54" t="e">
        <f>SummaryTable[[#This Row],[BudgetIncreaseAmount12]]/SummaryTable[[#This Row],[OriginalBudget11]]</f>
        <v>#N/A</v>
      </c>
      <c r="DS138" s="61" t="e">
        <f>IF(COUNTIFS(allFYsTable[Code], SummaryTable[[#This Row],[Code]], allFYsTable[year2], DP$3)=0, NotFound, SUMIFS(allFYsTable[RevisedBudget], allFYsTable[Code], SummaryTable[[#This Row],[Code]], allFYsTable[year2], DP$3))</f>
        <v>#N/A</v>
      </c>
      <c r="DT138" s="61" t="e">
        <f>IF(COUNTIFS(allFYsTable[Code], SummaryTable[[#This Row],[Code]], allFYsTable[year2], DP$3)=0, NotFound, SUMIFS(allFYsTable[Actual], allFYsTable[Code], SummaryTable[[#This Row],[Code]], allFYsTable[year2], DP$3))</f>
        <v>#N/A</v>
      </c>
      <c r="DU138" s="61" t="e">
        <f>IF(COUNTIFS(allFYsTable[Code], SummaryTable[[#This Row],[Code]], allFYsTable[year2], DP$3)=0, NotFound, SUMIFS(allFYsTable[DiffAmount], allFYsTable[Code], SummaryTable[[#This Row],[Code]], allFYsTable[year2], DP$3))</f>
        <v>#N/A</v>
      </c>
      <c r="DV138" s="63" t="e">
        <f>IF(SummaryTable[[#This Row],[OriginalBudget12]]=0, IF(SummaryTable[[#This Row],[DiffAmount12]]=0, ZeroBudgetNoSpending, ZeroBudgetWithSpending), SummaryTable[[#This Row],[DiffAmount12]]/SummaryTable[[#This Row],[OriginalBudget12]])</f>
        <v>#N/A</v>
      </c>
      <c r="DW138" s="62">
        <f>IF(COUNTIFS(allFYsTable[Code], SummaryTable[[#This Row],[Code]], allFYsTable[year2], DW$3)=0, NotFound, SUMIFS(allFYsTable[OriginalBudget], allFYsTable[Code], SummaryTable[[#This Row],[Code]], allFYsTable[year2], DW$3))</f>
        <v>0</v>
      </c>
      <c r="DX138" s="61">
        <f>SummaryTable[[#This Row],[OriginalBudget11]]-SummaryTable[[#This Row],[OriginalBudget10]]</f>
        <v>0</v>
      </c>
      <c r="DY138" s="54" t="e">
        <f>SummaryTable[[#This Row],[BudgetIncreaseAmount11]]/SummaryTable[[#This Row],[OriginalBudget10]]</f>
        <v>#DIV/0!</v>
      </c>
      <c r="DZ138" s="61">
        <f>IF(COUNTIFS(allFYsTable[Code], SummaryTable[[#This Row],[Code]], allFYsTable[year2], DW$3)=0, NotFound, SUMIFS(allFYsTable[RevisedBudget], allFYsTable[Code], SummaryTable[[#This Row],[Code]], allFYsTable[year2], DW$3))</f>
        <v>20445</v>
      </c>
      <c r="EA138" s="61">
        <f>IF(COUNTIFS(allFYsTable[Code], SummaryTable[[#This Row],[Code]], allFYsTable[year2], DW$3)=0, NotFound, SUMIFS(allFYsTable[Actual], allFYsTable[Code], SummaryTable[[#This Row],[Code]], allFYsTable[year2], DW$3))</f>
        <v>20445</v>
      </c>
      <c r="EB138" s="61">
        <f>IF(COUNTIFS(allFYsTable[Code], SummaryTable[[#This Row],[Code]], allFYsTable[year2], DW$3)=0, NotFound, SUMIFS(allFYsTable[DiffAmount], allFYsTable[Code], SummaryTable[[#This Row],[Code]], allFYsTable[year2], DW$3))</f>
        <v>20445</v>
      </c>
      <c r="EC138" s="63">
        <f>IF(SummaryTable[[#This Row],[OriginalBudget11]]=0, IF(SummaryTable[[#This Row],[DiffAmount11]]=0, ZeroBudgetNoSpending, ZeroBudgetWithSpending), SummaryTable[[#This Row],[DiffAmount11]]/SummaryTable[[#This Row],[OriginalBudget11]])</f>
        <v>99.99</v>
      </c>
      <c r="ED138" s="62">
        <f>IF(COUNTIFS(allFYsTable[Code], SummaryTable[[#This Row],[Code]], allFYsTable[year2], ED$3)=0, NotFound, SUMIFS(allFYsTable[OriginalBudget], allFYsTable[Code], SummaryTable[[#This Row],[Code]], allFYsTable[year2], ED$3))</f>
        <v>0</v>
      </c>
      <c r="EE138" s="61" t="e">
        <f>SummaryTable[[#This Row],[OriginalBudget10]]-SummaryTable[[#This Row],[OriginalBudget09]]</f>
        <v>#N/A</v>
      </c>
      <c r="EF138" s="54" t="e">
        <f>SummaryTable[[#This Row],[BudgetIncreaseAmount10]]/SummaryTable[[#This Row],[OriginalBudget09]]</f>
        <v>#N/A</v>
      </c>
      <c r="EG138" s="61">
        <f>IF(COUNTIFS(allFYsTable[Code], SummaryTable[[#This Row],[Code]], allFYsTable[year2], ED$3)=0, NotFound, SUMIFS(allFYsTable[RevisedBudget], allFYsTable[Code], SummaryTable[[#This Row],[Code]], allFYsTable[year2], ED$3))</f>
        <v>3000</v>
      </c>
      <c r="EH138" s="61">
        <f>IF(COUNTIFS(allFYsTable[Code], SummaryTable[[#This Row],[Code]], allFYsTable[year2], ED$3)=0, NotFound, SUMIFS(allFYsTable[Actual], allFYsTable[Code], SummaryTable[[#This Row],[Code]], allFYsTable[year2], ED$3))</f>
        <v>3000</v>
      </c>
      <c r="EI138" s="61">
        <f>IF(COUNTIFS(allFYsTable[Code], SummaryTable[[#This Row],[Code]], allFYsTable[year2], ED$3)=0, NotFound, SUMIFS(allFYsTable[DiffAmount], allFYsTable[Code], SummaryTable[[#This Row],[Code]], allFYsTable[year2], ED$3))</f>
        <v>3000</v>
      </c>
      <c r="EJ138" s="63">
        <f>IF(SummaryTable[[#This Row],[OriginalBudget10]]=0, IF(SummaryTable[[#This Row],[DiffAmount10]]=0, ZeroBudgetNoSpending, ZeroBudgetWithSpending), SummaryTable[[#This Row],[DiffAmount10]]/SummaryTable[[#This Row],[OriginalBudget10]])</f>
        <v>99.99</v>
      </c>
      <c r="EK138" s="62" t="e">
        <f>IF(COUNTIFS(allFYsTable[Code], SummaryTable[[#This Row],[Code]], allFYsTable[year2], EK$3)=0, NotFound, SUMIFS(allFYsTable[OriginalBudget], allFYsTable[Code], SummaryTable[[#This Row],[Code]], allFYsTable[year2], EK$3))</f>
        <v>#N/A</v>
      </c>
      <c r="EL138" s="61" t="e">
        <f>SummaryTable[[#This Row],[OriginalBudget09]]-SummaryTable[[#This Row],[OriginalBudget08]]</f>
        <v>#N/A</v>
      </c>
      <c r="EM138" s="54" t="e">
        <f>SummaryTable[[#This Row],[BudgetIncreaseAmount09]]/SummaryTable[[#This Row],[OriginalBudget08]]</f>
        <v>#N/A</v>
      </c>
      <c r="EN138" s="61" t="e">
        <f>IF(COUNTIFS(allFYsTable[Code], SummaryTable[[#This Row],[Code]], allFYsTable[year2], EK$3)=0, NotFound, SUMIFS(allFYsTable[RevisedBudget], allFYsTable[Code], SummaryTable[[#This Row],[Code]], allFYsTable[year2], EK$3))</f>
        <v>#N/A</v>
      </c>
      <c r="EO138" s="61" t="e">
        <f>IF(COUNTIFS(allFYsTable[Code], SummaryTable[[#This Row],[Code]], allFYsTable[year2], EK$3)=0, NotFound, SUMIFS(allFYsTable[Actual], allFYsTable[Code], SummaryTable[[#This Row],[Code]], allFYsTable[year2], EK$3))</f>
        <v>#N/A</v>
      </c>
      <c r="EP138" s="61" t="e">
        <f>IF(COUNTIFS(allFYsTable[Code], SummaryTable[[#This Row],[Code]], allFYsTable[year2], EK$3)=0, NotFound, SUMIFS(allFYsTable[DiffAmount], allFYsTable[Code], SummaryTable[[#This Row],[Code]], allFYsTable[year2], EK$3))</f>
        <v>#N/A</v>
      </c>
      <c r="EQ138" s="63" t="e">
        <f>IF(SummaryTable[[#This Row],[OriginalBudget09]]=0, IF(SummaryTable[[#This Row],[DiffAmount09]]=0, ZeroBudgetNoSpending, ZeroBudgetWithSpending), SummaryTable[[#This Row],[DiffAmount09]]/SummaryTable[[#This Row],[OriginalBudget09]])</f>
        <v>#N/A</v>
      </c>
      <c r="ER138" s="62">
        <f>IF(COUNTIFS(allFYsTable[Code], SummaryTable[[#This Row],[Code]], allFYsTable[year2], ER$3)=0, NotFound, SUMIFS(allFYsTable[OriginalBudget], allFYsTable[Code], SummaryTable[[#This Row],[Code]], allFYsTable[year2], ER$3))</f>
        <v>0</v>
      </c>
      <c r="ES138" s="61" t="e">
        <f>SummaryTable[[#This Row],[OriginalBudget08]]-SummaryTable[[#This Row],[OriginalBudget07]]</f>
        <v>#N/A</v>
      </c>
      <c r="ET138" s="54" t="e">
        <f>SummaryTable[[#This Row],[BudgetIncreaseAmount08]]/SummaryTable[[#This Row],[OriginalBudget07]]</f>
        <v>#N/A</v>
      </c>
      <c r="EU138" s="61">
        <f>IF(COUNTIFS(allFYsTable[Code], SummaryTable[[#This Row],[Code]], allFYsTable[year2], ER$3)=0, NotFound, SUMIFS(allFYsTable[RevisedBudget], allFYsTable[Code], SummaryTable[[#This Row],[Code]], allFYsTable[year2], ER$3))</f>
        <v>3773</v>
      </c>
      <c r="EV138" s="61">
        <f>IF(COUNTIFS(allFYsTable[Code], SummaryTable[[#This Row],[Code]], allFYsTable[year2], ER$3)=0, NotFound, SUMIFS(allFYsTable[Actual], allFYsTable[Code], SummaryTable[[#This Row],[Code]], allFYsTable[year2], ER$3))</f>
        <v>3773</v>
      </c>
      <c r="EW138" s="61">
        <f>IF(COUNTIFS(allFYsTable[Code], SummaryTable[[#This Row],[Code]], allFYsTable[year2], ER$3)=0, NotFound, SUMIFS(allFYsTable[DiffAmount], allFYsTable[Code], SummaryTable[[#This Row],[Code]], allFYsTable[year2], ER$3))</f>
        <v>3773</v>
      </c>
      <c r="EX138" s="63">
        <f>IF(SummaryTable[[#This Row],[OriginalBudget08]]=0, IF(SummaryTable[[#This Row],[DiffAmount08]]=0, ZeroBudgetNoSpending, ZeroBudgetWithSpending), SummaryTable[[#This Row],[DiffAmount08]]/SummaryTable[[#This Row],[OriginalBudget08]])</f>
        <v>99.99</v>
      </c>
      <c r="EY138" s="62" t="e">
        <f>IF(COUNTIFS(allFYsTable[Code], SummaryTable[[#This Row],[Code]], allFYsTable[year2], EY$3)=0, NotFound, SUMIFS(allFYsTable[OriginalBudget], allFYsTable[Code], SummaryTable[[#This Row],[Code]], allFYsTable[year2], EY$3))</f>
        <v>#N/A</v>
      </c>
      <c r="EZ138" s="61" t="e">
        <f>SummaryTable[[#This Row],[OriginalBudget07]]-SummaryTable[[#This Row],[OriginalBudget06]]</f>
        <v>#N/A</v>
      </c>
      <c r="FA138" s="54" t="e">
        <f>SummaryTable[[#This Row],[BudgetIncreaseAmount07]]/SummaryTable[[#This Row],[OriginalBudget06]]</f>
        <v>#N/A</v>
      </c>
      <c r="FB138" s="61" t="e">
        <f>IF(COUNTIFS(allFYsTable[Code], SummaryTable[[#This Row],[Code]], allFYsTable[year2], EY$3)=0, NotFound, SUMIFS(allFYsTable[RevisedBudget], allFYsTable[Code], SummaryTable[[#This Row],[Code]], allFYsTable[year2], EY$3))</f>
        <v>#N/A</v>
      </c>
      <c r="FC138" s="61" t="e">
        <f>IF(COUNTIFS(allFYsTable[Code], SummaryTable[[#This Row],[Code]], allFYsTable[year2], EY$3)=0, NotFound, SUMIFS(allFYsTable[Actual], allFYsTable[Code], SummaryTable[[#This Row],[Code]], allFYsTable[year2], EY$3))</f>
        <v>#N/A</v>
      </c>
      <c r="FD138" s="61" t="e">
        <f>IF(COUNTIFS(allFYsTable[Code], SummaryTable[[#This Row],[Code]], allFYsTable[year2], EY$3)=0, NotFound, SUMIFS(allFYsTable[DiffAmount], allFYsTable[Code], SummaryTable[[#This Row],[Code]], allFYsTable[year2], EY$3))</f>
        <v>#N/A</v>
      </c>
      <c r="FE138" s="63" t="e">
        <f>IF(SummaryTable[[#This Row],[OriginalBudget07]]=0, IF(SummaryTable[[#This Row],[DiffAmount07]]=0, ZeroBudgetNoSpending, ZeroBudgetWithSpending), SummaryTable[[#This Row],[DiffAmount07]]/SummaryTable[[#This Row],[OriginalBudget07]])</f>
        <v>#N/A</v>
      </c>
      <c r="FF138" s="62" t="e">
        <f>IF(COUNTIFS(allFYsTable[Code], SummaryTable[[#This Row],[Code]], allFYsTable[year2], FF$3)=0, NotFound, SUMIFS(allFYsTable[OriginalBudget], allFYsTable[Code], SummaryTable[[#This Row],[Code]], allFYsTable[year2], FF$3))</f>
        <v>#N/A</v>
      </c>
      <c r="FI138" s="61" t="e">
        <f>IF(COUNTIFS(allFYsTable[Code], SummaryTable[[#This Row],[Code]], allFYsTable[year2], FF$3)=0, NotFound, SUMIFS(allFYsTable[RevisedBudget], allFYsTable[Code], SummaryTable[[#This Row],[Code]], allFYsTable[year2], FF$3))</f>
        <v>#N/A</v>
      </c>
      <c r="FJ138" s="61" t="e">
        <f>IF(COUNTIFS(allFYsTable[Code], SummaryTable[[#This Row],[Code]], allFYsTable[year2], FF$3)=0, NotFound, SUMIFS(allFYsTable[Actual], allFYsTable[Code], SummaryTable[[#This Row],[Code]], allFYsTable[year2], FF$3))</f>
        <v>#N/A</v>
      </c>
      <c r="FK138" s="61" t="e">
        <f>IF(COUNTIFS(allFYsTable[Code], SummaryTable[[#This Row],[Code]], allFYsTable[year2], FF$3)=0, NotFound, SUMIFS(allFYsTable[DiffAmount], allFYsTable[Code], SummaryTable[[#This Row],[Code]], allFYsTable[year2], FF$3))</f>
        <v>#N/A</v>
      </c>
      <c r="FL138" s="63" t="e">
        <f>IF(SummaryTable[[#This Row],[OriginalBudget06]]=0, IF(SummaryTable[[#This Row],[DiffAmount06]]=0, ZeroBudgetNoSpending, ZeroBudgetWithSpending), SummaryTable[[#This Row],[DiffAmount06]]/SummaryTable[[#This Row],[OriginalBudget06]])</f>
        <v>#N/A</v>
      </c>
    </row>
    <row r="139" spans="1:168" x14ac:dyDescent="0.45">
      <c r="A139" t="s">
        <v>820</v>
      </c>
      <c r="B139">
        <f>_xlfn.MAXIFS(allFYsTable[year2], allFYsTable[Code], SummaryTable[[#This Row],[Code]])</f>
        <v>2024</v>
      </c>
      <c r="C139" t="str">
        <f>_xlfn.XLOOKUP(SummaryTable[[#This Row],[Code]], NameCodingTable[Code], NameCodingTable[Most Recent Category per allFYs])</f>
        <v>Other</v>
      </c>
      <c r="D139" t="str">
        <f>_xlfn.XLOOKUP(SummaryTable[[#This Row],[Code]], NameCodingTable[Code], NameCodingTable[Unit Display Name])</f>
        <v>Unemployment Insurance Trust Fund Transfer</v>
      </c>
      <c r="E139" t="str">
        <f>_xlfn.XLOOKUP(SummaryTable[[#This Row],[Code]], NameCodingTable[Code], NameCodingTable[Type])</f>
        <v>xother</v>
      </c>
      <c r="F13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3</v>
      </c>
      <c r="G13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39" s="54">
        <f>SummaryTable[[#This Row],['# Over]]/SummaryTable[[#This Row],[Count]]</f>
        <v>0</v>
      </c>
      <c r="I13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v>
      </c>
      <c r="J139" s="54">
        <f>SummaryTable[[#This Row],['# Under]]/SummaryTable[[#This Row],[Count]]</f>
        <v>0.33333333333333331</v>
      </c>
      <c r="K13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2</v>
      </c>
      <c r="L139" s="54">
        <f>SummaryTable[[#This Row],['# Equal]]/SummaryTable[[#This Row],[Count]]</f>
        <v>0.66666666666666663</v>
      </c>
      <c r="M139" s="61">
        <f>SUMIFS(allFYsTable[OriginalBudget],allFYsTable[Code],SummaryTable[[#This Row],[Code]])/SummaryTable[[#This Row],[Count]]</f>
        <v>1666.6666666666667</v>
      </c>
      <c r="N139" s="61">
        <f>SUMIFS(allFYsTable[Actual],allFYsTable[Code],SummaryTable[[#This Row],[Code]])/SummaryTable[[#This Row],[Count]]</f>
        <v>1666</v>
      </c>
      <c r="O139" s="61">
        <f>SummaryTable[[#This Row],[AvgActAmt]]-SummaryTable[[#This Row],[AvgBudAmt]]</f>
        <v>-0.66666666666674246</v>
      </c>
      <c r="P139" s="54">
        <f>IF(SummaryTable[[#This Row],[AvgBudAmt]]=0, IF(SummaryTable[[#This Row],[AvgDiff'#]]=0, 0, NamedFields!$C$3), SummaryTable[[#This Row],[AvgDiff'#]]/SummaryTable[[#This Row],[AvgBudAmt]])</f>
        <v>-4.0000000000004545E-4</v>
      </c>
      <c r="Q139" s="61">
        <f>IFERROR(SUMIFS(allFYsTable[OriginalBudget],allFYsTable[Code],SummaryTable[[#This Row],[Code]],allFYsTable[DiffAmount], "&gt;0")/SummaryTable[[#This Row],['# Over]], 0)</f>
        <v>0</v>
      </c>
      <c r="R139" s="61">
        <f>IFERROR(SUMIFS(allFYsTable[Actual],allFYsTable[Code],SummaryTable[[#This Row],[Code]],allFYsTable[DiffAmount], "&gt;0")/SummaryTable[[#This Row],['# Over]], 0)</f>
        <v>0</v>
      </c>
      <c r="S139" s="61">
        <f>SummaryTable[[#This Row],[OverAvgAct]]-SummaryTable[[#This Row],[OverAvgBud]]</f>
        <v>0</v>
      </c>
      <c r="T139" s="54">
        <f>IF(SummaryTable[[#This Row],[OverAvgBud]]=0, IF(SummaryTable[[#This Row],[OverAvgDiff'#]]=0, ZeroBudgetNoSpending, ZeroBudgetWithSpending), SummaryTable[[#This Row],[OverAvgDiff'#]]/SummaryTable[[#This Row],[OverAvgBud]])</f>
        <v>0</v>
      </c>
      <c r="U139" s="61">
        <f>IFERROR(SUMIFS(allFYsTable[OriginalBudget],allFYsTable[Code],SummaryTable[[#This Row],[Code]],allFYsTable[DiffAmount], "&lt;0")/SummaryTable[[#This Row],['# Under]], 0)</f>
        <v>5000</v>
      </c>
      <c r="V139" s="61">
        <f>IFERROR( SUMIFS(allFYsTable[Actual],allFYsTable[Code],SummaryTable[[#This Row],[Code]],allFYsTable[DiffAmount], "&lt;0")/SummaryTable[[#This Row],['# Under]], 0)</f>
        <v>4998</v>
      </c>
      <c r="W139" s="61">
        <f>SummaryTable[[#This Row],[UnderAvgAct]]-SummaryTable[[#This Row],[UnderAvgBud]]</f>
        <v>-2</v>
      </c>
      <c r="X139" s="54">
        <f>IF(SummaryTable[[#This Row],[UnderAvgBud]]=0, IF(SummaryTable[[#This Row],[UnderAvgDiff'#]]=0, ZeroBudgetNoSpending, NamedFields!$C$3), SummaryTable[[#This Row],[UnderAvgDiff'#]]/SummaryTable[[#This Row],[UnderAvgBud]])</f>
        <v>-4.0000000000000002E-4</v>
      </c>
      <c r="Y13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3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39" s="54">
        <f>IF(SummaryTable[[#This Row],[IncreaseYears]]=0, ZeroBudgetNoSpending, SummaryTable[[#This Row],[OSinIncreaseYear'#]]/SummaryTable[[#This Row],[IncreaseYears]])</f>
        <v>0</v>
      </c>
      <c r="AB139" s="58" t="str">
        <f>SummaryTable[[#This Row],[Code]]</f>
        <v>UJ0</v>
      </c>
      <c r="AC139" s="62" t="e">
        <f>IF(COUNTIFS(allFYsTable[Code], SummaryTable[[#This Row],[Code]], allFYsTable[year2], AC$3)=0, NotFound, SUMIFS(allFYsTable[OriginalBudget], allFYsTable[Code], SummaryTable[[#This Row],[Code]], allFYsTable[year2], AC$3))</f>
        <v>#N/A</v>
      </c>
      <c r="AD139" s="61" t="e">
        <f>SummaryTable[[#This Row],[OriginalBudget25]]-SummaryTable[[#This Row],[OriginalBudget24]]</f>
        <v>#N/A</v>
      </c>
      <c r="AE139" s="54" t="e">
        <f>SummaryTable[[#This Row],[BudgetIncreaseAmount25]]/SummaryTable[[#This Row],[OriginalBudget24]]</f>
        <v>#N/A</v>
      </c>
      <c r="AF139" s="61" t="e">
        <f>IF(COUNTIFS(allFYsTable[Code], SummaryTable[[#This Row],[Code]], allFYsTable[year2], AC$3)=0, NotFound, SUMIFS(allFYsTable[RevisedBudget], allFYsTable[Code], SummaryTable[[#This Row],[Code]], allFYsTable[year2], AC$3))</f>
        <v>#N/A</v>
      </c>
      <c r="AG139" s="61" t="e">
        <f>IF(COUNTIFS(allFYsTable[Code], SummaryTable[[#This Row],[Code]], allFYsTable[year2], AC$3)=0, NotFound, SUMIFS(allFYsTable[Actual], allFYsTable[Code], SummaryTable[[#This Row],[Code]], allFYsTable[year2], AC$3))</f>
        <v>#N/A</v>
      </c>
      <c r="AH139" s="61" t="e">
        <f>IF(COUNTIFS(allFYsTable[Code], SummaryTable[[#This Row],[Code]], allFYsTable[year2], AC$3)=0, NotFound, SUMIFS(allFYsTable[DiffAmount], allFYsTable[Code], SummaryTable[[#This Row],[Code]], allFYsTable[year2], AC$3))</f>
        <v>#N/A</v>
      </c>
      <c r="AI139" s="63" t="e">
        <f>IF(SummaryTable[[#This Row],[OriginalBudget25]]=0, IF(SummaryTable[[#This Row],[DiffAmount25]]=0, ZeroBudgetNoSpending, ZeroBudgetWithSpending), SummaryTable[[#This Row],[DiffAmount25]]/SummaryTable[[#This Row],[OriginalBudget25]])</f>
        <v>#N/A</v>
      </c>
      <c r="AJ139" s="62">
        <f>IF(COUNTIFS(allFYsTable[Code], SummaryTable[[#This Row],[Code]], allFYsTable[year2], AJ$3)=0, NotFound, SUMIFS(allFYsTable[OriginalBudget], allFYsTable[Code], SummaryTable[[#This Row],[Code]], allFYsTable[year2], AJ$3))</f>
        <v>0</v>
      </c>
      <c r="AK139" s="61">
        <f>SummaryTable[[#This Row],[OriginalBudget24]]-SummaryTable[[#This Row],[OriginalBudget23]]</f>
        <v>0</v>
      </c>
      <c r="AL139" s="54" t="e">
        <f>SummaryTable[[#This Row],[BudgetIncreaseAmount24]]/SummaryTable[[#This Row],[OriginalBudget23]]</f>
        <v>#DIV/0!</v>
      </c>
      <c r="AM139" s="61">
        <f>IF(COUNTIFS(allFYsTable[Code], SummaryTable[[#This Row],[Code]], allFYsTable[year2], AK$3)=0, NotFound, SUMIFS(allFYsTable[RevisedBudget], allFYsTable[Code], SummaryTable[[#This Row],[Code]], allFYsTable[year2], AJ$3))</f>
        <v>0</v>
      </c>
      <c r="AN139" s="61">
        <f>IF(COUNTIFS(allFYsTable[Code], SummaryTable[[#This Row],[Code]], allFYsTable[year2], AJ$3)=0, NotFound, SUMIFS(allFYsTable[Actual], allFYsTable[Code], SummaryTable[[#This Row],[Code]], allFYsTable[year2], AJ$3))</f>
        <v>0</v>
      </c>
      <c r="AO139" s="61">
        <f>IF(COUNTIFS(allFYsTable[Code], SummaryTable[[#This Row],[Code]], allFYsTable[year2], AJ$3)=0, NotFound, SUMIFS(allFYsTable[DiffAmount], allFYsTable[Code], SummaryTable[[#This Row],[Code]], allFYsTable[year2], AJ$3))</f>
        <v>0</v>
      </c>
      <c r="AP139" s="63">
        <f>IF(SummaryTable[[#This Row],[OriginalBudget24]]=0, IF(SummaryTable[[#This Row],[DiffAmount24]]=0, ZeroBudgetNoSpending, ZeroBudgetWithSpending), SummaryTable[[#This Row],[DiffAmount24]]/SummaryTable[[#This Row],[OriginalBudget24]])</f>
        <v>0</v>
      </c>
      <c r="AQ139" s="62">
        <f>IF(COUNTIFS(allFYsTable[Code], SummaryTable[[#This Row],[Code]], allFYsTable[year2], AQ$3)=0, NotFound, SUMIFS(allFYsTable[OriginalBudget], allFYsTable[Code], SummaryTable[[#This Row],[Code]], allFYsTable[year2], AQ$3))</f>
        <v>0</v>
      </c>
      <c r="AR139" s="61">
        <f>SummaryTable[[#This Row],[OriginalBudget23]]-SummaryTable[[#This Row],[OriginalBudget22]]</f>
        <v>-5000</v>
      </c>
      <c r="AS139" s="54">
        <f>SummaryTable[[#This Row],[BudgetIncreaseAmount23]]/SummaryTable[[#This Row],[OriginalBudget22]]</f>
        <v>-1</v>
      </c>
      <c r="AT139" s="61">
        <f>IF(COUNTIFS(allFYsTable[Code], SummaryTable[[#This Row],[Code]], allFYsTable[year2], AQ$3)=0, NotFound, SUMIFS(allFYsTable[RevisedBudget], allFYsTable[Code], SummaryTable[[#This Row],[Code]], allFYsTable[year2], AQ$3))</f>
        <v>0</v>
      </c>
      <c r="AU139" s="61">
        <f>IF(COUNTIFS(allFYsTable[Code], SummaryTable[[#This Row],[Code]], allFYsTable[year2], AQ$3)=0, NotFound, SUMIFS(allFYsTable[Actual], allFYsTable[Code], SummaryTable[[#This Row],[Code]], allFYsTable[year2], AQ$3))</f>
        <v>0</v>
      </c>
      <c r="AV139" s="61">
        <f>IF(COUNTIFS(allFYsTable[Code], SummaryTable[[#This Row],[Code]], allFYsTable[year2], AQ$3)=0, NotFound, SUMIFS(allFYsTable[DiffAmount], allFYsTable[Code], SummaryTable[[#This Row],[Code]], allFYsTable[year2], AQ$3))</f>
        <v>0</v>
      </c>
      <c r="AW139" s="63">
        <f>IF(SummaryTable[[#This Row],[OriginalBudget23]]=0, IF(SummaryTable[[#This Row],[DiffAmount23]]=0, ZeroBudgetNoSpending, ZeroBudgetWithSpending), SummaryTable[[#This Row],[DiffAmount23]]/SummaryTable[[#This Row],[OriginalBudget23]])</f>
        <v>0</v>
      </c>
      <c r="AX139" s="62">
        <f>IF(COUNTIFS(allFYsTable[Code], SummaryTable[[#This Row],[Code]], allFYsTable[year2], AX$3)=0, NotFound, SUMIFS(allFYsTable[OriginalBudget], allFYsTable[Code], SummaryTable[[#This Row],[Code]], allFYsTable[year2], AX$3))</f>
        <v>5000</v>
      </c>
      <c r="AY139" s="61" t="e">
        <f>SummaryTable[[#This Row],[OriginalBudget22]]-SummaryTable[[#This Row],[OriginalBudget21]]</f>
        <v>#N/A</v>
      </c>
      <c r="AZ139" s="54" t="e">
        <f>SummaryTable[[#This Row],[BudgetIncreaseAmount22]]/SummaryTable[[#This Row],[OriginalBudget21]]</f>
        <v>#N/A</v>
      </c>
      <c r="BA139" s="61">
        <f>IF(COUNTIFS(allFYsTable[Code], SummaryTable[[#This Row],[Code]], allFYsTable[year2], AX$3)=0, NotFound, SUMIFS(allFYsTable[RevisedBudget], allFYsTable[Code], SummaryTable[[#This Row],[Code]], allFYsTable[year2], AX$3))</f>
        <v>4998</v>
      </c>
      <c r="BB139" s="61">
        <f>IF(COUNTIFS(allFYsTable[Code], SummaryTable[[#This Row],[Code]], allFYsTable[year2], AX$3)=0, NotFound, SUMIFS(allFYsTable[Actual], allFYsTable[Code], SummaryTable[[#This Row],[Code]], allFYsTable[year2], AX$3))</f>
        <v>4998</v>
      </c>
      <c r="BC139" s="61">
        <f>IF(COUNTIFS(allFYsTable[Code], SummaryTable[[#This Row],[Code]], allFYsTable[year2], AX$3)=0, NotFound, SUMIFS(allFYsTable[DiffAmount], allFYsTable[Code], SummaryTable[[#This Row],[Code]], allFYsTable[year2], AX$3))</f>
        <v>-2</v>
      </c>
      <c r="BD139" s="63">
        <f>IF(SummaryTable[[#This Row],[OriginalBudget22]]=0, IF(SummaryTable[[#This Row],[DiffAmount22]]=0, ZeroBudgetNoSpending, ZeroBudgetWithSpending), SummaryTable[[#This Row],[DiffAmount22]]/SummaryTable[[#This Row],[OriginalBudget22]])</f>
        <v>-4.0000000000000002E-4</v>
      </c>
      <c r="BE139" s="62" t="e">
        <f>IF(COUNTIFS(allFYsTable[Code], SummaryTable[[#This Row],[Code]], allFYsTable[year2], BE$3)=0, NotFound, SUMIFS(allFYsTable[OriginalBudget], allFYsTable[Code], SummaryTable[[#This Row],[Code]], allFYsTable[year2], BE$3))</f>
        <v>#N/A</v>
      </c>
      <c r="BF139" s="61" t="e">
        <f>SummaryTable[[#This Row],[OriginalBudget21]]-SummaryTable[[#This Row],[OriginalBudget20]]</f>
        <v>#N/A</v>
      </c>
      <c r="BG139" s="54" t="e">
        <f>SummaryTable[[#This Row],[BudgetIncreaseAmount21]]/SummaryTable[[#This Row],[OriginalBudget20]]</f>
        <v>#N/A</v>
      </c>
      <c r="BH139" s="61" t="e">
        <f>IF(COUNTIFS(allFYsTable[Code], SummaryTable[[#This Row],[Code]], allFYsTable[year2], BE$3)=0, NotFound, SUMIFS(allFYsTable[RevisedBudget], allFYsTable[Code], SummaryTable[[#This Row],[Code]], allFYsTable[year2], BE$3))</f>
        <v>#N/A</v>
      </c>
      <c r="BI139" s="61" t="e">
        <f>IF(COUNTIFS(allFYsTable[Code], SummaryTable[[#This Row],[Code]], allFYsTable[year2], BE$3)=0, NotFound, SUMIFS(allFYsTable[Actual], allFYsTable[Code], SummaryTable[[#This Row],[Code]], allFYsTable[year2], BE$3))</f>
        <v>#N/A</v>
      </c>
      <c r="BJ139" s="61" t="e">
        <f>IF(COUNTIFS(allFYsTable[Code], SummaryTable[[#This Row],[Code]], allFYsTable[year2], BE$3)=0, NotFound, SUMIFS(allFYsTable[DiffAmount], allFYsTable[Code], SummaryTable[[#This Row],[Code]], allFYsTable[year2], BE$3))</f>
        <v>#N/A</v>
      </c>
      <c r="BK139" s="63" t="e">
        <f>IF(SummaryTable[[#This Row],[OriginalBudget21]]=0, IF(SummaryTable[[#This Row],[DiffAmount21]]=0, ZeroBudgetNoSpending, ZeroBudgetWithSpending), SummaryTable[[#This Row],[DiffAmount21]]/SummaryTable[[#This Row],[OriginalBudget21]])</f>
        <v>#N/A</v>
      </c>
      <c r="BL139" s="62" t="e">
        <f>IF(COUNTIFS(allFYsTable[Code], SummaryTable[[#This Row],[Code]], allFYsTable[year2], BL$3)=0, NotFound, SUMIFS(allFYsTable[OriginalBudget], allFYsTable[Code], SummaryTable[[#This Row],[Code]], allFYsTable[year2], BL$3))</f>
        <v>#N/A</v>
      </c>
      <c r="BM139" s="61" t="e">
        <f>SummaryTable[[#This Row],[OriginalBudget20]]-SummaryTable[[#This Row],[OriginalBudget19]]</f>
        <v>#N/A</v>
      </c>
      <c r="BN139" s="54" t="e">
        <f>SummaryTable[[#This Row],[BudgetIncreaseAmount20]]/SummaryTable[[#This Row],[OriginalBudget19]]</f>
        <v>#N/A</v>
      </c>
      <c r="BO139" s="61" t="e">
        <f>IF(COUNTIFS(allFYsTable[Code], SummaryTable[[#This Row],[Code]], allFYsTable[year2], BL$3)=0, NotFound, SUMIFS(allFYsTable[RevisedBudget], allFYsTable[Code], SummaryTable[[#This Row],[Code]], allFYsTable[year2], BL$3))</f>
        <v>#N/A</v>
      </c>
      <c r="BP139" s="61" t="e">
        <f>IF(COUNTIFS(allFYsTable[Code], SummaryTable[[#This Row],[Code]], allFYsTable[year2], BL$3)=0, NotFound, SUMIFS(allFYsTable[Actual], allFYsTable[Code], SummaryTable[[#This Row],[Code]], allFYsTable[year2], BL$3))</f>
        <v>#N/A</v>
      </c>
      <c r="BQ139" s="61" t="e">
        <f>IF(COUNTIFS(allFYsTable[Code], SummaryTable[[#This Row],[Code]], allFYsTable[year2], BL$3)=0, NotFound, SUMIFS(allFYsTable[DiffAmount], allFYsTable[Code], SummaryTable[[#This Row],[Code]], allFYsTable[year2], BL$3))</f>
        <v>#N/A</v>
      </c>
      <c r="BR139" s="63" t="e">
        <f>IF(SummaryTable[[#This Row],[OriginalBudget20]]=0, IF(SummaryTable[[#This Row],[DiffAmount20]]=0, ZeroBudgetNoSpending, ZeroBudgetWithSpending), SummaryTable[[#This Row],[DiffAmount20]]/SummaryTable[[#This Row],[OriginalBudget20]])</f>
        <v>#N/A</v>
      </c>
      <c r="BS139" s="62" t="e">
        <f>IF(COUNTIFS(allFYsTable[Code], SummaryTable[[#This Row],[Code]], allFYsTable[year2], BS$3)=0, NotFound, SUMIFS(allFYsTable[OriginalBudget], allFYsTable[Code], SummaryTable[[#This Row],[Code]], allFYsTable[year2], BS$3))</f>
        <v>#N/A</v>
      </c>
      <c r="BT139" s="61" t="e">
        <f>SummaryTable[[#This Row],[OriginalBudget19]]-SummaryTable[[#This Row],[OriginalBudget18]]</f>
        <v>#N/A</v>
      </c>
      <c r="BU139" s="54" t="e">
        <f>SummaryTable[[#This Row],[BudgetIncreaseAmount19]]/SummaryTable[[#This Row],[OriginalBudget18]]</f>
        <v>#N/A</v>
      </c>
      <c r="BV139" s="61" t="e">
        <f>IF(COUNTIFS(allFYsTable[Code], SummaryTable[[#This Row],[Code]], allFYsTable[year2], BS$3)=0, NotFound, SUMIFS(allFYsTable[RevisedBudget], allFYsTable[Code], SummaryTable[[#This Row],[Code]], allFYsTable[year2], BS$3))</f>
        <v>#N/A</v>
      </c>
      <c r="BW139" s="61" t="e">
        <f>IF(COUNTIFS(allFYsTable[Code], SummaryTable[[#This Row],[Code]], allFYsTable[year2], BS$3)=0, NotFound, SUMIFS(allFYsTable[Actual], allFYsTable[Code], SummaryTable[[#This Row],[Code]], allFYsTable[year2], BS$3))</f>
        <v>#N/A</v>
      </c>
      <c r="BX139" s="61" t="e">
        <f>IF(COUNTIFS(allFYsTable[Code], SummaryTable[[#This Row],[Code]], allFYsTable[year2], BS$3)=0, NotFound, SUMIFS(allFYsTable[DiffAmount], allFYsTable[Code], SummaryTable[[#This Row],[Code]], allFYsTable[year2], BS$3))</f>
        <v>#N/A</v>
      </c>
      <c r="BY139" s="63" t="e">
        <f>IF(SummaryTable[[#This Row],[OriginalBudget19]]=0, IF(SummaryTable[[#This Row],[DiffAmount19]]=0, ZeroBudgetNoSpending, ZeroBudgetWithSpending), SummaryTable[[#This Row],[DiffAmount19]]/SummaryTable[[#This Row],[OriginalBudget19]])</f>
        <v>#N/A</v>
      </c>
      <c r="BZ139" s="62" t="e">
        <f>IF(COUNTIFS(allFYsTable[Code], SummaryTable[[#This Row],[Code]], allFYsTable[year2], BZ$3)=0, NotFound, SUMIFS(allFYsTable[OriginalBudget], allFYsTable[Code], SummaryTable[[#This Row],[Code]], allFYsTable[year2], BZ$3))</f>
        <v>#N/A</v>
      </c>
      <c r="CA139" s="61" t="e">
        <f>SummaryTable[[#This Row],[OriginalBudget18]]-SummaryTable[[#This Row],[OriginalBudget17]]</f>
        <v>#N/A</v>
      </c>
      <c r="CB139" s="54" t="e">
        <f>SummaryTable[[#This Row],[BudgetIncreaseAmount18]]/SummaryTable[[#This Row],[OriginalBudget17]]</f>
        <v>#N/A</v>
      </c>
      <c r="CC139" s="61" t="e">
        <f>IF(COUNTIFS(allFYsTable[Code], SummaryTable[[#This Row],[Code]], allFYsTable[year2], BZ$3)=0, NotFound, SUMIFS(allFYsTable[RevisedBudget], allFYsTable[Code], SummaryTable[[#This Row],[Code]], allFYsTable[year2], BZ$3))</f>
        <v>#N/A</v>
      </c>
      <c r="CD139" s="61" t="e">
        <f>IF(COUNTIFS(allFYsTable[Code], SummaryTable[[#This Row],[Code]], allFYsTable[year2], BZ$3)=0, NotFound, SUMIFS(allFYsTable[Actual], allFYsTable[Code], SummaryTable[[#This Row],[Code]], allFYsTable[year2], BZ$3))</f>
        <v>#N/A</v>
      </c>
      <c r="CE139" s="61" t="e">
        <f>IF(COUNTIFS(allFYsTable[Code], SummaryTable[[#This Row],[Code]], allFYsTable[year2], BZ$3)=0, NotFound, SUMIFS(allFYsTable[DiffAmount], allFYsTable[Code], SummaryTable[[#This Row],[Code]], allFYsTable[year2], BZ$3))</f>
        <v>#N/A</v>
      </c>
      <c r="CF139" s="63" t="e">
        <f>IF(SummaryTable[[#This Row],[OriginalBudget18]]=0, IF(SummaryTable[[#This Row],[DiffAmount18]]=0, ZeroBudgetNoSpending, ZeroBudgetWithSpending), SummaryTable[[#This Row],[DiffAmount18]]/SummaryTable[[#This Row],[OriginalBudget18]])</f>
        <v>#N/A</v>
      </c>
      <c r="CG139" s="62" t="e">
        <f>IF(COUNTIFS(allFYsTable[Code], SummaryTable[[#This Row],[Code]], allFYsTable[year2], CG$3)=0, NotFound, SUMIFS(allFYsTable[OriginalBudget], allFYsTable[Code], SummaryTable[[#This Row],[Code]], allFYsTable[year2], CG$3))</f>
        <v>#N/A</v>
      </c>
      <c r="CH139" s="61" t="e">
        <f>SummaryTable[[#This Row],[OriginalBudget17]]-SummaryTable[[#This Row],[OriginalBudget16]]</f>
        <v>#N/A</v>
      </c>
      <c r="CI139" s="54" t="e">
        <f>SummaryTable[[#This Row],[BudgetIncreaseAmount17]]/SummaryTable[[#This Row],[OriginalBudget16]]</f>
        <v>#N/A</v>
      </c>
      <c r="CJ139" s="61" t="e">
        <f>IF(COUNTIFS(allFYsTable[Code], SummaryTable[[#This Row],[Code]], allFYsTable[year2], CG$3)=0, NotFound, SUMIFS(allFYsTable[RevisedBudget], allFYsTable[Code], SummaryTable[[#This Row],[Code]], allFYsTable[year2], CG$3))</f>
        <v>#N/A</v>
      </c>
      <c r="CK139" s="61" t="e">
        <f>IF(COUNTIFS(allFYsTable[Code], SummaryTable[[#This Row],[Code]], allFYsTable[year2], CG$3)=0, NotFound, SUMIFS(allFYsTable[Actual], allFYsTable[Code], SummaryTable[[#This Row],[Code]], allFYsTable[year2], CG$3))</f>
        <v>#N/A</v>
      </c>
      <c r="CL139" s="61" t="e">
        <f>IF(COUNTIFS(allFYsTable[Code], SummaryTable[[#This Row],[Code]], allFYsTable[year2], CG$3)=0, NotFound, SUMIFS(allFYsTable[DiffAmount], allFYsTable[Code], SummaryTable[[#This Row],[Code]], allFYsTable[year2], CG$3))</f>
        <v>#N/A</v>
      </c>
      <c r="CM139" s="63" t="e">
        <f>IF(SummaryTable[[#This Row],[OriginalBudget17]]=0, IF(SummaryTable[[#This Row],[DiffAmount17]]=0, ZeroBudgetNoSpending, ZeroBudgetWithSpending), SummaryTable[[#This Row],[DiffAmount17]]/SummaryTable[[#This Row],[OriginalBudget17]])</f>
        <v>#N/A</v>
      </c>
      <c r="CN139" s="62" t="e">
        <f>IF(COUNTIFS(allFYsTable[Code], SummaryTable[[#This Row],[Code]], allFYsTable[year2], CN$3)=0, NotFound, SUMIFS(allFYsTable[OriginalBudget], allFYsTable[Code], SummaryTable[[#This Row],[Code]], allFYsTable[year2], CN$3))</f>
        <v>#N/A</v>
      </c>
      <c r="CO139" s="61" t="e">
        <f>SummaryTable[[#This Row],[OriginalBudget16]]-SummaryTable[[#This Row],[OriginalBudget15]]</f>
        <v>#N/A</v>
      </c>
      <c r="CP139" s="54" t="e">
        <f>SummaryTable[[#This Row],[BudgetIncreaseAmount16]]/SummaryTable[[#This Row],[OriginalBudget15]]</f>
        <v>#N/A</v>
      </c>
      <c r="CQ139" s="61" t="e">
        <f>IF(COUNTIFS(allFYsTable[Code], SummaryTable[[#This Row],[Code]], allFYsTable[year2], CN$3)=0, NotFound, SUMIFS(allFYsTable[RevisedBudget], allFYsTable[Code], SummaryTable[[#This Row],[Code]], allFYsTable[year2], CN$3))</f>
        <v>#N/A</v>
      </c>
      <c r="CR139" s="61" t="e">
        <f>IF(COUNTIFS(allFYsTable[Code], SummaryTable[[#This Row],[Code]], allFYsTable[year2], CN$3)=0, NotFound, SUMIFS(allFYsTable[Actual], allFYsTable[Code], SummaryTable[[#This Row],[Code]], allFYsTable[year2], CN$3))</f>
        <v>#N/A</v>
      </c>
      <c r="CS139" s="61" t="e">
        <f>IF(COUNTIFS(allFYsTable[Code], SummaryTable[[#This Row],[Code]], allFYsTable[year2], CN$3)=0, NotFound, SUMIFS(allFYsTable[DiffAmount], allFYsTable[Code], SummaryTable[[#This Row],[Code]], allFYsTable[year2], CN$3))</f>
        <v>#N/A</v>
      </c>
      <c r="CT139" s="63" t="e">
        <f>IF(SummaryTable[[#This Row],[OriginalBudget16]]=0, IF(SummaryTable[[#This Row],[DiffAmount16]]=0, ZeroBudgetNoSpending, ZeroBudgetWithSpending), SummaryTable[[#This Row],[DiffAmount16]]/SummaryTable[[#This Row],[OriginalBudget16]])</f>
        <v>#N/A</v>
      </c>
      <c r="CU139" s="62" t="e">
        <f>IF(COUNTIFS(allFYsTable[Code], SummaryTable[[#This Row],[Code]], allFYsTable[year2], CU$3)=0, NotFound, SUMIFS(allFYsTable[OriginalBudget], allFYsTable[Code], SummaryTable[[#This Row],[Code]], allFYsTable[year2], CU$3))</f>
        <v>#N/A</v>
      </c>
      <c r="CV139" s="61" t="e">
        <f>SummaryTable[[#This Row],[OriginalBudget15]]-SummaryTable[[#This Row],[OriginalBudget14]]</f>
        <v>#N/A</v>
      </c>
      <c r="CW139" s="54" t="e">
        <f>SummaryTable[[#This Row],[BudgetIncreaseAmount15]]/SummaryTable[[#This Row],[OriginalBudget14]]</f>
        <v>#N/A</v>
      </c>
      <c r="CX139" s="61" t="e">
        <f>IF(COUNTIFS(allFYsTable[Code], SummaryTable[[#This Row],[Code]], allFYsTable[year2], CU$3)=0, NotFound, SUMIFS(allFYsTable[RevisedBudget], allFYsTable[Code], SummaryTable[[#This Row],[Code]], allFYsTable[year2], CU$3))</f>
        <v>#N/A</v>
      </c>
      <c r="CY139" s="61" t="e">
        <f>IF(COUNTIFS(allFYsTable[Code], SummaryTable[[#This Row],[Code]], allFYsTable[year2], CU$3)=0, NotFound, SUMIFS(allFYsTable[Actual], allFYsTable[Code], SummaryTable[[#This Row],[Code]], allFYsTable[year2], CU$3))</f>
        <v>#N/A</v>
      </c>
      <c r="CZ139" s="61" t="e">
        <f>IF(COUNTIFS(allFYsTable[Code], SummaryTable[[#This Row],[Code]], allFYsTable[year2], CU$3)=0, NotFound, SUMIFS(allFYsTable[DiffAmount], allFYsTable[Code], SummaryTable[[#This Row],[Code]], allFYsTable[year2], CU$3))</f>
        <v>#N/A</v>
      </c>
      <c r="DA139" s="63" t="e">
        <f>IF(SummaryTable[[#This Row],[OriginalBudget15]]=0, IF(SummaryTable[[#This Row],[DiffAmount15]]=0, ZeroBudgetNoSpending, ZeroBudgetWithSpending), SummaryTable[[#This Row],[DiffAmount15]]/SummaryTable[[#This Row],[OriginalBudget15]])</f>
        <v>#N/A</v>
      </c>
      <c r="DB139" s="62" t="e">
        <f>IF(COUNTIFS(allFYsTable[Code], SummaryTable[[#This Row],[Code]], allFYsTable[year2], DB$3)=0, NotFound, SUMIFS(allFYsTable[OriginalBudget], allFYsTable[Code], SummaryTable[[#This Row],[Code]], allFYsTable[year2], DB$3))</f>
        <v>#N/A</v>
      </c>
      <c r="DC139" s="61" t="e">
        <f>SummaryTable[[#This Row],[OriginalBudget14]]-SummaryTable[[#This Row],[OriginalBudget13]]</f>
        <v>#N/A</v>
      </c>
      <c r="DD139" s="54" t="e">
        <f>SummaryTable[[#This Row],[BudgetIncreaseAmount14]]/SummaryTable[[#This Row],[OriginalBudget13]]</f>
        <v>#N/A</v>
      </c>
      <c r="DE139" s="61" t="e">
        <f>IF(COUNTIFS(allFYsTable[Code], SummaryTable[[#This Row],[Code]], allFYsTable[year2], DB$3)=0, NotFound, SUMIFS(allFYsTable[RevisedBudget], allFYsTable[Code], SummaryTable[[#This Row],[Code]], allFYsTable[year2], DB$3))</f>
        <v>#N/A</v>
      </c>
      <c r="DF139" s="61" t="e">
        <f>IF(COUNTIFS(allFYsTable[Code], SummaryTable[[#This Row],[Code]], allFYsTable[year2], DB$3)=0, NotFound, SUMIFS(allFYsTable[Actual], allFYsTable[Code], SummaryTable[[#This Row],[Code]], allFYsTable[year2], DB$3))</f>
        <v>#N/A</v>
      </c>
      <c r="DG139" s="61" t="e">
        <f>IF(COUNTIFS(allFYsTable[Code], SummaryTable[[#This Row],[Code]], allFYsTable[year2], DB$3)=0, NotFound, SUMIFS(allFYsTable[DiffAmount], allFYsTable[Code], SummaryTable[[#This Row],[Code]], allFYsTable[year2], DB$3))</f>
        <v>#N/A</v>
      </c>
      <c r="DH139" s="63" t="e">
        <f>IF(SummaryTable[[#This Row],[OriginalBudget14]]=0, IF(SummaryTable[[#This Row],[DiffAmount14]]=0, ZeroBudgetNoSpending, ZeroBudgetWithSpending), SummaryTable[[#This Row],[DiffAmount14]]/SummaryTable[[#This Row],[OriginalBudget14]])</f>
        <v>#N/A</v>
      </c>
      <c r="DI139" s="62" t="e">
        <f>IF(COUNTIFS(allFYsTable[Code], SummaryTable[[#This Row],[Code]], allFYsTable[year2], DI$3)=0, NotFound, SUMIFS(allFYsTable[OriginalBudget], allFYsTable[Code], SummaryTable[[#This Row],[Code]], allFYsTable[year2], DI$3))</f>
        <v>#N/A</v>
      </c>
      <c r="DJ139" s="61" t="e">
        <f>SummaryTable[[#This Row],[OriginalBudget13]]-SummaryTable[[#This Row],[OriginalBudget12]]</f>
        <v>#N/A</v>
      </c>
      <c r="DK139" s="54" t="e">
        <f>SummaryTable[[#This Row],[BudgetIncreaseAmount13]]/SummaryTable[[#This Row],[OriginalBudget12]]</f>
        <v>#N/A</v>
      </c>
      <c r="DL139" s="61" t="e">
        <f>IF(COUNTIFS(allFYsTable[Code], SummaryTable[[#This Row],[Code]], allFYsTable[year2], DI$3)=0, NotFound, SUMIFS(allFYsTable[RevisedBudget], allFYsTable[Code], SummaryTable[[#This Row],[Code]], allFYsTable[year2], DI$3))</f>
        <v>#N/A</v>
      </c>
      <c r="DM139" s="61" t="e">
        <f>IF(COUNTIFS(allFYsTable[Code], SummaryTable[[#This Row],[Code]], allFYsTable[year2], DI$3)=0, NotFound, SUMIFS(allFYsTable[Actual], allFYsTable[Code], SummaryTable[[#This Row],[Code]], allFYsTable[year2], DI$3))</f>
        <v>#N/A</v>
      </c>
      <c r="DN139" s="61" t="e">
        <f>IF(COUNTIFS(allFYsTable[Code], SummaryTable[[#This Row],[Code]], allFYsTable[year2], DI$3)=0, NotFound, SUMIFS(allFYsTable[DiffAmount], allFYsTable[Code], SummaryTable[[#This Row],[Code]], allFYsTable[year2], DI$3))</f>
        <v>#N/A</v>
      </c>
      <c r="DO139" s="63" t="e">
        <f>IF(SummaryTable[[#This Row],[OriginalBudget13]]=0, IF(SummaryTable[[#This Row],[DiffAmount13]]=0, ZeroBudgetNoSpending, ZeroBudgetWithSpending), SummaryTable[[#This Row],[DiffAmount13]]/SummaryTable[[#This Row],[OriginalBudget13]])</f>
        <v>#N/A</v>
      </c>
      <c r="DP139" s="62" t="e">
        <f>IF(COUNTIFS(allFYsTable[Code], SummaryTable[[#This Row],[Code]], allFYsTable[year2], DP$3)=0, NotFound, SUMIFS(allFYsTable[OriginalBudget], allFYsTable[Code], SummaryTable[[#This Row],[Code]], allFYsTable[year2], DP$3))</f>
        <v>#N/A</v>
      </c>
      <c r="DQ139" s="61" t="e">
        <f>SummaryTable[[#This Row],[OriginalBudget12]]-SummaryTable[[#This Row],[OriginalBudget11]]</f>
        <v>#N/A</v>
      </c>
      <c r="DR139" s="54" t="e">
        <f>SummaryTable[[#This Row],[BudgetIncreaseAmount12]]/SummaryTable[[#This Row],[OriginalBudget11]]</f>
        <v>#N/A</v>
      </c>
      <c r="DS139" s="61" t="e">
        <f>IF(COUNTIFS(allFYsTable[Code], SummaryTable[[#This Row],[Code]], allFYsTable[year2], DP$3)=0, NotFound, SUMIFS(allFYsTable[RevisedBudget], allFYsTable[Code], SummaryTable[[#This Row],[Code]], allFYsTable[year2], DP$3))</f>
        <v>#N/A</v>
      </c>
      <c r="DT139" s="61" t="e">
        <f>IF(COUNTIFS(allFYsTable[Code], SummaryTable[[#This Row],[Code]], allFYsTable[year2], DP$3)=0, NotFound, SUMIFS(allFYsTable[Actual], allFYsTable[Code], SummaryTable[[#This Row],[Code]], allFYsTable[year2], DP$3))</f>
        <v>#N/A</v>
      </c>
      <c r="DU139" s="61" t="e">
        <f>IF(COUNTIFS(allFYsTable[Code], SummaryTable[[#This Row],[Code]], allFYsTable[year2], DP$3)=0, NotFound, SUMIFS(allFYsTable[DiffAmount], allFYsTable[Code], SummaryTable[[#This Row],[Code]], allFYsTable[year2], DP$3))</f>
        <v>#N/A</v>
      </c>
      <c r="DV139" s="63" t="e">
        <f>IF(SummaryTable[[#This Row],[OriginalBudget12]]=0, IF(SummaryTable[[#This Row],[DiffAmount12]]=0, ZeroBudgetNoSpending, ZeroBudgetWithSpending), SummaryTable[[#This Row],[DiffAmount12]]/SummaryTable[[#This Row],[OriginalBudget12]])</f>
        <v>#N/A</v>
      </c>
      <c r="DW139" s="62" t="e">
        <f>IF(COUNTIFS(allFYsTable[Code], SummaryTable[[#This Row],[Code]], allFYsTable[year2], DW$3)=0, NotFound, SUMIFS(allFYsTable[OriginalBudget], allFYsTable[Code], SummaryTable[[#This Row],[Code]], allFYsTable[year2], DW$3))</f>
        <v>#N/A</v>
      </c>
      <c r="DX139" s="61" t="e">
        <f>SummaryTable[[#This Row],[OriginalBudget11]]-SummaryTable[[#This Row],[OriginalBudget10]]</f>
        <v>#N/A</v>
      </c>
      <c r="DY139" s="54" t="e">
        <f>SummaryTable[[#This Row],[BudgetIncreaseAmount11]]/SummaryTable[[#This Row],[OriginalBudget10]]</f>
        <v>#N/A</v>
      </c>
      <c r="DZ139" s="61" t="e">
        <f>IF(COUNTIFS(allFYsTable[Code], SummaryTable[[#This Row],[Code]], allFYsTable[year2], DW$3)=0, NotFound, SUMIFS(allFYsTable[RevisedBudget], allFYsTable[Code], SummaryTable[[#This Row],[Code]], allFYsTable[year2], DW$3))</f>
        <v>#N/A</v>
      </c>
      <c r="EA139" s="61" t="e">
        <f>IF(COUNTIFS(allFYsTable[Code], SummaryTable[[#This Row],[Code]], allFYsTable[year2], DW$3)=0, NotFound, SUMIFS(allFYsTable[Actual], allFYsTable[Code], SummaryTable[[#This Row],[Code]], allFYsTable[year2], DW$3))</f>
        <v>#N/A</v>
      </c>
      <c r="EB139" s="61" t="e">
        <f>IF(COUNTIFS(allFYsTable[Code], SummaryTable[[#This Row],[Code]], allFYsTable[year2], DW$3)=0, NotFound, SUMIFS(allFYsTable[DiffAmount], allFYsTable[Code], SummaryTable[[#This Row],[Code]], allFYsTable[year2], DW$3))</f>
        <v>#N/A</v>
      </c>
      <c r="EC139" s="63" t="e">
        <f>IF(SummaryTable[[#This Row],[OriginalBudget11]]=0, IF(SummaryTable[[#This Row],[DiffAmount11]]=0, ZeroBudgetNoSpending, ZeroBudgetWithSpending), SummaryTable[[#This Row],[DiffAmount11]]/SummaryTable[[#This Row],[OriginalBudget11]])</f>
        <v>#N/A</v>
      </c>
      <c r="ED139" s="62" t="e">
        <f>IF(COUNTIFS(allFYsTable[Code], SummaryTable[[#This Row],[Code]], allFYsTable[year2], ED$3)=0, NotFound, SUMIFS(allFYsTable[OriginalBudget], allFYsTable[Code], SummaryTable[[#This Row],[Code]], allFYsTable[year2], ED$3))</f>
        <v>#N/A</v>
      </c>
      <c r="EE139" s="61" t="e">
        <f>SummaryTable[[#This Row],[OriginalBudget10]]-SummaryTable[[#This Row],[OriginalBudget09]]</f>
        <v>#N/A</v>
      </c>
      <c r="EF139" s="54" t="e">
        <f>SummaryTable[[#This Row],[BudgetIncreaseAmount10]]/SummaryTable[[#This Row],[OriginalBudget09]]</f>
        <v>#N/A</v>
      </c>
      <c r="EG139" s="61" t="e">
        <f>IF(COUNTIFS(allFYsTable[Code], SummaryTable[[#This Row],[Code]], allFYsTable[year2], ED$3)=0, NotFound, SUMIFS(allFYsTable[RevisedBudget], allFYsTable[Code], SummaryTable[[#This Row],[Code]], allFYsTable[year2], ED$3))</f>
        <v>#N/A</v>
      </c>
      <c r="EH139" s="61" t="e">
        <f>IF(COUNTIFS(allFYsTable[Code], SummaryTable[[#This Row],[Code]], allFYsTable[year2], ED$3)=0, NotFound, SUMIFS(allFYsTable[Actual], allFYsTable[Code], SummaryTable[[#This Row],[Code]], allFYsTable[year2], ED$3))</f>
        <v>#N/A</v>
      </c>
      <c r="EI139" s="61" t="e">
        <f>IF(COUNTIFS(allFYsTable[Code], SummaryTable[[#This Row],[Code]], allFYsTable[year2], ED$3)=0, NotFound, SUMIFS(allFYsTable[DiffAmount], allFYsTable[Code], SummaryTable[[#This Row],[Code]], allFYsTable[year2], ED$3))</f>
        <v>#N/A</v>
      </c>
      <c r="EJ139" s="63" t="e">
        <f>IF(SummaryTable[[#This Row],[OriginalBudget10]]=0, IF(SummaryTable[[#This Row],[DiffAmount10]]=0, ZeroBudgetNoSpending, ZeroBudgetWithSpending), SummaryTable[[#This Row],[DiffAmount10]]/SummaryTable[[#This Row],[OriginalBudget10]])</f>
        <v>#N/A</v>
      </c>
      <c r="EK139" s="62" t="e">
        <f>IF(COUNTIFS(allFYsTable[Code], SummaryTable[[#This Row],[Code]], allFYsTable[year2], EK$3)=0, NotFound, SUMIFS(allFYsTable[OriginalBudget], allFYsTable[Code], SummaryTable[[#This Row],[Code]], allFYsTable[year2], EK$3))</f>
        <v>#N/A</v>
      </c>
      <c r="EL139" s="61" t="e">
        <f>SummaryTable[[#This Row],[OriginalBudget09]]-SummaryTable[[#This Row],[OriginalBudget08]]</f>
        <v>#N/A</v>
      </c>
      <c r="EM139" s="54" t="e">
        <f>SummaryTable[[#This Row],[BudgetIncreaseAmount09]]/SummaryTable[[#This Row],[OriginalBudget08]]</f>
        <v>#N/A</v>
      </c>
      <c r="EN139" s="61" t="e">
        <f>IF(COUNTIFS(allFYsTable[Code], SummaryTable[[#This Row],[Code]], allFYsTable[year2], EK$3)=0, NotFound, SUMIFS(allFYsTable[RevisedBudget], allFYsTable[Code], SummaryTable[[#This Row],[Code]], allFYsTable[year2], EK$3))</f>
        <v>#N/A</v>
      </c>
      <c r="EO139" s="61" t="e">
        <f>IF(COUNTIFS(allFYsTable[Code], SummaryTable[[#This Row],[Code]], allFYsTable[year2], EK$3)=0, NotFound, SUMIFS(allFYsTable[Actual], allFYsTable[Code], SummaryTable[[#This Row],[Code]], allFYsTable[year2], EK$3))</f>
        <v>#N/A</v>
      </c>
      <c r="EP139" s="61" t="e">
        <f>IF(COUNTIFS(allFYsTable[Code], SummaryTable[[#This Row],[Code]], allFYsTable[year2], EK$3)=0, NotFound, SUMIFS(allFYsTable[DiffAmount], allFYsTable[Code], SummaryTable[[#This Row],[Code]], allFYsTable[year2], EK$3))</f>
        <v>#N/A</v>
      </c>
      <c r="EQ139" s="63" t="e">
        <f>IF(SummaryTable[[#This Row],[OriginalBudget09]]=0, IF(SummaryTable[[#This Row],[DiffAmount09]]=0, ZeroBudgetNoSpending, ZeroBudgetWithSpending), SummaryTable[[#This Row],[DiffAmount09]]/SummaryTable[[#This Row],[OriginalBudget09]])</f>
        <v>#N/A</v>
      </c>
      <c r="ER139" s="62" t="e">
        <f>IF(COUNTIFS(allFYsTable[Code], SummaryTable[[#This Row],[Code]], allFYsTable[year2], ER$3)=0, NotFound, SUMIFS(allFYsTable[OriginalBudget], allFYsTable[Code], SummaryTable[[#This Row],[Code]], allFYsTable[year2], ER$3))</f>
        <v>#N/A</v>
      </c>
      <c r="ES139" s="61" t="e">
        <f>SummaryTable[[#This Row],[OriginalBudget08]]-SummaryTable[[#This Row],[OriginalBudget07]]</f>
        <v>#N/A</v>
      </c>
      <c r="ET139" s="54" t="e">
        <f>SummaryTable[[#This Row],[BudgetIncreaseAmount08]]/SummaryTable[[#This Row],[OriginalBudget07]]</f>
        <v>#N/A</v>
      </c>
      <c r="EU139" s="61" t="e">
        <f>IF(COUNTIFS(allFYsTable[Code], SummaryTable[[#This Row],[Code]], allFYsTable[year2], ER$3)=0, NotFound, SUMIFS(allFYsTable[RevisedBudget], allFYsTable[Code], SummaryTable[[#This Row],[Code]], allFYsTable[year2], ER$3))</f>
        <v>#N/A</v>
      </c>
      <c r="EV139" s="61" t="e">
        <f>IF(COUNTIFS(allFYsTable[Code], SummaryTable[[#This Row],[Code]], allFYsTable[year2], ER$3)=0, NotFound, SUMIFS(allFYsTable[Actual], allFYsTable[Code], SummaryTable[[#This Row],[Code]], allFYsTable[year2], ER$3))</f>
        <v>#N/A</v>
      </c>
      <c r="EW139" s="61" t="e">
        <f>IF(COUNTIFS(allFYsTable[Code], SummaryTable[[#This Row],[Code]], allFYsTable[year2], ER$3)=0, NotFound, SUMIFS(allFYsTable[DiffAmount], allFYsTable[Code], SummaryTable[[#This Row],[Code]], allFYsTable[year2], ER$3))</f>
        <v>#N/A</v>
      </c>
      <c r="EX139" s="63" t="e">
        <f>IF(SummaryTable[[#This Row],[OriginalBudget08]]=0, IF(SummaryTable[[#This Row],[DiffAmount08]]=0, ZeroBudgetNoSpending, ZeroBudgetWithSpending), SummaryTable[[#This Row],[DiffAmount08]]/SummaryTable[[#This Row],[OriginalBudget08]])</f>
        <v>#N/A</v>
      </c>
      <c r="EY139" s="62" t="e">
        <f>IF(COUNTIFS(allFYsTable[Code], SummaryTable[[#This Row],[Code]], allFYsTable[year2], EY$3)=0, NotFound, SUMIFS(allFYsTable[OriginalBudget], allFYsTable[Code], SummaryTable[[#This Row],[Code]], allFYsTable[year2], EY$3))</f>
        <v>#N/A</v>
      </c>
      <c r="EZ139" s="61" t="e">
        <f>SummaryTable[[#This Row],[OriginalBudget07]]-SummaryTable[[#This Row],[OriginalBudget06]]</f>
        <v>#N/A</v>
      </c>
      <c r="FA139" s="54" t="e">
        <f>SummaryTable[[#This Row],[BudgetIncreaseAmount07]]/SummaryTable[[#This Row],[OriginalBudget06]]</f>
        <v>#N/A</v>
      </c>
      <c r="FB139" s="61" t="e">
        <f>IF(COUNTIFS(allFYsTable[Code], SummaryTable[[#This Row],[Code]], allFYsTable[year2], EY$3)=0, NotFound, SUMIFS(allFYsTable[RevisedBudget], allFYsTable[Code], SummaryTable[[#This Row],[Code]], allFYsTable[year2], EY$3))</f>
        <v>#N/A</v>
      </c>
      <c r="FC139" s="61" t="e">
        <f>IF(COUNTIFS(allFYsTable[Code], SummaryTable[[#This Row],[Code]], allFYsTable[year2], EY$3)=0, NotFound, SUMIFS(allFYsTable[Actual], allFYsTable[Code], SummaryTable[[#This Row],[Code]], allFYsTable[year2], EY$3))</f>
        <v>#N/A</v>
      </c>
      <c r="FD139" s="61" t="e">
        <f>IF(COUNTIFS(allFYsTable[Code], SummaryTable[[#This Row],[Code]], allFYsTable[year2], EY$3)=0, NotFound, SUMIFS(allFYsTable[DiffAmount], allFYsTable[Code], SummaryTable[[#This Row],[Code]], allFYsTable[year2], EY$3))</f>
        <v>#N/A</v>
      </c>
      <c r="FE139" s="63" t="e">
        <f>IF(SummaryTable[[#This Row],[OriginalBudget07]]=0, IF(SummaryTable[[#This Row],[DiffAmount07]]=0, ZeroBudgetNoSpending, ZeroBudgetWithSpending), SummaryTable[[#This Row],[DiffAmount07]]/SummaryTable[[#This Row],[OriginalBudget07]])</f>
        <v>#N/A</v>
      </c>
      <c r="FF139" s="62" t="e">
        <f>IF(COUNTIFS(allFYsTable[Code], SummaryTable[[#This Row],[Code]], allFYsTable[year2], FF$3)=0, NotFound, SUMIFS(allFYsTable[OriginalBudget], allFYsTable[Code], SummaryTable[[#This Row],[Code]], allFYsTable[year2], FF$3))</f>
        <v>#N/A</v>
      </c>
      <c r="FI139" s="61" t="e">
        <f>IF(COUNTIFS(allFYsTable[Code], SummaryTable[[#This Row],[Code]], allFYsTable[year2], FF$3)=0, NotFound, SUMIFS(allFYsTable[RevisedBudget], allFYsTable[Code], SummaryTable[[#This Row],[Code]], allFYsTable[year2], FF$3))</f>
        <v>#N/A</v>
      </c>
      <c r="FJ139" s="61" t="e">
        <f>IF(COUNTIFS(allFYsTable[Code], SummaryTable[[#This Row],[Code]], allFYsTable[year2], FF$3)=0, NotFound, SUMIFS(allFYsTable[Actual], allFYsTable[Code], SummaryTable[[#This Row],[Code]], allFYsTable[year2], FF$3))</f>
        <v>#N/A</v>
      </c>
      <c r="FK139" s="61" t="e">
        <f>IF(COUNTIFS(allFYsTable[Code], SummaryTable[[#This Row],[Code]], allFYsTable[year2], FF$3)=0, NotFound, SUMIFS(allFYsTable[DiffAmount], allFYsTable[Code], SummaryTable[[#This Row],[Code]], allFYsTable[year2], FF$3))</f>
        <v>#N/A</v>
      </c>
      <c r="FL139" s="63" t="e">
        <f>IF(SummaryTable[[#This Row],[OriginalBudget06]]=0, IF(SummaryTable[[#This Row],[DiffAmount06]]=0, ZeroBudgetNoSpending, ZeroBudgetWithSpending), SummaryTable[[#This Row],[DiffAmount06]]/SummaryTable[[#This Row],[OriginalBudget06]])</f>
        <v>#N/A</v>
      </c>
    </row>
    <row r="140" spans="1:168" x14ac:dyDescent="0.45">
      <c r="A140" t="s">
        <v>868</v>
      </c>
      <c r="B140">
        <f>_xlfn.MAXIFS(allFYsTable[year2], allFYsTable[Code], SummaryTable[[#This Row],[Code]])</f>
        <v>2023</v>
      </c>
      <c r="C140" t="str">
        <f>_xlfn.XLOOKUP(SummaryTable[[#This Row],[Code]], NameCodingTable[Code], NameCodingTable[Most Recent Category per allFYs])</f>
        <v>Other</v>
      </c>
      <c r="D140" t="str">
        <f>_xlfn.XLOOKUP(SummaryTable[[#This Row],[Code]], NameCodingTable[Code], NameCodingTable[Unit Display Name])</f>
        <v>Emergency and contingency reserve funds</v>
      </c>
      <c r="E140" t="str">
        <f>_xlfn.XLOOKUP(SummaryTable[[#This Row],[Code]], NameCodingTable[Code], NameCodingTable[Type])</f>
        <v>untyped</v>
      </c>
      <c r="F14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v>
      </c>
      <c r="G14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40" s="54">
        <f>SummaryTable[[#This Row],['# Over]]/SummaryTable[[#This Row],[Count]]</f>
        <v>0.5</v>
      </c>
      <c r="I14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40" s="54">
        <f>SummaryTable[[#This Row],['# Under]]/SummaryTable[[#This Row],[Count]]</f>
        <v>0</v>
      </c>
      <c r="K14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40" s="54">
        <f>SummaryTable[[#This Row],['# Equal]]/SummaryTable[[#This Row],[Count]]</f>
        <v>0.5</v>
      </c>
      <c r="M140" s="61">
        <f>SUMIFS(allFYsTable[OriginalBudget],allFYsTable[Code],SummaryTable[[#This Row],[Code]])/SummaryTable[[#This Row],[Count]]</f>
        <v>0</v>
      </c>
      <c r="N140" s="61">
        <f>SUMIFS(allFYsTable[Actual],allFYsTable[Code],SummaryTable[[#This Row],[Code]])/SummaryTable[[#This Row],[Count]]</f>
        <v>8493</v>
      </c>
      <c r="O140" s="61">
        <f>SummaryTable[[#This Row],[AvgActAmt]]-SummaryTable[[#This Row],[AvgBudAmt]]</f>
        <v>8493</v>
      </c>
      <c r="P140" s="54">
        <f>IF(SummaryTable[[#This Row],[AvgBudAmt]]=0, IF(SummaryTable[[#This Row],[AvgDiff'#]]=0, 0, NamedFields!$C$3), SummaryTable[[#This Row],[AvgDiff'#]]/SummaryTable[[#This Row],[AvgBudAmt]])</f>
        <v>99.99</v>
      </c>
      <c r="Q140" s="61">
        <f>IFERROR(SUMIFS(allFYsTable[OriginalBudget],allFYsTable[Code],SummaryTable[[#This Row],[Code]],allFYsTable[DiffAmount], "&gt;0")/SummaryTable[[#This Row],['# Over]], 0)</f>
        <v>0</v>
      </c>
      <c r="R140" s="61">
        <f>IFERROR(SUMIFS(allFYsTable[Actual],allFYsTable[Code],SummaryTable[[#This Row],[Code]],allFYsTable[DiffAmount], "&gt;0")/SummaryTable[[#This Row],['# Over]], 0)</f>
        <v>16986</v>
      </c>
      <c r="S140" s="61">
        <f>SummaryTable[[#This Row],[OverAvgAct]]-SummaryTable[[#This Row],[OverAvgBud]]</f>
        <v>16986</v>
      </c>
      <c r="T140" s="54">
        <f>IF(SummaryTable[[#This Row],[OverAvgBud]]=0, IF(SummaryTable[[#This Row],[OverAvgDiff'#]]=0, ZeroBudgetNoSpending, ZeroBudgetWithSpending), SummaryTable[[#This Row],[OverAvgDiff'#]]/SummaryTable[[#This Row],[OverAvgBud]])</f>
        <v>99.99</v>
      </c>
      <c r="U140" s="61">
        <f>IFERROR(SUMIFS(allFYsTable[OriginalBudget],allFYsTable[Code],SummaryTable[[#This Row],[Code]],allFYsTable[DiffAmount], "&lt;0")/SummaryTable[[#This Row],['# Under]], 0)</f>
        <v>0</v>
      </c>
      <c r="V140" s="61">
        <f>IFERROR( SUMIFS(allFYsTable[Actual],allFYsTable[Code],SummaryTable[[#This Row],[Code]],allFYsTable[DiffAmount], "&lt;0")/SummaryTable[[#This Row],['# Under]], 0)</f>
        <v>0</v>
      </c>
      <c r="W140" s="61">
        <f>SummaryTable[[#This Row],[UnderAvgAct]]-SummaryTable[[#This Row],[UnderAvgBud]]</f>
        <v>0</v>
      </c>
      <c r="X140" s="54">
        <f>IF(SummaryTable[[#This Row],[UnderAvgBud]]=0, IF(SummaryTable[[#This Row],[UnderAvgDiff'#]]=0, ZeroBudgetNoSpending, NamedFields!$C$3), SummaryTable[[#This Row],[UnderAvgDiff'#]]/SummaryTable[[#This Row],[UnderAvgBud]])</f>
        <v>0</v>
      </c>
      <c r="Y14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4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0" s="54">
        <f>IF(SummaryTable[[#This Row],[IncreaseYears]]=0, ZeroBudgetNoSpending, SummaryTable[[#This Row],[OSinIncreaseYear'#]]/SummaryTable[[#This Row],[IncreaseYears]])</f>
        <v>0</v>
      </c>
      <c r="AB140" s="58" t="str">
        <f>SummaryTable[[#This Row],[Code]]</f>
        <v>XRF</v>
      </c>
      <c r="AC140" s="62" t="e">
        <f>IF(COUNTIFS(allFYsTable[Code], SummaryTable[[#This Row],[Code]], allFYsTable[year2], AC$3)=0, NotFound, SUMIFS(allFYsTable[OriginalBudget], allFYsTable[Code], SummaryTable[[#This Row],[Code]], allFYsTable[year2], AC$3))</f>
        <v>#N/A</v>
      </c>
      <c r="AD140" s="61" t="e">
        <f>SummaryTable[[#This Row],[OriginalBudget25]]-SummaryTable[[#This Row],[OriginalBudget24]]</f>
        <v>#N/A</v>
      </c>
      <c r="AE140" s="54" t="e">
        <f>SummaryTable[[#This Row],[BudgetIncreaseAmount25]]/SummaryTable[[#This Row],[OriginalBudget24]]</f>
        <v>#N/A</v>
      </c>
      <c r="AF140" s="61" t="e">
        <f>IF(COUNTIFS(allFYsTable[Code], SummaryTable[[#This Row],[Code]], allFYsTable[year2], AC$3)=0, NotFound, SUMIFS(allFYsTable[RevisedBudget], allFYsTable[Code], SummaryTable[[#This Row],[Code]], allFYsTable[year2], AC$3))</f>
        <v>#N/A</v>
      </c>
      <c r="AG140" s="61" t="e">
        <f>IF(COUNTIFS(allFYsTable[Code], SummaryTable[[#This Row],[Code]], allFYsTable[year2], AC$3)=0, NotFound, SUMIFS(allFYsTable[Actual], allFYsTable[Code], SummaryTable[[#This Row],[Code]], allFYsTable[year2], AC$3))</f>
        <v>#N/A</v>
      </c>
      <c r="AH140" s="61" t="e">
        <f>IF(COUNTIFS(allFYsTable[Code], SummaryTable[[#This Row],[Code]], allFYsTable[year2], AC$3)=0, NotFound, SUMIFS(allFYsTable[DiffAmount], allFYsTable[Code], SummaryTable[[#This Row],[Code]], allFYsTable[year2], AC$3))</f>
        <v>#N/A</v>
      </c>
      <c r="AI140" s="63" t="e">
        <f>IF(SummaryTable[[#This Row],[OriginalBudget25]]=0, IF(SummaryTable[[#This Row],[DiffAmount25]]=0, ZeroBudgetNoSpending, ZeroBudgetWithSpending), SummaryTable[[#This Row],[DiffAmount25]]/SummaryTable[[#This Row],[OriginalBudget25]])</f>
        <v>#N/A</v>
      </c>
      <c r="AJ140" s="62" t="e">
        <f>IF(COUNTIFS(allFYsTable[Code], SummaryTable[[#This Row],[Code]], allFYsTable[year2], AJ$3)=0, NotFound, SUMIFS(allFYsTable[OriginalBudget], allFYsTable[Code], SummaryTable[[#This Row],[Code]], allFYsTable[year2], AJ$3))</f>
        <v>#N/A</v>
      </c>
      <c r="AK140" s="61" t="e">
        <f>SummaryTable[[#This Row],[OriginalBudget24]]-SummaryTable[[#This Row],[OriginalBudget23]]</f>
        <v>#N/A</v>
      </c>
      <c r="AL140" s="54" t="e">
        <f>SummaryTable[[#This Row],[BudgetIncreaseAmount24]]/SummaryTable[[#This Row],[OriginalBudget23]]</f>
        <v>#N/A</v>
      </c>
      <c r="AM140" s="61" t="e">
        <f>IF(COUNTIFS(allFYsTable[Code], SummaryTable[[#This Row],[Code]], allFYsTable[year2], AK$3)=0, NotFound, SUMIFS(allFYsTable[RevisedBudget], allFYsTable[Code], SummaryTable[[#This Row],[Code]], allFYsTable[year2], AJ$3))</f>
        <v>#N/A</v>
      </c>
      <c r="AN140" s="61" t="e">
        <f>IF(COUNTIFS(allFYsTable[Code], SummaryTable[[#This Row],[Code]], allFYsTable[year2], AJ$3)=0, NotFound, SUMIFS(allFYsTable[Actual], allFYsTable[Code], SummaryTable[[#This Row],[Code]], allFYsTable[year2], AJ$3))</f>
        <v>#N/A</v>
      </c>
      <c r="AO140" s="61" t="e">
        <f>IF(COUNTIFS(allFYsTable[Code], SummaryTable[[#This Row],[Code]], allFYsTable[year2], AJ$3)=0, NotFound, SUMIFS(allFYsTable[DiffAmount], allFYsTable[Code], SummaryTable[[#This Row],[Code]], allFYsTable[year2], AJ$3))</f>
        <v>#N/A</v>
      </c>
      <c r="AP140" s="63" t="e">
        <f>IF(SummaryTable[[#This Row],[OriginalBudget24]]=0, IF(SummaryTable[[#This Row],[DiffAmount24]]=0, ZeroBudgetNoSpending, ZeroBudgetWithSpending), SummaryTable[[#This Row],[DiffAmount24]]/SummaryTable[[#This Row],[OriginalBudget24]])</f>
        <v>#N/A</v>
      </c>
      <c r="AQ140" s="62">
        <f>IF(COUNTIFS(allFYsTable[Code], SummaryTable[[#This Row],[Code]], allFYsTable[year2], AQ$3)=0, NotFound, SUMIFS(allFYsTable[OriginalBudget], allFYsTable[Code], SummaryTable[[#This Row],[Code]], allFYsTable[year2], AQ$3))</f>
        <v>0</v>
      </c>
      <c r="AR140" s="61">
        <f>SummaryTable[[#This Row],[OriginalBudget23]]-SummaryTable[[#This Row],[OriginalBudget22]]</f>
        <v>0</v>
      </c>
      <c r="AS140" s="54" t="e">
        <f>SummaryTable[[#This Row],[BudgetIncreaseAmount23]]/SummaryTable[[#This Row],[OriginalBudget22]]</f>
        <v>#DIV/0!</v>
      </c>
      <c r="AT140" s="61">
        <f>IF(COUNTIFS(allFYsTable[Code], SummaryTable[[#This Row],[Code]], allFYsTable[year2], AQ$3)=0, NotFound, SUMIFS(allFYsTable[RevisedBudget], allFYsTable[Code], SummaryTable[[#This Row],[Code]], allFYsTable[year2], AQ$3))</f>
        <v>18977</v>
      </c>
      <c r="AU140" s="61">
        <f>IF(COUNTIFS(allFYsTable[Code], SummaryTable[[#This Row],[Code]], allFYsTable[year2], AQ$3)=0, NotFound, SUMIFS(allFYsTable[Actual], allFYsTable[Code], SummaryTable[[#This Row],[Code]], allFYsTable[year2], AQ$3))</f>
        <v>16986</v>
      </c>
      <c r="AV140" s="61">
        <f>IF(COUNTIFS(allFYsTable[Code], SummaryTable[[#This Row],[Code]], allFYsTable[year2], AQ$3)=0, NotFound, SUMIFS(allFYsTable[DiffAmount], allFYsTable[Code], SummaryTable[[#This Row],[Code]], allFYsTable[year2], AQ$3))</f>
        <v>16986</v>
      </c>
      <c r="AW140" s="63">
        <f>IF(SummaryTable[[#This Row],[OriginalBudget23]]=0, IF(SummaryTable[[#This Row],[DiffAmount23]]=0, ZeroBudgetNoSpending, ZeroBudgetWithSpending), SummaryTable[[#This Row],[DiffAmount23]]/SummaryTable[[#This Row],[OriginalBudget23]])</f>
        <v>99.99</v>
      </c>
      <c r="AX140" s="62">
        <f>IF(COUNTIFS(allFYsTable[Code], SummaryTable[[#This Row],[Code]], allFYsTable[year2], AX$3)=0, NotFound, SUMIFS(allFYsTable[OriginalBudget], allFYsTable[Code], SummaryTable[[#This Row],[Code]], allFYsTable[year2], AX$3))</f>
        <v>0</v>
      </c>
      <c r="AY140" s="61" t="e">
        <f>SummaryTable[[#This Row],[OriginalBudget22]]-SummaryTable[[#This Row],[OriginalBudget21]]</f>
        <v>#N/A</v>
      </c>
      <c r="AZ140" s="54" t="e">
        <f>SummaryTable[[#This Row],[BudgetIncreaseAmount22]]/SummaryTable[[#This Row],[OriginalBudget21]]</f>
        <v>#N/A</v>
      </c>
      <c r="BA140" s="61">
        <f>IF(COUNTIFS(allFYsTable[Code], SummaryTable[[#This Row],[Code]], allFYsTable[year2], AX$3)=0, NotFound, SUMIFS(allFYsTable[RevisedBudget], allFYsTable[Code], SummaryTable[[#This Row],[Code]], allFYsTable[year2], AX$3))</f>
        <v>9556</v>
      </c>
      <c r="BB140" s="61">
        <f>IF(COUNTIFS(allFYsTable[Code], SummaryTable[[#This Row],[Code]], allFYsTable[year2], AX$3)=0, NotFound, SUMIFS(allFYsTable[Actual], allFYsTable[Code], SummaryTable[[#This Row],[Code]], allFYsTable[year2], AX$3))</f>
        <v>0</v>
      </c>
      <c r="BC140" s="61">
        <f>IF(COUNTIFS(allFYsTable[Code], SummaryTable[[#This Row],[Code]], allFYsTable[year2], AX$3)=0, NotFound, SUMIFS(allFYsTable[DiffAmount], allFYsTable[Code], SummaryTable[[#This Row],[Code]], allFYsTable[year2], AX$3))</f>
        <v>0</v>
      </c>
      <c r="BD140" s="63">
        <f>IF(SummaryTable[[#This Row],[OriginalBudget22]]=0, IF(SummaryTable[[#This Row],[DiffAmount22]]=0, ZeroBudgetNoSpending, ZeroBudgetWithSpending), SummaryTable[[#This Row],[DiffAmount22]]/SummaryTable[[#This Row],[OriginalBudget22]])</f>
        <v>0</v>
      </c>
      <c r="BE140" s="62" t="e">
        <f>IF(COUNTIFS(allFYsTable[Code], SummaryTable[[#This Row],[Code]], allFYsTable[year2], BE$3)=0, NotFound, SUMIFS(allFYsTable[OriginalBudget], allFYsTable[Code], SummaryTable[[#This Row],[Code]], allFYsTable[year2], BE$3))</f>
        <v>#N/A</v>
      </c>
      <c r="BF140" s="61" t="e">
        <f>SummaryTable[[#This Row],[OriginalBudget21]]-SummaryTable[[#This Row],[OriginalBudget20]]</f>
        <v>#N/A</v>
      </c>
      <c r="BG140" s="54" t="e">
        <f>SummaryTable[[#This Row],[BudgetIncreaseAmount21]]/SummaryTable[[#This Row],[OriginalBudget20]]</f>
        <v>#N/A</v>
      </c>
      <c r="BH140" s="61" t="e">
        <f>IF(COUNTIFS(allFYsTable[Code], SummaryTable[[#This Row],[Code]], allFYsTable[year2], BE$3)=0, NotFound, SUMIFS(allFYsTable[RevisedBudget], allFYsTable[Code], SummaryTable[[#This Row],[Code]], allFYsTable[year2], BE$3))</f>
        <v>#N/A</v>
      </c>
      <c r="BI140" s="61" t="e">
        <f>IF(COUNTIFS(allFYsTable[Code], SummaryTable[[#This Row],[Code]], allFYsTable[year2], BE$3)=0, NotFound, SUMIFS(allFYsTable[Actual], allFYsTable[Code], SummaryTable[[#This Row],[Code]], allFYsTable[year2], BE$3))</f>
        <v>#N/A</v>
      </c>
      <c r="BJ140" s="61" t="e">
        <f>IF(COUNTIFS(allFYsTable[Code], SummaryTable[[#This Row],[Code]], allFYsTable[year2], BE$3)=0, NotFound, SUMIFS(allFYsTable[DiffAmount], allFYsTable[Code], SummaryTable[[#This Row],[Code]], allFYsTable[year2], BE$3))</f>
        <v>#N/A</v>
      </c>
      <c r="BK140" s="63" t="e">
        <f>IF(SummaryTable[[#This Row],[OriginalBudget21]]=0, IF(SummaryTable[[#This Row],[DiffAmount21]]=0, ZeroBudgetNoSpending, ZeroBudgetWithSpending), SummaryTable[[#This Row],[DiffAmount21]]/SummaryTable[[#This Row],[OriginalBudget21]])</f>
        <v>#N/A</v>
      </c>
      <c r="BL140" s="62" t="e">
        <f>IF(COUNTIFS(allFYsTable[Code], SummaryTable[[#This Row],[Code]], allFYsTable[year2], BL$3)=0, NotFound, SUMIFS(allFYsTable[OriginalBudget], allFYsTable[Code], SummaryTable[[#This Row],[Code]], allFYsTable[year2], BL$3))</f>
        <v>#N/A</v>
      </c>
      <c r="BM140" s="61" t="e">
        <f>SummaryTable[[#This Row],[OriginalBudget20]]-SummaryTable[[#This Row],[OriginalBudget19]]</f>
        <v>#N/A</v>
      </c>
      <c r="BN140" s="54" t="e">
        <f>SummaryTable[[#This Row],[BudgetIncreaseAmount20]]/SummaryTable[[#This Row],[OriginalBudget19]]</f>
        <v>#N/A</v>
      </c>
      <c r="BO140" s="61" t="e">
        <f>IF(COUNTIFS(allFYsTable[Code], SummaryTable[[#This Row],[Code]], allFYsTable[year2], BL$3)=0, NotFound, SUMIFS(allFYsTable[RevisedBudget], allFYsTable[Code], SummaryTable[[#This Row],[Code]], allFYsTable[year2], BL$3))</f>
        <v>#N/A</v>
      </c>
      <c r="BP140" s="61" t="e">
        <f>IF(COUNTIFS(allFYsTable[Code], SummaryTable[[#This Row],[Code]], allFYsTable[year2], BL$3)=0, NotFound, SUMIFS(allFYsTable[Actual], allFYsTable[Code], SummaryTable[[#This Row],[Code]], allFYsTable[year2], BL$3))</f>
        <v>#N/A</v>
      </c>
      <c r="BQ140" s="61" t="e">
        <f>IF(COUNTIFS(allFYsTable[Code], SummaryTable[[#This Row],[Code]], allFYsTable[year2], BL$3)=0, NotFound, SUMIFS(allFYsTable[DiffAmount], allFYsTable[Code], SummaryTable[[#This Row],[Code]], allFYsTable[year2], BL$3))</f>
        <v>#N/A</v>
      </c>
      <c r="BR140" s="63" t="e">
        <f>IF(SummaryTable[[#This Row],[OriginalBudget20]]=0, IF(SummaryTable[[#This Row],[DiffAmount20]]=0, ZeroBudgetNoSpending, ZeroBudgetWithSpending), SummaryTable[[#This Row],[DiffAmount20]]/SummaryTable[[#This Row],[OriginalBudget20]])</f>
        <v>#N/A</v>
      </c>
      <c r="BS140" s="62" t="e">
        <f>IF(COUNTIFS(allFYsTable[Code], SummaryTable[[#This Row],[Code]], allFYsTable[year2], BS$3)=0, NotFound, SUMIFS(allFYsTable[OriginalBudget], allFYsTable[Code], SummaryTable[[#This Row],[Code]], allFYsTable[year2], BS$3))</f>
        <v>#N/A</v>
      </c>
      <c r="BT140" s="61" t="e">
        <f>SummaryTable[[#This Row],[OriginalBudget19]]-SummaryTable[[#This Row],[OriginalBudget18]]</f>
        <v>#N/A</v>
      </c>
      <c r="BU140" s="54" t="e">
        <f>SummaryTable[[#This Row],[BudgetIncreaseAmount19]]/SummaryTable[[#This Row],[OriginalBudget18]]</f>
        <v>#N/A</v>
      </c>
      <c r="BV140" s="61" t="e">
        <f>IF(COUNTIFS(allFYsTable[Code], SummaryTable[[#This Row],[Code]], allFYsTable[year2], BS$3)=0, NotFound, SUMIFS(allFYsTable[RevisedBudget], allFYsTable[Code], SummaryTable[[#This Row],[Code]], allFYsTable[year2], BS$3))</f>
        <v>#N/A</v>
      </c>
      <c r="BW140" s="61" t="e">
        <f>IF(COUNTIFS(allFYsTable[Code], SummaryTable[[#This Row],[Code]], allFYsTable[year2], BS$3)=0, NotFound, SUMIFS(allFYsTable[Actual], allFYsTable[Code], SummaryTable[[#This Row],[Code]], allFYsTable[year2], BS$3))</f>
        <v>#N/A</v>
      </c>
      <c r="BX140" s="61" t="e">
        <f>IF(COUNTIFS(allFYsTable[Code], SummaryTable[[#This Row],[Code]], allFYsTable[year2], BS$3)=0, NotFound, SUMIFS(allFYsTable[DiffAmount], allFYsTable[Code], SummaryTable[[#This Row],[Code]], allFYsTable[year2], BS$3))</f>
        <v>#N/A</v>
      </c>
      <c r="BY140" s="63" t="e">
        <f>IF(SummaryTable[[#This Row],[OriginalBudget19]]=0, IF(SummaryTable[[#This Row],[DiffAmount19]]=0, ZeroBudgetNoSpending, ZeroBudgetWithSpending), SummaryTable[[#This Row],[DiffAmount19]]/SummaryTable[[#This Row],[OriginalBudget19]])</f>
        <v>#N/A</v>
      </c>
      <c r="BZ140" s="62" t="e">
        <f>IF(COUNTIFS(allFYsTable[Code], SummaryTable[[#This Row],[Code]], allFYsTable[year2], BZ$3)=0, NotFound, SUMIFS(allFYsTable[OriginalBudget], allFYsTable[Code], SummaryTable[[#This Row],[Code]], allFYsTable[year2], BZ$3))</f>
        <v>#N/A</v>
      </c>
      <c r="CA140" s="61" t="e">
        <f>SummaryTable[[#This Row],[OriginalBudget18]]-SummaryTable[[#This Row],[OriginalBudget17]]</f>
        <v>#N/A</v>
      </c>
      <c r="CB140" s="54" t="e">
        <f>SummaryTable[[#This Row],[BudgetIncreaseAmount18]]/SummaryTable[[#This Row],[OriginalBudget17]]</f>
        <v>#N/A</v>
      </c>
      <c r="CC140" s="61" t="e">
        <f>IF(COUNTIFS(allFYsTable[Code], SummaryTable[[#This Row],[Code]], allFYsTable[year2], BZ$3)=0, NotFound, SUMIFS(allFYsTable[RevisedBudget], allFYsTable[Code], SummaryTable[[#This Row],[Code]], allFYsTable[year2], BZ$3))</f>
        <v>#N/A</v>
      </c>
      <c r="CD140" s="61" t="e">
        <f>IF(COUNTIFS(allFYsTable[Code], SummaryTable[[#This Row],[Code]], allFYsTable[year2], BZ$3)=0, NotFound, SUMIFS(allFYsTable[Actual], allFYsTable[Code], SummaryTable[[#This Row],[Code]], allFYsTable[year2], BZ$3))</f>
        <v>#N/A</v>
      </c>
      <c r="CE140" s="61" t="e">
        <f>IF(COUNTIFS(allFYsTable[Code], SummaryTable[[#This Row],[Code]], allFYsTable[year2], BZ$3)=0, NotFound, SUMIFS(allFYsTable[DiffAmount], allFYsTable[Code], SummaryTable[[#This Row],[Code]], allFYsTable[year2], BZ$3))</f>
        <v>#N/A</v>
      </c>
      <c r="CF140" s="63" t="e">
        <f>IF(SummaryTable[[#This Row],[OriginalBudget18]]=0, IF(SummaryTable[[#This Row],[DiffAmount18]]=0, ZeroBudgetNoSpending, ZeroBudgetWithSpending), SummaryTable[[#This Row],[DiffAmount18]]/SummaryTable[[#This Row],[OriginalBudget18]])</f>
        <v>#N/A</v>
      </c>
      <c r="CG140" s="62" t="e">
        <f>IF(COUNTIFS(allFYsTable[Code], SummaryTable[[#This Row],[Code]], allFYsTable[year2], CG$3)=0, NotFound, SUMIFS(allFYsTable[OriginalBudget], allFYsTable[Code], SummaryTable[[#This Row],[Code]], allFYsTable[year2], CG$3))</f>
        <v>#N/A</v>
      </c>
      <c r="CH140" s="61" t="e">
        <f>SummaryTable[[#This Row],[OriginalBudget17]]-SummaryTable[[#This Row],[OriginalBudget16]]</f>
        <v>#N/A</v>
      </c>
      <c r="CI140" s="54" t="e">
        <f>SummaryTable[[#This Row],[BudgetIncreaseAmount17]]/SummaryTable[[#This Row],[OriginalBudget16]]</f>
        <v>#N/A</v>
      </c>
      <c r="CJ140" s="61" t="e">
        <f>IF(COUNTIFS(allFYsTable[Code], SummaryTable[[#This Row],[Code]], allFYsTable[year2], CG$3)=0, NotFound, SUMIFS(allFYsTable[RevisedBudget], allFYsTable[Code], SummaryTable[[#This Row],[Code]], allFYsTable[year2], CG$3))</f>
        <v>#N/A</v>
      </c>
      <c r="CK140" s="61" t="e">
        <f>IF(COUNTIFS(allFYsTable[Code], SummaryTable[[#This Row],[Code]], allFYsTable[year2], CG$3)=0, NotFound, SUMIFS(allFYsTable[Actual], allFYsTable[Code], SummaryTable[[#This Row],[Code]], allFYsTable[year2], CG$3))</f>
        <v>#N/A</v>
      </c>
      <c r="CL140" s="61" t="e">
        <f>IF(COUNTIFS(allFYsTable[Code], SummaryTable[[#This Row],[Code]], allFYsTable[year2], CG$3)=0, NotFound, SUMIFS(allFYsTable[DiffAmount], allFYsTable[Code], SummaryTable[[#This Row],[Code]], allFYsTable[year2], CG$3))</f>
        <v>#N/A</v>
      </c>
      <c r="CM140" s="63" t="e">
        <f>IF(SummaryTable[[#This Row],[OriginalBudget17]]=0, IF(SummaryTable[[#This Row],[DiffAmount17]]=0, ZeroBudgetNoSpending, ZeroBudgetWithSpending), SummaryTable[[#This Row],[DiffAmount17]]/SummaryTable[[#This Row],[OriginalBudget17]])</f>
        <v>#N/A</v>
      </c>
      <c r="CN140" s="62" t="e">
        <f>IF(COUNTIFS(allFYsTable[Code], SummaryTable[[#This Row],[Code]], allFYsTable[year2], CN$3)=0, NotFound, SUMIFS(allFYsTable[OriginalBudget], allFYsTable[Code], SummaryTable[[#This Row],[Code]], allFYsTable[year2], CN$3))</f>
        <v>#N/A</v>
      </c>
      <c r="CO140" s="61" t="e">
        <f>SummaryTable[[#This Row],[OriginalBudget16]]-SummaryTable[[#This Row],[OriginalBudget15]]</f>
        <v>#N/A</v>
      </c>
      <c r="CP140" s="54" t="e">
        <f>SummaryTable[[#This Row],[BudgetIncreaseAmount16]]/SummaryTable[[#This Row],[OriginalBudget15]]</f>
        <v>#N/A</v>
      </c>
      <c r="CQ140" s="61" t="e">
        <f>IF(COUNTIFS(allFYsTable[Code], SummaryTable[[#This Row],[Code]], allFYsTable[year2], CN$3)=0, NotFound, SUMIFS(allFYsTable[RevisedBudget], allFYsTable[Code], SummaryTable[[#This Row],[Code]], allFYsTable[year2], CN$3))</f>
        <v>#N/A</v>
      </c>
      <c r="CR140" s="61" t="e">
        <f>IF(COUNTIFS(allFYsTable[Code], SummaryTable[[#This Row],[Code]], allFYsTable[year2], CN$3)=0, NotFound, SUMIFS(allFYsTable[Actual], allFYsTable[Code], SummaryTable[[#This Row],[Code]], allFYsTable[year2], CN$3))</f>
        <v>#N/A</v>
      </c>
      <c r="CS140" s="61" t="e">
        <f>IF(COUNTIFS(allFYsTable[Code], SummaryTable[[#This Row],[Code]], allFYsTable[year2], CN$3)=0, NotFound, SUMIFS(allFYsTable[DiffAmount], allFYsTable[Code], SummaryTable[[#This Row],[Code]], allFYsTable[year2], CN$3))</f>
        <v>#N/A</v>
      </c>
      <c r="CT140" s="63" t="e">
        <f>IF(SummaryTable[[#This Row],[OriginalBudget16]]=0, IF(SummaryTable[[#This Row],[DiffAmount16]]=0, ZeroBudgetNoSpending, ZeroBudgetWithSpending), SummaryTable[[#This Row],[DiffAmount16]]/SummaryTable[[#This Row],[OriginalBudget16]])</f>
        <v>#N/A</v>
      </c>
      <c r="CU140" s="62" t="e">
        <f>IF(COUNTIFS(allFYsTable[Code], SummaryTable[[#This Row],[Code]], allFYsTable[year2], CU$3)=0, NotFound, SUMIFS(allFYsTable[OriginalBudget], allFYsTable[Code], SummaryTable[[#This Row],[Code]], allFYsTable[year2], CU$3))</f>
        <v>#N/A</v>
      </c>
      <c r="CV140" s="61" t="e">
        <f>SummaryTable[[#This Row],[OriginalBudget15]]-SummaryTable[[#This Row],[OriginalBudget14]]</f>
        <v>#N/A</v>
      </c>
      <c r="CW140" s="54" t="e">
        <f>SummaryTable[[#This Row],[BudgetIncreaseAmount15]]/SummaryTable[[#This Row],[OriginalBudget14]]</f>
        <v>#N/A</v>
      </c>
      <c r="CX140" s="61" t="e">
        <f>IF(COUNTIFS(allFYsTable[Code], SummaryTable[[#This Row],[Code]], allFYsTable[year2], CU$3)=0, NotFound, SUMIFS(allFYsTable[RevisedBudget], allFYsTable[Code], SummaryTable[[#This Row],[Code]], allFYsTable[year2], CU$3))</f>
        <v>#N/A</v>
      </c>
      <c r="CY140" s="61" t="e">
        <f>IF(COUNTIFS(allFYsTable[Code], SummaryTable[[#This Row],[Code]], allFYsTable[year2], CU$3)=0, NotFound, SUMIFS(allFYsTable[Actual], allFYsTable[Code], SummaryTable[[#This Row],[Code]], allFYsTable[year2], CU$3))</f>
        <v>#N/A</v>
      </c>
      <c r="CZ140" s="61" t="e">
        <f>IF(COUNTIFS(allFYsTable[Code], SummaryTable[[#This Row],[Code]], allFYsTable[year2], CU$3)=0, NotFound, SUMIFS(allFYsTable[DiffAmount], allFYsTable[Code], SummaryTable[[#This Row],[Code]], allFYsTable[year2], CU$3))</f>
        <v>#N/A</v>
      </c>
      <c r="DA140" s="63" t="e">
        <f>IF(SummaryTable[[#This Row],[OriginalBudget15]]=0, IF(SummaryTable[[#This Row],[DiffAmount15]]=0, ZeroBudgetNoSpending, ZeroBudgetWithSpending), SummaryTable[[#This Row],[DiffAmount15]]/SummaryTable[[#This Row],[OriginalBudget15]])</f>
        <v>#N/A</v>
      </c>
      <c r="DB140" s="62" t="e">
        <f>IF(COUNTIFS(allFYsTable[Code], SummaryTable[[#This Row],[Code]], allFYsTable[year2], DB$3)=0, NotFound, SUMIFS(allFYsTable[OriginalBudget], allFYsTable[Code], SummaryTable[[#This Row],[Code]], allFYsTable[year2], DB$3))</f>
        <v>#N/A</v>
      </c>
      <c r="DC140" s="61" t="e">
        <f>SummaryTable[[#This Row],[OriginalBudget14]]-SummaryTable[[#This Row],[OriginalBudget13]]</f>
        <v>#N/A</v>
      </c>
      <c r="DD140" s="54" t="e">
        <f>SummaryTable[[#This Row],[BudgetIncreaseAmount14]]/SummaryTable[[#This Row],[OriginalBudget13]]</f>
        <v>#N/A</v>
      </c>
      <c r="DE140" s="61" t="e">
        <f>IF(COUNTIFS(allFYsTable[Code], SummaryTable[[#This Row],[Code]], allFYsTable[year2], DB$3)=0, NotFound, SUMIFS(allFYsTable[RevisedBudget], allFYsTable[Code], SummaryTable[[#This Row],[Code]], allFYsTable[year2], DB$3))</f>
        <v>#N/A</v>
      </c>
      <c r="DF140" s="61" t="e">
        <f>IF(COUNTIFS(allFYsTable[Code], SummaryTable[[#This Row],[Code]], allFYsTable[year2], DB$3)=0, NotFound, SUMIFS(allFYsTable[Actual], allFYsTable[Code], SummaryTable[[#This Row],[Code]], allFYsTable[year2], DB$3))</f>
        <v>#N/A</v>
      </c>
      <c r="DG140" s="61" t="e">
        <f>IF(COUNTIFS(allFYsTable[Code], SummaryTable[[#This Row],[Code]], allFYsTable[year2], DB$3)=0, NotFound, SUMIFS(allFYsTable[DiffAmount], allFYsTable[Code], SummaryTable[[#This Row],[Code]], allFYsTable[year2], DB$3))</f>
        <v>#N/A</v>
      </c>
      <c r="DH140" s="63" t="e">
        <f>IF(SummaryTable[[#This Row],[OriginalBudget14]]=0, IF(SummaryTable[[#This Row],[DiffAmount14]]=0, ZeroBudgetNoSpending, ZeroBudgetWithSpending), SummaryTable[[#This Row],[DiffAmount14]]/SummaryTable[[#This Row],[OriginalBudget14]])</f>
        <v>#N/A</v>
      </c>
      <c r="DI140" s="62" t="e">
        <f>IF(COUNTIFS(allFYsTable[Code], SummaryTable[[#This Row],[Code]], allFYsTable[year2], DI$3)=0, NotFound, SUMIFS(allFYsTable[OriginalBudget], allFYsTable[Code], SummaryTable[[#This Row],[Code]], allFYsTable[year2], DI$3))</f>
        <v>#N/A</v>
      </c>
      <c r="DJ140" s="61" t="e">
        <f>SummaryTable[[#This Row],[OriginalBudget13]]-SummaryTable[[#This Row],[OriginalBudget12]]</f>
        <v>#N/A</v>
      </c>
      <c r="DK140" s="54" t="e">
        <f>SummaryTable[[#This Row],[BudgetIncreaseAmount13]]/SummaryTable[[#This Row],[OriginalBudget12]]</f>
        <v>#N/A</v>
      </c>
      <c r="DL140" s="61" t="e">
        <f>IF(COUNTIFS(allFYsTable[Code], SummaryTable[[#This Row],[Code]], allFYsTable[year2], DI$3)=0, NotFound, SUMIFS(allFYsTable[RevisedBudget], allFYsTable[Code], SummaryTable[[#This Row],[Code]], allFYsTable[year2], DI$3))</f>
        <v>#N/A</v>
      </c>
      <c r="DM140" s="61" t="e">
        <f>IF(COUNTIFS(allFYsTable[Code], SummaryTable[[#This Row],[Code]], allFYsTable[year2], DI$3)=0, NotFound, SUMIFS(allFYsTable[Actual], allFYsTable[Code], SummaryTable[[#This Row],[Code]], allFYsTable[year2], DI$3))</f>
        <v>#N/A</v>
      </c>
      <c r="DN140" s="61" t="e">
        <f>IF(COUNTIFS(allFYsTable[Code], SummaryTable[[#This Row],[Code]], allFYsTable[year2], DI$3)=0, NotFound, SUMIFS(allFYsTable[DiffAmount], allFYsTable[Code], SummaryTable[[#This Row],[Code]], allFYsTable[year2], DI$3))</f>
        <v>#N/A</v>
      </c>
      <c r="DO140" s="63" t="e">
        <f>IF(SummaryTable[[#This Row],[OriginalBudget13]]=0, IF(SummaryTable[[#This Row],[DiffAmount13]]=0, ZeroBudgetNoSpending, ZeroBudgetWithSpending), SummaryTable[[#This Row],[DiffAmount13]]/SummaryTable[[#This Row],[OriginalBudget13]])</f>
        <v>#N/A</v>
      </c>
      <c r="DP140" s="62" t="e">
        <f>IF(COUNTIFS(allFYsTable[Code], SummaryTable[[#This Row],[Code]], allFYsTable[year2], DP$3)=0, NotFound, SUMIFS(allFYsTable[OriginalBudget], allFYsTable[Code], SummaryTable[[#This Row],[Code]], allFYsTable[year2], DP$3))</f>
        <v>#N/A</v>
      </c>
      <c r="DQ140" s="61" t="e">
        <f>SummaryTable[[#This Row],[OriginalBudget12]]-SummaryTable[[#This Row],[OriginalBudget11]]</f>
        <v>#N/A</v>
      </c>
      <c r="DR140" s="54" t="e">
        <f>SummaryTable[[#This Row],[BudgetIncreaseAmount12]]/SummaryTable[[#This Row],[OriginalBudget11]]</f>
        <v>#N/A</v>
      </c>
      <c r="DS140" s="61" t="e">
        <f>IF(COUNTIFS(allFYsTable[Code], SummaryTable[[#This Row],[Code]], allFYsTable[year2], DP$3)=0, NotFound, SUMIFS(allFYsTable[RevisedBudget], allFYsTable[Code], SummaryTable[[#This Row],[Code]], allFYsTable[year2], DP$3))</f>
        <v>#N/A</v>
      </c>
      <c r="DT140" s="61" t="e">
        <f>IF(COUNTIFS(allFYsTable[Code], SummaryTable[[#This Row],[Code]], allFYsTable[year2], DP$3)=0, NotFound, SUMIFS(allFYsTable[Actual], allFYsTable[Code], SummaryTable[[#This Row],[Code]], allFYsTable[year2], DP$3))</f>
        <v>#N/A</v>
      </c>
      <c r="DU140" s="61" t="e">
        <f>IF(COUNTIFS(allFYsTable[Code], SummaryTable[[#This Row],[Code]], allFYsTable[year2], DP$3)=0, NotFound, SUMIFS(allFYsTable[DiffAmount], allFYsTable[Code], SummaryTable[[#This Row],[Code]], allFYsTable[year2], DP$3))</f>
        <v>#N/A</v>
      </c>
      <c r="DV140" s="63" t="e">
        <f>IF(SummaryTable[[#This Row],[OriginalBudget12]]=0, IF(SummaryTable[[#This Row],[DiffAmount12]]=0, ZeroBudgetNoSpending, ZeroBudgetWithSpending), SummaryTable[[#This Row],[DiffAmount12]]/SummaryTable[[#This Row],[OriginalBudget12]])</f>
        <v>#N/A</v>
      </c>
      <c r="DW140" s="62" t="e">
        <f>IF(COUNTIFS(allFYsTable[Code], SummaryTable[[#This Row],[Code]], allFYsTable[year2], DW$3)=0, NotFound, SUMIFS(allFYsTable[OriginalBudget], allFYsTable[Code], SummaryTable[[#This Row],[Code]], allFYsTable[year2], DW$3))</f>
        <v>#N/A</v>
      </c>
      <c r="DX140" s="61" t="e">
        <f>SummaryTable[[#This Row],[OriginalBudget11]]-SummaryTable[[#This Row],[OriginalBudget10]]</f>
        <v>#N/A</v>
      </c>
      <c r="DY140" s="54" t="e">
        <f>SummaryTable[[#This Row],[BudgetIncreaseAmount11]]/SummaryTable[[#This Row],[OriginalBudget10]]</f>
        <v>#N/A</v>
      </c>
      <c r="DZ140" s="61" t="e">
        <f>IF(COUNTIFS(allFYsTable[Code], SummaryTable[[#This Row],[Code]], allFYsTable[year2], DW$3)=0, NotFound, SUMIFS(allFYsTable[RevisedBudget], allFYsTable[Code], SummaryTable[[#This Row],[Code]], allFYsTable[year2], DW$3))</f>
        <v>#N/A</v>
      </c>
      <c r="EA140" s="61" t="e">
        <f>IF(COUNTIFS(allFYsTable[Code], SummaryTable[[#This Row],[Code]], allFYsTable[year2], DW$3)=0, NotFound, SUMIFS(allFYsTable[Actual], allFYsTable[Code], SummaryTable[[#This Row],[Code]], allFYsTable[year2], DW$3))</f>
        <v>#N/A</v>
      </c>
      <c r="EB140" s="61" t="e">
        <f>IF(COUNTIFS(allFYsTable[Code], SummaryTable[[#This Row],[Code]], allFYsTable[year2], DW$3)=0, NotFound, SUMIFS(allFYsTable[DiffAmount], allFYsTable[Code], SummaryTable[[#This Row],[Code]], allFYsTable[year2], DW$3))</f>
        <v>#N/A</v>
      </c>
      <c r="EC140" s="63" t="e">
        <f>IF(SummaryTable[[#This Row],[OriginalBudget11]]=0, IF(SummaryTable[[#This Row],[DiffAmount11]]=0, ZeroBudgetNoSpending, ZeroBudgetWithSpending), SummaryTable[[#This Row],[DiffAmount11]]/SummaryTable[[#This Row],[OriginalBudget11]])</f>
        <v>#N/A</v>
      </c>
      <c r="ED140" s="62" t="e">
        <f>IF(COUNTIFS(allFYsTable[Code], SummaryTable[[#This Row],[Code]], allFYsTable[year2], ED$3)=0, NotFound, SUMIFS(allFYsTable[OriginalBudget], allFYsTable[Code], SummaryTable[[#This Row],[Code]], allFYsTable[year2], ED$3))</f>
        <v>#N/A</v>
      </c>
      <c r="EE140" s="61" t="e">
        <f>SummaryTable[[#This Row],[OriginalBudget10]]-SummaryTable[[#This Row],[OriginalBudget09]]</f>
        <v>#N/A</v>
      </c>
      <c r="EF140" s="54" t="e">
        <f>SummaryTable[[#This Row],[BudgetIncreaseAmount10]]/SummaryTable[[#This Row],[OriginalBudget09]]</f>
        <v>#N/A</v>
      </c>
      <c r="EG140" s="61" t="e">
        <f>IF(COUNTIFS(allFYsTable[Code], SummaryTable[[#This Row],[Code]], allFYsTable[year2], ED$3)=0, NotFound, SUMIFS(allFYsTable[RevisedBudget], allFYsTable[Code], SummaryTable[[#This Row],[Code]], allFYsTable[year2], ED$3))</f>
        <v>#N/A</v>
      </c>
      <c r="EH140" s="61" t="e">
        <f>IF(COUNTIFS(allFYsTable[Code], SummaryTable[[#This Row],[Code]], allFYsTable[year2], ED$3)=0, NotFound, SUMIFS(allFYsTable[Actual], allFYsTable[Code], SummaryTable[[#This Row],[Code]], allFYsTable[year2], ED$3))</f>
        <v>#N/A</v>
      </c>
      <c r="EI140" s="61" t="e">
        <f>IF(COUNTIFS(allFYsTable[Code], SummaryTable[[#This Row],[Code]], allFYsTable[year2], ED$3)=0, NotFound, SUMIFS(allFYsTable[DiffAmount], allFYsTable[Code], SummaryTable[[#This Row],[Code]], allFYsTable[year2], ED$3))</f>
        <v>#N/A</v>
      </c>
      <c r="EJ140" s="63" t="e">
        <f>IF(SummaryTable[[#This Row],[OriginalBudget10]]=0, IF(SummaryTable[[#This Row],[DiffAmount10]]=0, ZeroBudgetNoSpending, ZeroBudgetWithSpending), SummaryTable[[#This Row],[DiffAmount10]]/SummaryTable[[#This Row],[OriginalBudget10]])</f>
        <v>#N/A</v>
      </c>
      <c r="EK140" s="62" t="e">
        <f>IF(COUNTIFS(allFYsTable[Code], SummaryTable[[#This Row],[Code]], allFYsTable[year2], EK$3)=0, NotFound, SUMIFS(allFYsTable[OriginalBudget], allFYsTable[Code], SummaryTable[[#This Row],[Code]], allFYsTable[year2], EK$3))</f>
        <v>#N/A</v>
      </c>
      <c r="EL140" s="61" t="e">
        <f>SummaryTable[[#This Row],[OriginalBudget09]]-SummaryTable[[#This Row],[OriginalBudget08]]</f>
        <v>#N/A</v>
      </c>
      <c r="EM140" s="54" t="e">
        <f>SummaryTable[[#This Row],[BudgetIncreaseAmount09]]/SummaryTable[[#This Row],[OriginalBudget08]]</f>
        <v>#N/A</v>
      </c>
      <c r="EN140" s="61" t="e">
        <f>IF(COUNTIFS(allFYsTable[Code], SummaryTable[[#This Row],[Code]], allFYsTable[year2], EK$3)=0, NotFound, SUMIFS(allFYsTable[RevisedBudget], allFYsTable[Code], SummaryTable[[#This Row],[Code]], allFYsTable[year2], EK$3))</f>
        <v>#N/A</v>
      </c>
      <c r="EO140" s="61" t="e">
        <f>IF(COUNTIFS(allFYsTable[Code], SummaryTable[[#This Row],[Code]], allFYsTable[year2], EK$3)=0, NotFound, SUMIFS(allFYsTable[Actual], allFYsTable[Code], SummaryTable[[#This Row],[Code]], allFYsTable[year2], EK$3))</f>
        <v>#N/A</v>
      </c>
      <c r="EP140" s="61" t="e">
        <f>IF(COUNTIFS(allFYsTable[Code], SummaryTable[[#This Row],[Code]], allFYsTable[year2], EK$3)=0, NotFound, SUMIFS(allFYsTable[DiffAmount], allFYsTable[Code], SummaryTable[[#This Row],[Code]], allFYsTable[year2], EK$3))</f>
        <v>#N/A</v>
      </c>
      <c r="EQ140" s="63" t="e">
        <f>IF(SummaryTable[[#This Row],[OriginalBudget09]]=0, IF(SummaryTable[[#This Row],[DiffAmount09]]=0, ZeroBudgetNoSpending, ZeroBudgetWithSpending), SummaryTable[[#This Row],[DiffAmount09]]/SummaryTable[[#This Row],[OriginalBudget09]])</f>
        <v>#N/A</v>
      </c>
      <c r="ER140" s="62" t="e">
        <f>IF(COUNTIFS(allFYsTable[Code], SummaryTable[[#This Row],[Code]], allFYsTable[year2], ER$3)=0, NotFound, SUMIFS(allFYsTable[OriginalBudget], allFYsTable[Code], SummaryTable[[#This Row],[Code]], allFYsTable[year2], ER$3))</f>
        <v>#N/A</v>
      </c>
      <c r="ES140" s="61" t="e">
        <f>SummaryTable[[#This Row],[OriginalBudget08]]-SummaryTable[[#This Row],[OriginalBudget07]]</f>
        <v>#N/A</v>
      </c>
      <c r="ET140" s="54" t="e">
        <f>SummaryTable[[#This Row],[BudgetIncreaseAmount08]]/SummaryTable[[#This Row],[OriginalBudget07]]</f>
        <v>#N/A</v>
      </c>
      <c r="EU140" s="61" t="e">
        <f>IF(COUNTIFS(allFYsTable[Code], SummaryTable[[#This Row],[Code]], allFYsTable[year2], ER$3)=0, NotFound, SUMIFS(allFYsTable[RevisedBudget], allFYsTable[Code], SummaryTable[[#This Row],[Code]], allFYsTable[year2], ER$3))</f>
        <v>#N/A</v>
      </c>
      <c r="EV140" s="61" t="e">
        <f>IF(COUNTIFS(allFYsTable[Code], SummaryTable[[#This Row],[Code]], allFYsTable[year2], ER$3)=0, NotFound, SUMIFS(allFYsTable[Actual], allFYsTable[Code], SummaryTable[[#This Row],[Code]], allFYsTable[year2], ER$3))</f>
        <v>#N/A</v>
      </c>
      <c r="EW140" s="61" t="e">
        <f>IF(COUNTIFS(allFYsTable[Code], SummaryTable[[#This Row],[Code]], allFYsTable[year2], ER$3)=0, NotFound, SUMIFS(allFYsTable[DiffAmount], allFYsTable[Code], SummaryTable[[#This Row],[Code]], allFYsTable[year2], ER$3))</f>
        <v>#N/A</v>
      </c>
      <c r="EX140" s="63" t="e">
        <f>IF(SummaryTable[[#This Row],[OriginalBudget08]]=0, IF(SummaryTable[[#This Row],[DiffAmount08]]=0, ZeroBudgetNoSpending, ZeroBudgetWithSpending), SummaryTable[[#This Row],[DiffAmount08]]/SummaryTable[[#This Row],[OriginalBudget08]])</f>
        <v>#N/A</v>
      </c>
      <c r="EY140" s="62" t="e">
        <f>IF(COUNTIFS(allFYsTable[Code], SummaryTable[[#This Row],[Code]], allFYsTable[year2], EY$3)=0, NotFound, SUMIFS(allFYsTable[OriginalBudget], allFYsTable[Code], SummaryTable[[#This Row],[Code]], allFYsTable[year2], EY$3))</f>
        <v>#N/A</v>
      </c>
      <c r="EZ140" s="61" t="e">
        <f>SummaryTable[[#This Row],[OriginalBudget07]]-SummaryTable[[#This Row],[OriginalBudget06]]</f>
        <v>#N/A</v>
      </c>
      <c r="FA140" s="54" t="e">
        <f>SummaryTable[[#This Row],[BudgetIncreaseAmount07]]/SummaryTable[[#This Row],[OriginalBudget06]]</f>
        <v>#N/A</v>
      </c>
      <c r="FB140" s="61" t="e">
        <f>IF(COUNTIFS(allFYsTable[Code], SummaryTable[[#This Row],[Code]], allFYsTable[year2], EY$3)=0, NotFound, SUMIFS(allFYsTable[RevisedBudget], allFYsTable[Code], SummaryTable[[#This Row],[Code]], allFYsTable[year2], EY$3))</f>
        <v>#N/A</v>
      </c>
      <c r="FC140" s="61" t="e">
        <f>IF(COUNTIFS(allFYsTable[Code], SummaryTable[[#This Row],[Code]], allFYsTable[year2], EY$3)=0, NotFound, SUMIFS(allFYsTable[Actual], allFYsTable[Code], SummaryTable[[#This Row],[Code]], allFYsTable[year2], EY$3))</f>
        <v>#N/A</v>
      </c>
      <c r="FD140" s="61" t="e">
        <f>IF(COUNTIFS(allFYsTable[Code], SummaryTable[[#This Row],[Code]], allFYsTable[year2], EY$3)=0, NotFound, SUMIFS(allFYsTable[DiffAmount], allFYsTable[Code], SummaryTable[[#This Row],[Code]], allFYsTable[year2], EY$3))</f>
        <v>#N/A</v>
      </c>
      <c r="FE140" s="63" t="e">
        <f>IF(SummaryTable[[#This Row],[OriginalBudget07]]=0, IF(SummaryTable[[#This Row],[DiffAmount07]]=0, ZeroBudgetNoSpending, ZeroBudgetWithSpending), SummaryTable[[#This Row],[DiffAmount07]]/SummaryTable[[#This Row],[OriginalBudget07]])</f>
        <v>#N/A</v>
      </c>
      <c r="FF140" s="62" t="e">
        <f>IF(COUNTIFS(allFYsTable[Code], SummaryTable[[#This Row],[Code]], allFYsTable[year2], FF$3)=0, NotFound, SUMIFS(allFYsTable[OriginalBudget], allFYsTable[Code], SummaryTable[[#This Row],[Code]], allFYsTable[year2], FF$3))</f>
        <v>#N/A</v>
      </c>
      <c r="FI140" s="61" t="e">
        <f>IF(COUNTIFS(allFYsTable[Code], SummaryTable[[#This Row],[Code]], allFYsTable[year2], FF$3)=0, NotFound, SUMIFS(allFYsTable[RevisedBudget], allFYsTable[Code], SummaryTable[[#This Row],[Code]], allFYsTable[year2], FF$3))</f>
        <v>#N/A</v>
      </c>
      <c r="FJ140" s="61" t="e">
        <f>IF(COUNTIFS(allFYsTable[Code], SummaryTable[[#This Row],[Code]], allFYsTable[year2], FF$3)=0, NotFound, SUMIFS(allFYsTable[Actual], allFYsTable[Code], SummaryTable[[#This Row],[Code]], allFYsTable[year2], FF$3))</f>
        <v>#N/A</v>
      </c>
      <c r="FK140" s="61" t="e">
        <f>IF(COUNTIFS(allFYsTable[Code], SummaryTable[[#This Row],[Code]], allFYsTable[year2], FF$3)=0, NotFound, SUMIFS(allFYsTable[DiffAmount], allFYsTable[Code], SummaryTable[[#This Row],[Code]], allFYsTable[year2], FF$3))</f>
        <v>#N/A</v>
      </c>
      <c r="FL140" s="63" t="e">
        <f>IF(SummaryTable[[#This Row],[OriginalBudget06]]=0, IF(SummaryTable[[#This Row],[DiffAmount06]]=0, ZeroBudgetNoSpending, ZeroBudgetWithSpending), SummaryTable[[#This Row],[DiffAmount06]]/SummaryTable[[#This Row],[OriginalBudget06]])</f>
        <v>#N/A</v>
      </c>
    </row>
    <row r="141" spans="1:168" x14ac:dyDescent="0.45">
      <c r="A141" t="s">
        <v>871</v>
      </c>
      <c r="B141">
        <f>_xlfn.MAXIFS(allFYsTable[year2], allFYsTable[Code], SummaryTable[[#This Row],[Code]])</f>
        <v>2022</v>
      </c>
      <c r="C141" t="str">
        <f>_xlfn.XLOOKUP(SummaryTable[[#This Row],[Code]], NameCodingTable[Code], NameCodingTable[Most Recent Category per allFYs])</f>
        <v>Public education system</v>
      </c>
      <c r="D141" t="str">
        <f>_xlfn.XLOOKUP(SummaryTable[[#This Row],[Code]], NameCodingTable[Code], NameCodingTable[Unit Display Name])</f>
        <v>Special education commission</v>
      </c>
      <c r="E141" t="str">
        <f>_xlfn.XLOOKUP(SummaryTable[[#This Row],[Code]], NameCodingTable[Code], NameCodingTable[Type])</f>
        <v>untyped</v>
      </c>
      <c r="F14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4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41" s="54">
        <f>SummaryTable[[#This Row],['# Over]]/SummaryTable[[#This Row],[Count]]</f>
        <v>0</v>
      </c>
      <c r="I14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v>
      </c>
      <c r="J141" s="54">
        <f>SummaryTable[[#This Row],['# Under]]/SummaryTable[[#This Row],[Count]]</f>
        <v>1</v>
      </c>
      <c r="K14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41" s="54">
        <f>SummaryTable[[#This Row],['# Equal]]/SummaryTable[[#This Row],[Count]]</f>
        <v>0</v>
      </c>
      <c r="M141" s="61">
        <f>SUMIFS(allFYsTable[OriginalBudget],allFYsTable[Code],SummaryTable[[#This Row],[Code]])/SummaryTable[[#This Row],[Count]]</f>
        <v>107782</v>
      </c>
      <c r="N141" s="61">
        <f>SUMIFS(allFYsTable[Actual],allFYsTable[Code],SummaryTable[[#This Row],[Code]])/SummaryTable[[#This Row],[Count]]</f>
        <v>101913</v>
      </c>
      <c r="O141" s="61">
        <f>SummaryTable[[#This Row],[AvgActAmt]]-SummaryTable[[#This Row],[AvgBudAmt]]</f>
        <v>-5869</v>
      </c>
      <c r="P141" s="54">
        <f>IF(SummaryTable[[#This Row],[AvgBudAmt]]=0, IF(SummaryTable[[#This Row],[AvgDiff'#]]=0, 0, NamedFields!$C$3), SummaryTable[[#This Row],[AvgDiff'#]]/SummaryTable[[#This Row],[AvgBudAmt]])</f>
        <v>-5.4452505984301645E-2</v>
      </c>
      <c r="Q141" s="61">
        <f>IFERROR(SUMIFS(allFYsTable[OriginalBudget],allFYsTable[Code],SummaryTable[[#This Row],[Code]],allFYsTable[DiffAmount], "&gt;0")/SummaryTable[[#This Row],['# Over]], 0)</f>
        <v>0</v>
      </c>
      <c r="R141" s="61">
        <f>IFERROR(SUMIFS(allFYsTable[Actual],allFYsTable[Code],SummaryTable[[#This Row],[Code]],allFYsTable[DiffAmount], "&gt;0")/SummaryTable[[#This Row],['# Over]], 0)</f>
        <v>0</v>
      </c>
      <c r="S141" s="61">
        <f>SummaryTable[[#This Row],[OverAvgAct]]-SummaryTable[[#This Row],[OverAvgBud]]</f>
        <v>0</v>
      </c>
      <c r="T141" s="54">
        <f>IF(SummaryTable[[#This Row],[OverAvgBud]]=0, IF(SummaryTable[[#This Row],[OverAvgDiff'#]]=0, ZeroBudgetNoSpending, ZeroBudgetWithSpending), SummaryTable[[#This Row],[OverAvgDiff'#]]/SummaryTable[[#This Row],[OverAvgBud]])</f>
        <v>0</v>
      </c>
      <c r="U141" s="61">
        <f>IFERROR(SUMIFS(allFYsTable[OriginalBudget],allFYsTable[Code],SummaryTable[[#This Row],[Code]],allFYsTable[DiffAmount], "&lt;0")/SummaryTable[[#This Row],['# Under]], 0)</f>
        <v>107782</v>
      </c>
      <c r="V141" s="61">
        <f>IFERROR( SUMIFS(allFYsTable[Actual],allFYsTable[Code],SummaryTable[[#This Row],[Code]],allFYsTable[DiffAmount], "&lt;0")/SummaryTable[[#This Row],['# Under]], 0)</f>
        <v>101913</v>
      </c>
      <c r="W141" s="61">
        <f>SummaryTable[[#This Row],[UnderAvgAct]]-SummaryTable[[#This Row],[UnderAvgBud]]</f>
        <v>-5869</v>
      </c>
      <c r="X141" s="54">
        <f>IF(SummaryTable[[#This Row],[UnderAvgBud]]=0, IF(SummaryTable[[#This Row],[UnderAvgDiff'#]]=0, ZeroBudgetNoSpending, NamedFields!$C$3), SummaryTable[[#This Row],[UnderAvgDiff'#]]/SummaryTable[[#This Row],[UnderAvgBud]])</f>
        <v>-5.4452505984301645E-2</v>
      </c>
      <c r="Y14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4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1" s="54">
        <f>IF(SummaryTable[[#This Row],[IncreaseYears]]=0, ZeroBudgetNoSpending, SummaryTable[[#This Row],[OSinIncreaseYear'#]]/SummaryTable[[#This Row],[IncreaseYears]])</f>
        <v>0</v>
      </c>
      <c r="AB141" s="58" t="str">
        <f>SummaryTable[[#This Row],[Code]]</f>
        <v>XSE</v>
      </c>
      <c r="AC141" s="62" t="e">
        <f>IF(COUNTIFS(allFYsTable[Code], SummaryTable[[#This Row],[Code]], allFYsTable[year2], AC$3)=0, NotFound, SUMIFS(allFYsTable[OriginalBudget], allFYsTable[Code], SummaryTable[[#This Row],[Code]], allFYsTable[year2], AC$3))</f>
        <v>#N/A</v>
      </c>
      <c r="AD141" s="61" t="e">
        <f>SummaryTable[[#This Row],[OriginalBudget25]]-SummaryTable[[#This Row],[OriginalBudget24]]</f>
        <v>#N/A</v>
      </c>
      <c r="AE141" s="54" t="e">
        <f>SummaryTable[[#This Row],[BudgetIncreaseAmount25]]/SummaryTable[[#This Row],[OriginalBudget24]]</f>
        <v>#N/A</v>
      </c>
      <c r="AF141" s="61" t="e">
        <f>IF(COUNTIFS(allFYsTable[Code], SummaryTable[[#This Row],[Code]], allFYsTable[year2], AC$3)=0, NotFound, SUMIFS(allFYsTable[RevisedBudget], allFYsTable[Code], SummaryTable[[#This Row],[Code]], allFYsTable[year2], AC$3))</f>
        <v>#N/A</v>
      </c>
      <c r="AG141" s="61" t="e">
        <f>IF(COUNTIFS(allFYsTable[Code], SummaryTable[[#This Row],[Code]], allFYsTable[year2], AC$3)=0, NotFound, SUMIFS(allFYsTable[Actual], allFYsTable[Code], SummaryTable[[#This Row],[Code]], allFYsTable[year2], AC$3))</f>
        <v>#N/A</v>
      </c>
      <c r="AH141" s="61" t="e">
        <f>IF(COUNTIFS(allFYsTable[Code], SummaryTable[[#This Row],[Code]], allFYsTable[year2], AC$3)=0, NotFound, SUMIFS(allFYsTable[DiffAmount], allFYsTable[Code], SummaryTable[[#This Row],[Code]], allFYsTable[year2], AC$3))</f>
        <v>#N/A</v>
      </c>
      <c r="AI141" s="63" t="e">
        <f>IF(SummaryTable[[#This Row],[OriginalBudget25]]=0, IF(SummaryTable[[#This Row],[DiffAmount25]]=0, ZeroBudgetNoSpending, ZeroBudgetWithSpending), SummaryTable[[#This Row],[DiffAmount25]]/SummaryTable[[#This Row],[OriginalBudget25]])</f>
        <v>#N/A</v>
      </c>
      <c r="AJ141" s="62" t="e">
        <f>IF(COUNTIFS(allFYsTable[Code], SummaryTable[[#This Row],[Code]], allFYsTable[year2], AJ$3)=0, NotFound, SUMIFS(allFYsTable[OriginalBudget], allFYsTable[Code], SummaryTable[[#This Row],[Code]], allFYsTable[year2], AJ$3))</f>
        <v>#N/A</v>
      </c>
      <c r="AK141" s="61" t="e">
        <f>SummaryTable[[#This Row],[OriginalBudget24]]-SummaryTable[[#This Row],[OriginalBudget23]]</f>
        <v>#N/A</v>
      </c>
      <c r="AL141" s="54" t="e">
        <f>SummaryTable[[#This Row],[BudgetIncreaseAmount24]]/SummaryTable[[#This Row],[OriginalBudget23]]</f>
        <v>#N/A</v>
      </c>
      <c r="AM141" s="61" t="e">
        <f>IF(COUNTIFS(allFYsTable[Code], SummaryTable[[#This Row],[Code]], allFYsTable[year2], AK$3)=0, NotFound, SUMIFS(allFYsTable[RevisedBudget], allFYsTable[Code], SummaryTable[[#This Row],[Code]], allFYsTable[year2], AJ$3))</f>
        <v>#N/A</v>
      </c>
      <c r="AN141" s="61" t="e">
        <f>IF(COUNTIFS(allFYsTable[Code], SummaryTable[[#This Row],[Code]], allFYsTable[year2], AJ$3)=0, NotFound, SUMIFS(allFYsTable[Actual], allFYsTable[Code], SummaryTable[[#This Row],[Code]], allFYsTable[year2], AJ$3))</f>
        <v>#N/A</v>
      </c>
      <c r="AO141" s="61" t="e">
        <f>IF(COUNTIFS(allFYsTable[Code], SummaryTable[[#This Row],[Code]], allFYsTable[year2], AJ$3)=0, NotFound, SUMIFS(allFYsTable[DiffAmount], allFYsTable[Code], SummaryTable[[#This Row],[Code]], allFYsTable[year2], AJ$3))</f>
        <v>#N/A</v>
      </c>
      <c r="AP141" s="63" t="e">
        <f>IF(SummaryTable[[#This Row],[OriginalBudget24]]=0, IF(SummaryTable[[#This Row],[DiffAmount24]]=0, ZeroBudgetNoSpending, ZeroBudgetWithSpending), SummaryTable[[#This Row],[DiffAmount24]]/SummaryTable[[#This Row],[OriginalBudget24]])</f>
        <v>#N/A</v>
      </c>
      <c r="AQ141" s="62" t="e">
        <f>IF(COUNTIFS(allFYsTable[Code], SummaryTable[[#This Row],[Code]], allFYsTable[year2], AQ$3)=0, NotFound, SUMIFS(allFYsTable[OriginalBudget], allFYsTable[Code], SummaryTable[[#This Row],[Code]], allFYsTable[year2], AQ$3))</f>
        <v>#N/A</v>
      </c>
      <c r="AR141" s="61" t="e">
        <f>SummaryTable[[#This Row],[OriginalBudget23]]-SummaryTable[[#This Row],[OriginalBudget22]]</f>
        <v>#N/A</v>
      </c>
      <c r="AS141" s="54" t="e">
        <f>SummaryTable[[#This Row],[BudgetIncreaseAmount23]]/SummaryTable[[#This Row],[OriginalBudget22]]</f>
        <v>#N/A</v>
      </c>
      <c r="AT141" s="61" t="e">
        <f>IF(COUNTIFS(allFYsTable[Code], SummaryTable[[#This Row],[Code]], allFYsTable[year2], AQ$3)=0, NotFound, SUMIFS(allFYsTable[RevisedBudget], allFYsTable[Code], SummaryTable[[#This Row],[Code]], allFYsTable[year2], AQ$3))</f>
        <v>#N/A</v>
      </c>
      <c r="AU141" s="61" t="e">
        <f>IF(COUNTIFS(allFYsTable[Code], SummaryTable[[#This Row],[Code]], allFYsTable[year2], AQ$3)=0, NotFound, SUMIFS(allFYsTable[Actual], allFYsTable[Code], SummaryTable[[#This Row],[Code]], allFYsTable[year2], AQ$3))</f>
        <v>#N/A</v>
      </c>
      <c r="AV141" s="61" t="e">
        <f>IF(COUNTIFS(allFYsTable[Code], SummaryTable[[#This Row],[Code]], allFYsTable[year2], AQ$3)=0, NotFound, SUMIFS(allFYsTable[DiffAmount], allFYsTable[Code], SummaryTable[[#This Row],[Code]], allFYsTable[year2], AQ$3))</f>
        <v>#N/A</v>
      </c>
      <c r="AW141" s="63" t="e">
        <f>IF(SummaryTable[[#This Row],[OriginalBudget23]]=0, IF(SummaryTable[[#This Row],[DiffAmount23]]=0, ZeroBudgetNoSpending, ZeroBudgetWithSpending), SummaryTable[[#This Row],[DiffAmount23]]/SummaryTable[[#This Row],[OriginalBudget23]])</f>
        <v>#N/A</v>
      </c>
      <c r="AX141" s="62">
        <f>IF(COUNTIFS(allFYsTable[Code], SummaryTable[[#This Row],[Code]], allFYsTable[year2], AX$3)=0, NotFound, SUMIFS(allFYsTable[OriginalBudget], allFYsTable[Code], SummaryTable[[#This Row],[Code]], allFYsTable[year2], AX$3))</f>
        <v>107782</v>
      </c>
      <c r="AY141" s="61" t="e">
        <f>SummaryTable[[#This Row],[OriginalBudget22]]-SummaryTable[[#This Row],[OriginalBudget21]]</f>
        <v>#N/A</v>
      </c>
      <c r="AZ141" s="54" t="e">
        <f>SummaryTable[[#This Row],[BudgetIncreaseAmount22]]/SummaryTable[[#This Row],[OriginalBudget21]]</f>
        <v>#N/A</v>
      </c>
      <c r="BA141" s="61">
        <f>IF(COUNTIFS(allFYsTable[Code], SummaryTable[[#This Row],[Code]], allFYsTable[year2], AX$3)=0, NotFound, SUMIFS(allFYsTable[RevisedBudget], allFYsTable[Code], SummaryTable[[#This Row],[Code]], allFYsTable[year2], AX$3))</f>
        <v>102096</v>
      </c>
      <c r="BB141" s="61">
        <f>IF(COUNTIFS(allFYsTable[Code], SummaryTable[[#This Row],[Code]], allFYsTable[year2], AX$3)=0, NotFound, SUMIFS(allFYsTable[Actual], allFYsTable[Code], SummaryTable[[#This Row],[Code]], allFYsTable[year2], AX$3))</f>
        <v>101913</v>
      </c>
      <c r="BC141" s="61">
        <f>IF(COUNTIFS(allFYsTable[Code], SummaryTable[[#This Row],[Code]], allFYsTable[year2], AX$3)=0, NotFound, SUMIFS(allFYsTable[DiffAmount], allFYsTable[Code], SummaryTable[[#This Row],[Code]], allFYsTable[year2], AX$3))</f>
        <v>-5869</v>
      </c>
      <c r="BD141" s="63">
        <f>IF(SummaryTable[[#This Row],[OriginalBudget22]]=0, IF(SummaryTable[[#This Row],[DiffAmount22]]=0, ZeroBudgetNoSpending, ZeroBudgetWithSpending), SummaryTable[[#This Row],[DiffAmount22]]/SummaryTable[[#This Row],[OriginalBudget22]])</f>
        <v>-5.4452505984301645E-2</v>
      </c>
      <c r="BE141" s="62" t="e">
        <f>IF(COUNTIFS(allFYsTable[Code], SummaryTable[[#This Row],[Code]], allFYsTable[year2], BE$3)=0, NotFound, SUMIFS(allFYsTable[OriginalBudget], allFYsTable[Code], SummaryTable[[#This Row],[Code]], allFYsTable[year2], BE$3))</f>
        <v>#N/A</v>
      </c>
      <c r="BF141" s="61" t="e">
        <f>SummaryTable[[#This Row],[OriginalBudget21]]-SummaryTable[[#This Row],[OriginalBudget20]]</f>
        <v>#N/A</v>
      </c>
      <c r="BG141" s="54" t="e">
        <f>SummaryTable[[#This Row],[BudgetIncreaseAmount21]]/SummaryTable[[#This Row],[OriginalBudget20]]</f>
        <v>#N/A</v>
      </c>
      <c r="BH141" s="61" t="e">
        <f>IF(COUNTIFS(allFYsTable[Code], SummaryTable[[#This Row],[Code]], allFYsTable[year2], BE$3)=0, NotFound, SUMIFS(allFYsTable[RevisedBudget], allFYsTable[Code], SummaryTable[[#This Row],[Code]], allFYsTable[year2], BE$3))</f>
        <v>#N/A</v>
      </c>
      <c r="BI141" s="61" t="e">
        <f>IF(COUNTIFS(allFYsTable[Code], SummaryTable[[#This Row],[Code]], allFYsTable[year2], BE$3)=0, NotFound, SUMIFS(allFYsTable[Actual], allFYsTable[Code], SummaryTable[[#This Row],[Code]], allFYsTable[year2], BE$3))</f>
        <v>#N/A</v>
      </c>
      <c r="BJ141" s="61" t="e">
        <f>IF(COUNTIFS(allFYsTable[Code], SummaryTable[[#This Row],[Code]], allFYsTable[year2], BE$3)=0, NotFound, SUMIFS(allFYsTable[DiffAmount], allFYsTable[Code], SummaryTable[[#This Row],[Code]], allFYsTable[year2], BE$3))</f>
        <v>#N/A</v>
      </c>
      <c r="BK141" s="63" t="e">
        <f>IF(SummaryTable[[#This Row],[OriginalBudget21]]=0, IF(SummaryTable[[#This Row],[DiffAmount21]]=0, ZeroBudgetNoSpending, ZeroBudgetWithSpending), SummaryTable[[#This Row],[DiffAmount21]]/SummaryTable[[#This Row],[OriginalBudget21]])</f>
        <v>#N/A</v>
      </c>
      <c r="BL141" s="62" t="e">
        <f>IF(COUNTIFS(allFYsTable[Code], SummaryTable[[#This Row],[Code]], allFYsTable[year2], BL$3)=0, NotFound, SUMIFS(allFYsTable[OriginalBudget], allFYsTable[Code], SummaryTable[[#This Row],[Code]], allFYsTable[year2], BL$3))</f>
        <v>#N/A</v>
      </c>
      <c r="BM141" s="61" t="e">
        <f>SummaryTable[[#This Row],[OriginalBudget20]]-SummaryTable[[#This Row],[OriginalBudget19]]</f>
        <v>#N/A</v>
      </c>
      <c r="BN141" s="54" t="e">
        <f>SummaryTable[[#This Row],[BudgetIncreaseAmount20]]/SummaryTable[[#This Row],[OriginalBudget19]]</f>
        <v>#N/A</v>
      </c>
      <c r="BO141" s="61" t="e">
        <f>IF(COUNTIFS(allFYsTable[Code], SummaryTable[[#This Row],[Code]], allFYsTable[year2], BL$3)=0, NotFound, SUMIFS(allFYsTable[RevisedBudget], allFYsTable[Code], SummaryTable[[#This Row],[Code]], allFYsTable[year2], BL$3))</f>
        <v>#N/A</v>
      </c>
      <c r="BP141" s="61" t="e">
        <f>IF(COUNTIFS(allFYsTable[Code], SummaryTable[[#This Row],[Code]], allFYsTable[year2], BL$3)=0, NotFound, SUMIFS(allFYsTable[Actual], allFYsTable[Code], SummaryTable[[#This Row],[Code]], allFYsTable[year2], BL$3))</f>
        <v>#N/A</v>
      </c>
      <c r="BQ141" s="61" t="e">
        <f>IF(COUNTIFS(allFYsTable[Code], SummaryTable[[#This Row],[Code]], allFYsTable[year2], BL$3)=0, NotFound, SUMIFS(allFYsTable[DiffAmount], allFYsTable[Code], SummaryTable[[#This Row],[Code]], allFYsTable[year2], BL$3))</f>
        <v>#N/A</v>
      </c>
      <c r="BR141" s="63" t="e">
        <f>IF(SummaryTable[[#This Row],[OriginalBudget20]]=0, IF(SummaryTable[[#This Row],[DiffAmount20]]=0, ZeroBudgetNoSpending, ZeroBudgetWithSpending), SummaryTable[[#This Row],[DiffAmount20]]/SummaryTable[[#This Row],[OriginalBudget20]])</f>
        <v>#N/A</v>
      </c>
      <c r="BS141" s="62" t="e">
        <f>IF(COUNTIFS(allFYsTable[Code], SummaryTable[[#This Row],[Code]], allFYsTable[year2], BS$3)=0, NotFound, SUMIFS(allFYsTable[OriginalBudget], allFYsTable[Code], SummaryTable[[#This Row],[Code]], allFYsTable[year2], BS$3))</f>
        <v>#N/A</v>
      </c>
      <c r="BT141" s="61" t="e">
        <f>SummaryTable[[#This Row],[OriginalBudget19]]-SummaryTable[[#This Row],[OriginalBudget18]]</f>
        <v>#N/A</v>
      </c>
      <c r="BU141" s="54" t="e">
        <f>SummaryTable[[#This Row],[BudgetIncreaseAmount19]]/SummaryTable[[#This Row],[OriginalBudget18]]</f>
        <v>#N/A</v>
      </c>
      <c r="BV141" s="61" t="e">
        <f>IF(COUNTIFS(allFYsTable[Code], SummaryTable[[#This Row],[Code]], allFYsTable[year2], BS$3)=0, NotFound, SUMIFS(allFYsTable[RevisedBudget], allFYsTable[Code], SummaryTable[[#This Row],[Code]], allFYsTable[year2], BS$3))</f>
        <v>#N/A</v>
      </c>
      <c r="BW141" s="61" t="e">
        <f>IF(COUNTIFS(allFYsTable[Code], SummaryTable[[#This Row],[Code]], allFYsTable[year2], BS$3)=0, NotFound, SUMIFS(allFYsTable[Actual], allFYsTable[Code], SummaryTable[[#This Row],[Code]], allFYsTable[year2], BS$3))</f>
        <v>#N/A</v>
      </c>
      <c r="BX141" s="61" t="e">
        <f>IF(COUNTIFS(allFYsTable[Code], SummaryTable[[#This Row],[Code]], allFYsTable[year2], BS$3)=0, NotFound, SUMIFS(allFYsTable[DiffAmount], allFYsTable[Code], SummaryTable[[#This Row],[Code]], allFYsTable[year2], BS$3))</f>
        <v>#N/A</v>
      </c>
      <c r="BY141" s="63" t="e">
        <f>IF(SummaryTable[[#This Row],[OriginalBudget19]]=0, IF(SummaryTable[[#This Row],[DiffAmount19]]=0, ZeroBudgetNoSpending, ZeroBudgetWithSpending), SummaryTable[[#This Row],[DiffAmount19]]/SummaryTable[[#This Row],[OriginalBudget19]])</f>
        <v>#N/A</v>
      </c>
      <c r="BZ141" s="62" t="e">
        <f>IF(COUNTIFS(allFYsTable[Code], SummaryTable[[#This Row],[Code]], allFYsTable[year2], BZ$3)=0, NotFound, SUMIFS(allFYsTable[OriginalBudget], allFYsTable[Code], SummaryTable[[#This Row],[Code]], allFYsTable[year2], BZ$3))</f>
        <v>#N/A</v>
      </c>
      <c r="CA141" s="61" t="e">
        <f>SummaryTable[[#This Row],[OriginalBudget18]]-SummaryTable[[#This Row],[OriginalBudget17]]</f>
        <v>#N/A</v>
      </c>
      <c r="CB141" s="54" t="e">
        <f>SummaryTable[[#This Row],[BudgetIncreaseAmount18]]/SummaryTable[[#This Row],[OriginalBudget17]]</f>
        <v>#N/A</v>
      </c>
      <c r="CC141" s="61" t="e">
        <f>IF(COUNTIFS(allFYsTable[Code], SummaryTable[[#This Row],[Code]], allFYsTable[year2], BZ$3)=0, NotFound, SUMIFS(allFYsTable[RevisedBudget], allFYsTable[Code], SummaryTable[[#This Row],[Code]], allFYsTable[year2], BZ$3))</f>
        <v>#N/A</v>
      </c>
      <c r="CD141" s="61" t="e">
        <f>IF(COUNTIFS(allFYsTable[Code], SummaryTable[[#This Row],[Code]], allFYsTable[year2], BZ$3)=0, NotFound, SUMIFS(allFYsTable[Actual], allFYsTable[Code], SummaryTable[[#This Row],[Code]], allFYsTable[year2], BZ$3))</f>
        <v>#N/A</v>
      </c>
      <c r="CE141" s="61" t="e">
        <f>IF(COUNTIFS(allFYsTable[Code], SummaryTable[[#This Row],[Code]], allFYsTable[year2], BZ$3)=0, NotFound, SUMIFS(allFYsTable[DiffAmount], allFYsTable[Code], SummaryTable[[#This Row],[Code]], allFYsTable[year2], BZ$3))</f>
        <v>#N/A</v>
      </c>
      <c r="CF141" s="63" t="e">
        <f>IF(SummaryTable[[#This Row],[OriginalBudget18]]=0, IF(SummaryTable[[#This Row],[DiffAmount18]]=0, ZeroBudgetNoSpending, ZeroBudgetWithSpending), SummaryTable[[#This Row],[DiffAmount18]]/SummaryTable[[#This Row],[OriginalBudget18]])</f>
        <v>#N/A</v>
      </c>
      <c r="CG141" s="62" t="e">
        <f>IF(COUNTIFS(allFYsTable[Code], SummaryTable[[#This Row],[Code]], allFYsTable[year2], CG$3)=0, NotFound, SUMIFS(allFYsTable[OriginalBudget], allFYsTable[Code], SummaryTable[[#This Row],[Code]], allFYsTable[year2], CG$3))</f>
        <v>#N/A</v>
      </c>
      <c r="CH141" s="61" t="e">
        <f>SummaryTable[[#This Row],[OriginalBudget17]]-SummaryTable[[#This Row],[OriginalBudget16]]</f>
        <v>#N/A</v>
      </c>
      <c r="CI141" s="54" t="e">
        <f>SummaryTable[[#This Row],[BudgetIncreaseAmount17]]/SummaryTable[[#This Row],[OriginalBudget16]]</f>
        <v>#N/A</v>
      </c>
      <c r="CJ141" s="61" t="e">
        <f>IF(COUNTIFS(allFYsTable[Code], SummaryTable[[#This Row],[Code]], allFYsTable[year2], CG$3)=0, NotFound, SUMIFS(allFYsTable[RevisedBudget], allFYsTable[Code], SummaryTable[[#This Row],[Code]], allFYsTable[year2], CG$3))</f>
        <v>#N/A</v>
      </c>
      <c r="CK141" s="61" t="e">
        <f>IF(COUNTIFS(allFYsTable[Code], SummaryTable[[#This Row],[Code]], allFYsTable[year2], CG$3)=0, NotFound, SUMIFS(allFYsTable[Actual], allFYsTable[Code], SummaryTable[[#This Row],[Code]], allFYsTable[year2], CG$3))</f>
        <v>#N/A</v>
      </c>
      <c r="CL141" s="61" t="e">
        <f>IF(COUNTIFS(allFYsTable[Code], SummaryTable[[#This Row],[Code]], allFYsTable[year2], CG$3)=0, NotFound, SUMIFS(allFYsTable[DiffAmount], allFYsTable[Code], SummaryTable[[#This Row],[Code]], allFYsTable[year2], CG$3))</f>
        <v>#N/A</v>
      </c>
      <c r="CM141" s="63" t="e">
        <f>IF(SummaryTable[[#This Row],[OriginalBudget17]]=0, IF(SummaryTable[[#This Row],[DiffAmount17]]=0, ZeroBudgetNoSpending, ZeroBudgetWithSpending), SummaryTable[[#This Row],[DiffAmount17]]/SummaryTable[[#This Row],[OriginalBudget17]])</f>
        <v>#N/A</v>
      </c>
      <c r="CN141" s="62" t="e">
        <f>IF(COUNTIFS(allFYsTable[Code], SummaryTable[[#This Row],[Code]], allFYsTable[year2], CN$3)=0, NotFound, SUMIFS(allFYsTable[OriginalBudget], allFYsTable[Code], SummaryTable[[#This Row],[Code]], allFYsTable[year2], CN$3))</f>
        <v>#N/A</v>
      </c>
      <c r="CO141" s="61" t="e">
        <f>SummaryTable[[#This Row],[OriginalBudget16]]-SummaryTable[[#This Row],[OriginalBudget15]]</f>
        <v>#N/A</v>
      </c>
      <c r="CP141" s="54" t="e">
        <f>SummaryTable[[#This Row],[BudgetIncreaseAmount16]]/SummaryTable[[#This Row],[OriginalBudget15]]</f>
        <v>#N/A</v>
      </c>
      <c r="CQ141" s="61" t="e">
        <f>IF(COUNTIFS(allFYsTable[Code], SummaryTable[[#This Row],[Code]], allFYsTable[year2], CN$3)=0, NotFound, SUMIFS(allFYsTable[RevisedBudget], allFYsTable[Code], SummaryTable[[#This Row],[Code]], allFYsTable[year2], CN$3))</f>
        <v>#N/A</v>
      </c>
      <c r="CR141" s="61" t="e">
        <f>IF(COUNTIFS(allFYsTable[Code], SummaryTable[[#This Row],[Code]], allFYsTable[year2], CN$3)=0, NotFound, SUMIFS(allFYsTable[Actual], allFYsTable[Code], SummaryTable[[#This Row],[Code]], allFYsTable[year2], CN$3))</f>
        <v>#N/A</v>
      </c>
      <c r="CS141" s="61" t="e">
        <f>IF(COUNTIFS(allFYsTable[Code], SummaryTable[[#This Row],[Code]], allFYsTable[year2], CN$3)=0, NotFound, SUMIFS(allFYsTable[DiffAmount], allFYsTable[Code], SummaryTable[[#This Row],[Code]], allFYsTable[year2], CN$3))</f>
        <v>#N/A</v>
      </c>
      <c r="CT141" s="63" t="e">
        <f>IF(SummaryTable[[#This Row],[OriginalBudget16]]=0, IF(SummaryTable[[#This Row],[DiffAmount16]]=0, ZeroBudgetNoSpending, ZeroBudgetWithSpending), SummaryTable[[#This Row],[DiffAmount16]]/SummaryTable[[#This Row],[OriginalBudget16]])</f>
        <v>#N/A</v>
      </c>
      <c r="CU141" s="62" t="e">
        <f>IF(COUNTIFS(allFYsTable[Code], SummaryTable[[#This Row],[Code]], allFYsTable[year2], CU$3)=0, NotFound, SUMIFS(allFYsTable[OriginalBudget], allFYsTable[Code], SummaryTable[[#This Row],[Code]], allFYsTable[year2], CU$3))</f>
        <v>#N/A</v>
      </c>
      <c r="CV141" s="61" t="e">
        <f>SummaryTable[[#This Row],[OriginalBudget15]]-SummaryTable[[#This Row],[OriginalBudget14]]</f>
        <v>#N/A</v>
      </c>
      <c r="CW141" s="54" t="e">
        <f>SummaryTable[[#This Row],[BudgetIncreaseAmount15]]/SummaryTable[[#This Row],[OriginalBudget14]]</f>
        <v>#N/A</v>
      </c>
      <c r="CX141" s="61" t="e">
        <f>IF(COUNTIFS(allFYsTable[Code], SummaryTable[[#This Row],[Code]], allFYsTable[year2], CU$3)=0, NotFound, SUMIFS(allFYsTable[RevisedBudget], allFYsTable[Code], SummaryTable[[#This Row],[Code]], allFYsTable[year2], CU$3))</f>
        <v>#N/A</v>
      </c>
      <c r="CY141" s="61" t="e">
        <f>IF(COUNTIFS(allFYsTable[Code], SummaryTable[[#This Row],[Code]], allFYsTable[year2], CU$3)=0, NotFound, SUMIFS(allFYsTable[Actual], allFYsTable[Code], SummaryTable[[#This Row],[Code]], allFYsTable[year2], CU$3))</f>
        <v>#N/A</v>
      </c>
      <c r="CZ141" s="61" t="e">
        <f>IF(COUNTIFS(allFYsTable[Code], SummaryTable[[#This Row],[Code]], allFYsTable[year2], CU$3)=0, NotFound, SUMIFS(allFYsTable[DiffAmount], allFYsTable[Code], SummaryTable[[#This Row],[Code]], allFYsTable[year2], CU$3))</f>
        <v>#N/A</v>
      </c>
      <c r="DA141" s="63" t="e">
        <f>IF(SummaryTable[[#This Row],[OriginalBudget15]]=0, IF(SummaryTable[[#This Row],[DiffAmount15]]=0, ZeroBudgetNoSpending, ZeroBudgetWithSpending), SummaryTable[[#This Row],[DiffAmount15]]/SummaryTable[[#This Row],[OriginalBudget15]])</f>
        <v>#N/A</v>
      </c>
      <c r="DB141" s="62" t="e">
        <f>IF(COUNTIFS(allFYsTable[Code], SummaryTable[[#This Row],[Code]], allFYsTable[year2], DB$3)=0, NotFound, SUMIFS(allFYsTable[OriginalBudget], allFYsTable[Code], SummaryTable[[#This Row],[Code]], allFYsTable[year2], DB$3))</f>
        <v>#N/A</v>
      </c>
      <c r="DC141" s="61" t="e">
        <f>SummaryTable[[#This Row],[OriginalBudget14]]-SummaryTable[[#This Row],[OriginalBudget13]]</f>
        <v>#N/A</v>
      </c>
      <c r="DD141" s="54" t="e">
        <f>SummaryTable[[#This Row],[BudgetIncreaseAmount14]]/SummaryTable[[#This Row],[OriginalBudget13]]</f>
        <v>#N/A</v>
      </c>
      <c r="DE141" s="61" t="e">
        <f>IF(COUNTIFS(allFYsTable[Code], SummaryTable[[#This Row],[Code]], allFYsTable[year2], DB$3)=0, NotFound, SUMIFS(allFYsTable[RevisedBudget], allFYsTable[Code], SummaryTable[[#This Row],[Code]], allFYsTable[year2], DB$3))</f>
        <v>#N/A</v>
      </c>
      <c r="DF141" s="61" t="e">
        <f>IF(COUNTIFS(allFYsTable[Code], SummaryTable[[#This Row],[Code]], allFYsTable[year2], DB$3)=0, NotFound, SUMIFS(allFYsTable[Actual], allFYsTable[Code], SummaryTable[[#This Row],[Code]], allFYsTable[year2], DB$3))</f>
        <v>#N/A</v>
      </c>
      <c r="DG141" s="61" t="e">
        <f>IF(COUNTIFS(allFYsTable[Code], SummaryTable[[#This Row],[Code]], allFYsTable[year2], DB$3)=0, NotFound, SUMIFS(allFYsTable[DiffAmount], allFYsTable[Code], SummaryTable[[#This Row],[Code]], allFYsTable[year2], DB$3))</f>
        <v>#N/A</v>
      </c>
      <c r="DH141" s="63" t="e">
        <f>IF(SummaryTable[[#This Row],[OriginalBudget14]]=0, IF(SummaryTable[[#This Row],[DiffAmount14]]=0, ZeroBudgetNoSpending, ZeroBudgetWithSpending), SummaryTable[[#This Row],[DiffAmount14]]/SummaryTable[[#This Row],[OriginalBudget14]])</f>
        <v>#N/A</v>
      </c>
      <c r="DI141" s="62" t="e">
        <f>IF(COUNTIFS(allFYsTable[Code], SummaryTable[[#This Row],[Code]], allFYsTable[year2], DI$3)=0, NotFound, SUMIFS(allFYsTable[OriginalBudget], allFYsTable[Code], SummaryTable[[#This Row],[Code]], allFYsTable[year2], DI$3))</f>
        <v>#N/A</v>
      </c>
      <c r="DJ141" s="61" t="e">
        <f>SummaryTable[[#This Row],[OriginalBudget13]]-SummaryTable[[#This Row],[OriginalBudget12]]</f>
        <v>#N/A</v>
      </c>
      <c r="DK141" s="54" t="e">
        <f>SummaryTable[[#This Row],[BudgetIncreaseAmount13]]/SummaryTable[[#This Row],[OriginalBudget12]]</f>
        <v>#N/A</v>
      </c>
      <c r="DL141" s="61" t="e">
        <f>IF(COUNTIFS(allFYsTable[Code], SummaryTable[[#This Row],[Code]], allFYsTable[year2], DI$3)=0, NotFound, SUMIFS(allFYsTable[RevisedBudget], allFYsTable[Code], SummaryTable[[#This Row],[Code]], allFYsTable[year2], DI$3))</f>
        <v>#N/A</v>
      </c>
      <c r="DM141" s="61" t="e">
        <f>IF(COUNTIFS(allFYsTable[Code], SummaryTable[[#This Row],[Code]], allFYsTable[year2], DI$3)=0, NotFound, SUMIFS(allFYsTable[Actual], allFYsTable[Code], SummaryTable[[#This Row],[Code]], allFYsTable[year2], DI$3))</f>
        <v>#N/A</v>
      </c>
      <c r="DN141" s="61" t="e">
        <f>IF(COUNTIFS(allFYsTable[Code], SummaryTable[[#This Row],[Code]], allFYsTable[year2], DI$3)=0, NotFound, SUMIFS(allFYsTable[DiffAmount], allFYsTable[Code], SummaryTable[[#This Row],[Code]], allFYsTable[year2], DI$3))</f>
        <v>#N/A</v>
      </c>
      <c r="DO141" s="63" t="e">
        <f>IF(SummaryTable[[#This Row],[OriginalBudget13]]=0, IF(SummaryTable[[#This Row],[DiffAmount13]]=0, ZeroBudgetNoSpending, ZeroBudgetWithSpending), SummaryTable[[#This Row],[DiffAmount13]]/SummaryTable[[#This Row],[OriginalBudget13]])</f>
        <v>#N/A</v>
      </c>
      <c r="DP141" s="62" t="e">
        <f>IF(COUNTIFS(allFYsTable[Code], SummaryTable[[#This Row],[Code]], allFYsTable[year2], DP$3)=0, NotFound, SUMIFS(allFYsTable[OriginalBudget], allFYsTable[Code], SummaryTable[[#This Row],[Code]], allFYsTable[year2], DP$3))</f>
        <v>#N/A</v>
      </c>
      <c r="DQ141" s="61" t="e">
        <f>SummaryTable[[#This Row],[OriginalBudget12]]-SummaryTable[[#This Row],[OriginalBudget11]]</f>
        <v>#N/A</v>
      </c>
      <c r="DR141" s="54" t="e">
        <f>SummaryTable[[#This Row],[BudgetIncreaseAmount12]]/SummaryTable[[#This Row],[OriginalBudget11]]</f>
        <v>#N/A</v>
      </c>
      <c r="DS141" s="61" t="e">
        <f>IF(COUNTIFS(allFYsTable[Code], SummaryTable[[#This Row],[Code]], allFYsTable[year2], DP$3)=0, NotFound, SUMIFS(allFYsTable[RevisedBudget], allFYsTable[Code], SummaryTable[[#This Row],[Code]], allFYsTable[year2], DP$3))</f>
        <v>#N/A</v>
      </c>
      <c r="DT141" s="61" t="e">
        <f>IF(COUNTIFS(allFYsTable[Code], SummaryTable[[#This Row],[Code]], allFYsTable[year2], DP$3)=0, NotFound, SUMIFS(allFYsTable[Actual], allFYsTable[Code], SummaryTable[[#This Row],[Code]], allFYsTable[year2], DP$3))</f>
        <v>#N/A</v>
      </c>
      <c r="DU141" s="61" t="e">
        <f>IF(COUNTIFS(allFYsTable[Code], SummaryTable[[#This Row],[Code]], allFYsTable[year2], DP$3)=0, NotFound, SUMIFS(allFYsTable[DiffAmount], allFYsTable[Code], SummaryTable[[#This Row],[Code]], allFYsTable[year2], DP$3))</f>
        <v>#N/A</v>
      </c>
      <c r="DV141" s="63" t="e">
        <f>IF(SummaryTable[[#This Row],[OriginalBudget12]]=0, IF(SummaryTable[[#This Row],[DiffAmount12]]=0, ZeroBudgetNoSpending, ZeroBudgetWithSpending), SummaryTable[[#This Row],[DiffAmount12]]/SummaryTable[[#This Row],[OriginalBudget12]])</f>
        <v>#N/A</v>
      </c>
      <c r="DW141" s="62" t="e">
        <f>IF(COUNTIFS(allFYsTable[Code], SummaryTable[[#This Row],[Code]], allFYsTable[year2], DW$3)=0, NotFound, SUMIFS(allFYsTable[OriginalBudget], allFYsTable[Code], SummaryTable[[#This Row],[Code]], allFYsTable[year2], DW$3))</f>
        <v>#N/A</v>
      </c>
      <c r="DX141" s="61" t="e">
        <f>SummaryTable[[#This Row],[OriginalBudget11]]-SummaryTable[[#This Row],[OriginalBudget10]]</f>
        <v>#N/A</v>
      </c>
      <c r="DY141" s="54" t="e">
        <f>SummaryTable[[#This Row],[BudgetIncreaseAmount11]]/SummaryTable[[#This Row],[OriginalBudget10]]</f>
        <v>#N/A</v>
      </c>
      <c r="DZ141" s="61" t="e">
        <f>IF(COUNTIFS(allFYsTable[Code], SummaryTable[[#This Row],[Code]], allFYsTable[year2], DW$3)=0, NotFound, SUMIFS(allFYsTable[RevisedBudget], allFYsTable[Code], SummaryTable[[#This Row],[Code]], allFYsTable[year2], DW$3))</f>
        <v>#N/A</v>
      </c>
      <c r="EA141" s="61" t="e">
        <f>IF(COUNTIFS(allFYsTable[Code], SummaryTable[[#This Row],[Code]], allFYsTable[year2], DW$3)=0, NotFound, SUMIFS(allFYsTable[Actual], allFYsTable[Code], SummaryTable[[#This Row],[Code]], allFYsTable[year2], DW$3))</f>
        <v>#N/A</v>
      </c>
      <c r="EB141" s="61" t="e">
        <f>IF(COUNTIFS(allFYsTable[Code], SummaryTable[[#This Row],[Code]], allFYsTable[year2], DW$3)=0, NotFound, SUMIFS(allFYsTable[DiffAmount], allFYsTable[Code], SummaryTable[[#This Row],[Code]], allFYsTable[year2], DW$3))</f>
        <v>#N/A</v>
      </c>
      <c r="EC141" s="63" t="e">
        <f>IF(SummaryTable[[#This Row],[OriginalBudget11]]=0, IF(SummaryTable[[#This Row],[DiffAmount11]]=0, ZeroBudgetNoSpending, ZeroBudgetWithSpending), SummaryTable[[#This Row],[DiffAmount11]]/SummaryTable[[#This Row],[OriginalBudget11]])</f>
        <v>#N/A</v>
      </c>
      <c r="ED141" s="62" t="e">
        <f>IF(COUNTIFS(allFYsTable[Code], SummaryTable[[#This Row],[Code]], allFYsTable[year2], ED$3)=0, NotFound, SUMIFS(allFYsTable[OriginalBudget], allFYsTable[Code], SummaryTable[[#This Row],[Code]], allFYsTable[year2], ED$3))</f>
        <v>#N/A</v>
      </c>
      <c r="EE141" s="61" t="e">
        <f>SummaryTable[[#This Row],[OriginalBudget10]]-SummaryTable[[#This Row],[OriginalBudget09]]</f>
        <v>#N/A</v>
      </c>
      <c r="EF141" s="54" t="e">
        <f>SummaryTable[[#This Row],[BudgetIncreaseAmount10]]/SummaryTable[[#This Row],[OriginalBudget09]]</f>
        <v>#N/A</v>
      </c>
      <c r="EG141" s="61" t="e">
        <f>IF(COUNTIFS(allFYsTable[Code], SummaryTable[[#This Row],[Code]], allFYsTable[year2], ED$3)=0, NotFound, SUMIFS(allFYsTable[RevisedBudget], allFYsTable[Code], SummaryTable[[#This Row],[Code]], allFYsTable[year2], ED$3))</f>
        <v>#N/A</v>
      </c>
      <c r="EH141" s="61" t="e">
        <f>IF(COUNTIFS(allFYsTable[Code], SummaryTable[[#This Row],[Code]], allFYsTable[year2], ED$3)=0, NotFound, SUMIFS(allFYsTable[Actual], allFYsTable[Code], SummaryTable[[#This Row],[Code]], allFYsTable[year2], ED$3))</f>
        <v>#N/A</v>
      </c>
      <c r="EI141" s="61" t="e">
        <f>IF(COUNTIFS(allFYsTable[Code], SummaryTable[[#This Row],[Code]], allFYsTable[year2], ED$3)=0, NotFound, SUMIFS(allFYsTable[DiffAmount], allFYsTable[Code], SummaryTable[[#This Row],[Code]], allFYsTable[year2], ED$3))</f>
        <v>#N/A</v>
      </c>
      <c r="EJ141" s="63" t="e">
        <f>IF(SummaryTable[[#This Row],[OriginalBudget10]]=0, IF(SummaryTable[[#This Row],[DiffAmount10]]=0, ZeroBudgetNoSpending, ZeroBudgetWithSpending), SummaryTable[[#This Row],[DiffAmount10]]/SummaryTable[[#This Row],[OriginalBudget10]])</f>
        <v>#N/A</v>
      </c>
      <c r="EK141" s="62" t="e">
        <f>IF(COUNTIFS(allFYsTable[Code], SummaryTable[[#This Row],[Code]], allFYsTable[year2], EK$3)=0, NotFound, SUMIFS(allFYsTable[OriginalBudget], allFYsTable[Code], SummaryTable[[#This Row],[Code]], allFYsTable[year2], EK$3))</f>
        <v>#N/A</v>
      </c>
      <c r="EL141" s="61" t="e">
        <f>SummaryTable[[#This Row],[OriginalBudget09]]-SummaryTable[[#This Row],[OriginalBudget08]]</f>
        <v>#N/A</v>
      </c>
      <c r="EM141" s="54" t="e">
        <f>SummaryTable[[#This Row],[BudgetIncreaseAmount09]]/SummaryTable[[#This Row],[OriginalBudget08]]</f>
        <v>#N/A</v>
      </c>
      <c r="EN141" s="61" t="e">
        <f>IF(COUNTIFS(allFYsTable[Code], SummaryTable[[#This Row],[Code]], allFYsTable[year2], EK$3)=0, NotFound, SUMIFS(allFYsTable[RevisedBudget], allFYsTable[Code], SummaryTable[[#This Row],[Code]], allFYsTable[year2], EK$3))</f>
        <v>#N/A</v>
      </c>
      <c r="EO141" s="61" t="e">
        <f>IF(COUNTIFS(allFYsTable[Code], SummaryTable[[#This Row],[Code]], allFYsTable[year2], EK$3)=0, NotFound, SUMIFS(allFYsTable[Actual], allFYsTable[Code], SummaryTable[[#This Row],[Code]], allFYsTable[year2], EK$3))</f>
        <v>#N/A</v>
      </c>
      <c r="EP141" s="61" t="e">
        <f>IF(COUNTIFS(allFYsTable[Code], SummaryTable[[#This Row],[Code]], allFYsTable[year2], EK$3)=0, NotFound, SUMIFS(allFYsTable[DiffAmount], allFYsTable[Code], SummaryTable[[#This Row],[Code]], allFYsTable[year2], EK$3))</f>
        <v>#N/A</v>
      </c>
      <c r="EQ141" s="63" t="e">
        <f>IF(SummaryTable[[#This Row],[OriginalBudget09]]=0, IF(SummaryTable[[#This Row],[DiffAmount09]]=0, ZeroBudgetNoSpending, ZeroBudgetWithSpending), SummaryTable[[#This Row],[DiffAmount09]]/SummaryTable[[#This Row],[OriginalBudget09]])</f>
        <v>#N/A</v>
      </c>
      <c r="ER141" s="62" t="e">
        <f>IF(COUNTIFS(allFYsTable[Code], SummaryTable[[#This Row],[Code]], allFYsTable[year2], ER$3)=0, NotFound, SUMIFS(allFYsTable[OriginalBudget], allFYsTable[Code], SummaryTable[[#This Row],[Code]], allFYsTable[year2], ER$3))</f>
        <v>#N/A</v>
      </c>
      <c r="ES141" s="61" t="e">
        <f>SummaryTable[[#This Row],[OriginalBudget08]]-SummaryTable[[#This Row],[OriginalBudget07]]</f>
        <v>#N/A</v>
      </c>
      <c r="ET141" s="54" t="e">
        <f>SummaryTable[[#This Row],[BudgetIncreaseAmount08]]/SummaryTable[[#This Row],[OriginalBudget07]]</f>
        <v>#N/A</v>
      </c>
      <c r="EU141" s="61" t="e">
        <f>IF(COUNTIFS(allFYsTable[Code], SummaryTable[[#This Row],[Code]], allFYsTable[year2], ER$3)=0, NotFound, SUMIFS(allFYsTable[RevisedBudget], allFYsTable[Code], SummaryTable[[#This Row],[Code]], allFYsTable[year2], ER$3))</f>
        <v>#N/A</v>
      </c>
      <c r="EV141" s="61" t="e">
        <f>IF(COUNTIFS(allFYsTable[Code], SummaryTable[[#This Row],[Code]], allFYsTable[year2], ER$3)=0, NotFound, SUMIFS(allFYsTable[Actual], allFYsTable[Code], SummaryTable[[#This Row],[Code]], allFYsTable[year2], ER$3))</f>
        <v>#N/A</v>
      </c>
      <c r="EW141" s="61" t="e">
        <f>IF(COUNTIFS(allFYsTable[Code], SummaryTable[[#This Row],[Code]], allFYsTable[year2], ER$3)=0, NotFound, SUMIFS(allFYsTable[DiffAmount], allFYsTable[Code], SummaryTable[[#This Row],[Code]], allFYsTable[year2], ER$3))</f>
        <v>#N/A</v>
      </c>
      <c r="EX141" s="63" t="e">
        <f>IF(SummaryTable[[#This Row],[OriginalBudget08]]=0, IF(SummaryTable[[#This Row],[DiffAmount08]]=0, ZeroBudgetNoSpending, ZeroBudgetWithSpending), SummaryTable[[#This Row],[DiffAmount08]]/SummaryTable[[#This Row],[OriginalBudget08]])</f>
        <v>#N/A</v>
      </c>
      <c r="EY141" s="62" t="e">
        <f>IF(COUNTIFS(allFYsTable[Code], SummaryTable[[#This Row],[Code]], allFYsTable[year2], EY$3)=0, NotFound, SUMIFS(allFYsTable[OriginalBudget], allFYsTable[Code], SummaryTable[[#This Row],[Code]], allFYsTable[year2], EY$3))</f>
        <v>#N/A</v>
      </c>
      <c r="EZ141" s="61" t="e">
        <f>SummaryTable[[#This Row],[OriginalBudget07]]-SummaryTable[[#This Row],[OriginalBudget06]]</f>
        <v>#N/A</v>
      </c>
      <c r="FA141" s="54" t="e">
        <f>SummaryTable[[#This Row],[BudgetIncreaseAmount07]]/SummaryTable[[#This Row],[OriginalBudget06]]</f>
        <v>#N/A</v>
      </c>
      <c r="FB141" s="61" t="e">
        <f>IF(COUNTIFS(allFYsTable[Code], SummaryTable[[#This Row],[Code]], allFYsTable[year2], EY$3)=0, NotFound, SUMIFS(allFYsTable[RevisedBudget], allFYsTable[Code], SummaryTable[[#This Row],[Code]], allFYsTable[year2], EY$3))</f>
        <v>#N/A</v>
      </c>
      <c r="FC141" s="61" t="e">
        <f>IF(COUNTIFS(allFYsTable[Code], SummaryTable[[#This Row],[Code]], allFYsTable[year2], EY$3)=0, NotFound, SUMIFS(allFYsTable[Actual], allFYsTable[Code], SummaryTable[[#This Row],[Code]], allFYsTable[year2], EY$3))</f>
        <v>#N/A</v>
      </c>
      <c r="FD141" s="61" t="e">
        <f>IF(COUNTIFS(allFYsTable[Code], SummaryTable[[#This Row],[Code]], allFYsTable[year2], EY$3)=0, NotFound, SUMIFS(allFYsTable[DiffAmount], allFYsTable[Code], SummaryTable[[#This Row],[Code]], allFYsTable[year2], EY$3))</f>
        <v>#N/A</v>
      </c>
      <c r="FE141" s="63" t="e">
        <f>IF(SummaryTable[[#This Row],[OriginalBudget07]]=0, IF(SummaryTable[[#This Row],[DiffAmount07]]=0, ZeroBudgetNoSpending, ZeroBudgetWithSpending), SummaryTable[[#This Row],[DiffAmount07]]/SummaryTable[[#This Row],[OriginalBudget07]])</f>
        <v>#N/A</v>
      </c>
      <c r="FF141" s="62" t="e">
        <f>IF(COUNTIFS(allFYsTable[Code], SummaryTable[[#This Row],[Code]], allFYsTable[year2], FF$3)=0, NotFound, SUMIFS(allFYsTable[OriginalBudget], allFYsTable[Code], SummaryTable[[#This Row],[Code]], allFYsTable[year2], FF$3))</f>
        <v>#N/A</v>
      </c>
      <c r="FI141" s="61" t="e">
        <f>IF(COUNTIFS(allFYsTable[Code], SummaryTable[[#This Row],[Code]], allFYsTable[year2], FF$3)=0, NotFound, SUMIFS(allFYsTable[RevisedBudget], allFYsTable[Code], SummaryTable[[#This Row],[Code]], allFYsTable[year2], FF$3))</f>
        <v>#N/A</v>
      </c>
      <c r="FJ141" s="61" t="e">
        <f>IF(COUNTIFS(allFYsTable[Code], SummaryTable[[#This Row],[Code]], allFYsTable[year2], FF$3)=0, NotFound, SUMIFS(allFYsTable[Actual], allFYsTable[Code], SummaryTable[[#This Row],[Code]], allFYsTable[year2], FF$3))</f>
        <v>#N/A</v>
      </c>
      <c r="FK141" s="61" t="e">
        <f>IF(COUNTIFS(allFYsTable[Code], SummaryTable[[#This Row],[Code]], allFYsTable[year2], FF$3)=0, NotFound, SUMIFS(allFYsTable[DiffAmount], allFYsTable[Code], SummaryTable[[#This Row],[Code]], allFYsTable[year2], FF$3))</f>
        <v>#N/A</v>
      </c>
      <c r="FL141" s="63" t="e">
        <f>IF(SummaryTable[[#This Row],[OriginalBudget06]]=0, IF(SummaryTable[[#This Row],[DiffAmount06]]=0, ZeroBudgetNoSpending, ZeroBudgetWithSpending), SummaryTable[[#This Row],[DiffAmount06]]/SummaryTable[[#This Row],[OriginalBudget06]])</f>
        <v>#N/A</v>
      </c>
    </row>
    <row r="142" spans="1:168" x14ac:dyDescent="0.45">
      <c r="A142" t="s">
        <v>872</v>
      </c>
      <c r="B142">
        <f>_xlfn.MAXIFS(allFYsTable[year2], allFYsTable[Code], SummaryTable[[#This Row],[Code]])</f>
        <v>2021</v>
      </c>
      <c r="C142" t="str">
        <f>_xlfn.XLOOKUP(SummaryTable[[#This Row],[Code]], NameCodingTable[Code], NameCodingTable[Most Recent Category per allFYs])</f>
        <v>Human support services</v>
      </c>
      <c r="D142" t="str">
        <f>_xlfn.XLOOKUP(SummaryTable[[#This Row],[Code]], NameCodingTable[Code], NameCodingTable[Unit Display Name])</f>
        <v>Medicaid reserve</v>
      </c>
      <c r="E142" t="str">
        <f>_xlfn.XLOOKUP(SummaryTable[[#This Row],[Code]], NameCodingTable[Code], NameCodingTable[Type])</f>
        <v>untyped</v>
      </c>
      <c r="F14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4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42" s="54">
        <f>SummaryTable[[#This Row],['# Over]]/SummaryTable[[#This Row],[Count]]</f>
        <v>0</v>
      </c>
      <c r="I14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v>
      </c>
      <c r="J142" s="54">
        <f>SummaryTable[[#This Row],['# Under]]/SummaryTable[[#This Row],[Count]]</f>
        <v>1</v>
      </c>
      <c r="K14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42" s="54">
        <f>SummaryTable[[#This Row],['# Equal]]/SummaryTable[[#This Row],[Count]]</f>
        <v>0</v>
      </c>
      <c r="M142" s="61">
        <f>SUMIFS(allFYsTable[OriginalBudget],allFYsTable[Code],SummaryTable[[#This Row],[Code]])/SummaryTable[[#This Row],[Count]]</f>
        <v>17540</v>
      </c>
      <c r="N142" s="61">
        <f>SUMIFS(allFYsTable[Actual],allFYsTable[Code],SummaryTable[[#This Row],[Code]])/SummaryTable[[#This Row],[Count]]</f>
        <v>0</v>
      </c>
      <c r="O142" s="61">
        <f>SummaryTable[[#This Row],[AvgActAmt]]-SummaryTable[[#This Row],[AvgBudAmt]]</f>
        <v>-17540</v>
      </c>
      <c r="P142" s="54">
        <f>IF(SummaryTable[[#This Row],[AvgBudAmt]]=0, IF(SummaryTable[[#This Row],[AvgDiff'#]]=0, 0, NamedFields!$C$3), SummaryTable[[#This Row],[AvgDiff'#]]/SummaryTable[[#This Row],[AvgBudAmt]])</f>
        <v>-1</v>
      </c>
      <c r="Q142" s="61">
        <f>IFERROR(SUMIFS(allFYsTable[OriginalBudget],allFYsTable[Code],SummaryTable[[#This Row],[Code]],allFYsTable[DiffAmount], "&gt;0")/SummaryTable[[#This Row],['# Over]], 0)</f>
        <v>0</v>
      </c>
      <c r="R142" s="61">
        <f>IFERROR(SUMIFS(allFYsTable[Actual],allFYsTable[Code],SummaryTable[[#This Row],[Code]],allFYsTable[DiffAmount], "&gt;0")/SummaryTable[[#This Row],['# Over]], 0)</f>
        <v>0</v>
      </c>
      <c r="S142" s="61">
        <f>SummaryTable[[#This Row],[OverAvgAct]]-SummaryTable[[#This Row],[OverAvgBud]]</f>
        <v>0</v>
      </c>
      <c r="T142" s="54">
        <f>IF(SummaryTable[[#This Row],[OverAvgBud]]=0, IF(SummaryTable[[#This Row],[OverAvgDiff'#]]=0, ZeroBudgetNoSpending, ZeroBudgetWithSpending), SummaryTable[[#This Row],[OverAvgDiff'#]]/SummaryTable[[#This Row],[OverAvgBud]])</f>
        <v>0</v>
      </c>
      <c r="U142" s="61">
        <f>IFERROR(SUMIFS(allFYsTable[OriginalBudget],allFYsTable[Code],SummaryTable[[#This Row],[Code]],allFYsTable[DiffAmount], "&lt;0")/SummaryTable[[#This Row],['# Under]], 0)</f>
        <v>17540</v>
      </c>
      <c r="V142" s="61">
        <f>IFERROR( SUMIFS(allFYsTable[Actual],allFYsTable[Code],SummaryTable[[#This Row],[Code]],allFYsTable[DiffAmount], "&lt;0")/SummaryTable[[#This Row],['# Under]], 0)</f>
        <v>0</v>
      </c>
      <c r="W142" s="61">
        <f>SummaryTable[[#This Row],[UnderAvgAct]]-SummaryTable[[#This Row],[UnderAvgBud]]</f>
        <v>-17540</v>
      </c>
      <c r="X142" s="54">
        <f>IF(SummaryTable[[#This Row],[UnderAvgBud]]=0, IF(SummaryTable[[#This Row],[UnderAvgDiff'#]]=0, ZeroBudgetNoSpending, NamedFields!$C$3), SummaryTable[[#This Row],[UnderAvgDiff'#]]/SummaryTable[[#This Row],[UnderAvgBud]])</f>
        <v>-1</v>
      </c>
      <c r="Y14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4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2" s="54">
        <f>IF(SummaryTable[[#This Row],[IncreaseYears]]=0, ZeroBudgetNoSpending, SummaryTable[[#This Row],[OSinIncreaseYear'#]]/SummaryTable[[#This Row],[IncreaseYears]])</f>
        <v>0</v>
      </c>
      <c r="AB142" s="58" t="str">
        <f>SummaryTable[[#This Row],[Code]]</f>
        <v>XMR</v>
      </c>
      <c r="AC142" s="62" t="e">
        <f>IF(COUNTIFS(allFYsTable[Code], SummaryTable[[#This Row],[Code]], allFYsTable[year2], AC$3)=0, NotFound, SUMIFS(allFYsTable[OriginalBudget], allFYsTable[Code], SummaryTable[[#This Row],[Code]], allFYsTable[year2], AC$3))</f>
        <v>#N/A</v>
      </c>
      <c r="AD142" s="61" t="e">
        <f>SummaryTable[[#This Row],[OriginalBudget25]]-SummaryTable[[#This Row],[OriginalBudget24]]</f>
        <v>#N/A</v>
      </c>
      <c r="AE142" s="54" t="e">
        <f>SummaryTable[[#This Row],[BudgetIncreaseAmount25]]/SummaryTable[[#This Row],[OriginalBudget24]]</f>
        <v>#N/A</v>
      </c>
      <c r="AF142" s="61" t="e">
        <f>IF(COUNTIFS(allFYsTable[Code], SummaryTable[[#This Row],[Code]], allFYsTable[year2], AC$3)=0, NotFound, SUMIFS(allFYsTable[RevisedBudget], allFYsTable[Code], SummaryTable[[#This Row],[Code]], allFYsTable[year2], AC$3))</f>
        <v>#N/A</v>
      </c>
      <c r="AG142" s="61" t="e">
        <f>IF(COUNTIFS(allFYsTable[Code], SummaryTable[[#This Row],[Code]], allFYsTable[year2], AC$3)=0, NotFound, SUMIFS(allFYsTable[Actual], allFYsTable[Code], SummaryTable[[#This Row],[Code]], allFYsTable[year2], AC$3))</f>
        <v>#N/A</v>
      </c>
      <c r="AH142" s="61" t="e">
        <f>IF(COUNTIFS(allFYsTable[Code], SummaryTable[[#This Row],[Code]], allFYsTable[year2], AC$3)=0, NotFound, SUMIFS(allFYsTable[DiffAmount], allFYsTable[Code], SummaryTable[[#This Row],[Code]], allFYsTable[year2], AC$3))</f>
        <v>#N/A</v>
      </c>
      <c r="AI142" s="63" t="e">
        <f>IF(SummaryTable[[#This Row],[OriginalBudget25]]=0, IF(SummaryTable[[#This Row],[DiffAmount25]]=0, ZeroBudgetNoSpending, ZeroBudgetWithSpending), SummaryTable[[#This Row],[DiffAmount25]]/SummaryTable[[#This Row],[OriginalBudget25]])</f>
        <v>#N/A</v>
      </c>
      <c r="AJ142" s="62" t="e">
        <f>IF(COUNTIFS(allFYsTable[Code], SummaryTable[[#This Row],[Code]], allFYsTable[year2], AJ$3)=0, NotFound, SUMIFS(allFYsTable[OriginalBudget], allFYsTable[Code], SummaryTable[[#This Row],[Code]], allFYsTable[year2], AJ$3))</f>
        <v>#N/A</v>
      </c>
      <c r="AK142" s="61" t="e">
        <f>SummaryTable[[#This Row],[OriginalBudget24]]-SummaryTable[[#This Row],[OriginalBudget23]]</f>
        <v>#N/A</v>
      </c>
      <c r="AL142" s="54" t="e">
        <f>SummaryTable[[#This Row],[BudgetIncreaseAmount24]]/SummaryTable[[#This Row],[OriginalBudget23]]</f>
        <v>#N/A</v>
      </c>
      <c r="AM142" s="61" t="e">
        <f>IF(COUNTIFS(allFYsTable[Code], SummaryTable[[#This Row],[Code]], allFYsTable[year2], AK$3)=0, NotFound, SUMIFS(allFYsTable[RevisedBudget], allFYsTable[Code], SummaryTable[[#This Row],[Code]], allFYsTable[year2], AJ$3))</f>
        <v>#N/A</v>
      </c>
      <c r="AN142" s="61" t="e">
        <f>IF(COUNTIFS(allFYsTable[Code], SummaryTable[[#This Row],[Code]], allFYsTable[year2], AJ$3)=0, NotFound, SUMIFS(allFYsTable[Actual], allFYsTable[Code], SummaryTable[[#This Row],[Code]], allFYsTable[year2], AJ$3))</f>
        <v>#N/A</v>
      </c>
      <c r="AO142" s="61" t="e">
        <f>IF(COUNTIFS(allFYsTable[Code], SummaryTable[[#This Row],[Code]], allFYsTable[year2], AJ$3)=0, NotFound, SUMIFS(allFYsTable[DiffAmount], allFYsTable[Code], SummaryTable[[#This Row],[Code]], allFYsTable[year2], AJ$3))</f>
        <v>#N/A</v>
      </c>
      <c r="AP142" s="63" t="e">
        <f>IF(SummaryTable[[#This Row],[OriginalBudget24]]=0, IF(SummaryTable[[#This Row],[DiffAmount24]]=0, ZeroBudgetNoSpending, ZeroBudgetWithSpending), SummaryTable[[#This Row],[DiffAmount24]]/SummaryTable[[#This Row],[OriginalBudget24]])</f>
        <v>#N/A</v>
      </c>
      <c r="AQ142" s="62" t="e">
        <f>IF(COUNTIFS(allFYsTable[Code], SummaryTable[[#This Row],[Code]], allFYsTable[year2], AQ$3)=0, NotFound, SUMIFS(allFYsTable[OriginalBudget], allFYsTable[Code], SummaryTable[[#This Row],[Code]], allFYsTable[year2], AQ$3))</f>
        <v>#N/A</v>
      </c>
      <c r="AR142" s="61" t="e">
        <f>SummaryTable[[#This Row],[OriginalBudget23]]-SummaryTable[[#This Row],[OriginalBudget22]]</f>
        <v>#N/A</v>
      </c>
      <c r="AS142" s="54" t="e">
        <f>SummaryTable[[#This Row],[BudgetIncreaseAmount23]]/SummaryTable[[#This Row],[OriginalBudget22]]</f>
        <v>#N/A</v>
      </c>
      <c r="AT142" s="61" t="e">
        <f>IF(COUNTIFS(allFYsTable[Code], SummaryTable[[#This Row],[Code]], allFYsTable[year2], AQ$3)=0, NotFound, SUMIFS(allFYsTable[RevisedBudget], allFYsTable[Code], SummaryTable[[#This Row],[Code]], allFYsTable[year2], AQ$3))</f>
        <v>#N/A</v>
      </c>
      <c r="AU142" s="61" t="e">
        <f>IF(COUNTIFS(allFYsTable[Code], SummaryTable[[#This Row],[Code]], allFYsTable[year2], AQ$3)=0, NotFound, SUMIFS(allFYsTable[Actual], allFYsTable[Code], SummaryTable[[#This Row],[Code]], allFYsTable[year2], AQ$3))</f>
        <v>#N/A</v>
      </c>
      <c r="AV142" s="61" t="e">
        <f>IF(COUNTIFS(allFYsTable[Code], SummaryTable[[#This Row],[Code]], allFYsTable[year2], AQ$3)=0, NotFound, SUMIFS(allFYsTable[DiffAmount], allFYsTable[Code], SummaryTable[[#This Row],[Code]], allFYsTable[year2], AQ$3))</f>
        <v>#N/A</v>
      </c>
      <c r="AW142" s="63" t="e">
        <f>IF(SummaryTable[[#This Row],[OriginalBudget23]]=0, IF(SummaryTable[[#This Row],[DiffAmount23]]=0, ZeroBudgetNoSpending, ZeroBudgetWithSpending), SummaryTable[[#This Row],[DiffAmount23]]/SummaryTable[[#This Row],[OriginalBudget23]])</f>
        <v>#N/A</v>
      </c>
      <c r="AX142" s="62" t="e">
        <f>IF(COUNTIFS(allFYsTable[Code], SummaryTable[[#This Row],[Code]], allFYsTable[year2], AX$3)=0, NotFound, SUMIFS(allFYsTable[OriginalBudget], allFYsTable[Code], SummaryTable[[#This Row],[Code]], allFYsTable[year2], AX$3))</f>
        <v>#N/A</v>
      </c>
      <c r="AY142" s="61" t="e">
        <f>SummaryTable[[#This Row],[OriginalBudget22]]-SummaryTable[[#This Row],[OriginalBudget21]]</f>
        <v>#N/A</v>
      </c>
      <c r="AZ142" s="54" t="e">
        <f>SummaryTable[[#This Row],[BudgetIncreaseAmount22]]/SummaryTable[[#This Row],[OriginalBudget21]]</f>
        <v>#N/A</v>
      </c>
      <c r="BA142" s="61" t="e">
        <f>IF(COUNTIFS(allFYsTable[Code], SummaryTable[[#This Row],[Code]], allFYsTable[year2], AX$3)=0, NotFound, SUMIFS(allFYsTable[RevisedBudget], allFYsTable[Code], SummaryTable[[#This Row],[Code]], allFYsTable[year2], AX$3))</f>
        <v>#N/A</v>
      </c>
      <c r="BB142" s="61" t="e">
        <f>IF(COUNTIFS(allFYsTable[Code], SummaryTable[[#This Row],[Code]], allFYsTable[year2], AX$3)=0, NotFound, SUMIFS(allFYsTable[Actual], allFYsTable[Code], SummaryTable[[#This Row],[Code]], allFYsTable[year2], AX$3))</f>
        <v>#N/A</v>
      </c>
      <c r="BC142" s="61" t="e">
        <f>IF(COUNTIFS(allFYsTable[Code], SummaryTable[[#This Row],[Code]], allFYsTable[year2], AX$3)=0, NotFound, SUMIFS(allFYsTable[DiffAmount], allFYsTable[Code], SummaryTable[[#This Row],[Code]], allFYsTable[year2], AX$3))</f>
        <v>#N/A</v>
      </c>
      <c r="BD142" s="63" t="e">
        <f>IF(SummaryTable[[#This Row],[OriginalBudget22]]=0, IF(SummaryTable[[#This Row],[DiffAmount22]]=0, ZeroBudgetNoSpending, ZeroBudgetWithSpending), SummaryTable[[#This Row],[DiffAmount22]]/SummaryTable[[#This Row],[OriginalBudget22]])</f>
        <v>#N/A</v>
      </c>
      <c r="BE142" s="62">
        <f>IF(COUNTIFS(allFYsTable[Code], SummaryTable[[#This Row],[Code]], allFYsTable[year2], BE$3)=0, NotFound, SUMIFS(allFYsTable[OriginalBudget], allFYsTable[Code], SummaryTable[[#This Row],[Code]], allFYsTable[year2], BE$3))</f>
        <v>17540</v>
      </c>
      <c r="BF142" s="61" t="e">
        <f>SummaryTable[[#This Row],[OriginalBudget21]]-SummaryTable[[#This Row],[OriginalBudget20]]</f>
        <v>#N/A</v>
      </c>
      <c r="BG142" s="54" t="e">
        <f>SummaryTable[[#This Row],[BudgetIncreaseAmount21]]/SummaryTable[[#This Row],[OriginalBudget20]]</f>
        <v>#N/A</v>
      </c>
      <c r="BH142" s="61">
        <f>IF(COUNTIFS(allFYsTable[Code], SummaryTable[[#This Row],[Code]], allFYsTable[year2], BE$3)=0, NotFound, SUMIFS(allFYsTable[RevisedBudget], allFYsTable[Code], SummaryTable[[#This Row],[Code]], allFYsTable[year2], BE$3))</f>
        <v>540</v>
      </c>
      <c r="BI142" s="61">
        <f>IF(COUNTIFS(allFYsTable[Code], SummaryTable[[#This Row],[Code]], allFYsTable[year2], BE$3)=0, NotFound, SUMIFS(allFYsTable[Actual], allFYsTable[Code], SummaryTable[[#This Row],[Code]], allFYsTable[year2], BE$3))</f>
        <v>0</v>
      </c>
      <c r="BJ142" s="61">
        <f>IF(COUNTIFS(allFYsTable[Code], SummaryTable[[#This Row],[Code]], allFYsTable[year2], BE$3)=0, NotFound, SUMIFS(allFYsTable[DiffAmount], allFYsTable[Code], SummaryTable[[#This Row],[Code]], allFYsTable[year2], BE$3))</f>
        <v>-17540</v>
      </c>
      <c r="BK142" s="63">
        <f>IF(SummaryTable[[#This Row],[OriginalBudget21]]=0, IF(SummaryTable[[#This Row],[DiffAmount21]]=0, ZeroBudgetNoSpending, ZeroBudgetWithSpending), SummaryTable[[#This Row],[DiffAmount21]]/SummaryTable[[#This Row],[OriginalBudget21]])</f>
        <v>-1</v>
      </c>
      <c r="BL142" s="62" t="e">
        <f>IF(COUNTIFS(allFYsTable[Code], SummaryTable[[#This Row],[Code]], allFYsTable[year2], BL$3)=0, NotFound, SUMIFS(allFYsTable[OriginalBudget], allFYsTable[Code], SummaryTable[[#This Row],[Code]], allFYsTable[year2], BL$3))</f>
        <v>#N/A</v>
      </c>
      <c r="BM142" s="61" t="e">
        <f>SummaryTable[[#This Row],[OriginalBudget20]]-SummaryTable[[#This Row],[OriginalBudget19]]</f>
        <v>#N/A</v>
      </c>
      <c r="BN142" s="54" t="e">
        <f>SummaryTable[[#This Row],[BudgetIncreaseAmount20]]/SummaryTable[[#This Row],[OriginalBudget19]]</f>
        <v>#N/A</v>
      </c>
      <c r="BO142" s="61" t="e">
        <f>IF(COUNTIFS(allFYsTable[Code], SummaryTable[[#This Row],[Code]], allFYsTable[year2], BL$3)=0, NotFound, SUMIFS(allFYsTable[RevisedBudget], allFYsTable[Code], SummaryTable[[#This Row],[Code]], allFYsTable[year2], BL$3))</f>
        <v>#N/A</v>
      </c>
      <c r="BP142" s="61" t="e">
        <f>IF(COUNTIFS(allFYsTable[Code], SummaryTable[[#This Row],[Code]], allFYsTable[year2], BL$3)=0, NotFound, SUMIFS(allFYsTable[Actual], allFYsTable[Code], SummaryTable[[#This Row],[Code]], allFYsTable[year2], BL$3))</f>
        <v>#N/A</v>
      </c>
      <c r="BQ142" s="61" t="e">
        <f>IF(COUNTIFS(allFYsTable[Code], SummaryTable[[#This Row],[Code]], allFYsTable[year2], BL$3)=0, NotFound, SUMIFS(allFYsTable[DiffAmount], allFYsTable[Code], SummaryTable[[#This Row],[Code]], allFYsTable[year2], BL$3))</f>
        <v>#N/A</v>
      </c>
      <c r="BR142" s="63" t="e">
        <f>IF(SummaryTable[[#This Row],[OriginalBudget20]]=0, IF(SummaryTable[[#This Row],[DiffAmount20]]=0, ZeroBudgetNoSpending, ZeroBudgetWithSpending), SummaryTable[[#This Row],[DiffAmount20]]/SummaryTable[[#This Row],[OriginalBudget20]])</f>
        <v>#N/A</v>
      </c>
      <c r="BS142" s="62" t="e">
        <f>IF(COUNTIFS(allFYsTable[Code], SummaryTable[[#This Row],[Code]], allFYsTable[year2], BS$3)=0, NotFound, SUMIFS(allFYsTable[OriginalBudget], allFYsTable[Code], SummaryTable[[#This Row],[Code]], allFYsTable[year2], BS$3))</f>
        <v>#N/A</v>
      </c>
      <c r="BT142" s="61" t="e">
        <f>SummaryTable[[#This Row],[OriginalBudget19]]-SummaryTable[[#This Row],[OriginalBudget18]]</f>
        <v>#N/A</v>
      </c>
      <c r="BU142" s="54" t="e">
        <f>SummaryTable[[#This Row],[BudgetIncreaseAmount19]]/SummaryTable[[#This Row],[OriginalBudget18]]</f>
        <v>#N/A</v>
      </c>
      <c r="BV142" s="61" t="e">
        <f>IF(COUNTIFS(allFYsTable[Code], SummaryTable[[#This Row],[Code]], allFYsTable[year2], BS$3)=0, NotFound, SUMIFS(allFYsTable[RevisedBudget], allFYsTable[Code], SummaryTable[[#This Row],[Code]], allFYsTable[year2], BS$3))</f>
        <v>#N/A</v>
      </c>
      <c r="BW142" s="61" t="e">
        <f>IF(COUNTIFS(allFYsTable[Code], SummaryTable[[#This Row],[Code]], allFYsTable[year2], BS$3)=0, NotFound, SUMIFS(allFYsTable[Actual], allFYsTable[Code], SummaryTable[[#This Row],[Code]], allFYsTable[year2], BS$3))</f>
        <v>#N/A</v>
      </c>
      <c r="BX142" s="61" t="e">
        <f>IF(COUNTIFS(allFYsTable[Code], SummaryTable[[#This Row],[Code]], allFYsTable[year2], BS$3)=0, NotFound, SUMIFS(allFYsTable[DiffAmount], allFYsTable[Code], SummaryTable[[#This Row],[Code]], allFYsTable[year2], BS$3))</f>
        <v>#N/A</v>
      </c>
      <c r="BY142" s="63" t="e">
        <f>IF(SummaryTable[[#This Row],[OriginalBudget19]]=0, IF(SummaryTable[[#This Row],[DiffAmount19]]=0, ZeroBudgetNoSpending, ZeroBudgetWithSpending), SummaryTable[[#This Row],[DiffAmount19]]/SummaryTable[[#This Row],[OriginalBudget19]])</f>
        <v>#N/A</v>
      </c>
      <c r="BZ142" s="62" t="e">
        <f>IF(COUNTIFS(allFYsTable[Code], SummaryTable[[#This Row],[Code]], allFYsTable[year2], BZ$3)=0, NotFound, SUMIFS(allFYsTable[OriginalBudget], allFYsTable[Code], SummaryTable[[#This Row],[Code]], allFYsTable[year2], BZ$3))</f>
        <v>#N/A</v>
      </c>
      <c r="CA142" s="61" t="e">
        <f>SummaryTable[[#This Row],[OriginalBudget18]]-SummaryTable[[#This Row],[OriginalBudget17]]</f>
        <v>#N/A</v>
      </c>
      <c r="CB142" s="54" t="e">
        <f>SummaryTable[[#This Row],[BudgetIncreaseAmount18]]/SummaryTable[[#This Row],[OriginalBudget17]]</f>
        <v>#N/A</v>
      </c>
      <c r="CC142" s="61" t="e">
        <f>IF(COUNTIFS(allFYsTable[Code], SummaryTable[[#This Row],[Code]], allFYsTable[year2], BZ$3)=0, NotFound, SUMIFS(allFYsTable[RevisedBudget], allFYsTable[Code], SummaryTable[[#This Row],[Code]], allFYsTable[year2], BZ$3))</f>
        <v>#N/A</v>
      </c>
      <c r="CD142" s="61" t="e">
        <f>IF(COUNTIFS(allFYsTable[Code], SummaryTable[[#This Row],[Code]], allFYsTable[year2], BZ$3)=0, NotFound, SUMIFS(allFYsTable[Actual], allFYsTable[Code], SummaryTable[[#This Row],[Code]], allFYsTable[year2], BZ$3))</f>
        <v>#N/A</v>
      </c>
      <c r="CE142" s="61" t="e">
        <f>IF(COUNTIFS(allFYsTable[Code], SummaryTable[[#This Row],[Code]], allFYsTable[year2], BZ$3)=0, NotFound, SUMIFS(allFYsTable[DiffAmount], allFYsTable[Code], SummaryTable[[#This Row],[Code]], allFYsTable[year2], BZ$3))</f>
        <v>#N/A</v>
      </c>
      <c r="CF142" s="63" t="e">
        <f>IF(SummaryTable[[#This Row],[OriginalBudget18]]=0, IF(SummaryTable[[#This Row],[DiffAmount18]]=0, ZeroBudgetNoSpending, ZeroBudgetWithSpending), SummaryTable[[#This Row],[DiffAmount18]]/SummaryTable[[#This Row],[OriginalBudget18]])</f>
        <v>#N/A</v>
      </c>
      <c r="CG142" s="62" t="e">
        <f>IF(COUNTIFS(allFYsTable[Code], SummaryTable[[#This Row],[Code]], allFYsTable[year2], CG$3)=0, NotFound, SUMIFS(allFYsTable[OriginalBudget], allFYsTable[Code], SummaryTable[[#This Row],[Code]], allFYsTable[year2], CG$3))</f>
        <v>#N/A</v>
      </c>
      <c r="CH142" s="61" t="e">
        <f>SummaryTable[[#This Row],[OriginalBudget17]]-SummaryTable[[#This Row],[OriginalBudget16]]</f>
        <v>#N/A</v>
      </c>
      <c r="CI142" s="54" t="e">
        <f>SummaryTable[[#This Row],[BudgetIncreaseAmount17]]/SummaryTable[[#This Row],[OriginalBudget16]]</f>
        <v>#N/A</v>
      </c>
      <c r="CJ142" s="61" t="e">
        <f>IF(COUNTIFS(allFYsTable[Code], SummaryTable[[#This Row],[Code]], allFYsTable[year2], CG$3)=0, NotFound, SUMIFS(allFYsTable[RevisedBudget], allFYsTable[Code], SummaryTable[[#This Row],[Code]], allFYsTable[year2], CG$3))</f>
        <v>#N/A</v>
      </c>
      <c r="CK142" s="61" t="e">
        <f>IF(COUNTIFS(allFYsTable[Code], SummaryTable[[#This Row],[Code]], allFYsTable[year2], CG$3)=0, NotFound, SUMIFS(allFYsTable[Actual], allFYsTable[Code], SummaryTable[[#This Row],[Code]], allFYsTable[year2], CG$3))</f>
        <v>#N/A</v>
      </c>
      <c r="CL142" s="61" t="e">
        <f>IF(COUNTIFS(allFYsTable[Code], SummaryTable[[#This Row],[Code]], allFYsTable[year2], CG$3)=0, NotFound, SUMIFS(allFYsTable[DiffAmount], allFYsTable[Code], SummaryTable[[#This Row],[Code]], allFYsTable[year2], CG$3))</f>
        <v>#N/A</v>
      </c>
      <c r="CM142" s="63" t="e">
        <f>IF(SummaryTable[[#This Row],[OriginalBudget17]]=0, IF(SummaryTable[[#This Row],[DiffAmount17]]=0, ZeroBudgetNoSpending, ZeroBudgetWithSpending), SummaryTable[[#This Row],[DiffAmount17]]/SummaryTable[[#This Row],[OriginalBudget17]])</f>
        <v>#N/A</v>
      </c>
      <c r="CN142" s="62" t="e">
        <f>IF(COUNTIFS(allFYsTable[Code], SummaryTable[[#This Row],[Code]], allFYsTable[year2], CN$3)=0, NotFound, SUMIFS(allFYsTable[OriginalBudget], allFYsTable[Code], SummaryTable[[#This Row],[Code]], allFYsTable[year2], CN$3))</f>
        <v>#N/A</v>
      </c>
      <c r="CO142" s="61" t="e">
        <f>SummaryTable[[#This Row],[OriginalBudget16]]-SummaryTable[[#This Row],[OriginalBudget15]]</f>
        <v>#N/A</v>
      </c>
      <c r="CP142" s="54" t="e">
        <f>SummaryTable[[#This Row],[BudgetIncreaseAmount16]]/SummaryTable[[#This Row],[OriginalBudget15]]</f>
        <v>#N/A</v>
      </c>
      <c r="CQ142" s="61" t="e">
        <f>IF(COUNTIFS(allFYsTable[Code], SummaryTable[[#This Row],[Code]], allFYsTable[year2], CN$3)=0, NotFound, SUMIFS(allFYsTable[RevisedBudget], allFYsTable[Code], SummaryTable[[#This Row],[Code]], allFYsTable[year2], CN$3))</f>
        <v>#N/A</v>
      </c>
      <c r="CR142" s="61" t="e">
        <f>IF(COUNTIFS(allFYsTable[Code], SummaryTable[[#This Row],[Code]], allFYsTable[year2], CN$3)=0, NotFound, SUMIFS(allFYsTable[Actual], allFYsTable[Code], SummaryTable[[#This Row],[Code]], allFYsTable[year2], CN$3))</f>
        <v>#N/A</v>
      </c>
      <c r="CS142" s="61" t="e">
        <f>IF(COUNTIFS(allFYsTable[Code], SummaryTable[[#This Row],[Code]], allFYsTable[year2], CN$3)=0, NotFound, SUMIFS(allFYsTable[DiffAmount], allFYsTable[Code], SummaryTable[[#This Row],[Code]], allFYsTable[year2], CN$3))</f>
        <v>#N/A</v>
      </c>
      <c r="CT142" s="63" t="e">
        <f>IF(SummaryTable[[#This Row],[OriginalBudget16]]=0, IF(SummaryTable[[#This Row],[DiffAmount16]]=0, ZeroBudgetNoSpending, ZeroBudgetWithSpending), SummaryTable[[#This Row],[DiffAmount16]]/SummaryTable[[#This Row],[OriginalBudget16]])</f>
        <v>#N/A</v>
      </c>
      <c r="CU142" s="62" t="e">
        <f>IF(COUNTIFS(allFYsTable[Code], SummaryTable[[#This Row],[Code]], allFYsTable[year2], CU$3)=0, NotFound, SUMIFS(allFYsTable[OriginalBudget], allFYsTable[Code], SummaryTable[[#This Row],[Code]], allFYsTable[year2], CU$3))</f>
        <v>#N/A</v>
      </c>
      <c r="CV142" s="61" t="e">
        <f>SummaryTable[[#This Row],[OriginalBudget15]]-SummaryTable[[#This Row],[OriginalBudget14]]</f>
        <v>#N/A</v>
      </c>
      <c r="CW142" s="54" t="e">
        <f>SummaryTable[[#This Row],[BudgetIncreaseAmount15]]/SummaryTable[[#This Row],[OriginalBudget14]]</f>
        <v>#N/A</v>
      </c>
      <c r="CX142" s="61" t="e">
        <f>IF(COUNTIFS(allFYsTable[Code], SummaryTable[[#This Row],[Code]], allFYsTable[year2], CU$3)=0, NotFound, SUMIFS(allFYsTable[RevisedBudget], allFYsTable[Code], SummaryTable[[#This Row],[Code]], allFYsTable[year2], CU$3))</f>
        <v>#N/A</v>
      </c>
      <c r="CY142" s="61" t="e">
        <f>IF(COUNTIFS(allFYsTable[Code], SummaryTable[[#This Row],[Code]], allFYsTable[year2], CU$3)=0, NotFound, SUMIFS(allFYsTable[Actual], allFYsTable[Code], SummaryTable[[#This Row],[Code]], allFYsTable[year2], CU$3))</f>
        <v>#N/A</v>
      </c>
      <c r="CZ142" s="61" t="e">
        <f>IF(COUNTIFS(allFYsTable[Code], SummaryTable[[#This Row],[Code]], allFYsTable[year2], CU$3)=0, NotFound, SUMIFS(allFYsTable[DiffAmount], allFYsTable[Code], SummaryTable[[#This Row],[Code]], allFYsTable[year2], CU$3))</f>
        <v>#N/A</v>
      </c>
      <c r="DA142" s="63" t="e">
        <f>IF(SummaryTable[[#This Row],[OriginalBudget15]]=0, IF(SummaryTable[[#This Row],[DiffAmount15]]=0, ZeroBudgetNoSpending, ZeroBudgetWithSpending), SummaryTable[[#This Row],[DiffAmount15]]/SummaryTable[[#This Row],[OriginalBudget15]])</f>
        <v>#N/A</v>
      </c>
      <c r="DB142" s="62" t="e">
        <f>IF(COUNTIFS(allFYsTable[Code], SummaryTable[[#This Row],[Code]], allFYsTable[year2], DB$3)=0, NotFound, SUMIFS(allFYsTable[OriginalBudget], allFYsTable[Code], SummaryTable[[#This Row],[Code]], allFYsTable[year2], DB$3))</f>
        <v>#N/A</v>
      </c>
      <c r="DC142" s="61" t="e">
        <f>SummaryTable[[#This Row],[OriginalBudget14]]-SummaryTable[[#This Row],[OriginalBudget13]]</f>
        <v>#N/A</v>
      </c>
      <c r="DD142" s="54" t="e">
        <f>SummaryTable[[#This Row],[BudgetIncreaseAmount14]]/SummaryTable[[#This Row],[OriginalBudget13]]</f>
        <v>#N/A</v>
      </c>
      <c r="DE142" s="61" t="e">
        <f>IF(COUNTIFS(allFYsTable[Code], SummaryTable[[#This Row],[Code]], allFYsTable[year2], DB$3)=0, NotFound, SUMIFS(allFYsTable[RevisedBudget], allFYsTable[Code], SummaryTable[[#This Row],[Code]], allFYsTable[year2], DB$3))</f>
        <v>#N/A</v>
      </c>
      <c r="DF142" s="61" t="e">
        <f>IF(COUNTIFS(allFYsTable[Code], SummaryTable[[#This Row],[Code]], allFYsTable[year2], DB$3)=0, NotFound, SUMIFS(allFYsTable[Actual], allFYsTable[Code], SummaryTable[[#This Row],[Code]], allFYsTable[year2], DB$3))</f>
        <v>#N/A</v>
      </c>
      <c r="DG142" s="61" t="e">
        <f>IF(COUNTIFS(allFYsTable[Code], SummaryTable[[#This Row],[Code]], allFYsTable[year2], DB$3)=0, NotFound, SUMIFS(allFYsTable[DiffAmount], allFYsTable[Code], SummaryTable[[#This Row],[Code]], allFYsTable[year2], DB$3))</f>
        <v>#N/A</v>
      </c>
      <c r="DH142" s="63" t="e">
        <f>IF(SummaryTable[[#This Row],[OriginalBudget14]]=0, IF(SummaryTable[[#This Row],[DiffAmount14]]=0, ZeroBudgetNoSpending, ZeroBudgetWithSpending), SummaryTable[[#This Row],[DiffAmount14]]/SummaryTable[[#This Row],[OriginalBudget14]])</f>
        <v>#N/A</v>
      </c>
      <c r="DI142" s="62" t="e">
        <f>IF(COUNTIFS(allFYsTable[Code], SummaryTable[[#This Row],[Code]], allFYsTable[year2], DI$3)=0, NotFound, SUMIFS(allFYsTable[OriginalBudget], allFYsTable[Code], SummaryTable[[#This Row],[Code]], allFYsTable[year2], DI$3))</f>
        <v>#N/A</v>
      </c>
      <c r="DJ142" s="61" t="e">
        <f>SummaryTable[[#This Row],[OriginalBudget13]]-SummaryTable[[#This Row],[OriginalBudget12]]</f>
        <v>#N/A</v>
      </c>
      <c r="DK142" s="54" t="e">
        <f>SummaryTable[[#This Row],[BudgetIncreaseAmount13]]/SummaryTable[[#This Row],[OriginalBudget12]]</f>
        <v>#N/A</v>
      </c>
      <c r="DL142" s="61" t="e">
        <f>IF(COUNTIFS(allFYsTable[Code], SummaryTable[[#This Row],[Code]], allFYsTable[year2], DI$3)=0, NotFound, SUMIFS(allFYsTable[RevisedBudget], allFYsTable[Code], SummaryTable[[#This Row],[Code]], allFYsTable[year2], DI$3))</f>
        <v>#N/A</v>
      </c>
      <c r="DM142" s="61" t="e">
        <f>IF(COUNTIFS(allFYsTable[Code], SummaryTable[[#This Row],[Code]], allFYsTable[year2], DI$3)=0, NotFound, SUMIFS(allFYsTable[Actual], allFYsTable[Code], SummaryTable[[#This Row],[Code]], allFYsTable[year2], DI$3))</f>
        <v>#N/A</v>
      </c>
      <c r="DN142" s="61" t="e">
        <f>IF(COUNTIFS(allFYsTable[Code], SummaryTable[[#This Row],[Code]], allFYsTable[year2], DI$3)=0, NotFound, SUMIFS(allFYsTable[DiffAmount], allFYsTable[Code], SummaryTable[[#This Row],[Code]], allFYsTable[year2], DI$3))</f>
        <v>#N/A</v>
      </c>
      <c r="DO142" s="63" t="e">
        <f>IF(SummaryTable[[#This Row],[OriginalBudget13]]=0, IF(SummaryTable[[#This Row],[DiffAmount13]]=0, ZeroBudgetNoSpending, ZeroBudgetWithSpending), SummaryTable[[#This Row],[DiffAmount13]]/SummaryTable[[#This Row],[OriginalBudget13]])</f>
        <v>#N/A</v>
      </c>
      <c r="DP142" s="62" t="e">
        <f>IF(COUNTIFS(allFYsTable[Code], SummaryTable[[#This Row],[Code]], allFYsTable[year2], DP$3)=0, NotFound, SUMIFS(allFYsTable[OriginalBudget], allFYsTable[Code], SummaryTable[[#This Row],[Code]], allFYsTable[year2], DP$3))</f>
        <v>#N/A</v>
      </c>
      <c r="DQ142" s="61" t="e">
        <f>SummaryTable[[#This Row],[OriginalBudget12]]-SummaryTable[[#This Row],[OriginalBudget11]]</f>
        <v>#N/A</v>
      </c>
      <c r="DR142" s="54" t="e">
        <f>SummaryTable[[#This Row],[BudgetIncreaseAmount12]]/SummaryTable[[#This Row],[OriginalBudget11]]</f>
        <v>#N/A</v>
      </c>
      <c r="DS142" s="61" t="e">
        <f>IF(COUNTIFS(allFYsTable[Code], SummaryTable[[#This Row],[Code]], allFYsTable[year2], DP$3)=0, NotFound, SUMIFS(allFYsTable[RevisedBudget], allFYsTable[Code], SummaryTable[[#This Row],[Code]], allFYsTable[year2], DP$3))</f>
        <v>#N/A</v>
      </c>
      <c r="DT142" s="61" t="e">
        <f>IF(COUNTIFS(allFYsTable[Code], SummaryTable[[#This Row],[Code]], allFYsTable[year2], DP$3)=0, NotFound, SUMIFS(allFYsTable[Actual], allFYsTable[Code], SummaryTable[[#This Row],[Code]], allFYsTable[year2], DP$3))</f>
        <v>#N/A</v>
      </c>
      <c r="DU142" s="61" t="e">
        <f>IF(COUNTIFS(allFYsTable[Code], SummaryTable[[#This Row],[Code]], allFYsTable[year2], DP$3)=0, NotFound, SUMIFS(allFYsTable[DiffAmount], allFYsTable[Code], SummaryTable[[#This Row],[Code]], allFYsTable[year2], DP$3))</f>
        <v>#N/A</v>
      </c>
      <c r="DV142" s="63" t="e">
        <f>IF(SummaryTable[[#This Row],[OriginalBudget12]]=0, IF(SummaryTable[[#This Row],[DiffAmount12]]=0, ZeroBudgetNoSpending, ZeroBudgetWithSpending), SummaryTable[[#This Row],[DiffAmount12]]/SummaryTable[[#This Row],[OriginalBudget12]])</f>
        <v>#N/A</v>
      </c>
      <c r="DW142" s="62" t="e">
        <f>IF(COUNTIFS(allFYsTable[Code], SummaryTable[[#This Row],[Code]], allFYsTable[year2], DW$3)=0, NotFound, SUMIFS(allFYsTable[OriginalBudget], allFYsTable[Code], SummaryTable[[#This Row],[Code]], allFYsTable[year2], DW$3))</f>
        <v>#N/A</v>
      </c>
      <c r="DX142" s="61" t="e">
        <f>SummaryTable[[#This Row],[OriginalBudget11]]-SummaryTable[[#This Row],[OriginalBudget10]]</f>
        <v>#N/A</v>
      </c>
      <c r="DY142" s="54" t="e">
        <f>SummaryTable[[#This Row],[BudgetIncreaseAmount11]]/SummaryTable[[#This Row],[OriginalBudget10]]</f>
        <v>#N/A</v>
      </c>
      <c r="DZ142" s="61" t="e">
        <f>IF(COUNTIFS(allFYsTable[Code], SummaryTable[[#This Row],[Code]], allFYsTable[year2], DW$3)=0, NotFound, SUMIFS(allFYsTable[RevisedBudget], allFYsTable[Code], SummaryTable[[#This Row],[Code]], allFYsTable[year2], DW$3))</f>
        <v>#N/A</v>
      </c>
      <c r="EA142" s="61" t="e">
        <f>IF(COUNTIFS(allFYsTable[Code], SummaryTable[[#This Row],[Code]], allFYsTable[year2], DW$3)=0, NotFound, SUMIFS(allFYsTable[Actual], allFYsTable[Code], SummaryTable[[#This Row],[Code]], allFYsTable[year2], DW$3))</f>
        <v>#N/A</v>
      </c>
      <c r="EB142" s="61" t="e">
        <f>IF(COUNTIFS(allFYsTable[Code], SummaryTable[[#This Row],[Code]], allFYsTable[year2], DW$3)=0, NotFound, SUMIFS(allFYsTable[DiffAmount], allFYsTable[Code], SummaryTable[[#This Row],[Code]], allFYsTable[year2], DW$3))</f>
        <v>#N/A</v>
      </c>
      <c r="EC142" s="63" t="e">
        <f>IF(SummaryTable[[#This Row],[OriginalBudget11]]=0, IF(SummaryTable[[#This Row],[DiffAmount11]]=0, ZeroBudgetNoSpending, ZeroBudgetWithSpending), SummaryTable[[#This Row],[DiffAmount11]]/SummaryTable[[#This Row],[OriginalBudget11]])</f>
        <v>#N/A</v>
      </c>
      <c r="ED142" s="62" t="e">
        <f>IF(COUNTIFS(allFYsTable[Code], SummaryTable[[#This Row],[Code]], allFYsTable[year2], ED$3)=0, NotFound, SUMIFS(allFYsTable[OriginalBudget], allFYsTable[Code], SummaryTable[[#This Row],[Code]], allFYsTable[year2], ED$3))</f>
        <v>#N/A</v>
      </c>
      <c r="EE142" s="61" t="e">
        <f>SummaryTable[[#This Row],[OriginalBudget10]]-SummaryTable[[#This Row],[OriginalBudget09]]</f>
        <v>#N/A</v>
      </c>
      <c r="EF142" s="54" t="e">
        <f>SummaryTable[[#This Row],[BudgetIncreaseAmount10]]/SummaryTable[[#This Row],[OriginalBudget09]]</f>
        <v>#N/A</v>
      </c>
      <c r="EG142" s="61" t="e">
        <f>IF(COUNTIFS(allFYsTable[Code], SummaryTable[[#This Row],[Code]], allFYsTable[year2], ED$3)=0, NotFound, SUMIFS(allFYsTable[RevisedBudget], allFYsTable[Code], SummaryTable[[#This Row],[Code]], allFYsTable[year2], ED$3))</f>
        <v>#N/A</v>
      </c>
      <c r="EH142" s="61" t="e">
        <f>IF(COUNTIFS(allFYsTable[Code], SummaryTable[[#This Row],[Code]], allFYsTable[year2], ED$3)=0, NotFound, SUMIFS(allFYsTable[Actual], allFYsTable[Code], SummaryTable[[#This Row],[Code]], allFYsTable[year2], ED$3))</f>
        <v>#N/A</v>
      </c>
      <c r="EI142" s="61" t="e">
        <f>IF(COUNTIFS(allFYsTable[Code], SummaryTable[[#This Row],[Code]], allFYsTable[year2], ED$3)=0, NotFound, SUMIFS(allFYsTable[DiffAmount], allFYsTable[Code], SummaryTable[[#This Row],[Code]], allFYsTable[year2], ED$3))</f>
        <v>#N/A</v>
      </c>
      <c r="EJ142" s="63" t="e">
        <f>IF(SummaryTable[[#This Row],[OriginalBudget10]]=0, IF(SummaryTable[[#This Row],[DiffAmount10]]=0, ZeroBudgetNoSpending, ZeroBudgetWithSpending), SummaryTable[[#This Row],[DiffAmount10]]/SummaryTable[[#This Row],[OriginalBudget10]])</f>
        <v>#N/A</v>
      </c>
      <c r="EK142" s="62" t="e">
        <f>IF(COUNTIFS(allFYsTable[Code], SummaryTable[[#This Row],[Code]], allFYsTable[year2], EK$3)=0, NotFound, SUMIFS(allFYsTable[OriginalBudget], allFYsTable[Code], SummaryTable[[#This Row],[Code]], allFYsTable[year2], EK$3))</f>
        <v>#N/A</v>
      </c>
      <c r="EL142" s="61" t="e">
        <f>SummaryTable[[#This Row],[OriginalBudget09]]-SummaryTable[[#This Row],[OriginalBudget08]]</f>
        <v>#N/A</v>
      </c>
      <c r="EM142" s="54" t="e">
        <f>SummaryTable[[#This Row],[BudgetIncreaseAmount09]]/SummaryTable[[#This Row],[OriginalBudget08]]</f>
        <v>#N/A</v>
      </c>
      <c r="EN142" s="61" t="e">
        <f>IF(COUNTIFS(allFYsTable[Code], SummaryTable[[#This Row],[Code]], allFYsTable[year2], EK$3)=0, NotFound, SUMIFS(allFYsTable[RevisedBudget], allFYsTable[Code], SummaryTable[[#This Row],[Code]], allFYsTable[year2], EK$3))</f>
        <v>#N/A</v>
      </c>
      <c r="EO142" s="61" t="e">
        <f>IF(COUNTIFS(allFYsTable[Code], SummaryTable[[#This Row],[Code]], allFYsTable[year2], EK$3)=0, NotFound, SUMIFS(allFYsTable[Actual], allFYsTable[Code], SummaryTable[[#This Row],[Code]], allFYsTable[year2], EK$3))</f>
        <v>#N/A</v>
      </c>
      <c r="EP142" s="61" t="e">
        <f>IF(COUNTIFS(allFYsTable[Code], SummaryTable[[#This Row],[Code]], allFYsTable[year2], EK$3)=0, NotFound, SUMIFS(allFYsTable[DiffAmount], allFYsTable[Code], SummaryTable[[#This Row],[Code]], allFYsTable[year2], EK$3))</f>
        <v>#N/A</v>
      </c>
      <c r="EQ142" s="63" t="e">
        <f>IF(SummaryTable[[#This Row],[OriginalBudget09]]=0, IF(SummaryTable[[#This Row],[DiffAmount09]]=0, ZeroBudgetNoSpending, ZeroBudgetWithSpending), SummaryTable[[#This Row],[DiffAmount09]]/SummaryTable[[#This Row],[OriginalBudget09]])</f>
        <v>#N/A</v>
      </c>
      <c r="ER142" s="62" t="e">
        <f>IF(COUNTIFS(allFYsTable[Code], SummaryTable[[#This Row],[Code]], allFYsTable[year2], ER$3)=0, NotFound, SUMIFS(allFYsTable[OriginalBudget], allFYsTable[Code], SummaryTable[[#This Row],[Code]], allFYsTable[year2], ER$3))</f>
        <v>#N/A</v>
      </c>
      <c r="ES142" s="61" t="e">
        <f>SummaryTable[[#This Row],[OriginalBudget08]]-SummaryTable[[#This Row],[OriginalBudget07]]</f>
        <v>#N/A</v>
      </c>
      <c r="ET142" s="54" t="e">
        <f>SummaryTable[[#This Row],[BudgetIncreaseAmount08]]/SummaryTable[[#This Row],[OriginalBudget07]]</f>
        <v>#N/A</v>
      </c>
      <c r="EU142" s="61" t="e">
        <f>IF(COUNTIFS(allFYsTable[Code], SummaryTable[[#This Row],[Code]], allFYsTable[year2], ER$3)=0, NotFound, SUMIFS(allFYsTable[RevisedBudget], allFYsTable[Code], SummaryTable[[#This Row],[Code]], allFYsTable[year2], ER$3))</f>
        <v>#N/A</v>
      </c>
      <c r="EV142" s="61" t="e">
        <f>IF(COUNTIFS(allFYsTable[Code], SummaryTable[[#This Row],[Code]], allFYsTable[year2], ER$3)=0, NotFound, SUMIFS(allFYsTable[Actual], allFYsTable[Code], SummaryTable[[#This Row],[Code]], allFYsTable[year2], ER$3))</f>
        <v>#N/A</v>
      </c>
      <c r="EW142" s="61" t="e">
        <f>IF(COUNTIFS(allFYsTable[Code], SummaryTable[[#This Row],[Code]], allFYsTable[year2], ER$3)=0, NotFound, SUMIFS(allFYsTable[DiffAmount], allFYsTable[Code], SummaryTable[[#This Row],[Code]], allFYsTable[year2], ER$3))</f>
        <v>#N/A</v>
      </c>
      <c r="EX142" s="63" t="e">
        <f>IF(SummaryTable[[#This Row],[OriginalBudget08]]=0, IF(SummaryTable[[#This Row],[DiffAmount08]]=0, ZeroBudgetNoSpending, ZeroBudgetWithSpending), SummaryTable[[#This Row],[DiffAmount08]]/SummaryTable[[#This Row],[OriginalBudget08]])</f>
        <v>#N/A</v>
      </c>
      <c r="EY142" s="62" t="e">
        <f>IF(COUNTIFS(allFYsTable[Code], SummaryTable[[#This Row],[Code]], allFYsTable[year2], EY$3)=0, NotFound, SUMIFS(allFYsTable[OriginalBudget], allFYsTable[Code], SummaryTable[[#This Row],[Code]], allFYsTable[year2], EY$3))</f>
        <v>#N/A</v>
      </c>
      <c r="EZ142" s="61" t="e">
        <f>SummaryTable[[#This Row],[OriginalBudget07]]-SummaryTable[[#This Row],[OriginalBudget06]]</f>
        <v>#N/A</v>
      </c>
      <c r="FA142" s="54" t="e">
        <f>SummaryTable[[#This Row],[BudgetIncreaseAmount07]]/SummaryTable[[#This Row],[OriginalBudget06]]</f>
        <v>#N/A</v>
      </c>
      <c r="FB142" s="61" t="e">
        <f>IF(COUNTIFS(allFYsTable[Code], SummaryTable[[#This Row],[Code]], allFYsTable[year2], EY$3)=0, NotFound, SUMIFS(allFYsTable[RevisedBudget], allFYsTable[Code], SummaryTable[[#This Row],[Code]], allFYsTable[year2], EY$3))</f>
        <v>#N/A</v>
      </c>
      <c r="FC142" s="61" t="e">
        <f>IF(COUNTIFS(allFYsTable[Code], SummaryTable[[#This Row],[Code]], allFYsTable[year2], EY$3)=0, NotFound, SUMIFS(allFYsTable[Actual], allFYsTable[Code], SummaryTable[[#This Row],[Code]], allFYsTable[year2], EY$3))</f>
        <v>#N/A</v>
      </c>
      <c r="FD142" s="61" t="e">
        <f>IF(COUNTIFS(allFYsTable[Code], SummaryTable[[#This Row],[Code]], allFYsTable[year2], EY$3)=0, NotFound, SUMIFS(allFYsTable[DiffAmount], allFYsTable[Code], SummaryTable[[#This Row],[Code]], allFYsTable[year2], EY$3))</f>
        <v>#N/A</v>
      </c>
      <c r="FE142" s="63" t="e">
        <f>IF(SummaryTable[[#This Row],[OriginalBudget07]]=0, IF(SummaryTable[[#This Row],[DiffAmount07]]=0, ZeroBudgetNoSpending, ZeroBudgetWithSpending), SummaryTable[[#This Row],[DiffAmount07]]/SummaryTable[[#This Row],[OriginalBudget07]])</f>
        <v>#N/A</v>
      </c>
      <c r="FF142" s="62" t="e">
        <f>IF(COUNTIFS(allFYsTable[Code], SummaryTable[[#This Row],[Code]], allFYsTable[year2], FF$3)=0, NotFound, SUMIFS(allFYsTable[OriginalBudget], allFYsTable[Code], SummaryTable[[#This Row],[Code]], allFYsTable[year2], FF$3))</f>
        <v>#N/A</v>
      </c>
      <c r="FI142" s="61" t="e">
        <f>IF(COUNTIFS(allFYsTable[Code], SummaryTable[[#This Row],[Code]], allFYsTable[year2], FF$3)=0, NotFound, SUMIFS(allFYsTable[RevisedBudget], allFYsTable[Code], SummaryTable[[#This Row],[Code]], allFYsTable[year2], FF$3))</f>
        <v>#N/A</v>
      </c>
      <c r="FJ142" s="61" t="e">
        <f>IF(COUNTIFS(allFYsTable[Code], SummaryTable[[#This Row],[Code]], allFYsTable[year2], FF$3)=0, NotFound, SUMIFS(allFYsTable[Actual], allFYsTable[Code], SummaryTable[[#This Row],[Code]], allFYsTable[year2], FF$3))</f>
        <v>#N/A</v>
      </c>
      <c r="FK142" s="61" t="e">
        <f>IF(COUNTIFS(allFYsTable[Code], SummaryTable[[#This Row],[Code]], allFYsTable[year2], FF$3)=0, NotFound, SUMIFS(allFYsTable[DiffAmount], allFYsTable[Code], SummaryTable[[#This Row],[Code]], allFYsTable[year2], FF$3))</f>
        <v>#N/A</v>
      </c>
      <c r="FL142" s="63" t="e">
        <f>IF(SummaryTable[[#This Row],[OriginalBudget06]]=0, IF(SummaryTable[[#This Row],[DiffAmount06]]=0, ZeroBudgetNoSpending, ZeroBudgetWithSpending), SummaryTable[[#This Row],[DiffAmount06]]/SummaryTable[[#This Row],[OriginalBudget06]])</f>
        <v>#N/A</v>
      </c>
    </row>
    <row r="143" spans="1:168" x14ac:dyDescent="0.45">
      <c r="A143" t="s">
        <v>873</v>
      </c>
      <c r="B143">
        <f>_xlfn.MAXIFS(allFYsTable[year2], allFYsTable[Code], SummaryTable[[#This Row],[Code]])</f>
        <v>2020</v>
      </c>
      <c r="C143" t="str">
        <f>_xlfn.XLOOKUP(SummaryTable[[#This Row],[Code]], NameCodingTable[Code], NameCodingTable[Most Recent Category per allFYs])</f>
        <v>Governmental direction and support</v>
      </c>
      <c r="D143" t="str">
        <f>_xlfn.XLOOKUP(SummaryTable[[#This Row],[Code]], NameCodingTable[Code], NameCodingTable[Unit Display Name])</f>
        <v>Expenditure commission</v>
      </c>
      <c r="E143" t="str">
        <f>_xlfn.XLOOKUP(SummaryTable[[#This Row],[Code]], NameCodingTable[Code], NameCodingTable[Type])</f>
        <v>untyped</v>
      </c>
      <c r="F14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4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43" s="54">
        <f>SummaryTable[[#This Row],['# Over]]/SummaryTable[[#This Row],[Count]]</f>
        <v>0</v>
      </c>
      <c r="I14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v>
      </c>
      <c r="J143" s="54">
        <f>SummaryTable[[#This Row],['# Under]]/SummaryTable[[#This Row],[Count]]</f>
        <v>1</v>
      </c>
      <c r="K14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43" s="54">
        <f>SummaryTable[[#This Row],['# Equal]]/SummaryTable[[#This Row],[Count]]</f>
        <v>0</v>
      </c>
      <c r="M143" s="61">
        <f>SUMIFS(allFYsTable[OriginalBudget],allFYsTable[Code],SummaryTable[[#This Row],[Code]])/SummaryTable[[#This Row],[Count]]</f>
        <v>1000</v>
      </c>
      <c r="N143" s="61">
        <f>SUMIFS(allFYsTable[Actual],allFYsTable[Code],SummaryTable[[#This Row],[Code]])/SummaryTable[[#This Row],[Count]]</f>
        <v>76</v>
      </c>
      <c r="O143" s="61">
        <f>SummaryTable[[#This Row],[AvgActAmt]]-SummaryTable[[#This Row],[AvgBudAmt]]</f>
        <v>-924</v>
      </c>
      <c r="P143" s="54">
        <f>IF(SummaryTable[[#This Row],[AvgBudAmt]]=0, IF(SummaryTable[[#This Row],[AvgDiff'#]]=0, 0, NamedFields!$C$3), SummaryTable[[#This Row],[AvgDiff'#]]/SummaryTable[[#This Row],[AvgBudAmt]])</f>
        <v>-0.92400000000000004</v>
      </c>
      <c r="Q143" s="61">
        <f>IFERROR(SUMIFS(allFYsTable[OriginalBudget],allFYsTable[Code],SummaryTable[[#This Row],[Code]],allFYsTable[DiffAmount], "&gt;0")/SummaryTable[[#This Row],['# Over]], 0)</f>
        <v>0</v>
      </c>
      <c r="R143" s="61">
        <f>IFERROR(SUMIFS(allFYsTable[Actual],allFYsTable[Code],SummaryTable[[#This Row],[Code]],allFYsTable[DiffAmount], "&gt;0")/SummaryTable[[#This Row],['# Over]], 0)</f>
        <v>0</v>
      </c>
      <c r="S143" s="61">
        <f>SummaryTable[[#This Row],[OverAvgAct]]-SummaryTable[[#This Row],[OverAvgBud]]</f>
        <v>0</v>
      </c>
      <c r="T143" s="54">
        <f>IF(SummaryTable[[#This Row],[OverAvgBud]]=0, IF(SummaryTable[[#This Row],[OverAvgDiff'#]]=0, ZeroBudgetNoSpending, ZeroBudgetWithSpending), SummaryTable[[#This Row],[OverAvgDiff'#]]/SummaryTable[[#This Row],[OverAvgBud]])</f>
        <v>0</v>
      </c>
      <c r="U143" s="61">
        <f>IFERROR(SUMIFS(allFYsTable[OriginalBudget],allFYsTable[Code],SummaryTable[[#This Row],[Code]],allFYsTable[DiffAmount], "&lt;0")/SummaryTable[[#This Row],['# Under]], 0)</f>
        <v>1000</v>
      </c>
      <c r="V143" s="61">
        <f>IFERROR( SUMIFS(allFYsTable[Actual],allFYsTable[Code],SummaryTable[[#This Row],[Code]],allFYsTable[DiffAmount], "&lt;0")/SummaryTable[[#This Row],['# Under]], 0)</f>
        <v>76</v>
      </c>
      <c r="W143" s="61">
        <f>SummaryTable[[#This Row],[UnderAvgAct]]-SummaryTable[[#This Row],[UnderAvgBud]]</f>
        <v>-924</v>
      </c>
      <c r="X143" s="54">
        <f>IF(SummaryTable[[#This Row],[UnderAvgBud]]=0, IF(SummaryTable[[#This Row],[UnderAvgDiff'#]]=0, ZeroBudgetNoSpending, NamedFields!$C$3), SummaryTable[[#This Row],[UnderAvgDiff'#]]/SummaryTable[[#This Row],[UnderAvgBud]])</f>
        <v>-0.92400000000000004</v>
      </c>
      <c r="Y14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4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3" s="54">
        <f>IF(SummaryTable[[#This Row],[IncreaseYears]]=0, ZeroBudgetNoSpending, SummaryTable[[#This Row],[OSinIncreaseYear'#]]/SummaryTable[[#This Row],[IncreaseYears]])</f>
        <v>0</v>
      </c>
      <c r="AB143" s="58" t="str">
        <f>SummaryTable[[#This Row],[Code]]</f>
        <v>XEC</v>
      </c>
      <c r="AC143" s="62" t="e">
        <f>IF(COUNTIFS(allFYsTable[Code], SummaryTable[[#This Row],[Code]], allFYsTable[year2], AC$3)=0, NotFound, SUMIFS(allFYsTable[OriginalBudget], allFYsTable[Code], SummaryTable[[#This Row],[Code]], allFYsTable[year2], AC$3))</f>
        <v>#N/A</v>
      </c>
      <c r="AD143" s="61" t="e">
        <f>SummaryTable[[#This Row],[OriginalBudget25]]-SummaryTable[[#This Row],[OriginalBudget24]]</f>
        <v>#N/A</v>
      </c>
      <c r="AE143" s="54" t="e">
        <f>SummaryTable[[#This Row],[BudgetIncreaseAmount25]]/SummaryTable[[#This Row],[OriginalBudget24]]</f>
        <v>#N/A</v>
      </c>
      <c r="AF143" s="61" t="e">
        <f>IF(COUNTIFS(allFYsTable[Code], SummaryTable[[#This Row],[Code]], allFYsTable[year2], AC$3)=0, NotFound, SUMIFS(allFYsTable[RevisedBudget], allFYsTable[Code], SummaryTable[[#This Row],[Code]], allFYsTable[year2], AC$3))</f>
        <v>#N/A</v>
      </c>
      <c r="AG143" s="61" t="e">
        <f>IF(COUNTIFS(allFYsTable[Code], SummaryTable[[#This Row],[Code]], allFYsTable[year2], AC$3)=0, NotFound, SUMIFS(allFYsTable[Actual], allFYsTable[Code], SummaryTable[[#This Row],[Code]], allFYsTable[year2], AC$3))</f>
        <v>#N/A</v>
      </c>
      <c r="AH143" s="61" t="e">
        <f>IF(COUNTIFS(allFYsTable[Code], SummaryTable[[#This Row],[Code]], allFYsTable[year2], AC$3)=0, NotFound, SUMIFS(allFYsTable[DiffAmount], allFYsTable[Code], SummaryTable[[#This Row],[Code]], allFYsTable[year2], AC$3))</f>
        <v>#N/A</v>
      </c>
      <c r="AI143" s="63" t="e">
        <f>IF(SummaryTable[[#This Row],[OriginalBudget25]]=0, IF(SummaryTable[[#This Row],[DiffAmount25]]=0, ZeroBudgetNoSpending, ZeroBudgetWithSpending), SummaryTable[[#This Row],[DiffAmount25]]/SummaryTable[[#This Row],[OriginalBudget25]])</f>
        <v>#N/A</v>
      </c>
      <c r="AJ143" s="62" t="e">
        <f>IF(COUNTIFS(allFYsTable[Code], SummaryTable[[#This Row],[Code]], allFYsTable[year2], AJ$3)=0, NotFound, SUMIFS(allFYsTable[OriginalBudget], allFYsTable[Code], SummaryTable[[#This Row],[Code]], allFYsTable[year2], AJ$3))</f>
        <v>#N/A</v>
      </c>
      <c r="AK143" s="61" t="e">
        <f>SummaryTable[[#This Row],[OriginalBudget24]]-SummaryTable[[#This Row],[OriginalBudget23]]</f>
        <v>#N/A</v>
      </c>
      <c r="AL143" s="54" t="e">
        <f>SummaryTable[[#This Row],[BudgetIncreaseAmount24]]/SummaryTable[[#This Row],[OriginalBudget23]]</f>
        <v>#N/A</v>
      </c>
      <c r="AM143" s="61" t="e">
        <f>IF(COUNTIFS(allFYsTable[Code], SummaryTable[[#This Row],[Code]], allFYsTable[year2], AK$3)=0, NotFound, SUMIFS(allFYsTable[RevisedBudget], allFYsTable[Code], SummaryTable[[#This Row],[Code]], allFYsTable[year2], AJ$3))</f>
        <v>#N/A</v>
      </c>
      <c r="AN143" s="61" t="e">
        <f>IF(COUNTIFS(allFYsTable[Code], SummaryTable[[#This Row],[Code]], allFYsTable[year2], AJ$3)=0, NotFound, SUMIFS(allFYsTable[Actual], allFYsTable[Code], SummaryTable[[#This Row],[Code]], allFYsTable[year2], AJ$3))</f>
        <v>#N/A</v>
      </c>
      <c r="AO143" s="61" t="e">
        <f>IF(COUNTIFS(allFYsTable[Code], SummaryTable[[#This Row],[Code]], allFYsTable[year2], AJ$3)=0, NotFound, SUMIFS(allFYsTable[DiffAmount], allFYsTable[Code], SummaryTable[[#This Row],[Code]], allFYsTable[year2], AJ$3))</f>
        <v>#N/A</v>
      </c>
      <c r="AP143" s="63" t="e">
        <f>IF(SummaryTable[[#This Row],[OriginalBudget24]]=0, IF(SummaryTable[[#This Row],[DiffAmount24]]=0, ZeroBudgetNoSpending, ZeroBudgetWithSpending), SummaryTable[[#This Row],[DiffAmount24]]/SummaryTable[[#This Row],[OriginalBudget24]])</f>
        <v>#N/A</v>
      </c>
      <c r="AQ143" s="62" t="e">
        <f>IF(COUNTIFS(allFYsTable[Code], SummaryTable[[#This Row],[Code]], allFYsTable[year2], AQ$3)=0, NotFound, SUMIFS(allFYsTable[OriginalBudget], allFYsTable[Code], SummaryTable[[#This Row],[Code]], allFYsTable[year2], AQ$3))</f>
        <v>#N/A</v>
      </c>
      <c r="AR143" s="61" t="e">
        <f>SummaryTable[[#This Row],[OriginalBudget23]]-SummaryTable[[#This Row],[OriginalBudget22]]</f>
        <v>#N/A</v>
      </c>
      <c r="AS143" s="54" t="e">
        <f>SummaryTable[[#This Row],[BudgetIncreaseAmount23]]/SummaryTable[[#This Row],[OriginalBudget22]]</f>
        <v>#N/A</v>
      </c>
      <c r="AT143" s="61" t="e">
        <f>IF(COUNTIFS(allFYsTable[Code], SummaryTable[[#This Row],[Code]], allFYsTable[year2], AQ$3)=0, NotFound, SUMIFS(allFYsTable[RevisedBudget], allFYsTable[Code], SummaryTable[[#This Row],[Code]], allFYsTable[year2], AQ$3))</f>
        <v>#N/A</v>
      </c>
      <c r="AU143" s="61" t="e">
        <f>IF(COUNTIFS(allFYsTable[Code], SummaryTable[[#This Row],[Code]], allFYsTable[year2], AQ$3)=0, NotFound, SUMIFS(allFYsTable[Actual], allFYsTable[Code], SummaryTable[[#This Row],[Code]], allFYsTable[year2], AQ$3))</f>
        <v>#N/A</v>
      </c>
      <c r="AV143" s="61" t="e">
        <f>IF(COUNTIFS(allFYsTable[Code], SummaryTable[[#This Row],[Code]], allFYsTable[year2], AQ$3)=0, NotFound, SUMIFS(allFYsTable[DiffAmount], allFYsTable[Code], SummaryTable[[#This Row],[Code]], allFYsTable[year2], AQ$3))</f>
        <v>#N/A</v>
      </c>
      <c r="AW143" s="63" t="e">
        <f>IF(SummaryTable[[#This Row],[OriginalBudget23]]=0, IF(SummaryTable[[#This Row],[DiffAmount23]]=0, ZeroBudgetNoSpending, ZeroBudgetWithSpending), SummaryTable[[#This Row],[DiffAmount23]]/SummaryTable[[#This Row],[OriginalBudget23]])</f>
        <v>#N/A</v>
      </c>
      <c r="AX143" s="62" t="e">
        <f>IF(COUNTIFS(allFYsTable[Code], SummaryTable[[#This Row],[Code]], allFYsTable[year2], AX$3)=0, NotFound, SUMIFS(allFYsTable[OriginalBudget], allFYsTable[Code], SummaryTable[[#This Row],[Code]], allFYsTable[year2], AX$3))</f>
        <v>#N/A</v>
      </c>
      <c r="AY143" s="61" t="e">
        <f>SummaryTable[[#This Row],[OriginalBudget22]]-SummaryTable[[#This Row],[OriginalBudget21]]</f>
        <v>#N/A</v>
      </c>
      <c r="AZ143" s="54" t="e">
        <f>SummaryTable[[#This Row],[BudgetIncreaseAmount22]]/SummaryTable[[#This Row],[OriginalBudget21]]</f>
        <v>#N/A</v>
      </c>
      <c r="BA143" s="61" t="e">
        <f>IF(COUNTIFS(allFYsTable[Code], SummaryTable[[#This Row],[Code]], allFYsTable[year2], AX$3)=0, NotFound, SUMIFS(allFYsTable[RevisedBudget], allFYsTable[Code], SummaryTable[[#This Row],[Code]], allFYsTable[year2], AX$3))</f>
        <v>#N/A</v>
      </c>
      <c r="BB143" s="61" t="e">
        <f>IF(COUNTIFS(allFYsTable[Code], SummaryTable[[#This Row],[Code]], allFYsTable[year2], AX$3)=0, NotFound, SUMIFS(allFYsTable[Actual], allFYsTable[Code], SummaryTable[[#This Row],[Code]], allFYsTable[year2], AX$3))</f>
        <v>#N/A</v>
      </c>
      <c r="BC143" s="61" t="e">
        <f>IF(COUNTIFS(allFYsTable[Code], SummaryTable[[#This Row],[Code]], allFYsTable[year2], AX$3)=0, NotFound, SUMIFS(allFYsTable[DiffAmount], allFYsTable[Code], SummaryTable[[#This Row],[Code]], allFYsTable[year2], AX$3))</f>
        <v>#N/A</v>
      </c>
      <c r="BD143" s="63" t="e">
        <f>IF(SummaryTable[[#This Row],[OriginalBudget22]]=0, IF(SummaryTable[[#This Row],[DiffAmount22]]=0, ZeroBudgetNoSpending, ZeroBudgetWithSpending), SummaryTable[[#This Row],[DiffAmount22]]/SummaryTable[[#This Row],[OriginalBudget22]])</f>
        <v>#N/A</v>
      </c>
      <c r="BE143" s="62" t="e">
        <f>IF(COUNTIFS(allFYsTable[Code], SummaryTable[[#This Row],[Code]], allFYsTable[year2], BE$3)=0, NotFound, SUMIFS(allFYsTable[OriginalBudget], allFYsTable[Code], SummaryTable[[#This Row],[Code]], allFYsTable[year2], BE$3))</f>
        <v>#N/A</v>
      </c>
      <c r="BF143" s="61" t="e">
        <f>SummaryTable[[#This Row],[OriginalBudget21]]-SummaryTable[[#This Row],[OriginalBudget20]]</f>
        <v>#N/A</v>
      </c>
      <c r="BG143" s="54" t="e">
        <f>SummaryTable[[#This Row],[BudgetIncreaseAmount21]]/SummaryTable[[#This Row],[OriginalBudget20]]</f>
        <v>#N/A</v>
      </c>
      <c r="BH143" s="61" t="e">
        <f>IF(COUNTIFS(allFYsTable[Code], SummaryTable[[#This Row],[Code]], allFYsTable[year2], BE$3)=0, NotFound, SUMIFS(allFYsTable[RevisedBudget], allFYsTable[Code], SummaryTable[[#This Row],[Code]], allFYsTable[year2], BE$3))</f>
        <v>#N/A</v>
      </c>
      <c r="BI143" s="61" t="e">
        <f>IF(COUNTIFS(allFYsTable[Code], SummaryTable[[#This Row],[Code]], allFYsTable[year2], BE$3)=0, NotFound, SUMIFS(allFYsTable[Actual], allFYsTable[Code], SummaryTable[[#This Row],[Code]], allFYsTable[year2], BE$3))</f>
        <v>#N/A</v>
      </c>
      <c r="BJ143" s="61" t="e">
        <f>IF(COUNTIFS(allFYsTable[Code], SummaryTable[[#This Row],[Code]], allFYsTable[year2], BE$3)=0, NotFound, SUMIFS(allFYsTable[DiffAmount], allFYsTable[Code], SummaryTable[[#This Row],[Code]], allFYsTable[year2], BE$3))</f>
        <v>#N/A</v>
      </c>
      <c r="BK143" s="63" t="e">
        <f>IF(SummaryTable[[#This Row],[OriginalBudget21]]=0, IF(SummaryTable[[#This Row],[DiffAmount21]]=0, ZeroBudgetNoSpending, ZeroBudgetWithSpending), SummaryTable[[#This Row],[DiffAmount21]]/SummaryTable[[#This Row],[OriginalBudget21]])</f>
        <v>#N/A</v>
      </c>
      <c r="BL143" s="62">
        <f>IF(COUNTIFS(allFYsTable[Code], SummaryTable[[#This Row],[Code]], allFYsTable[year2], BL$3)=0, NotFound, SUMIFS(allFYsTable[OriginalBudget], allFYsTable[Code], SummaryTable[[#This Row],[Code]], allFYsTable[year2], BL$3))</f>
        <v>1000</v>
      </c>
      <c r="BM143" s="61" t="e">
        <f>SummaryTable[[#This Row],[OriginalBudget20]]-SummaryTable[[#This Row],[OriginalBudget19]]</f>
        <v>#N/A</v>
      </c>
      <c r="BN143" s="54" t="e">
        <f>SummaryTable[[#This Row],[BudgetIncreaseAmount20]]/SummaryTable[[#This Row],[OriginalBudget19]]</f>
        <v>#N/A</v>
      </c>
      <c r="BO143" s="61">
        <f>IF(COUNTIFS(allFYsTable[Code], SummaryTable[[#This Row],[Code]], allFYsTable[year2], BL$3)=0, NotFound, SUMIFS(allFYsTable[RevisedBudget], allFYsTable[Code], SummaryTable[[#This Row],[Code]], allFYsTable[year2], BL$3))</f>
        <v>76</v>
      </c>
      <c r="BP143" s="61">
        <f>IF(COUNTIFS(allFYsTable[Code], SummaryTable[[#This Row],[Code]], allFYsTable[year2], BL$3)=0, NotFound, SUMIFS(allFYsTable[Actual], allFYsTable[Code], SummaryTable[[#This Row],[Code]], allFYsTable[year2], BL$3))</f>
        <v>76</v>
      </c>
      <c r="BQ143" s="61">
        <f>IF(COUNTIFS(allFYsTable[Code], SummaryTable[[#This Row],[Code]], allFYsTable[year2], BL$3)=0, NotFound, SUMIFS(allFYsTable[DiffAmount], allFYsTable[Code], SummaryTable[[#This Row],[Code]], allFYsTable[year2], BL$3))</f>
        <v>-924</v>
      </c>
      <c r="BR143" s="63">
        <f>IF(SummaryTable[[#This Row],[OriginalBudget20]]=0, IF(SummaryTable[[#This Row],[DiffAmount20]]=0, ZeroBudgetNoSpending, ZeroBudgetWithSpending), SummaryTable[[#This Row],[DiffAmount20]]/SummaryTable[[#This Row],[OriginalBudget20]])</f>
        <v>-0.92400000000000004</v>
      </c>
      <c r="BS143" s="62" t="e">
        <f>IF(COUNTIFS(allFYsTable[Code], SummaryTable[[#This Row],[Code]], allFYsTable[year2], BS$3)=0, NotFound, SUMIFS(allFYsTable[OriginalBudget], allFYsTable[Code], SummaryTable[[#This Row],[Code]], allFYsTable[year2], BS$3))</f>
        <v>#N/A</v>
      </c>
      <c r="BT143" s="61" t="e">
        <f>SummaryTable[[#This Row],[OriginalBudget19]]-SummaryTable[[#This Row],[OriginalBudget18]]</f>
        <v>#N/A</v>
      </c>
      <c r="BU143" s="54" t="e">
        <f>SummaryTable[[#This Row],[BudgetIncreaseAmount19]]/SummaryTable[[#This Row],[OriginalBudget18]]</f>
        <v>#N/A</v>
      </c>
      <c r="BV143" s="61" t="e">
        <f>IF(COUNTIFS(allFYsTable[Code], SummaryTable[[#This Row],[Code]], allFYsTable[year2], BS$3)=0, NotFound, SUMIFS(allFYsTable[RevisedBudget], allFYsTable[Code], SummaryTable[[#This Row],[Code]], allFYsTable[year2], BS$3))</f>
        <v>#N/A</v>
      </c>
      <c r="BW143" s="61" t="e">
        <f>IF(COUNTIFS(allFYsTable[Code], SummaryTable[[#This Row],[Code]], allFYsTable[year2], BS$3)=0, NotFound, SUMIFS(allFYsTable[Actual], allFYsTable[Code], SummaryTable[[#This Row],[Code]], allFYsTable[year2], BS$3))</f>
        <v>#N/A</v>
      </c>
      <c r="BX143" s="61" t="e">
        <f>IF(COUNTIFS(allFYsTable[Code], SummaryTable[[#This Row],[Code]], allFYsTable[year2], BS$3)=0, NotFound, SUMIFS(allFYsTable[DiffAmount], allFYsTable[Code], SummaryTable[[#This Row],[Code]], allFYsTable[year2], BS$3))</f>
        <v>#N/A</v>
      </c>
      <c r="BY143" s="63" t="e">
        <f>IF(SummaryTable[[#This Row],[OriginalBudget19]]=0, IF(SummaryTable[[#This Row],[DiffAmount19]]=0, ZeroBudgetNoSpending, ZeroBudgetWithSpending), SummaryTable[[#This Row],[DiffAmount19]]/SummaryTable[[#This Row],[OriginalBudget19]])</f>
        <v>#N/A</v>
      </c>
      <c r="BZ143" s="62" t="e">
        <f>IF(COUNTIFS(allFYsTable[Code], SummaryTable[[#This Row],[Code]], allFYsTable[year2], BZ$3)=0, NotFound, SUMIFS(allFYsTable[OriginalBudget], allFYsTable[Code], SummaryTable[[#This Row],[Code]], allFYsTable[year2], BZ$3))</f>
        <v>#N/A</v>
      </c>
      <c r="CA143" s="61" t="e">
        <f>SummaryTable[[#This Row],[OriginalBudget18]]-SummaryTable[[#This Row],[OriginalBudget17]]</f>
        <v>#N/A</v>
      </c>
      <c r="CB143" s="54" t="e">
        <f>SummaryTable[[#This Row],[BudgetIncreaseAmount18]]/SummaryTable[[#This Row],[OriginalBudget17]]</f>
        <v>#N/A</v>
      </c>
      <c r="CC143" s="61" t="e">
        <f>IF(COUNTIFS(allFYsTable[Code], SummaryTable[[#This Row],[Code]], allFYsTable[year2], BZ$3)=0, NotFound, SUMIFS(allFYsTable[RevisedBudget], allFYsTable[Code], SummaryTable[[#This Row],[Code]], allFYsTable[year2], BZ$3))</f>
        <v>#N/A</v>
      </c>
      <c r="CD143" s="61" t="e">
        <f>IF(COUNTIFS(allFYsTable[Code], SummaryTable[[#This Row],[Code]], allFYsTable[year2], BZ$3)=0, NotFound, SUMIFS(allFYsTable[Actual], allFYsTable[Code], SummaryTable[[#This Row],[Code]], allFYsTable[year2], BZ$3))</f>
        <v>#N/A</v>
      </c>
      <c r="CE143" s="61" t="e">
        <f>IF(COUNTIFS(allFYsTable[Code], SummaryTable[[#This Row],[Code]], allFYsTable[year2], BZ$3)=0, NotFound, SUMIFS(allFYsTable[DiffAmount], allFYsTable[Code], SummaryTable[[#This Row],[Code]], allFYsTable[year2], BZ$3))</f>
        <v>#N/A</v>
      </c>
      <c r="CF143" s="63" t="e">
        <f>IF(SummaryTable[[#This Row],[OriginalBudget18]]=0, IF(SummaryTable[[#This Row],[DiffAmount18]]=0, ZeroBudgetNoSpending, ZeroBudgetWithSpending), SummaryTable[[#This Row],[DiffAmount18]]/SummaryTable[[#This Row],[OriginalBudget18]])</f>
        <v>#N/A</v>
      </c>
      <c r="CG143" s="62" t="e">
        <f>IF(COUNTIFS(allFYsTable[Code], SummaryTable[[#This Row],[Code]], allFYsTable[year2], CG$3)=0, NotFound, SUMIFS(allFYsTable[OriginalBudget], allFYsTable[Code], SummaryTable[[#This Row],[Code]], allFYsTable[year2], CG$3))</f>
        <v>#N/A</v>
      </c>
      <c r="CH143" s="61" t="e">
        <f>SummaryTable[[#This Row],[OriginalBudget17]]-SummaryTable[[#This Row],[OriginalBudget16]]</f>
        <v>#N/A</v>
      </c>
      <c r="CI143" s="54" t="e">
        <f>SummaryTable[[#This Row],[BudgetIncreaseAmount17]]/SummaryTable[[#This Row],[OriginalBudget16]]</f>
        <v>#N/A</v>
      </c>
      <c r="CJ143" s="61" t="e">
        <f>IF(COUNTIFS(allFYsTable[Code], SummaryTable[[#This Row],[Code]], allFYsTable[year2], CG$3)=0, NotFound, SUMIFS(allFYsTable[RevisedBudget], allFYsTable[Code], SummaryTable[[#This Row],[Code]], allFYsTable[year2], CG$3))</f>
        <v>#N/A</v>
      </c>
      <c r="CK143" s="61" t="e">
        <f>IF(COUNTIFS(allFYsTable[Code], SummaryTable[[#This Row],[Code]], allFYsTable[year2], CG$3)=0, NotFound, SUMIFS(allFYsTable[Actual], allFYsTable[Code], SummaryTable[[#This Row],[Code]], allFYsTable[year2], CG$3))</f>
        <v>#N/A</v>
      </c>
      <c r="CL143" s="61" t="e">
        <f>IF(COUNTIFS(allFYsTable[Code], SummaryTable[[#This Row],[Code]], allFYsTable[year2], CG$3)=0, NotFound, SUMIFS(allFYsTable[DiffAmount], allFYsTable[Code], SummaryTable[[#This Row],[Code]], allFYsTable[year2], CG$3))</f>
        <v>#N/A</v>
      </c>
      <c r="CM143" s="63" t="e">
        <f>IF(SummaryTable[[#This Row],[OriginalBudget17]]=0, IF(SummaryTable[[#This Row],[DiffAmount17]]=0, ZeroBudgetNoSpending, ZeroBudgetWithSpending), SummaryTable[[#This Row],[DiffAmount17]]/SummaryTable[[#This Row],[OriginalBudget17]])</f>
        <v>#N/A</v>
      </c>
      <c r="CN143" s="62" t="e">
        <f>IF(COUNTIFS(allFYsTable[Code], SummaryTable[[#This Row],[Code]], allFYsTable[year2], CN$3)=0, NotFound, SUMIFS(allFYsTable[OriginalBudget], allFYsTable[Code], SummaryTable[[#This Row],[Code]], allFYsTable[year2], CN$3))</f>
        <v>#N/A</v>
      </c>
      <c r="CO143" s="61" t="e">
        <f>SummaryTable[[#This Row],[OriginalBudget16]]-SummaryTable[[#This Row],[OriginalBudget15]]</f>
        <v>#N/A</v>
      </c>
      <c r="CP143" s="54" t="e">
        <f>SummaryTable[[#This Row],[BudgetIncreaseAmount16]]/SummaryTable[[#This Row],[OriginalBudget15]]</f>
        <v>#N/A</v>
      </c>
      <c r="CQ143" s="61" t="e">
        <f>IF(COUNTIFS(allFYsTable[Code], SummaryTable[[#This Row],[Code]], allFYsTable[year2], CN$3)=0, NotFound, SUMIFS(allFYsTable[RevisedBudget], allFYsTable[Code], SummaryTable[[#This Row],[Code]], allFYsTable[year2], CN$3))</f>
        <v>#N/A</v>
      </c>
      <c r="CR143" s="61" t="e">
        <f>IF(COUNTIFS(allFYsTable[Code], SummaryTable[[#This Row],[Code]], allFYsTable[year2], CN$3)=0, NotFound, SUMIFS(allFYsTable[Actual], allFYsTable[Code], SummaryTable[[#This Row],[Code]], allFYsTable[year2], CN$3))</f>
        <v>#N/A</v>
      </c>
      <c r="CS143" s="61" t="e">
        <f>IF(COUNTIFS(allFYsTable[Code], SummaryTable[[#This Row],[Code]], allFYsTable[year2], CN$3)=0, NotFound, SUMIFS(allFYsTable[DiffAmount], allFYsTable[Code], SummaryTable[[#This Row],[Code]], allFYsTable[year2], CN$3))</f>
        <v>#N/A</v>
      </c>
      <c r="CT143" s="63" t="e">
        <f>IF(SummaryTable[[#This Row],[OriginalBudget16]]=0, IF(SummaryTable[[#This Row],[DiffAmount16]]=0, ZeroBudgetNoSpending, ZeroBudgetWithSpending), SummaryTable[[#This Row],[DiffAmount16]]/SummaryTable[[#This Row],[OriginalBudget16]])</f>
        <v>#N/A</v>
      </c>
      <c r="CU143" s="62" t="e">
        <f>IF(COUNTIFS(allFYsTable[Code], SummaryTable[[#This Row],[Code]], allFYsTable[year2], CU$3)=0, NotFound, SUMIFS(allFYsTable[OriginalBudget], allFYsTable[Code], SummaryTable[[#This Row],[Code]], allFYsTable[year2], CU$3))</f>
        <v>#N/A</v>
      </c>
      <c r="CV143" s="61" t="e">
        <f>SummaryTable[[#This Row],[OriginalBudget15]]-SummaryTable[[#This Row],[OriginalBudget14]]</f>
        <v>#N/A</v>
      </c>
      <c r="CW143" s="54" t="e">
        <f>SummaryTable[[#This Row],[BudgetIncreaseAmount15]]/SummaryTable[[#This Row],[OriginalBudget14]]</f>
        <v>#N/A</v>
      </c>
      <c r="CX143" s="61" t="e">
        <f>IF(COUNTIFS(allFYsTable[Code], SummaryTable[[#This Row],[Code]], allFYsTable[year2], CU$3)=0, NotFound, SUMIFS(allFYsTable[RevisedBudget], allFYsTable[Code], SummaryTable[[#This Row],[Code]], allFYsTable[year2], CU$3))</f>
        <v>#N/A</v>
      </c>
      <c r="CY143" s="61" t="e">
        <f>IF(COUNTIFS(allFYsTable[Code], SummaryTable[[#This Row],[Code]], allFYsTable[year2], CU$3)=0, NotFound, SUMIFS(allFYsTable[Actual], allFYsTable[Code], SummaryTable[[#This Row],[Code]], allFYsTable[year2], CU$3))</f>
        <v>#N/A</v>
      </c>
      <c r="CZ143" s="61" t="e">
        <f>IF(COUNTIFS(allFYsTable[Code], SummaryTable[[#This Row],[Code]], allFYsTable[year2], CU$3)=0, NotFound, SUMIFS(allFYsTable[DiffAmount], allFYsTable[Code], SummaryTable[[#This Row],[Code]], allFYsTable[year2], CU$3))</f>
        <v>#N/A</v>
      </c>
      <c r="DA143" s="63" t="e">
        <f>IF(SummaryTable[[#This Row],[OriginalBudget15]]=0, IF(SummaryTable[[#This Row],[DiffAmount15]]=0, ZeroBudgetNoSpending, ZeroBudgetWithSpending), SummaryTable[[#This Row],[DiffAmount15]]/SummaryTable[[#This Row],[OriginalBudget15]])</f>
        <v>#N/A</v>
      </c>
      <c r="DB143" s="62" t="e">
        <f>IF(COUNTIFS(allFYsTable[Code], SummaryTable[[#This Row],[Code]], allFYsTable[year2], DB$3)=0, NotFound, SUMIFS(allFYsTable[OriginalBudget], allFYsTable[Code], SummaryTable[[#This Row],[Code]], allFYsTable[year2], DB$3))</f>
        <v>#N/A</v>
      </c>
      <c r="DC143" s="61" t="e">
        <f>SummaryTable[[#This Row],[OriginalBudget14]]-SummaryTable[[#This Row],[OriginalBudget13]]</f>
        <v>#N/A</v>
      </c>
      <c r="DD143" s="54" t="e">
        <f>SummaryTable[[#This Row],[BudgetIncreaseAmount14]]/SummaryTable[[#This Row],[OriginalBudget13]]</f>
        <v>#N/A</v>
      </c>
      <c r="DE143" s="61" t="e">
        <f>IF(COUNTIFS(allFYsTable[Code], SummaryTable[[#This Row],[Code]], allFYsTable[year2], DB$3)=0, NotFound, SUMIFS(allFYsTable[RevisedBudget], allFYsTable[Code], SummaryTable[[#This Row],[Code]], allFYsTable[year2], DB$3))</f>
        <v>#N/A</v>
      </c>
      <c r="DF143" s="61" t="e">
        <f>IF(COUNTIFS(allFYsTable[Code], SummaryTable[[#This Row],[Code]], allFYsTable[year2], DB$3)=0, NotFound, SUMIFS(allFYsTable[Actual], allFYsTable[Code], SummaryTable[[#This Row],[Code]], allFYsTable[year2], DB$3))</f>
        <v>#N/A</v>
      </c>
      <c r="DG143" s="61" t="e">
        <f>IF(COUNTIFS(allFYsTable[Code], SummaryTable[[#This Row],[Code]], allFYsTable[year2], DB$3)=0, NotFound, SUMIFS(allFYsTable[DiffAmount], allFYsTable[Code], SummaryTable[[#This Row],[Code]], allFYsTable[year2], DB$3))</f>
        <v>#N/A</v>
      </c>
      <c r="DH143" s="63" t="e">
        <f>IF(SummaryTable[[#This Row],[OriginalBudget14]]=0, IF(SummaryTable[[#This Row],[DiffAmount14]]=0, ZeroBudgetNoSpending, ZeroBudgetWithSpending), SummaryTable[[#This Row],[DiffAmount14]]/SummaryTable[[#This Row],[OriginalBudget14]])</f>
        <v>#N/A</v>
      </c>
      <c r="DI143" s="62" t="e">
        <f>IF(COUNTIFS(allFYsTable[Code], SummaryTable[[#This Row],[Code]], allFYsTable[year2], DI$3)=0, NotFound, SUMIFS(allFYsTable[OriginalBudget], allFYsTable[Code], SummaryTable[[#This Row],[Code]], allFYsTable[year2], DI$3))</f>
        <v>#N/A</v>
      </c>
      <c r="DJ143" s="61" t="e">
        <f>SummaryTable[[#This Row],[OriginalBudget13]]-SummaryTable[[#This Row],[OriginalBudget12]]</f>
        <v>#N/A</v>
      </c>
      <c r="DK143" s="54" t="e">
        <f>SummaryTable[[#This Row],[BudgetIncreaseAmount13]]/SummaryTable[[#This Row],[OriginalBudget12]]</f>
        <v>#N/A</v>
      </c>
      <c r="DL143" s="61" t="e">
        <f>IF(COUNTIFS(allFYsTable[Code], SummaryTable[[#This Row],[Code]], allFYsTable[year2], DI$3)=0, NotFound, SUMIFS(allFYsTable[RevisedBudget], allFYsTable[Code], SummaryTable[[#This Row],[Code]], allFYsTable[year2], DI$3))</f>
        <v>#N/A</v>
      </c>
      <c r="DM143" s="61" t="e">
        <f>IF(COUNTIFS(allFYsTable[Code], SummaryTable[[#This Row],[Code]], allFYsTable[year2], DI$3)=0, NotFound, SUMIFS(allFYsTable[Actual], allFYsTable[Code], SummaryTable[[#This Row],[Code]], allFYsTable[year2], DI$3))</f>
        <v>#N/A</v>
      </c>
      <c r="DN143" s="61" t="e">
        <f>IF(COUNTIFS(allFYsTable[Code], SummaryTable[[#This Row],[Code]], allFYsTable[year2], DI$3)=0, NotFound, SUMIFS(allFYsTable[DiffAmount], allFYsTable[Code], SummaryTable[[#This Row],[Code]], allFYsTable[year2], DI$3))</f>
        <v>#N/A</v>
      </c>
      <c r="DO143" s="63" t="e">
        <f>IF(SummaryTable[[#This Row],[OriginalBudget13]]=0, IF(SummaryTable[[#This Row],[DiffAmount13]]=0, ZeroBudgetNoSpending, ZeroBudgetWithSpending), SummaryTable[[#This Row],[DiffAmount13]]/SummaryTable[[#This Row],[OriginalBudget13]])</f>
        <v>#N/A</v>
      </c>
      <c r="DP143" s="62" t="e">
        <f>IF(COUNTIFS(allFYsTable[Code], SummaryTable[[#This Row],[Code]], allFYsTable[year2], DP$3)=0, NotFound, SUMIFS(allFYsTable[OriginalBudget], allFYsTable[Code], SummaryTable[[#This Row],[Code]], allFYsTable[year2], DP$3))</f>
        <v>#N/A</v>
      </c>
      <c r="DQ143" s="61" t="e">
        <f>SummaryTable[[#This Row],[OriginalBudget12]]-SummaryTable[[#This Row],[OriginalBudget11]]</f>
        <v>#N/A</v>
      </c>
      <c r="DR143" s="54" t="e">
        <f>SummaryTable[[#This Row],[BudgetIncreaseAmount12]]/SummaryTable[[#This Row],[OriginalBudget11]]</f>
        <v>#N/A</v>
      </c>
      <c r="DS143" s="61" t="e">
        <f>IF(COUNTIFS(allFYsTable[Code], SummaryTable[[#This Row],[Code]], allFYsTable[year2], DP$3)=0, NotFound, SUMIFS(allFYsTable[RevisedBudget], allFYsTable[Code], SummaryTable[[#This Row],[Code]], allFYsTable[year2], DP$3))</f>
        <v>#N/A</v>
      </c>
      <c r="DT143" s="61" t="e">
        <f>IF(COUNTIFS(allFYsTable[Code], SummaryTable[[#This Row],[Code]], allFYsTable[year2], DP$3)=0, NotFound, SUMIFS(allFYsTable[Actual], allFYsTable[Code], SummaryTable[[#This Row],[Code]], allFYsTable[year2], DP$3))</f>
        <v>#N/A</v>
      </c>
      <c r="DU143" s="61" t="e">
        <f>IF(COUNTIFS(allFYsTable[Code], SummaryTable[[#This Row],[Code]], allFYsTable[year2], DP$3)=0, NotFound, SUMIFS(allFYsTable[DiffAmount], allFYsTable[Code], SummaryTable[[#This Row],[Code]], allFYsTable[year2], DP$3))</f>
        <v>#N/A</v>
      </c>
      <c r="DV143" s="63" t="e">
        <f>IF(SummaryTable[[#This Row],[OriginalBudget12]]=0, IF(SummaryTable[[#This Row],[DiffAmount12]]=0, ZeroBudgetNoSpending, ZeroBudgetWithSpending), SummaryTable[[#This Row],[DiffAmount12]]/SummaryTable[[#This Row],[OriginalBudget12]])</f>
        <v>#N/A</v>
      </c>
      <c r="DW143" s="62" t="e">
        <f>IF(COUNTIFS(allFYsTable[Code], SummaryTable[[#This Row],[Code]], allFYsTable[year2], DW$3)=0, NotFound, SUMIFS(allFYsTable[OriginalBudget], allFYsTable[Code], SummaryTable[[#This Row],[Code]], allFYsTable[year2], DW$3))</f>
        <v>#N/A</v>
      </c>
      <c r="DX143" s="61" t="e">
        <f>SummaryTable[[#This Row],[OriginalBudget11]]-SummaryTable[[#This Row],[OriginalBudget10]]</f>
        <v>#N/A</v>
      </c>
      <c r="DY143" s="54" t="e">
        <f>SummaryTable[[#This Row],[BudgetIncreaseAmount11]]/SummaryTable[[#This Row],[OriginalBudget10]]</f>
        <v>#N/A</v>
      </c>
      <c r="DZ143" s="61" t="e">
        <f>IF(COUNTIFS(allFYsTable[Code], SummaryTable[[#This Row],[Code]], allFYsTable[year2], DW$3)=0, NotFound, SUMIFS(allFYsTable[RevisedBudget], allFYsTable[Code], SummaryTable[[#This Row],[Code]], allFYsTable[year2], DW$3))</f>
        <v>#N/A</v>
      </c>
      <c r="EA143" s="61" t="e">
        <f>IF(COUNTIFS(allFYsTable[Code], SummaryTable[[#This Row],[Code]], allFYsTable[year2], DW$3)=0, NotFound, SUMIFS(allFYsTable[Actual], allFYsTable[Code], SummaryTable[[#This Row],[Code]], allFYsTable[year2], DW$3))</f>
        <v>#N/A</v>
      </c>
      <c r="EB143" s="61" t="e">
        <f>IF(COUNTIFS(allFYsTable[Code], SummaryTable[[#This Row],[Code]], allFYsTable[year2], DW$3)=0, NotFound, SUMIFS(allFYsTable[DiffAmount], allFYsTable[Code], SummaryTable[[#This Row],[Code]], allFYsTable[year2], DW$3))</f>
        <v>#N/A</v>
      </c>
      <c r="EC143" s="63" t="e">
        <f>IF(SummaryTable[[#This Row],[OriginalBudget11]]=0, IF(SummaryTable[[#This Row],[DiffAmount11]]=0, ZeroBudgetNoSpending, ZeroBudgetWithSpending), SummaryTable[[#This Row],[DiffAmount11]]/SummaryTable[[#This Row],[OriginalBudget11]])</f>
        <v>#N/A</v>
      </c>
      <c r="ED143" s="62" t="e">
        <f>IF(COUNTIFS(allFYsTable[Code], SummaryTable[[#This Row],[Code]], allFYsTable[year2], ED$3)=0, NotFound, SUMIFS(allFYsTable[OriginalBudget], allFYsTable[Code], SummaryTable[[#This Row],[Code]], allFYsTable[year2], ED$3))</f>
        <v>#N/A</v>
      </c>
      <c r="EE143" s="61" t="e">
        <f>SummaryTable[[#This Row],[OriginalBudget10]]-SummaryTable[[#This Row],[OriginalBudget09]]</f>
        <v>#N/A</v>
      </c>
      <c r="EF143" s="54" t="e">
        <f>SummaryTable[[#This Row],[BudgetIncreaseAmount10]]/SummaryTable[[#This Row],[OriginalBudget09]]</f>
        <v>#N/A</v>
      </c>
      <c r="EG143" s="61" t="e">
        <f>IF(COUNTIFS(allFYsTable[Code], SummaryTable[[#This Row],[Code]], allFYsTable[year2], ED$3)=0, NotFound, SUMIFS(allFYsTable[RevisedBudget], allFYsTable[Code], SummaryTable[[#This Row],[Code]], allFYsTable[year2], ED$3))</f>
        <v>#N/A</v>
      </c>
      <c r="EH143" s="61" t="e">
        <f>IF(COUNTIFS(allFYsTable[Code], SummaryTable[[#This Row],[Code]], allFYsTable[year2], ED$3)=0, NotFound, SUMIFS(allFYsTable[Actual], allFYsTable[Code], SummaryTable[[#This Row],[Code]], allFYsTable[year2], ED$3))</f>
        <v>#N/A</v>
      </c>
      <c r="EI143" s="61" t="e">
        <f>IF(COUNTIFS(allFYsTable[Code], SummaryTable[[#This Row],[Code]], allFYsTable[year2], ED$3)=0, NotFound, SUMIFS(allFYsTable[DiffAmount], allFYsTable[Code], SummaryTable[[#This Row],[Code]], allFYsTable[year2], ED$3))</f>
        <v>#N/A</v>
      </c>
      <c r="EJ143" s="63" t="e">
        <f>IF(SummaryTable[[#This Row],[OriginalBudget10]]=0, IF(SummaryTable[[#This Row],[DiffAmount10]]=0, ZeroBudgetNoSpending, ZeroBudgetWithSpending), SummaryTable[[#This Row],[DiffAmount10]]/SummaryTable[[#This Row],[OriginalBudget10]])</f>
        <v>#N/A</v>
      </c>
      <c r="EK143" s="62" t="e">
        <f>IF(COUNTIFS(allFYsTable[Code], SummaryTable[[#This Row],[Code]], allFYsTable[year2], EK$3)=0, NotFound, SUMIFS(allFYsTable[OriginalBudget], allFYsTable[Code], SummaryTable[[#This Row],[Code]], allFYsTable[year2], EK$3))</f>
        <v>#N/A</v>
      </c>
      <c r="EL143" s="61" t="e">
        <f>SummaryTable[[#This Row],[OriginalBudget09]]-SummaryTable[[#This Row],[OriginalBudget08]]</f>
        <v>#N/A</v>
      </c>
      <c r="EM143" s="54" t="e">
        <f>SummaryTable[[#This Row],[BudgetIncreaseAmount09]]/SummaryTable[[#This Row],[OriginalBudget08]]</f>
        <v>#N/A</v>
      </c>
      <c r="EN143" s="61" t="e">
        <f>IF(COUNTIFS(allFYsTable[Code], SummaryTable[[#This Row],[Code]], allFYsTable[year2], EK$3)=0, NotFound, SUMIFS(allFYsTable[RevisedBudget], allFYsTable[Code], SummaryTable[[#This Row],[Code]], allFYsTable[year2], EK$3))</f>
        <v>#N/A</v>
      </c>
      <c r="EO143" s="61" t="e">
        <f>IF(COUNTIFS(allFYsTable[Code], SummaryTable[[#This Row],[Code]], allFYsTable[year2], EK$3)=0, NotFound, SUMIFS(allFYsTable[Actual], allFYsTable[Code], SummaryTable[[#This Row],[Code]], allFYsTable[year2], EK$3))</f>
        <v>#N/A</v>
      </c>
      <c r="EP143" s="61" t="e">
        <f>IF(COUNTIFS(allFYsTable[Code], SummaryTable[[#This Row],[Code]], allFYsTable[year2], EK$3)=0, NotFound, SUMIFS(allFYsTable[DiffAmount], allFYsTable[Code], SummaryTable[[#This Row],[Code]], allFYsTable[year2], EK$3))</f>
        <v>#N/A</v>
      </c>
      <c r="EQ143" s="63" t="e">
        <f>IF(SummaryTable[[#This Row],[OriginalBudget09]]=0, IF(SummaryTable[[#This Row],[DiffAmount09]]=0, ZeroBudgetNoSpending, ZeroBudgetWithSpending), SummaryTable[[#This Row],[DiffAmount09]]/SummaryTable[[#This Row],[OriginalBudget09]])</f>
        <v>#N/A</v>
      </c>
      <c r="ER143" s="62" t="e">
        <f>IF(COUNTIFS(allFYsTable[Code], SummaryTable[[#This Row],[Code]], allFYsTable[year2], ER$3)=0, NotFound, SUMIFS(allFYsTable[OriginalBudget], allFYsTable[Code], SummaryTable[[#This Row],[Code]], allFYsTable[year2], ER$3))</f>
        <v>#N/A</v>
      </c>
      <c r="ES143" s="61" t="e">
        <f>SummaryTable[[#This Row],[OriginalBudget08]]-SummaryTable[[#This Row],[OriginalBudget07]]</f>
        <v>#N/A</v>
      </c>
      <c r="ET143" s="54" t="e">
        <f>SummaryTable[[#This Row],[BudgetIncreaseAmount08]]/SummaryTable[[#This Row],[OriginalBudget07]]</f>
        <v>#N/A</v>
      </c>
      <c r="EU143" s="61" t="e">
        <f>IF(COUNTIFS(allFYsTable[Code], SummaryTable[[#This Row],[Code]], allFYsTable[year2], ER$3)=0, NotFound, SUMIFS(allFYsTable[RevisedBudget], allFYsTable[Code], SummaryTable[[#This Row],[Code]], allFYsTable[year2], ER$3))</f>
        <v>#N/A</v>
      </c>
      <c r="EV143" s="61" t="e">
        <f>IF(COUNTIFS(allFYsTable[Code], SummaryTable[[#This Row],[Code]], allFYsTable[year2], ER$3)=0, NotFound, SUMIFS(allFYsTable[Actual], allFYsTable[Code], SummaryTable[[#This Row],[Code]], allFYsTable[year2], ER$3))</f>
        <v>#N/A</v>
      </c>
      <c r="EW143" s="61" t="e">
        <f>IF(COUNTIFS(allFYsTable[Code], SummaryTable[[#This Row],[Code]], allFYsTable[year2], ER$3)=0, NotFound, SUMIFS(allFYsTable[DiffAmount], allFYsTable[Code], SummaryTable[[#This Row],[Code]], allFYsTable[year2], ER$3))</f>
        <v>#N/A</v>
      </c>
      <c r="EX143" s="63" t="e">
        <f>IF(SummaryTable[[#This Row],[OriginalBudget08]]=0, IF(SummaryTable[[#This Row],[DiffAmount08]]=0, ZeroBudgetNoSpending, ZeroBudgetWithSpending), SummaryTable[[#This Row],[DiffAmount08]]/SummaryTable[[#This Row],[OriginalBudget08]])</f>
        <v>#N/A</v>
      </c>
      <c r="EY143" s="62" t="e">
        <f>IF(COUNTIFS(allFYsTable[Code], SummaryTable[[#This Row],[Code]], allFYsTable[year2], EY$3)=0, NotFound, SUMIFS(allFYsTable[OriginalBudget], allFYsTable[Code], SummaryTable[[#This Row],[Code]], allFYsTable[year2], EY$3))</f>
        <v>#N/A</v>
      </c>
      <c r="EZ143" s="61" t="e">
        <f>SummaryTable[[#This Row],[OriginalBudget07]]-SummaryTable[[#This Row],[OriginalBudget06]]</f>
        <v>#N/A</v>
      </c>
      <c r="FA143" s="54" t="e">
        <f>SummaryTable[[#This Row],[BudgetIncreaseAmount07]]/SummaryTable[[#This Row],[OriginalBudget06]]</f>
        <v>#N/A</v>
      </c>
      <c r="FB143" s="61" t="e">
        <f>IF(COUNTIFS(allFYsTable[Code], SummaryTable[[#This Row],[Code]], allFYsTable[year2], EY$3)=0, NotFound, SUMIFS(allFYsTable[RevisedBudget], allFYsTable[Code], SummaryTable[[#This Row],[Code]], allFYsTable[year2], EY$3))</f>
        <v>#N/A</v>
      </c>
      <c r="FC143" s="61" t="e">
        <f>IF(COUNTIFS(allFYsTable[Code], SummaryTable[[#This Row],[Code]], allFYsTable[year2], EY$3)=0, NotFound, SUMIFS(allFYsTable[Actual], allFYsTable[Code], SummaryTable[[#This Row],[Code]], allFYsTable[year2], EY$3))</f>
        <v>#N/A</v>
      </c>
      <c r="FD143" s="61" t="e">
        <f>IF(COUNTIFS(allFYsTable[Code], SummaryTable[[#This Row],[Code]], allFYsTable[year2], EY$3)=0, NotFound, SUMIFS(allFYsTable[DiffAmount], allFYsTable[Code], SummaryTable[[#This Row],[Code]], allFYsTable[year2], EY$3))</f>
        <v>#N/A</v>
      </c>
      <c r="FE143" s="63" t="e">
        <f>IF(SummaryTable[[#This Row],[OriginalBudget07]]=0, IF(SummaryTable[[#This Row],[DiffAmount07]]=0, ZeroBudgetNoSpending, ZeroBudgetWithSpending), SummaryTable[[#This Row],[DiffAmount07]]/SummaryTable[[#This Row],[OriginalBudget07]])</f>
        <v>#N/A</v>
      </c>
      <c r="FF143" s="62" t="e">
        <f>IF(COUNTIFS(allFYsTable[Code], SummaryTable[[#This Row],[Code]], allFYsTable[year2], FF$3)=0, NotFound, SUMIFS(allFYsTable[OriginalBudget], allFYsTable[Code], SummaryTable[[#This Row],[Code]], allFYsTable[year2], FF$3))</f>
        <v>#N/A</v>
      </c>
      <c r="FI143" s="61" t="e">
        <f>IF(COUNTIFS(allFYsTable[Code], SummaryTable[[#This Row],[Code]], allFYsTable[year2], FF$3)=0, NotFound, SUMIFS(allFYsTable[RevisedBudget], allFYsTable[Code], SummaryTable[[#This Row],[Code]], allFYsTable[year2], FF$3))</f>
        <v>#N/A</v>
      </c>
      <c r="FJ143" s="61" t="e">
        <f>IF(COUNTIFS(allFYsTable[Code], SummaryTable[[#This Row],[Code]], allFYsTable[year2], FF$3)=0, NotFound, SUMIFS(allFYsTable[Actual], allFYsTable[Code], SummaryTable[[#This Row],[Code]], allFYsTable[year2], FF$3))</f>
        <v>#N/A</v>
      </c>
      <c r="FK143" s="61" t="e">
        <f>IF(COUNTIFS(allFYsTable[Code], SummaryTable[[#This Row],[Code]], allFYsTable[year2], FF$3)=0, NotFound, SUMIFS(allFYsTable[DiffAmount], allFYsTable[Code], SummaryTable[[#This Row],[Code]], allFYsTable[year2], FF$3))</f>
        <v>#N/A</v>
      </c>
      <c r="FL143" s="63" t="e">
        <f>IF(SummaryTable[[#This Row],[OriginalBudget06]]=0, IF(SummaryTable[[#This Row],[DiffAmount06]]=0, ZeroBudgetNoSpending, ZeroBudgetWithSpending), SummaryTable[[#This Row],[DiffAmount06]]/SummaryTable[[#This Row],[OriginalBudget06]])</f>
        <v>#N/A</v>
      </c>
    </row>
    <row r="144" spans="1:168" x14ac:dyDescent="0.45">
      <c r="A144" t="s">
        <v>832</v>
      </c>
      <c r="B144">
        <f>_xlfn.MAXIFS(allFYsTable[year2], allFYsTable[Code], SummaryTable[[#This Row],[Code]])</f>
        <v>2020</v>
      </c>
      <c r="C144" t="str">
        <f>_xlfn.XLOOKUP(SummaryTable[[#This Row],[Code]], NameCodingTable[Code], NameCodingTable[Most Recent Category per allFYs])</f>
        <v>Other</v>
      </c>
      <c r="D144" t="str">
        <f>_xlfn.XLOOKUP(SummaryTable[[#This Row],[Code]], NameCodingTable[Code], NameCodingTable[Unit Display Name])</f>
        <v>Operating lease-equipment</v>
      </c>
      <c r="E144" t="str">
        <f>_xlfn.XLOOKUP(SummaryTable[[#This Row],[Code]], NameCodingTable[Code], NameCodingTable[Type])</f>
        <v>untyped</v>
      </c>
      <c r="F14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15</v>
      </c>
      <c r="G14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44" s="54">
        <f>SummaryTable[[#This Row],['# Over]]/SummaryTable[[#This Row],[Count]]</f>
        <v>6.6666666666666666E-2</v>
      </c>
      <c r="I14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11</v>
      </c>
      <c r="J144" s="54">
        <f>SummaryTable[[#This Row],['# Under]]/SummaryTable[[#This Row],[Count]]</f>
        <v>0.73333333333333328</v>
      </c>
      <c r="K14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3</v>
      </c>
      <c r="L144" s="54">
        <f>SummaryTable[[#This Row],['# Equal]]/SummaryTable[[#This Row],[Count]]</f>
        <v>0.2</v>
      </c>
      <c r="M144" s="61">
        <f>SUMIFS(allFYsTable[OriginalBudget],allFYsTable[Code],SummaryTable[[#This Row],[Code]])/SummaryTable[[#This Row],[Count]]</f>
        <v>39234</v>
      </c>
      <c r="N144" s="61">
        <f>SUMIFS(allFYsTable[Actual],allFYsTable[Code],SummaryTable[[#This Row],[Code]])/SummaryTable[[#This Row],[Count]]</f>
        <v>34666.066666666666</v>
      </c>
      <c r="O144" s="61">
        <f>SummaryTable[[#This Row],[AvgActAmt]]-SummaryTable[[#This Row],[AvgBudAmt]]</f>
        <v>-4567.9333333333343</v>
      </c>
      <c r="P144" s="54">
        <f>IF(SummaryTable[[#This Row],[AvgBudAmt]]=0, IF(SummaryTable[[#This Row],[AvgDiff'#]]=0, 0, NamedFields!$C$3), SummaryTable[[#This Row],[AvgDiff'#]]/SummaryTable[[#This Row],[AvgBudAmt]])</f>
        <v>-0.11642792815755044</v>
      </c>
      <c r="Q144" s="61">
        <f>IFERROR(SUMIFS(allFYsTable[OriginalBudget],allFYsTable[Code],SummaryTable[[#This Row],[Code]],allFYsTable[DiffAmount], "&gt;0")/SummaryTable[[#This Row],['# Over]], 0)</f>
        <v>42677</v>
      </c>
      <c r="R144" s="61">
        <f>IFERROR(SUMIFS(allFYsTable[Actual],allFYsTable[Code],SummaryTable[[#This Row],[Code]],allFYsTable[DiffAmount], "&gt;0")/SummaryTable[[#This Row],['# Over]], 0)</f>
        <v>45617</v>
      </c>
      <c r="S144" s="61">
        <f>SummaryTable[[#This Row],[OverAvgAct]]-SummaryTable[[#This Row],[OverAvgBud]]</f>
        <v>2940</v>
      </c>
      <c r="T144" s="54">
        <f>IF(SummaryTable[[#This Row],[OverAvgBud]]=0, IF(SummaryTable[[#This Row],[OverAvgDiff'#]]=0, ZeroBudgetNoSpending, ZeroBudgetWithSpending), SummaryTable[[#This Row],[OverAvgDiff'#]]/SummaryTable[[#This Row],[OverAvgBud]])</f>
        <v>6.8889565808280803E-2</v>
      </c>
      <c r="U144" s="61">
        <f>IFERROR(SUMIFS(allFYsTable[OriginalBudget],allFYsTable[Code],SummaryTable[[#This Row],[Code]],allFYsTable[DiffAmount], "&lt;0")/SummaryTable[[#This Row],['# Under]], 0)</f>
        <v>46386.272727272728</v>
      </c>
      <c r="V144" s="61">
        <f>IFERROR( SUMIFS(allFYsTable[Actual],allFYsTable[Code],SummaryTable[[#This Row],[Code]],allFYsTable[DiffAmount], "&lt;0")/SummaryTable[[#This Row],['# Under]], 0)</f>
        <v>39890</v>
      </c>
      <c r="W144" s="61">
        <f>SummaryTable[[#This Row],[UnderAvgAct]]-SummaryTable[[#This Row],[UnderAvgBud]]</f>
        <v>-6496.2727272727279</v>
      </c>
      <c r="X144" s="54">
        <f>IF(SummaryTable[[#This Row],[UnderAvgBud]]=0, IF(SummaryTable[[#This Row],[UnderAvgDiff'#]]=0, ZeroBudgetNoSpending, NamedFields!$C$3), SummaryTable[[#This Row],[UnderAvgDiff'#]]/SummaryTable[[#This Row],[UnderAvgBud]])</f>
        <v>-0.14004731023480693</v>
      </c>
      <c r="Y14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14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4" s="54">
        <f>IF(SummaryTable[[#This Row],[IncreaseYears]]=0, ZeroBudgetNoSpending, SummaryTable[[#This Row],[OSinIncreaseYear'#]]/SummaryTable[[#This Row],[IncreaseYears]])</f>
        <v>0</v>
      </c>
      <c r="AB144" s="58" t="str">
        <f>SummaryTable[[#This Row],[Code]]</f>
        <v>EL0</v>
      </c>
      <c r="AC144" s="62" t="e">
        <f>IF(COUNTIFS(allFYsTable[Code], SummaryTable[[#This Row],[Code]], allFYsTable[year2], AC$3)=0, NotFound, SUMIFS(allFYsTable[OriginalBudget], allFYsTable[Code], SummaryTable[[#This Row],[Code]], allFYsTable[year2], AC$3))</f>
        <v>#N/A</v>
      </c>
      <c r="AD144" s="61" t="e">
        <f>SummaryTable[[#This Row],[OriginalBudget25]]-SummaryTable[[#This Row],[OriginalBudget24]]</f>
        <v>#N/A</v>
      </c>
      <c r="AE144" s="54" t="e">
        <f>SummaryTable[[#This Row],[BudgetIncreaseAmount25]]/SummaryTable[[#This Row],[OriginalBudget24]]</f>
        <v>#N/A</v>
      </c>
      <c r="AF144" s="61" t="e">
        <f>IF(COUNTIFS(allFYsTable[Code], SummaryTable[[#This Row],[Code]], allFYsTable[year2], AC$3)=0, NotFound, SUMIFS(allFYsTable[RevisedBudget], allFYsTable[Code], SummaryTable[[#This Row],[Code]], allFYsTable[year2], AC$3))</f>
        <v>#N/A</v>
      </c>
      <c r="AG144" s="61" t="e">
        <f>IF(COUNTIFS(allFYsTable[Code], SummaryTable[[#This Row],[Code]], allFYsTable[year2], AC$3)=0, NotFound, SUMIFS(allFYsTable[Actual], allFYsTable[Code], SummaryTable[[#This Row],[Code]], allFYsTable[year2], AC$3))</f>
        <v>#N/A</v>
      </c>
      <c r="AH144" s="61" t="e">
        <f>IF(COUNTIFS(allFYsTable[Code], SummaryTable[[#This Row],[Code]], allFYsTable[year2], AC$3)=0, NotFound, SUMIFS(allFYsTable[DiffAmount], allFYsTable[Code], SummaryTable[[#This Row],[Code]], allFYsTable[year2], AC$3))</f>
        <v>#N/A</v>
      </c>
      <c r="AI144" s="63" t="e">
        <f>IF(SummaryTable[[#This Row],[OriginalBudget25]]=0, IF(SummaryTable[[#This Row],[DiffAmount25]]=0, ZeroBudgetNoSpending, ZeroBudgetWithSpending), SummaryTable[[#This Row],[DiffAmount25]]/SummaryTable[[#This Row],[OriginalBudget25]])</f>
        <v>#N/A</v>
      </c>
      <c r="AJ144" s="62" t="e">
        <f>IF(COUNTIFS(allFYsTable[Code], SummaryTable[[#This Row],[Code]], allFYsTable[year2], AJ$3)=0, NotFound, SUMIFS(allFYsTable[OriginalBudget], allFYsTable[Code], SummaryTable[[#This Row],[Code]], allFYsTable[year2], AJ$3))</f>
        <v>#N/A</v>
      </c>
      <c r="AK144" s="61" t="e">
        <f>SummaryTable[[#This Row],[OriginalBudget24]]-SummaryTable[[#This Row],[OriginalBudget23]]</f>
        <v>#N/A</v>
      </c>
      <c r="AL144" s="54" t="e">
        <f>SummaryTable[[#This Row],[BudgetIncreaseAmount24]]/SummaryTable[[#This Row],[OriginalBudget23]]</f>
        <v>#N/A</v>
      </c>
      <c r="AM144" s="61" t="e">
        <f>IF(COUNTIFS(allFYsTable[Code], SummaryTable[[#This Row],[Code]], allFYsTable[year2], AK$3)=0, NotFound, SUMIFS(allFYsTable[RevisedBudget], allFYsTable[Code], SummaryTable[[#This Row],[Code]], allFYsTable[year2], AJ$3))</f>
        <v>#N/A</v>
      </c>
      <c r="AN144" s="61" t="e">
        <f>IF(COUNTIFS(allFYsTable[Code], SummaryTable[[#This Row],[Code]], allFYsTable[year2], AJ$3)=0, NotFound, SUMIFS(allFYsTable[Actual], allFYsTable[Code], SummaryTable[[#This Row],[Code]], allFYsTable[year2], AJ$3))</f>
        <v>#N/A</v>
      </c>
      <c r="AO144" s="61" t="e">
        <f>IF(COUNTIFS(allFYsTable[Code], SummaryTable[[#This Row],[Code]], allFYsTable[year2], AJ$3)=0, NotFound, SUMIFS(allFYsTable[DiffAmount], allFYsTable[Code], SummaryTable[[#This Row],[Code]], allFYsTable[year2], AJ$3))</f>
        <v>#N/A</v>
      </c>
      <c r="AP144" s="63" t="e">
        <f>IF(SummaryTable[[#This Row],[OriginalBudget24]]=0, IF(SummaryTable[[#This Row],[DiffAmount24]]=0, ZeroBudgetNoSpending, ZeroBudgetWithSpending), SummaryTable[[#This Row],[DiffAmount24]]/SummaryTable[[#This Row],[OriginalBudget24]])</f>
        <v>#N/A</v>
      </c>
      <c r="AQ144" s="62" t="e">
        <f>IF(COUNTIFS(allFYsTable[Code], SummaryTable[[#This Row],[Code]], allFYsTable[year2], AQ$3)=0, NotFound, SUMIFS(allFYsTable[OriginalBudget], allFYsTable[Code], SummaryTable[[#This Row],[Code]], allFYsTable[year2], AQ$3))</f>
        <v>#N/A</v>
      </c>
      <c r="AR144" s="61" t="e">
        <f>SummaryTable[[#This Row],[OriginalBudget23]]-SummaryTable[[#This Row],[OriginalBudget22]]</f>
        <v>#N/A</v>
      </c>
      <c r="AS144" s="54" t="e">
        <f>SummaryTable[[#This Row],[BudgetIncreaseAmount23]]/SummaryTable[[#This Row],[OriginalBudget22]]</f>
        <v>#N/A</v>
      </c>
      <c r="AT144" s="61" t="e">
        <f>IF(COUNTIFS(allFYsTable[Code], SummaryTable[[#This Row],[Code]], allFYsTable[year2], AQ$3)=0, NotFound, SUMIFS(allFYsTable[RevisedBudget], allFYsTable[Code], SummaryTable[[#This Row],[Code]], allFYsTable[year2], AQ$3))</f>
        <v>#N/A</v>
      </c>
      <c r="AU144" s="61" t="e">
        <f>IF(COUNTIFS(allFYsTable[Code], SummaryTable[[#This Row],[Code]], allFYsTable[year2], AQ$3)=0, NotFound, SUMIFS(allFYsTable[Actual], allFYsTable[Code], SummaryTable[[#This Row],[Code]], allFYsTable[year2], AQ$3))</f>
        <v>#N/A</v>
      </c>
      <c r="AV144" s="61" t="e">
        <f>IF(COUNTIFS(allFYsTable[Code], SummaryTable[[#This Row],[Code]], allFYsTable[year2], AQ$3)=0, NotFound, SUMIFS(allFYsTable[DiffAmount], allFYsTable[Code], SummaryTable[[#This Row],[Code]], allFYsTable[year2], AQ$3))</f>
        <v>#N/A</v>
      </c>
      <c r="AW144" s="63" t="e">
        <f>IF(SummaryTable[[#This Row],[OriginalBudget23]]=0, IF(SummaryTable[[#This Row],[DiffAmount23]]=0, ZeroBudgetNoSpending, ZeroBudgetWithSpending), SummaryTable[[#This Row],[DiffAmount23]]/SummaryTable[[#This Row],[OriginalBudget23]])</f>
        <v>#N/A</v>
      </c>
      <c r="AX144" s="62" t="e">
        <f>IF(COUNTIFS(allFYsTable[Code], SummaryTable[[#This Row],[Code]], allFYsTable[year2], AX$3)=0, NotFound, SUMIFS(allFYsTable[OriginalBudget], allFYsTable[Code], SummaryTable[[#This Row],[Code]], allFYsTable[year2], AX$3))</f>
        <v>#N/A</v>
      </c>
      <c r="AY144" s="61" t="e">
        <f>SummaryTable[[#This Row],[OriginalBudget22]]-SummaryTable[[#This Row],[OriginalBudget21]]</f>
        <v>#N/A</v>
      </c>
      <c r="AZ144" s="54" t="e">
        <f>SummaryTable[[#This Row],[BudgetIncreaseAmount22]]/SummaryTable[[#This Row],[OriginalBudget21]]</f>
        <v>#N/A</v>
      </c>
      <c r="BA144" s="61" t="e">
        <f>IF(COUNTIFS(allFYsTable[Code], SummaryTable[[#This Row],[Code]], allFYsTable[year2], AX$3)=0, NotFound, SUMIFS(allFYsTable[RevisedBudget], allFYsTable[Code], SummaryTable[[#This Row],[Code]], allFYsTable[year2], AX$3))</f>
        <v>#N/A</v>
      </c>
      <c r="BB144" s="61" t="e">
        <f>IF(COUNTIFS(allFYsTable[Code], SummaryTable[[#This Row],[Code]], allFYsTable[year2], AX$3)=0, NotFound, SUMIFS(allFYsTable[Actual], allFYsTable[Code], SummaryTable[[#This Row],[Code]], allFYsTable[year2], AX$3))</f>
        <v>#N/A</v>
      </c>
      <c r="BC144" s="61" t="e">
        <f>IF(COUNTIFS(allFYsTable[Code], SummaryTable[[#This Row],[Code]], allFYsTable[year2], AX$3)=0, NotFound, SUMIFS(allFYsTable[DiffAmount], allFYsTable[Code], SummaryTable[[#This Row],[Code]], allFYsTable[year2], AX$3))</f>
        <v>#N/A</v>
      </c>
      <c r="BD144" s="63" t="e">
        <f>IF(SummaryTable[[#This Row],[OriginalBudget22]]=0, IF(SummaryTable[[#This Row],[DiffAmount22]]=0, ZeroBudgetNoSpending, ZeroBudgetWithSpending), SummaryTable[[#This Row],[DiffAmount22]]/SummaryTable[[#This Row],[OriginalBudget22]])</f>
        <v>#N/A</v>
      </c>
      <c r="BE144" s="62" t="e">
        <f>IF(COUNTIFS(allFYsTable[Code], SummaryTable[[#This Row],[Code]], allFYsTable[year2], BE$3)=0, NotFound, SUMIFS(allFYsTable[OriginalBudget], allFYsTable[Code], SummaryTable[[#This Row],[Code]], allFYsTable[year2], BE$3))</f>
        <v>#N/A</v>
      </c>
      <c r="BF144" s="61" t="e">
        <f>SummaryTable[[#This Row],[OriginalBudget21]]-SummaryTable[[#This Row],[OriginalBudget20]]</f>
        <v>#N/A</v>
      </c>
      <c r="BG144" s="54" t="e">
        <f>SummaryTable[[#This Row],[BudgetIncreaseAmount21]]/SummaryTable[[#This Row],[OriginalBudget20]]</f>
        <v>#N/A</v>
      </c>
      <c r="BH144" s="61" t="e">
        <f>IF(COUNTIFS(allFYsTable[Code], SummaryTable[[#This Row],[Code]], allFYsTable[year2], BE$3)=0, NotFound, SUMIFS(allFYsTable[RevisedBudget], allFYsTable[Code], SummaryTable[[#This Row],[Code]], allFYsTable[year2], BE$3))</f>
        <v>#N/A</v>
      </c>
      <c r="BI144" s="61" t="e">
        <f>IF(COUNTIFS(allFYsTable[Code], SummaryTable[[#This Row],[Code]], allFYsTable[year2], BE$3)=0, NotFound, SUMIFS(allFYsTable[Actual], allFYsTable[Code], SummaryTable[[#This Row],[Code]], allFYsTable[year2], BE$3))</f>
        <v>#N/A</v>
      </c>
      <c r="BJ144" s="61" t="e">
        <f>IF(COUNTIFS(allFYsTable[Code], SummaryTable[[#This Row],[Code]], allFYsTable[year2], BE$3)=0, NotFound, SUMIFS(allFYsTable[DiffAmount], allFYsTable[Code], SummaryTable[[#This Row],[Code]], allFYsTable[year2], BE$3))</f>
        <v>#N/A</v>
      </c>
      <c r="BK144" s="63" t="e">
        <f>IF(SummaryTable[[#This Row],[OriginalBudget21]]=0, IF(SummaryTable[[#This Row],[DiffAmount21]]=0, ZeroBudgetNoSpending, ZeroBudgetWithSpending), SummaryTable[[#This Row],[DiffAmount21]]/SummaryTable[[#This Row],[OriginalBudget21]])</f>
        <v>#N/A</v>
      </c>
      <c r="BL144" s="62">
        <f>IF(COUNTIFS(allFYsTable[Code], SummaryTable[[#This Row],[Code]], allFYsTable[year2], BL$3)=0, NotFound, SUMIFS(allFYsTable[OriginalBudget], allFYsTable[Code], SummaryTable[[#This Row],[Code]], allFYsTable[year2], BL$3))</f>
        <v>4486</v>
      </c>
      <c r="BM144" s="61">
        <f>SummaryTable[[#This Row],[OriginalBudget20]]-SummaryTable[[#This Row],[OriginalBudget19]]</f>
        <v>-7358</v>
      </c>
      <c r="BN144" s="54">
        <f>SummaryTable[[#This Row],[BudgetIncreaseAmount20]]/SummaryTable[[#This Row],[OriginalBudget19]]</f>
        <v>-0.62124282337048298</v>
      </c>
      <c r="BO144" s="61">
        <f>IF(COUNTIFS(allFYsTable[Code], SummaryTable[[#This Row],[Code]], allFYsTable[year2], BL$3)=0, NotFound, SUMIFS(allFYsTable[RevisedBudget], allFYsTable[Code], SummaryTable[[#This Row],[Code]], allFYsTable[year2], BL$3))</f>
        <v>4486</v>
      </c>
      <c r="BP144" s="61">
        <f>IF(COUNTIFS(allFYsTable[Code], SummaryTable[[#This Row],[Code]], allFYsTable[year2], BL$3)=0, NotFound, SUMIFS(allFYsTable[Actual], allFYsTable[Code], SummaryTable[[#This Row],[Code]], allFYsTable[year2], BL$3))</f>
        <v>4486</v>
      </c>
      <c r="BQ144" s="61">
        <f>IF(COUNTIFS(allFYsTable[Code], SummaryTable[[#This Row],[Code]], allFYsTable[year2], BL$3)=0, NotFound, SUMIFS(allFYsTable[DiffAmount], allFYsTable[Code], SummaryTable[[#This Row],[Code]], allFYsTable[year2], BL$3))</f>
        <v>0</v>
      </c>
      <c r="BR144" s="63">
        <f>IF(SummaryTable[[#This Row],[OriginalBudget20]]=0, IF(SummaryTable[[#This Row],[DiffAmount20]]=0, ZeroBudgetNoSpending, ZeroBudgetWithSpending), SummaryTable[[#This Row],[DiffAmount20]]/SummaryTable[[#This Row],[OriginalBudget20]])</f>
        <v>0</v>
      </c>
      <c r="BS144" s="62">
        <f>IF(COUNTIFS(allFYsTable[Code], SummaryTable[[#This Row],[Code]], allFYsTable[year2], BS$3)=0, NotFound, SUMIFS(allFYsTable[OriginalBudget], allFYsTable[Code], SummaryTable[[#This Row],[Code]], allFYsTable[year2], BS$3))</f>
        <v>11844</v>
      </c>
      <c r="BT144" s="61">
        <f>SummaryTable[[#This Row],[OriginalBudget19]]-SummaryTable[[#This Row],[OriginalBudget18]]</f>
        <v>-7410</v>
      </c>
      <c r="BU144" s="54">
        <f>SummaryTable[[#This Row],[BudgetIncreaseAmount19]]/SummaryTable[[#This Row],[OriginalBudget18]]</f>
        <v>-0.38485509504518539</v>
      </c>
      <c r="BV144" s="61">
        <f>IF(COUNTIFS(allFYsTable[Code], SummaryTable[[#This Row],[Code]], allFYsTable[year2], BS$3)=0, NotFound, SUMIFS(allFYsTable[RevisedBudget], allFYsTable[Code], SummaryTable[[#This Row],[Code]], allFYsTable[year2], BS$3))</f>
        <v>11844</v>
      </c>
      <c r="BW144" s="61">
        <f>IF(COUNTIFS(allFYsTable[Code], SummaryTable[[#This Row],[Code]], allFYsTable[year2], BS$3)=0, NotFound, SUMIFS(allFYsTable[Actual], allFYsTable[Code], SummaryTable[[#This Row],[Code]], allFYsTable[year2], BS$3))</f>
        <v>11844</v>
      </c>
      <c r="BX144" s="61">
        <f>IF(COUNTIFS(allFYsTable[Code], SummaryTable[[#This Row],[Code]], allFYsTable[year2], BS$3)=0, NotFound, SUMIFS(allFYsTable[DiffAmount], allFYsTable[Code], SummaryTable[[#This Row],[Code]], allFYsTable[year2], BS$3))</f>
        <v>0</v>
      </c>
      <c r="BY144" s="63">
        <f>IF(SummaryTable[[#This Row],[OriginalBudget19]]=0, IF(SummaryTable[[#This Row],[DiffAmount19]]=0, ZeroBudgetNoSpending, ZeroBudgetWithSpending), SummaryTable[[#This Row],[DiffAmount19]]/SummaryTable[[#This Row],[OriginalBudget19]])</f>
        <v>0</v>
      </c>
      <c r="BZ144" s="62">
        <f>IF(COUNTIFS(allFYsTable[Code], SummaryTable[[#This Row],[Code]], allFYsTable[year2], BZ$3)=0, NotFound, SUMIFS(allFYsTable[OriginalBudget], allFYsTable[Code], SummaryTable[[#This Row],[Code]], allFYsTable[year2], BZ$3))</f>
        <v>19254</v>
      </c>
      <c r="CA144" s="61">
        <f>SummaryTable[[#This Row],[OriginalBudget18]]-SummaryTable[[#This Row],[OriginalBudget17]]</f>
        <v>-10127</v>
      </c>
      <c r="CB144" s="54">
        <f>SummaryTable[[#This Row],[BudgetIncreaseAmount18]]/SummaryTable[[#This Row],[OriginalBudget17]]</f>
        <v>-0.34467853374629864</v>
      </c>
      <c r="CC144" s="61">
        <f>IF(COUNTIFS(allFYsTable[Code], SummaryTable[[#This Row],[Code]], allFYsTable[year2], BZ$3)=0, NotFound, SUMIFS(allFYsTable[RevisedBudget], allFYsTable[Code], SummaryTable[[#This Row],[Code]], allFYsTable[year2], BZ$3))</f>
        <v>19254</v>
      </c>
      <c r="CD144" s="61">
        <f>IF(COUNTIFS(allFYsTable[Code], SummaryTable[[#This Row],[Code]], allFYsTable[year2], BZ$3)=0, NotFound, SUMIFS(allFYsTable[Actual], allFYsTable[Code], SummaryTable[[#This Row],[Code]], allFYsTable[year2], BZ$3))</f>
        <v>19254</v>
      </c>
      <c r="CE144" s="61">
        <f>IF(COUNTIFS(allFYsTable[Code], SummaryTable[[#This Row],[Code]], allFYsTable[year2], BZ$3)=0, NotFound, SUMIFS(allFYsTable[DiffAmount], allFYsTable[Code], SummaryTable[[#This Row],[Code]], allFYsTable[year2], BZ$3))</f>
        <v>0</v>
      </c>
      <c r="CF144" s="63">
        <f>IF(SummaryTable[[#This Row],[OriginalBudget18]]=0, IF(SummaryTable[[#This Row],[DiffAmount18]]=0, ZeroBudgetNoSpending, ZeroBudgetWithSpending), SummaryTable[[#This Row],[DiffAmount18]]/SummaryTable[[#This Row],[OriginalBudget18]])</f>
        <v>0</v>
      </c>
      <c r="CG144" s="62">
        <f>IF(COUNTIFS(allFYsTable[Code], SummaryTable[[#This Row],[Code]], allFYsTable[year2], CG$3)=0, NotFound, SUMIFS(allFYsTable[OriginalBudget], allFYsTable[Code], SummaryTable[[#This Row],[Code]], allFYsTable[year2], CG$3))</f>
        <v>29381</v>
      </c>
      <c r="CH144" s="61">
        <f>SummaryTable[[#This Row],[OriginalBudget17]]-SummaryTable[[#This Row],[OriginalBudget16]]</f>
        <v>-19032</v>
      </c>
      <c r="CI144" s="54">
        <f>SummaryTable[[#This Row],[BudgetIncreaseAmount17]]/SummaryTable[[#This Row],[OriginalBudget16]]</f>
        <v>-0.39311755107099333</v>
      </c>
      <c r="CJ144" s="61">
        <f>IF(COUNTIFS(allFYsTable[Code], SummaryTable[[#This Row],[Code]], allFYsTable[year2], CG$3)=0, NotFound, SUMIFS(allFYsTable[RevisedBudget], allFYsTable[Code], SummaryTable[[#This Row],[Code]], allFYsTable[year2], CG$3))</f>
        <v>27445</v>
      </c>
      <c r="CK144" s="61">
        <f>IF(COUNTIFS(allFYsTable[Code], SummaryTable[[#This Row],[Code]], allFYsTable[year2], CG$3)=0, NotFound, SUMIFS(allFYsTable[Actual], allFYsTable[Code], SummaryTable[[#This Row],[Code]], allFYsTable[year2], CG$3))</f>
        <v>27445</v>
      </c>
      <c r="CL144" s="61">
        <f>IF(COUNTIFS(allFYsTable[Code], SummaryTable[[#This Row],[Code]], allFYsTable[year2], CG$3)=0, NotFound, SUMIFS(allFYsTable[DiffAmount], allFYsTable[Code], SummaryTable[[#This Row],[Code]], allFYsTable[year2], CG$3))</f>
        <v>-1936</v>
      </c>
      <c r="CM144" s="63">
        <f>IF(SummaryTable[[#This Row],[OriginalBudget17]]=0, IF(SummaryTable[[#This Row],[DiffAmount17]]=0, ZeroBudgetNoSpending, ZeroBudgetWithSpending), SummaryTable[[#This Row],[DiffAmount17]]/SummaryTable[[#This Row],[OriginalBudget17]])</f>
        <v>-6.589292399850244E-2</v>
      </c>
      <c r="CN144" s="62">
        <f>IF(COUNTIFS(allFYsTable[Code], SummaryTable[[#This Row],[Code]], allFYsTable[year2], CN$3)=0, NotFound, SUMIFS(allFYsTable[OriginalBudget], allFYsTable[Code], SummaryTable[[#This Row],[Code]], allFYsTable[year2], CN$3))</f>
        <v>48413</v>
      </c>
      <c r="CO144" s="61">
        <f>SummaryTable[[#This Row],[OriginalBudget16]]-SummaryTable[[#This Row],[OriginalBudget15]]</f>
        <v>-3135</v>
      </c>
      <c r="CP144" s="54">
        <f>SummaryTable[[#This Row],[BudgetIncreaseAmount16]]/SummaryTable[[#This Row],[OriginalBudget15]]</f>
        <v>-6.08171025064018E-2</v>
      </c>
      <c r="CQ144" s="61">
        <f>IF(COUNTIFS(allFYsTable[Code], SummaryTable[[#This Row],[Code]], allFYsTable[year2], CN$3)=0, NotFound, SUMIFS(allFYsTable[RevisedBudget], allFYsTable[Code], SummaryTable[[#This Row],[Code]], allFYsTable[year2], CN$3))</f>
        <v>38914</v>
      </c>
      <c r="CR144" s="61">
        <f>IF(COUNTIFS(allFYsTable[Code], SummaryTable[[#This Row],[Code]], allFYsTable[year2], CN$3)=0, NotFound, SUMIFS(allFYsTable[Actual], allFYsTable[Code], SummaryTable[[#This Row],[Code]], allFYsTable[year2], CN$3))</f>
        <v>38914</v>
      </c>
      <c r="CS144" s="61">
        <f>IF(COUNTIFS(allFYsTable[Code], SummaryTable[[#This Row],[Code]], allFYsTable[year2], CN$3)=0, NotFound, SUMIFS(allFYsTable[DiffAmount], allFYsTable[Code], SummaryTable[[#This Row],[Code]], allFYsTable[year2], CN$3))</f>
        <v>-9499</v>
      </c>
      <c r="CT144" s="63">
        <f>IF(SummaryTable[[#This Row],[OriginalBudget16]]=0, IF(SummaryTable[[#This Row],[DiffAmount16]]=0, ZeroBudgetNoSpending, ZeroBudgetWithSpending), SummaryTable[[#This Row],[DiffAmount16]]/SummaryTable[[#This Row],[OriginalBudget16]])</f>
        <v>-0.19620763018197593</v>
      </c>
      <c r="CU144" s="62">
        <f>IF(COUNTIFS(allFYsTable[Code], SummaryTable[[#This Row],[Code]], allFYsTable[year2], CU$3)=0, NotFound, SUMIFS(allFYsTable[OriginalBudget], allFYsTable[Code], SummaryTable[[#This Row],[Code]], allFYsTable[year2], CU$3))</f>
        <v>51548</v>
      </c>
      <c r="CV144" s="61">
        <f>SummaryTable[[#This Row],[OriginalBudget15]]-SummaryTable[[#This Row],[OriginalBudget14]]</f>
        <v>8871</v>
      </c>
      <c r="CW144" s="54">
        <f>SummaryTable[[#This Row],[BudgetIncreaseAmount15]]/SummaryTable[[#This Row],[OriginalBudget14]]</f>
        <v>0.20786372050519014</v>
      </c>
      <c r="CX144" s="61">
        <f>IF(COUNTIFS(allFYsTable[Code], SummaryTable[[#This Row],[Code]], allFYsTable[year2], CU$3)=0, NotFound, SUMIFS(allFYsTable[RevisedBudget], allFYsTable[Code], SummaryTable[[#This Row],[Code]], allFYsTable[year2], CU$3))</f>
        <v>43778</v>
      </c>
      <c r="CY144" s="61">
        <f>IF(COUNTIFS(allFYsTable[Code], SummaryTable[[#This Row],[Code]], allFYsTable[year2], CU$3)=0, NotFound, SUMIFS(allFYsTable[Actual], allFYsTable[Code], SummaryTable[[#This Row],[Code]], allFYsTable[year2], CU$3))</f>
        <v>43778</v>
      </c>
      <c r="CZ144" s="61">
        <f>IF(COUNTIFS(allFYsTable[Code], SummaryTable[[#This Row],[Code]], allFYsTable[year2], CU$3)=0, NotFound, SUMIFS(allFYsTable[DiffAmount], allFYsTable[Code], SummaryTable[[#This Row],[Code]], allFYsTable[year2], CU$3))</f>
        <v>-7770</v>
      </c>
      <c r="DA144" s="63">
        <f>IF(SummaryTable[[#This Row],[OriginalBudget15]]=0, IF(SummaryTable[[#This Row],[DiffAmount15]]=0, ZeroBudgetNoSpending, ZeroBudgetWithSpending), SummaryTable[[#This Row],[DiffAmount15]]/SummaryTable[[#This Row],[OriginalBudget15]])</f>
        <v>-0.15073329712112982</v>
      </c>
      <c r="DB144" s="62">
        <f>IF(COUNTIFS(allFYsTable[Code], SummaryTable[[#This Row],[Code]], allFYsTable[year2], DB$3)=0, NotFound, SUMIFS(allFYsTable[OriginalBudget], allFYsTable[Code], SummaryTable[[#This Row],[Code]], allFYsTable[year2], DB$3))</f>
        <v>42677</v>
      </c>
      <c r="DC144" s="61">
        <f>SummaryTable[[#This Row],[OriginalBudget14]]-SummaryTable[[#This Row],[OriginalBudget13]]</f>
        <v>-7359</v>
      </c>
      <c r="DD144" s="54">
        <f>SummaryTable[[#This Row],[BudgetIncreaseAmount14]]/SummaryTable[[#This Row],[OriginalBudget13]]</f>
        <v>-0.14707410664321688</v>
      </c>
      <c r="DE144" s="61">
        <f>IF(COUNTIFS(allFYsTable[Code], SummaryTable[[#This Row],[Code]], allFYsTable[year2], DB$3)=0, NotFound, SUMIFS(allFYsTable[RevisedBudget], allFYsTable[Code], SummaryTable[[#This Row],[Code]], allFYsTable[year2], DB$3))</f>
        <v>45636</v>
      </c>
      <c r="DF144" s="61">
        <f>IF(COUNTIFS(allFYsTable[Code], SummaryTable[[#This Row],[Code]], allFYsTable[year2], DB$3)=0, NotFound, SUMIFS(allFYsTable[Actual], allFYsTable[Code], SummaryTable[[#This Row],[Code]], allFYsTable[year2], DB$3))</f>
        <v>45617</v>
      </c>
      <c r="DG144" s="61">
        <f>IF(COUNTIFS(allFYsTable[Code], SummaryTable[[#This Row],[Code]], allFYsTable[year2], DB$3)=0, NotFound, SUMIFS(allFYsTable[DiffAmount], allFYsTable[Code], SummaryTable[[#This Row],[Code]], allFYsTable[year2], DB$3))</f>
        <v>2940</v>
      </c>
      <c r="DH144" s="63">
        <f>IF(SummaryTable[[#This Row],[OriginalBudget14]]=0, IF(SummaryTable[[#This Row],[DiffAmount14]]=0, ZeroBudgetNoSpending, ZeroBudgetWithSpending), SummaryTable[[#This Row],[DiffAmount14]]/SummaryTable[[#This Row],[OriginalBudget14]])</f>
        <v>6.8889565808280803E-2</v>
      </c>
      <c r="DI144" s="62">
        <f>IF(COUNTIFS(allFYsTable[Code], SummaryTable[[#This Row],[Code]], allFYsTable[year2], DI$3)=0, NotFound, SUMIFS(allFYsTable[OriginalBudget], allFYsTable[Code], SummaryTable[[#This Row],[Code]], allFYsTable[year2], DI$3))</f>
        <v>50036</v>
      </c>
      <c r="DJ144" s="61">
        <f>SummaryTable[[#This Row],[OriginalBudget13]]-SummaryTable[[#This Row],[OriginalBudget12]]</f>
        <v>-3581</v>
      </c>
      <c r="DK144" s="54">
        <f>SummaryTable[[#This Row],[BudgetIncreaseAmount13]]/SummaryTable[[#This Row],[OriginalBudget12]]</f>
        <v>-6.6788518566872443E-2</v>
      </c>
      <c r="DL144" s="61">
        <f>IF(COUNTIFS(allFYsTable[Code], SummaryTable[[#This Row],[Code]], allFYsTable[year2], DI$3)=0, NotFound, SUMIFS(allFYsTable[RevisedBudget], allFYsTable[Code], SummaryTable[[#This Row],[Code]], allFYsTable[year2], DI$3))</f>
        <v>50036</v>
      </c>
      <c r="DM144" s="61">
        <f>IF(COUNTIFS(allFYsTable[Code], SummaryTable[[#This Row],[Code]], allFYsTable[year2], DI$3)=0, NotFound, SUMIFS(allFYsTable[Actual], allFYsTable[Code], SummaryTable[[#This Row],[Code]], allFYsTable[year2], DI$3))</f>
        <v>49953</v>
      </c>
      <c r="DN144" s="61">
        <f>IF(COUNTIFS(allFYsTable[Code], SummaryTable[[#This Row],[Code]], allFYsTable[year2], DI$3)=0, NotFound, SUMIFS(allFYsTable[DiffAmount], allFYsTable[Code], SummaryTable[[#This Row],[Code]], allFYsTable[year2], DI$3))</f>
        <v>-83</v>
      </c>
      <c r="DO144" s="63">
        <f>IF(SummaryTable[[#This Row],[OriginalBudget13]]=0, IF(SummaryTable[[#This Row],[DiffAmount13]]=0, ZeroBudgetNoSpending, ZeroBudgetWithSpending), SummaryTable[[#This Row],[DiffAmount13]]/SummaryTable[[#This Row],[OriginalBudget13]])</f>
        <v>-1.6588056599248541E-3</v>
      </c>
      <c r="DP144" s="62">
        <f>IF(COUNTIFS(allFYsTable[Code], SummaryTable[[#This Row],[Code]], allFYsTable[year2], DP$3)=0, NotFound, SUMIFS(allFYsTable[OriginalBudget], allFYsTable[Code], SummaryTable[[#This Row],[Code]], allFYsTable[year2], DP$3))</f>
        <v>53617</v>
      </c>
      <c r="DQ144" s="61">
        <f>SummaryTable[[#This Row],[OriginalBudget12]]-SummaryTable[[#This Row],[OriginalBudget11]]</f>
        <v>3813</v>
      </c>
      <c r="DR144" s="54">
        <f>SummaryTable[[#This Row],[BudgetIncreaseAmount12]]/SummaryTable[[#This Row],[OriginalBudget11]]</f>
        <v>7.6560115653361183E-2</v>
      </c>
      <c r="DS144" s="61">
        <f>IF(COUNTIFS(allFYsTable[Code], SummaryTable[[#This Row],[Code]], allFYsTable[year2], DP$3)=0, NotFound, SUMIFS(allFYsTable[RevisedBudget], allFYsTable[Code], SummaryTable[[#This Row],[Code]], allFYsTable[year2], DP$3))</f>
        <v>49804</v>
      </c>
      <c r="DT144" s="61">
        <f>IF(COUNTIFS(allFYsTable[Code], SummaryTable[[#This Row],[Code]], allFYsTable[year2], DP$3)=0, NotFound, SUMIFS(allFYsTable[Actual], allFYsTable[Code], SummaryTable[[#This Row],[Code]], allFYsTable[year2], DP$3))</f>
        <v>49791</v>
      </c>
      <c r="DU144" s="61">
        <f>IF(COUNTIFS(allFYsTable[Code], SummaryTable[[#This Row],[Code]], allFYsTable[year2], DP$3)=0, NotFound, SUMIFS(allFYsTable[DiffAmount], allFYsTable[Code], SummaryTable[[#This Row],[Code]], allFYsTable[year2], DP$3))</f>
        <v>-3826</v>
      </c>
      <c r="DV144" s="63">
        <f>IF(SummaryTable[[#This Row],[OriginalBudget12]]=0, IF(SummaryTable[[#This Row],[DiffAmount12]]=0, ZeroBudgetNoSpending, ZeroBudgetWithSpending), SummaryTable[[#This Row],[DiffAmount12]]/SummaryTable[[#This Row],[OriginalBudget12]])</f>
        <v>-7.1357964824589212E-2</v>
      </c>
      <c r="DW144" s="62">
        <f>IF(COUNTIFS(allFYsTable[Code], SummaryTable[[#This Row],[Code]], allFYsTable[year2], DW$3)=0, NotFound, SUMIFS(allFYsTable[OriginalBudget], allFYsTable[Code], SummaryTable[[#This Row],[Code]], allFYsTable[year2], DW$3))</f>
        <v>49804</v>
      </c>
      <c r="DX144" s="61">
        <f>SummaryTable[[#This Row],[OriginalBudget11]]-SummaryTable[[#This Row],[OriginalBudget10]]</f>
        <v>3647</v>
      </c>
      <c r="DY144" s="54">
        <f>SummaryTable[[#This Row],[BudgetIncreaseAmount11]]/SummaryTable[[#This Row],[OriginalBudget10]]</f>
        <v>7.9012934116168734E-2</v>
      </c>
      <c r="DZ144" s="61">
        <f>IF(COUNTIFS(allFYsTable[Code], SummaryTable[[#This Row],[Code]], allFYsTable[year2], DW$3)=0, NotFound, SUMIFS(allFYsTable[RevisedBudget], allFYsTable[Code], SummaryTable[[#This Row],[Code]], allFYsTable[year2], DW$3))</f>
        <v>48819</v>
      </c>
      <c r="EA144" s="61">
        <f>IF(COUNTIFS(allFYsTable[Code], SummaryTable[[#This Row],[Code]], allFYsTable[year2], DW$3)=0, NotFound, SUMIFS(allFYsTable[Actual], allFYsTable[Code], SummaryTable[[#This Row],[Code]], allFYsTable[year2], DW$3))</f>
        <v>48247</v>
      </c>
      <c r="EB144" s="61">
        <f>IF(COUNTIFS(allFYsTable[Code], SummaryTable[[#This Row],[Code]], allFYsTable[year2], DW$3)=0, NotFound, SUMIFS(allFYsTable[DiffAmount], allFYsTable[Code], SummaryTable[[#This Row],[Code]], allFYsTable[year2], DW$3))</f>
        <v>-1557</v>
      </c>
      <c r="EC144" s="63">
        <f>IF(SummaryTable[[#This Row],[OriginalBudget11]]=0, IF(SummaryTable[[#This Row],[DiffAmount11]]=0, ZeroBudgetNoSpending, ZeroBudgetWithSpending), SummaryTable[[#This Row],[DiffAmount11]]/SummaryTable[[#This Row],[OriginalBudget11]])</f>
        <v>-3.1262549192835914E-2</v>
      </c>
      <c r="ED144" s="62">
        <f>IF(COUNTIFS(allFYsTable[Code], SummaryTable[[#This Row],[Code]], allFYsTable[year2], ED$3)=0, NotFound, SUMIFS(allFYsTable[OriginalBudget], allFYsTable[Code], SummaryTable[[#This Row],[Code]], allFYsTable[year2], ED$3))</f>
        <v>46157</v>
      </c>
      <c r="EE144" s="61">
        <f>SummaryTable[[#This Row],[OriginalBudget10]]-SummaryTable[[#This Row],[OriginalBudget09]]</f>
        <v>3124</v>
      </c>
      <c r="EF144" s="54">
        <f>SummaryTable[[#This Row],[BudgetIncreaseAmount10]]/SummaryTable[[#This Row],[OriginalBudget09]]</f>
        <v>7.2595450003485704E-2</v>
      </c>
      <c r="EG144" s="61">
        <f>IF(COUNTIFS(allFYsTable[Code], SummaryTable[[#This Row],[Code]], allFYsTable[year2], ED$3)=0, NotFound, SUMIFS(allFYsTable[RevisedBudget], allFYsTable[Code], SummaryTable[[#This Row],[Code]], allFYsTable[year2], ED$3))</f>
        <v>44320</v>
      </c>
      <c r="EH144" s="61">
        <f>IF(COUNTIFS(allFYsTable[Code], SummaryTable[[#This Row],[Code]], allFYsTable[year2], ED$3)=0, NotFound, SUMIFS(allFYsTable[Actual], allFYsTable[Code], SummaryTable[[#This Row],[Code]], allFYsTable[year2], ED$3))</f>
        <v>43863</v>
      </c>
      <c r="EI144" s="61">
        <f>IF(COUNTIFS(allFYsTable[Code], SummaryTable[[#This Row],[Code]], allFYsTable[year2], ED$3)=0, NotFound, SUMIFS(allFYsTable[DiffAmount], allFYsTable[Code], SummaryTable[[#This Row],[Code]], allFYsTable[year2], ED$3))</f>
        <v>-2294</v>
      </c>
      <c r="EJ144" s="63">
        <f>IF(SummaryTable[[#This Row],[OriginalBudget10]]=0, IF(SummaryTable[[#This Row],[DiffAmount10]]=0, ZeroBudgetNoSpending, ZeroBudgetWithSpending), SummaryTable[[#This Row],[DiffAmount10]]/SummaryTable[[#This Row],[OriginalBudget10]])</f>
        <v>-4.9699937170959982E-2</v>
      </c>
      <c r="EK144" s="62">
        <f>IF(COUNTIFS(allFYsTable[Code], SummaryTable[[#This Row],[Code]], allFYsTable[year2], EK$3)=0, NotFound, SUMIFS(allFYsTable[OriginalBudget], allFYsTable[Code], SummaryTable[[#This Row],[Code]], allFYsTable[year2], EK$3))</f>
        <v>43033</v>
      </c>
      <c r="EL144" s="61">
        <f>SummaryTable[[#This Row],[OriginalBudget09]]-SummaryTable[[#This Row],[OriginalBudget08]]</f>
        <v>-722</v>
      </c>
      <c r="EM144" s="54">
        <f>SummaryTable[[#This Row],[BudgetIncreaseAmount09]]/SummaryTable[[#This Row],[OriginalBudget08]]</f>
        <v>-1.6500971317563708E-2</v>
      </c>
      <c r="EN144" s="61">
        <f>IF(COUNTIFS(allFYsTable[Code], SummaryTable[[#This Row],[Code]], allFYsTable[year2], EK$3)=0, NotFound, SUMIFS(allFYsTable[RevisedBudget], allFYsTable[Code], SummaryTable[[#This Row],[Code]], allFYsTable[year2], EK$3))</f>
        <v>38533</v>
      </c>
      <c r="EO144" s="61">
        <f>IF(COUNTIFS(allFYsTable[Code], SummaryTable[[#This Row],[Code]], allFYsTable[year2], EK$3)=0, NotFound, SUMIFS(allFYsTable[Actual], allFYsTable[Code], SummaryTable[[#This Row],[Code]], allFYsTable[year2], EK$3))</f>
        <v>38378</v>
      </c>
      <c r="EP144" s="61">
        <f>IF(COUNTIFS(allFYsTable[Code], SummaryTable[[#This Row],[Code]], allFYsTable[year2], EK$3)=0, NotFound, SUMIFS(allFYsTable[DiffAmount], allFYsTable[Code], SummaryTable[[#This Row],[Code]], allFYsTable[year2], EK$3))</f>
        <v>-4655</v>
      </c>
      <c r="EQ144" s="63">
        <f>IF(SummaryTable[[#This Row],[OriginalBudget09]]=0, IF(SummaryTable[[#This Row],[DiffAmount09]]=0, ZeroBudgetNoSpending, ZeroBudgetWithSpending), SummaryTable[[#This Row],[DiffAmount09]]/SummaryTable[[#This Row],[OriginalBudget09]])</f>
        <v>-0.10817279762043083</v>
      </c>
      <c r="ER144" s="62">
        <f>IF(COUNTIFS(allFYsTable[Code], SummaryTable[[#This Row],[Code]], allFYsTable[year2], ER$3)=0, NotFound, SUMIFS(allFYsTable[OriginalBudget], allFYsTable[Code], SummaryTable[[#This Row],[Code]], allFYsTable[year2], ER$3))</f>
        <v>43755</v>
      </c>
      <c r="ES144" s="61">
        <f>SummaryTable[[#This Row],[OriginalBudget08]]-SummaryTable[[#This Row],[OriginalBudget07]]</f>
        <v>-200</v>
      </c>
      <c r="ET144" s="54">
        <f>SummaryTable[[#This Row],[BudgetIncreaseAmount08]]/SummaryTable[[#This Row],[OriginalBudget07]]</f>
        <v>-4.5501080650665457E-3</v>
      </c>
      <c r="EU144" s="61">
        <f>IF(COUNTIFS(allFYsTable[Code], SummaryTable[[#This Row],[Code]], allFYsTable[year2], ER$3)=0, NotFound, SUMIFS(allFYsTable[RevisedBudget], allFYsTable[Code], SummaryTable[[#This Row],[Code]], allFYsTable[year2], ER$3))</f>
        <v>32971</v>
      </c>
      <c r="EV144" s="61">
        <f>IF(COUNTIFS(allFYsTable[Code], SummaryTable[[#This Row],[Code]], allFYsTable[year2], ER$3)=0, NotFound, SUMIFS(allFYsTable[Actual], allFYsTable[Code], SummaryTable[[#This Row],[Code]], allFYsTable[year2], ER$3))</f>
        <v>29896</v>
      </c>
      <c r="EW144" s="61">
        <f>IF(COUNTIFS(allFYsTable[Code], SummaryTable[[#This Row],[Code]], allFYsTable[year2], ER$3)=0, NotFound, SUMIFS(allFYsTable[DiffAmount], allFYsTable[Code], SummaryTable[[#This Row],[Code]], allFYsTable[year2], ER$3))</f>
        <v>-13859</v>
      </c>
      <c r="EX144" s="63">
        <f>IF(SummaryTable[[#This Row],[OriginalBudget08]]=0, IF(SummaryTable[[#This Row],[DiffAmount08]]=0, ZeroBudgetNoSpending, ZeroBudgetWithSpending), SummaryTable[[#This Row],[DiffAmount08]]/SummaryTable[[#This Row],[OriginalBudget08]])</f>
        <v>-0.31674094389212659</v>
      </c>
      <c r="EY144" s="62">
        <f>IF(COUNTIFS(allFYsTable[Code], SummaryTable[[#This Row],[Code]], allFYsTable[year2], EY$3)=0, NotFound, SUMIFS(allFYsTable[OriginalBudget], allFYsTable[Code], SummaryTable[[#This Row],[Code]], allFYsTable[year2], EY$3))</f>
        <v>43955</v>
      </c>
      <c r="EZ144" s="61">
        <f>SummaryTable[[#This Row],[OriginalBudget07]]-SummaryTable[[#This Row],[OriginalBudget06]]</f>
        <v>16514</v>
      </c>
      <c r="FA144" s="54">
        <f>SummaryTable[[#This Row],[BudgetIncreaseAmount07]]/SummaryTable[[#This Row],[OriginalBudget06]]</f>
        <v>0.60180022593928795</v>
      </c>
      <c r="FB144" s="61">
        <f>IF(COUNTIFS(allFYsTable[Code], SummaryTable[[#This Row],[Code]], allFYsTable[year2], EY$3)=0, NotFound, SUMIFS(allFYsTable[RevisedBudget], allFYsTable[Code], SummaryTable[[#This Row],[Code]], allFYsTable[year2], EY$3))</f>
        <v>22028</v>
      </c>
      <c r="FC144" s="61">
        <f>IF(COUNTIFS(allFYsTable[Code], SummaryTable[[#This Row],[Code]], allFYsTable[year2], EY$3)=0, NotFound, SUMIFS(allFYsTable[Actual], allFYsTable[Code], SummaryTable[[#This Row],[Code]], allFYsTable[year2], EY$3))</f>
        <v>21893</v>
      </c>
      <c r="FD144" s="61">
        <f>IF(COUNTIFS(allFYsTable[Code], SummaryTable[[#This Row],[Code]], allFYsTable[year2], EY$3)=0, NotFound, SUMIFS(allFYsTable[DiffAmount], allFYsTable[Code], SummaryTable[[#This Row],[Code]], allFYsTable[year2], EY$3))</f>
        <v>-22062</v>
      </c>
      <c r="FE144" s="63">
        <f>IF(SummaryTable[[#This Row],[OriginalBudget07]]=0, IF(SummaryTable[[#This Row],[DiffAmount07]]=0, ZeroBudgetNoSpending, ZeroBudgetWithSpending), SummaryTable[[#This Row],[DiffAmount07]]/SummaryTable[[#This Row],[OriginalBudget07]])</f>
        <v>-0.5019224206574906</v>
      </c>
      <c r="FF144" s="62">
        <f>IF(COUNTIFS(allFYsTable[Code], SummaryTable[[#This Row],[Code]], allFYsTable[year2], FF$3)=0, NotFound, SUMIFS(allFYsTable[OriginalBudget], allFYsTable[Code], SummaryTable[[#This Row],[Code]], allFYsTable[year2], FF$3))</f>
        <v>27441</v>
      </c>
      <c r="FI144" s="61">
        <f>IF(COUNTIFS(allFYsTable[Code], SummaryTable[[#This Row],[Code]], allFYsTable[year2], FF$3)=0, NotFound, SUMIFS(allFYsTable[RevisedBudget], allFYsTable[Code], SummaryTable[[#This Row],[Code]], allFYsTable[year2], FF$3))</f>
        <v>26090</v>
      </c>
      <c r="FJ144" s="61">
        <f>IF(COUNTIFS(allFYsTable[Code], SummaryTable[[#This Row],[Code]], allFYsTable[year2], FF$3)=0, NotFound, SUMIFS(allFYsTable[Actual], allFYsTable[Code], SummaryTable[[#This Row],[Code]], allFYsTable[year2], FF$3))</f>
        <v>24574</v>
      </c>
      <c r="FK144" s="61">
        <f>IF(COUNTIFS(allFYsTable[Code], SummaryTable[[#This Row],[Code]], allFYsTable[year2], FF$3)=0, NotFound, SUMIFS(allFYsTable[DiffAmount], allFYsTable[Code], SummaryTable[[#This Row],[Code]], allFYsTable[year2], FF$3))</f>
        <v>-2867</v>
      </c>
      <c r="FL144" s="63">
        <f>IF(SummaryTable[[#This Row],[OriginalBudget06]]=0, IF(SummaryTable[[#This Row],[DiffAmount06]]=0, ZeroBudgetNoSpending, ZeroBudgetWithSpending), SummaryTable[[#This Row],[DiffAmount06]]/SummaryTable[[#This Row],[OriginalBudget06]])</f>
        <v>-0.1044786997558398</v>
      </c>
    </row>
    <row r="145" spans="1:168" x14ac:dyDescent="0.45">
      <c r="A145" t="s">
        <v>874</v>
      </c>
      <c r="B145">
        <f>_xlfn.MAXIFS(allFYsTable[year2], allFYsTable[Code], SummaryTable[[#This Row],[Code]])</f>
        <v>2020</v>
      </c>
      <c r="C145" t="str">
        <f>_xlfn.XLOOKUP(SummaryTable[[#This Row],[Code]], NameCodingTable[Code], NameCodingTable[Most Recent Category per allFYs])</f>
        <v>Public education system</v>
      </c>
      <c r="D145" t="str">
        <f>_xlfn.XLOOKUP(SummaryTable[[#This Row],[Code]], NameCodingTable[Code], NameCodingTable[Unit Display Name])</f>
        <v>Section 103 - public education system</v>
      </c>
      <c r="E145" t="str">
        <f>_xlfn.XLOOKUP(SummaryTable[[#This Row],[Code]], NameCodingTable[Code], NameCodingTable[Type])</f>
        <v>untyped</v>
      </c>
      <c r="F14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6</v>
      </c>
      <c r="G14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6</v>
      </c>
      <c r="H145" s="54">
        <f>SummaryTable[[#This Row],['# Over]]/SummaryTable[[#This Row],[Count]]</f>
        <v>1</v>
      </c>
      <c r="I14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45" s="54">
        <f>SummaryTable[[#This Row],['# Under]]/SummaryTable[[#This Row],[Count]]</f>
        <v>0</v>
      </c>
      <c r="K14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45" s="54">
        <f>SummaryTable[[#This Row],['# Equal]]/SummaryTable[[#This Row],[Count]]</f>
        <v>0</v>
      </c>
      <c r="M145" s="61">
        <f>SUMIFS(allFYsTable[OriginalBudget],allFYsTable[Code],SummaryTable[[#This Row],[Code]])/SummaryTable[[#This Row],[Count]]</f>
        <v>0</v>
      </c>
      <c r="N145" s="61">
        <f>SUMIFS(allFYsTable[Actual],allFYsTable[Code],SummaryTable[[#This Row],[Code]])/SummaryTable[[#This Row],[Count]]</f>
        <v>3151.3333333333335</v>
      </c>
      <c r="O145" s="61">
        <f>SummaryTable[[#This Row],[AvgActAmt]]-SummaryTable[[#This Row],[AvgBudAmt]]</f>
        <v>3151.3333333333335</v>
      </c>
      <c r="P145" s="54">
        <f>IF(SummaryTable[[#This Row],[AvgBudAmt]]=0, IF(SummaryTable[[#This Row],[AvgDiff'#]]=0, 0, NamedFields!$C$3), SummaryTable[[#This Row],[AvgDiff'#]]/SummaryTable[[#This Row],[AvgBudAmt]])</f>
        <v>99.99</v>
      </c>
      <c r="Q145" s="61">
        <f>IFERROR(SUMIFS(allFYsTable[OriginalBudget],allFYsTable[Code],SummaryTable[[#This Row],[Code]],allFYsTable[DiffAmount], "&gt;0")/SummaryTable[[#This Row],['# Over]], 0)</f>
        <v>0</v>
      </c>
      <c r="R145" s="61">
        <f>IFERROR(SUMIFS(allFYsTable[Actual],allFYsTable[Code],SummaryTable[[#This Row],[Code]],allFYsTable[DiffAmount], "&gt;0")/SummaryTable[[#This Row],['# Over]], 0)</f>
        <v>3151.3333333333335</v>
      </c>
      <c r="S145" s="61">
        <f>SummaryTable[[#This Row],[OverAvgAct]]-SummaryTable[[#This Row],[OverAvgBud]]</f>
        <v>3151.3333333333335</v>
      </c>
      <c r="T145" s="54">
        <f>IF(SummaryTable[[#This Row],[OverAvgBud]]=0, IF(SummaryTable[[#This Row],[OverAvgDiff'#]]=0, ZeroBudgetNoSpending, ZeroBudgetWithSpending), SummaryTable[[#This Row],[OverAvgDiff'#]]/SummaryTable[[#This Row],[OverAvgBud]])</f>
        <v>99.99</v>
      </c>
      <c r="U145" s="61">
        <f>IFERROR(SUMIFS(allFYsTable[OriginalBudget],allFYsTable[Code],SummaryTable[[#This Row],[Code]],allFYsTable[DiffAmount], "&lt;0")/SummaryTable[[#This Row],['# Under]], 0)</f>
        <v>0</v>
      </c>
      <c r="V145" s="61">
        <f>IFERROR( SUMIFS(allFYsTable[Actual],allFYsTable[Code],SummaryTable[[#This Row],[Code]],allFYsTable[DiffAmount], "&lt;0")/SummaryTable[[#This Row],['# Under]], 0)</f>
        <v>0</v>
      </c>
      <c r="W145" s="61">
        <f>SummaryTable[[#This Row],[UnderAvgAct]]-SummaryTable[[#This Row],[UnderAvgBud]]</f>
        <v>0</v>
      </c>
      <c r="X145" s="54">
        <f>IF(SummaryTable[[#This Row],[UnderAvgBud]]=0, IF(SummaryTable[[#This Row],[UnderAvgDiff'#]]=0, ZeroBudgetNoSpending, NamedFields!$C$3), SummaryTable[[#This Row],[UnderAvgDiff'#]]/SummaryTable[[#This Row],[UnderAvgBud]])</f>
        <v>0</v>
      </c>
      <c r="Y14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4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5" s="54">
        <f>IF(SummaryTable[[#This Row],[IncreaseYears]]=0, ZeroBudgetNoSpending, SummaryTable[[#This Row],[OSinIncreaseYear'#]]/SummaryTable[[#This Row],[IncreaseYears]])</f>
        <v>0</v>
      </c>
      <c r="AB145" s="58" t="str">
        <f>SummaryTable[[#This Row],[Code]]</f>
        <v>XJS</v>
      </c>
      <c r="AC145" s="62" t="e">
        <f>IF(COUNTIFS(allFYsTable[Code], SummaryTable[[#This Row],[Code]], allFYsTable[year2], AC$3)=0, NotFound, SUMIFS(allFYsTable[OriginalBudget], allFYsTable[Code], SummaryTable[[#This Row],[Code]], allFYsTable[year2], AC$3))</f>
        <v>#N/A</v>
      </c>
      <c r="AD145" s="61" t="e">
        <f>SummaryTable[[#This Row],[OriginalBudget25]]-SummaryTable[[#This Row],[OriginalBudget24]]</f>
        <v>#N/A</v>
      </c>
      <c r="AE145" s="54" t="e">
        <f>SummaryTable[[#This Row],[BudgetIncreaseAmount25]]/SummaryTable[[#This Row],[OriginalBudget24]]</f>
        <v>#N/A</v>
      </c>
      <c r="AF145" s="61" t="e">
        <f>IF(COUNTIFS(allFYsTable[Code], SummaryTable[[#This Row],[Code]], allFYsTable[year2], AC$3)=0, NotFound, SUMIFS(allFYsTable[RevisedBudget], allFYsTable[Code], SummaryTable[[#This Row],[Code]], allFYsTable[year2], AC$3))</f>
        <v>#N/A</v>
      </c>
      <c r="AG145" s="61" t="e">
        <f>IF(COUNTIFS(allFYsTable[Code], SummaryTable[[#This Row],[Code]], allFYsTable[year2], AC$3)=0, NotFound, SUMIFS(allFYsTable[Actual], allFYsTable[Code], SummaryTable[[#This Row],[Code]], allFYsTable[year2], AC$3))</f>
        <v>#N/A</v>
      </c>
      <c r="AH145" s="61" t="e">
        <f>IF(COUNTIFS(allFYsTable[Code], SummaryTable[[#This Row],[Code]], allFYsTable[year2], AC$3)=0, NotFound, SUMIFS(allFYsTable[DiffAmount], allFYsTable[Code], SummaryTable[[#This Row],[Code]], allFYsTable[year2], AC$3))</f>
        <v>#N/A</v>
      </c>
      <c r="AI145" s="63" t="e">
        <f>IF(SummaryTable[[#This Row],[OriginalBudget25]]=0, IF(SummaryTable[[#This Row],[DiffAmount25]]=0, ZeroBudgetNoSpending, ZeroBudgetWithSpending), SummaryTable[[#This Row],[DiffAmount25]]/SummaryTable[[#This Row],[OriginalBudget25]])</f>
        <v>#N/A</v>
      </c>
      <c r="AJ145" s="62" t="e">
        <f>IF(COUNTIFS(allFYsTable[Code], SummaryTable[[#This Row],[Code]], allFYsTable[year2], AJ$3)=0, NotFound, SUMIFS(allFYsTable[OriginalBudget], allFYsTable[Code], SummaryTable[[#This Row],[Code]], allFYsTable[year2], AJ$3))</f>
        <v>#N/A</v>
      </c>
      <c r="AK145" s="61" t="e">
        <f>SummaryTable[[#This Row],[OriginalBudget24]]-SummaryTable[[#This Row],[OriginalBudget23]]</f>
        <v>#N/A</v>
      </c>
      <c r="AL145" s="54" t="e">
        <f>SummaryTable[[#This Row],[BudgetIncreaseAmount24]]/SummaryTable[[#This Row],[OriginalBudget23]]</f>
        <v>#N/A</v>
      </c>
      <c r="AM145" s="61" t="e">
        <f>IF(COUNTIFS(allFYsTable[Code], SummaryTable[[#This Row],[Code]], allFYsTable[year2], AK$3)=0, NotFound, SUMIFS(allFYsTable[RevisedBudget], allFYsTable[Code], SummaryTable[[#This Row],[Code]], allFYsTable[year2], AJ$3))</f>
        <v>#N/A</v>
      </c>
      <c r="AN145" s="61" t="e">
        <f>IF(COUNTIFS(allFYsTable[Code], SummaryTable[[#This Row],[Code]], allFYsTable[year2], AJ$3)=0, NotFound, SUMIFS(allFYsTable[Actual], allFYsTable[Code], SummaryTable[[#This Row],[Code]], allFYsTable[year2], AJ$3))</f>
        <v>#N/A</v>
      </c>
      <c r="AO145" s="61" t="e">
        <f>IF(COUNTIFS(allFYsTable[Code], SummaryTable[[#This Row],[Code]], allFYsTable[year2], AJ$3)=0, NotFound, SUMIFS(allFYsTable[DiffAmount], allFYsTable[Code], SummaryTable[[#This Row],[Code]], allFYsTable[year2], AJ$3))</f>
        <v>#N/A</v>
      </c>
      <c r="AP145" s="63" t="e">
        <f>IF(SummaryTable[[#This Row],[OriginalBudget24]]=0, IF(SummaryTable[[#This Row],[DiffAmount24]]=0, ZeroBudgetNoSpending, ZeroBudgetWithSpending), SummaryTable[[#This Row],[DiffAmount24]]/SummaryTable[[#This Row],[OriginalBudget24]])</f>
        <v>#N/A</v>
      </c>
      <c r="AQ145" s="62" t="e">
        <f>IF(COUNTIFS(allFYsTable[Code], SummaryTable[[#This Row],[Code]], allFYsTable[year2], AQ$3)=0, NotFound, SUMIFS(allFYsTable[OriginalBudget], allFYsTable[Code], SummaryTable[[#This Row],[Code]], allFYsTable[year2], AQ$3))</f>
        <v>#N/A</v>
      </c>
      <c r="AR145" s="61" t="e">
        <f>SummaryTable[[#This Row],[OriginalBudget23]]-SummaryTable[[#This Row],[OriginalBudget22]]</f>
        <v>#N/A</v>
      </c>
      <c r="AS145" s="54" t="e">
        <f>SummaryTable[[#This Row],[BudgetIncreaseAmount23]]/SummaryTable[[#This Row],[OriginalBudget22]]</f>
        <v>#N/A</v>
      </c>
      <c r="AT145" s="61" t="e">
        <f>IF(COUNTIFS(allFYsTable[Code], SummaryTable[[#This Row],[Code]], allFYsTable[year2], AQ$3)=0, NotFound, SUMIFS(allFYsTable[RevisedBudget], allFYsTable[Code], SummaryTable[[#This Row],[Code]], allFYsTable[year2], AQ$3))</f>
        <v>#N/A</v>
      </c>
      <c r="AU145" s="61" t="e">
        <f>IF(COUNTIFS(allFYsTable[Code], SummaryTable[[#This Row],[Code]], allFYsTable[year2], AQ$3)=0, NotFound, SUMIFS(allFYsTable[Actual], allFYsTable[Code], SummaryTable[[#This Row],[Code]], allFYsTable[year2], AQ$3))</f>
        <v>#N/A</v>
      </c>
      <c r="AV145" s="61" t="e">
        <f>IF(COUNTIFS(allFYsTable[Code], SummaryTable[[#This Row],[Code]], allFYsTable[year2], AQ$3)=0, NotFound, SUMIFS(allFYsTable[DiffAmount], allFYsTable[Code], SummaryTable[[#This Row],[Code]], allFYsTable[year2], AQ$3))</f>
        <v>#N/A</v>
      </c>
      <c r="AW145" s="63" t="e">
        <f>IF(SummaryTable[[#This Row],[OriginalBudget23]]=0, IF(SummaryTable[[#This Row],[DiffAmount23]]=0, ZeroBudgetNoSpending, ZeroBudgetWithSpending), SummaryTable[[#This Row],[DiffAmount23]]/SummaryTable[[#This Row],[OriginalBudget23]])</f>
        <v>#N/A</v>
      </c>
      <c r="AX145" s="62" t="e">
        <f>IF(COUNTIFS(allFYsTable[Code], SummaryTable[[#This Row],[Code]], allFYsTable[year2], AX$3)=0, NotFound, SUMIFS(allFYsTable[OriginalBudget], allFYsTable[Code], SummaryTable[[#This Row],[Code]], allFYsTable[year2], AX$3))</f>
        <v>#N/A</v>
      </c>
      <c r="AY145" s="61" t="e">
        <f>SummaryTable[[#This Row],[OriginalBudget22]]-SummaryTable[[#This Row],[OriginalBudget21]]</f>
        <v>#N/A</v>
      </c>
      <c r="AZ145" s="54" t="e">
        <f>SummaryTable[[#This Row],[BudgetIncreaseAmount22]]/SummaryTable[[#This Row],[OriginalBudget21]]</f>
        <v>#N/A</v>
      </c>
      <c r="BA145" s="61" t="e">
        <f>IF(COUNTIFS(allFYsTable[Code], SummaryTable[[#This Row],[Code]], allFYsTable[year2], AX$3)=0, NotFound, SUMIFS(allFYsTable[RevisedBudget], allFYsTable[Code], SummaryTable[[#This Row],[Code]], allFYsTable[year2], AX$3))</f>
        <v>#N/A</v>
      </c>
      <c r="BB145" s="61" t="e">
        <f>IF(COUNTIFS(allFYsTable[Code], SummaryTable[[#This Row],[Code]], allFYsTable[year2], AX$3)=0, NotFound, SUMIFS(allFYsTable[Actual], allFYsTable[Code], SummaryTable[[#This Row],[Code]], allFYsTable[year2], AX$3))</f>
        <v>#N/A</v>
      </c>
      <c r="BC145" s="61" t="e">
        <f>IF(COUNTIFS(allFYsTable[Code], SummaryTable[[#This Row],[Code]], allFYsTable[year2], AX$3)=0, NotFound, SUMIFS(allFYsTable[DiffAmount], allFYsTable[Code], SummaryTable[[#This Row],[Code]], allFYsTable[year2], AX$3))</f>
        <v>#N/A</v>
      </c>
      <c r="BD145" s="63" t="e">
        <f>IF(SummaryTable[[#This Row],[OriginalBudget22]]=0, IF(SummaryTable[[#This Row],[DiffAmount22]]=0, ZeroBudgetNoSpending, ZeroBudgetWithSpending), SummaryTable[[#This Row],[DiffAmount22]]/SummaryTable[[#This Row],[OriginalBudget22]])</f>
        <v>#N/A</v>
      </c>
      <c r="BE145" s="62" t="e">
        <f>IF(COUNTIFS(allFYsTable[Code], SummaryTable[[#This Row],[Code]], allFYsTable[year2], BE$3)=0, NotFound, SUMIFS(allFYsTable[OriginalBudget], allFYsTable[Code], SummaryTable[[#This Row],[Code]], allFYsTable[year2], BE$3))</f>
        <v>#N/A</v>
      </c>
      <c r="BF145" s="61" t="e">
        <f>SummaryTable[[#This Row],[OriginalBudget21]]-SummaryTable[[#This Row],[OriginalBudget20]]</f>
        <v>#N/A</v>
      </c>
      <c r="BG145" s="54" t="e">
        <f>SummaryTable[[#This Row],[BudgetIncreaseAmount21]]/SummaryTable[[#This Row],[OriginalBudget20]]</f>
        <v>#N/A</v>
      </c>
      <c r="BH145" s="61" t="e">
        <f>IF(COUNTIFS(allFYsTable[Code], SummaryTable[[#This Row],[Code]], allFYsTable[year2], BE$3)=0, NotFound, SUMIFS(allFYsTable[RevisedBudget], allFYsTable[Code], SummaryTable[[#This Row],[Code]], allFYsTable[year2], BE$3))</f>
        <v>#N/A</v>
      </c>
      <c r="BI145" s="61" t="e">
        <f>IF(COUNTIFS(allFYsTable[Code], SummaryTable[[#This Row],[Code]], allFYsTable[year2], BE$3)=0, NotFound, SUMIFS(allFYsTable[Actual], allFYsTable[Code], SummaryTable[[#This Row],[Code]], allFYsTable[year2], BE$3))</f>
        <v>#N/A</v>
      </c>
      <c r="BJ145" s="61" t="e">
        <f>IF(COUNTIFS(allFYsTable[Code], SummaryTable[[#This Row],[Code]], allFYsTable[year2], BE$3)=0, NotFound, SUMIFS(allFYsTable[DiffAmount], allFYsTable[Code], SummaryTable[[#This Row],[Code]], allFYsTable[year2], BE$3))</f>
        <v>#N/A</v>
      </c>
      <c r="BK145" s="63" t="e">
        <f>IF(SummaryTable[[#This Row],[OriginalBudget21]]=0, IF(SummaryTable[[#This Row],[DiffAmount21]]=0, ZeroBudgetNoSpending, ZeroBudgetWithSpending), SummaryTable[[#This Row],[DiffAmount21]]/SummaryTable[[#This Row],[OriginalBudget21]])</f>
        <v>#N/A</v>
      </c>
      <c r="BL145" s="62">
        <f>IF(COUNTIFS(allFYsTable[Code], SummaryTable[[#This Row],[Code]], allFYsTable[year2], BL$3)=0, NotFound, SUMIFS(allFYsTable[OriginalBudget], allFYsTable[Code], SummaryTable[[#This Row],[Code]], allFYsTable[year2], BL$3))</f>
        <v>0</v>
      </c>
      <c r="BM145" s="61">
        <f>SummaryTable[[#This Row],[OriginalBudget20]]-SummaryTable[[#This Row],[OriginalBudget19]]</f>
        <v>0</v>
      </c>
      <c r="BN145" s="54" t="e">
        <f>SummaryTable[[#This Row],[BudgetIncreaseAmount20]]/SummaryTable[[#This Row],[OriginalBudget19]]</f>
        <v>#DIV/0!</v>
      </c>
      <c r="BO145" s="61">
        <f>IF(COUNTIFS(allFYsTable[Code], SummaryTable[[#This Row],[Code]], allFYsTable[year2], BL$3)=0, NotFound, SUMIFS(allFYsTable[RevisedBudget], allFYsTable[Code], SummaryTable[[#This Row],[Code]], allFYsTable[year2], BL$3))</f>
        <v>9734</v>
      </c>
      <c r="BP145" s="61">
        <f>IF(COUNTIFS(allFYsTable[Code], SummaryTable[[#This Row],[Code]], allFYsTable[year2], BL$3)=0, NotFound, SUMIFS(allFYsTable[Actual], allFYsTable[Code], SummaryTable[[#This Row],[Code]], allFYsTable[year2], BL$3))</f>
        <v>9734</v>
      </c>
      <c r="BQ145" s="61">
        <f>IF(COUNTIFS(allFYsTable[Code], SummaryTable[[#This Row],[Code]], allFYsTable[year2], BL$3)=0, NotFound, SUMIFS(allFYsTable[DiffAmount], allFYsTable[Code], SummaryTable[[#This Row],[Code]], allFYsTable[year2], BL$3))</f>
        <v>9734</v>
      </c>
      <c r="BR145" s="63">
        <f>IF(SummaryTable[[#This Row],[OriginalBudget20]]=0, IF(SummaryTable[[#This Row],[DiffAmount20]]=0, ZeroBudgetNoSpending, ZeroBudgetWithSpending), SummaryTable[[#This Row],[DiffAmount20]]/SummaryTable[[#This Row],[OriginalBudget20]])</f>
        <v>99.99</v>
      </c>
      <c r="BS145" s="62">
        <f>IF(COUNTIFS(allFYsTable[Code], SummaryTable[[#This Row],[Code]], allFYsTable[year2], BS$3)=0, NotFound, SUMIFS(allFYsTable[OriginalBudget], allFYsTable[Code], SummaryTable[[#This Row],[Code]], allFYsTable[year2], BS$3))</f>
        <v>0</v>
      </c>
      <c r="BT145" s="61">
        <f>SummaryTable[[#This Row],[OriginalBudget19]]-SummaryTable[[#This Row],[OriginalBudget18]]</f>
        <v>0</v>
      </c>
      <c r="BU145" s="54" t="e">
        <f>SummaryTable[[#This Row],[BudgetIncreaseAmount19]]/SummaryTable[[#This Row],[OriginalBudget18]]</f>
        <v>#DIV/0!</v>
      </c>
      <c r="BV145" s="61">
        <f>IF(COUNTIFS(allFYsTable[Code], SummaryTable[[#This Row],[Code]], allFYsTable[year2], BS$3)=0, NotFound, SUMIFS(allFYsTable[RevisedBudget], allFYsTable[Code], SummaryTable[[#This Row],[Code]], allFYsTable[year2], BS$3))</f>
        <v>1035</v>
      </c>
      <c r="BW145" s="61">
        <f>IF(COUNTIFS(allFYsTable[Code], SummaryTable[[#This Row],[Code]], allFYsTable[year2], BS$3)=0, NotFound, SUMIFS(allFYsTable[Actual], allFYsTable[Code], SummaryTable[[#This Row],[Code]], allFYsTable[year2], BS$3))</f>
        <v>1035</v>
      </c>
      <c r="BX145" s="61">
        <f>IF(COUNTIFS(allFYsTable[Code], SummaryTable[[#This Row],[Code]], allFYsTable[year2], BS$3)=0, NotFound, SUMIFS(allFYsTable[DiffAmount], allFYsTable[Code], SummaryTable[[#This Row],[Code]], allFYsTable[year2], BS$3))</f>
        <v>1035</v>
      </c>
      <c r="BY145" s="63">
        <f>IF(SummaryTable[[#This Row],[OriginalBudget19]]=0, IF(SummaryTable[[#This Row],[DiffAmount19]]=0, ZeroBudgetNoSpending, ZeroBudgetWithSpending), SummaryTable[[#This Row],[DiffAmount19]]/SummaryTable[[#This Row],[OriginalBudget19]])</f>
        <v>99.99</v>
      </c>
      <c r="BZ145" s="62">
        <f>IF(COUNTIFS(allFYsTable[Code], SummaryTable[[#This Row],[Code]], allFYsTable[year2], BZ$3)=0, NotFound, SUMIFS(allFYsTable[OriginalBudget], allFYsTable[Code], SummaryTable[[#This Row],[Code]], allFYsTable[year2], BZ$3))</f>
        <v>0</v>
      </c>
      <c r="CA145" s="61">
        <f>SummaryTable[[#This Row],[OriginalBudget18]]-SummaryTable[[#This Row],[OriginalBudget17]]</f>
        <v>0</v>
      </c>
      <c r="CB145" s="54" t="e">
        <f>SummaryTable[[#This Row],[BudgetIncreaseAmount18]]/SummaryTable[[#This Row],[OriginalBudget17]]</f>
        <v>#DIV/0!</v>
      </c>
      <c r="CC145" s="61">
        <f>IF(COUNTIFS(allFYsTable[Code], SummaryTable[[#This Row],[Code]], allFYsTable[year2], BZ$3)=0, NotFound, SUMIFS(allFYsTable[RevisedBudget], allFYsTable[Code], SummaryTable[[#This Row],[Code]], allFYsTable[year2], BZ$3))</f>
        <v>893</v>
      </c>
      <c r="CD145" s="61">
        <f>IF(COUNTIFS(allFYsTable[Code], SummaryTable[[#This Row],[Code]], allFYsTable[year2], BZ$3)=0, NotFound, SUMIFS(allFYsTable[Actual], allFYsTable[Code], SummaryTable[[#This Row],[Code]], allFYsTable[year2], BZ$3))</f>
        <v>893</v>
      </c>
      <c r="CE145" s="61">
        <f>IF(COUNTIFS(allFYsTable[Code], SummaryTable[[#This Row],[Code]], allFYsTable[year2], BZ$3)=0, NotFound, SUMIFS(allFYsTable[DiffAmount], allFYsTable[Code], SummaryTable[[#This Row],[Code]], allFYsTable[year2], BZ$3))</f>
        <v>893</v>
      </c>
      <c r="CF145" s="63">
        <f>IF(SummaryTable[[#This Row],[OriginalBudget18]]=0, IF(SummaryTable[[#This Row],[DiffAmount18]]=0, ZeroBudgetNoSpending, ZeroBudgetWithSpending), SummaryTable[[#This Row],[DiffAmount18]]/SummaryTable[[#This Row],[OriginalBudget18]])</f>
        <v>99.99</v>
      </c>
      <c r="CG145" s="62">
        <f>IF(COUNTIFS(allFYsTable[Code], SummaryTable[[#This Row],[Code]], allFYsTable[year2], CG$3)=0, NotFound, SUMIFS(allFYsTable[OriginalBudget], allFYsTable[Code], SummaryTable[[#This Row],[Code]], allFYsTable[year2], CG$3))</f>
        <v>0</v>
      </c>
      <c r="CH145" s="61" t="e">
        <f>SummaryTable[[#This Row],[OriginalBudget17]]-SummaryTable[[#This Row],[OriginalBudget16]]</f>
        <v>#N/A</v>
      </c>
      <c r="CI145" s="54" t="e">
        <f>SummaryTable[[#This Row],[BudgetIncreaseAmount17]]/SummaryTable[[#This Row],[OriginalBudget16]]</f>
        <v>#N/A</v>
      </c>
      <c r="CJ145" s="61">
        <f>IF(COUNTIFS(allFYsTable[Code], SummaryTable[[#This Row],[Code]], allFYsTable[year2], CG$3)=0, NotFound, SUMIFS(allFYsTable[RevisedBudget], allFYsTable[Code], SummaryTable[[#This Row],[Code]], allFYsTable[year2], CG$3))</f>
        <v>5482</v>
      </c>
      <c r="CK145" s="61">
        <f>IF(COUNTIFS(allFYsTable[Code], SummaryTable[[#This Row],[Code]], allFYsTable[year2], CG$3)=0, NotFound, SUMIFS(allFYsTable[Actual], allFYsTable[Code], SummaryTable[[#This Row],[Code]], allFYsTable[year2], CG$3))</f>
        <v>5482</v>
      </c>
      <c r="CL145" s="61">
        <f>IF(COUNTIFS(allFYsTable[Code], SummaryTable[[#This Row],[Code]], allFYsTable[year2], CG$3)=0, NotFound, SUMIFS(allFYsTable[DiffAmount], allFYsTable[Code], SummaryTable[[#This Row],[Code]], allFYsTable[year2], CG$3))</f>
        <v>5482</v>
      </c>
      <c r="CM145" s="63">
        <f>IF(SummaryTable[[#This Row],[OriginalBudget17]]=0, IF(SummaryTable[[#This Row],[DiffAmount17]]=0, ZeroBudgetNoSpending, ZeroBudgetWithSpending), SummaryTable[[#This Row],[DiffAmount17]]/SummaryTable[[#This Row],[OriginalBudget17]])</f>
        <v>99.99</v>
      </c>
      <c r="CN145" s="62" t="e">
        <f>IF(COUNTIFS(allFYsTable[Code], SummaryTable[[#This Row],[Code]], allFYsTable[year2], CN$3)=0, NotFound, SUMIFS(allFYsTable[OriginalBudget], allFYsTable[Code], SummaryTable[[#This Row],[Code]], allFYsTable[year2], CN$3))</f>
        <v>#N/A</v>
      </c>
      <c r="CO145" s="61" t="e">
        <f>SummaryTable[[#This Row],[OriginalBudget16]]-SummaryTable[[#This Row],[OriginalBudget15]]</f>
        <v>#N/A</v>
      </c>
      <c r="CP145" s="54" t="e">
        <f>SummaryTable[[#This Row],[BudgetIncreaseAmount16]]/SummaryTable[[#This Row],[OriginalBudget15]]</f>
        <v>#N/A</v>
      </c>
      <c r="CQ145" s="61" t="e">
        <f>IF(COUNTIFS(allFYsTable[Code], SummaryTable[[#This Row],[Code]], allFYsTable[year2], CN$3)=0, NotFound, SUMIFS(allFYsTable[RevisedBudget], allFYsTable[Code], SummaryTable[[#This Row],[Code]], allFYsTable[year2], CN$3))</f>
        <v>#N/A</v>
      </c>
      <c r="CR145" s="61" t="e">
        <f>IF(COUNTIFS(allFYsTable[Code], SummaryTable[[#This Row],[Code]], allFYsTable[year2], CN$3)=0, NotFound, SUMIFS(allFYsTable[Actual], allFYsTable[Code], SummaryTable[[#This Row],[Code]], allFYsTable[year2], CN$3))</f>
        <v>#N/A</v>
      </c>
      <c r="CS145" s="61" t="e">
        <f>IF(COUNTIFS(allFYsTable[Code], SummaryTable[[#This Row],[Code]], allFYsTable[year2], CN$3)=0, NotFound, SUMIFS(allFYsTable[DiffAmount], allFYsTable[Code], SummaryTable[[#This Row],[Code]], allFYsTable[year2], CN$3))</f>
        <v>#N/A</v>
      </c>
      <c r="CT145" s="63" t="e">
        <f>IF(SummaryTable[[#This Row],[OriginalBudget16]]=0, IF(SummaryTable[[#This Row],[DiffAmount16]]=0, ZeroBudgetNoSpending, ZeroBudgetWithSpending), SummaryTable[[#This Row],[DiffAmount16]]/SummaryTable[[#This Row],[OriginalBudget16]])</f>
        <v>#N/A</v>
      </c>
      <c r="CU145" s="62" t="e">
        <f>IF(COUNTIFS(allFYsTable[Code], SummaryTable[[#This Row],[Code]], allFYsTable[year2], CU$3)=0, NotFound, SUMIFS(allFYsTable[OriginalBudget], allFYsTable[Code], SummaryTable[[#This Row],[Code]], allFYsTable[year2], CU$3))</f>
        <v>#N/A</v>
      </c>
      <c r="CV145" s="61" t="e">
        <f>SummaryTable[[#This Row],[OriginalBudget15]]-SummaryTable[[#This Row],[OriginalBudget14]]</f>
        <v>#N/A</v>
      </c>
      <c r="CW145" s="54" t="e">
        <f>SummaryTable[[#This Row],[BudgetIncreaseAmount15]]/SummaryTable[[#This Row],[OriginalBudget14]]</f>
        <v>#N/A</v>
      </c>
      <c r="CX145" s="61" t="e">
        <f>IF(COUNTIFS(allFYsTable[Code], SummaryTable[[#This Row],[Code]], allFYsTable[year2], CU$3)=0, NotFound, SUMIFS(allFYsTable[RevisedBudget], allFYsTable[Code], SummaryTable[[#This Row],[Code]], allFYsTable[year2], CU$3))</f>
        <v>#N/A</v>
      </c>
      <c r="CY145" s="61" t="e">
        <f>IF(COUNTIFS(allFYsTable[Code], SummaryTable[[#This Row],[Code]], allFYsTable[year2], CU$3)=0, NotFound, SUMIFS(allFYsTable[Actual], allFYsTable[Code], SummaryTable[[#This Row],[Code]], allFYsTable[year2], CU$3))</f>
        <v>#N/A</v>
      </c>
      <c r="CZ145" s="61" t="e">
        <f>IF(COUNTIFS(allFYsTable[Code], SummaryTable[[#This Row],[Code]], allFYsTable[year2], CU$3)=0, NotFound, SUMIFS(allFYsTable[DiffAmount], allFYsTable[Code], SummaryTable[[#This Row],[Code]], allFYsTable[year2], CU$3))</f>
        <v>#N/A</v>
      </c>
      <c r="DA145" s="63" t="e">
        <f>IF(SummaryTable[[#This Row],[OriginalBudget15]]=0, IF(SummaryTable[[#This Row],[DiffAmount15]]=0, ZeroBudgetNoSpending, ZeroBudgetWithSpending), SummaryTable[[#This Row],[DiffAmount15]]/SummaryTable[[#This Row],[OriginalBudget15]])</f>
        <v>#N/A</v>
      </c>
      <c r="DB145" s="62" t="e">
        <f>IF(COUNTIFS(allFYsTable[Code], SummaryTable[[#This Row],[Code]], allFYsTable[year2], DB$3)=0, NotFound, SUMIFS(allFYsTable[OriginalBudget], allFYsTable[Code], SummaryTable[[#This Row],[Code]], allFYsTable[year2], DB$3))</f>
        <v>#N/A</v>
      </c>
      <c r="DC145" s="61" t="e">
        <f>SummaryTable[[#This Row],[OriginalBudget14]]-SummaryTable[[#This Row],[OriginalBudget13]]</f>
        <v>#N/A</v>
      </c>
      <c r="DD145" s="54" t="e">
        <f>SummaryTable[[#This Row],[BudgetIncreaseAmount14]]/SummaryTable[[#This Row],[OriginalBudget13]]</f>
        <v>#N/A</v>
      </c>
      <c r="DE145" s="61" t="e">
        <f>IF(COUNTIFS(allFYsTable[Code], SummaryTable[[#This Row],[Code]], allFYsTable[year2], DB$3)=0, NotFound, SUMIFS(allFYsTable[RevisedBudget], allFYsTable[Code], SummaryTable[[#This Row],[Code]], allFYsTable[year2], DB$3))</f>
        <v>#N/A</v>
      </c>
      <c r="DF145" s="61" t="e">
        <f>IF(COUNTIFS(allFYsTable[Code], SummaryTable[[#This Row],[Code]], allFYsTable[year2], DB$3)=0, NotFound, SUMIFS(allFYsTable[Actual], allFYsTable[Code], SummaryTable[[#This Row],[Code]], allFYsTable[year2], DB$3))</f>
        <v>#N/A</v>
      </c>
      <c r="DG145" s="61" t="e">
        <f>IF(COUNTIFS(allFYsTable[Code], SummaryTable[[#This Row],[Code]], allFYsTable[year2], DB$3)=0, NotFound, SUMIFS(allFYsTable[DiffAmount], allFYsTable[Code], SummaryTable[[#This Row],[Code]], allFYsTable[year2], DB$3))</f>
        <v>#N/A</v>
      </c>
      <c r="DH145" s="63" t="e">
        <f>IF(SummaryTable[[#This Row],[OriginalBudget14]]=0, IF(SummaryTable[[#This Row],[DiffAmount14]]=0, ZeroBudgetNoSpending, ZeroBudgetWithSpending), SummaryTable[[#This Row],[DiffAmount14]]/SummaryTable[[#This Row],[OriginalBudget14]])</f>
        <v>#N/A</v>
      </c>
      <c r="DI145" s="62" t="e">
        <f>IF(COUNTIFS(allFYsTable[Code], SummaryTable[[#This Row],[Code]], allFYsTable[year2], DI$3)=0, NotFound, SUMIFS(allFYsTable[OriginalBudget], allFYsTable[Code], SummaryTable[[#This Row],[Code]], allFYsTable[year2], DI$3))</f>
        <v>#N/A</v>
      </c>
      <c r="DJ145" s="61" t="e">
        <f>SummaryTable[[#This Row],[OriginalBudget13]]-SummaryTable[[#This Row],[OriginalBudget12]]</f>
        <v>#N/A</v>
      </c>
      <c r="DK145" s="54" t="e">
        <f>SummaryTable[[#This Row],[BudgetIncreaseAmount13]]/SummaryTable[[#This Row],[OriginalBudget12]]</f>
        <v>#N/A</v>
      </c>
      <c r="DL145" s="61" t="e">
        <f>IF(COUNTIFS(allFYsTable[Code], SummaryTable[[#This Row],[Code]], allFYsTable[year2], DI$3)=0, NotFound, SUMIFS(allFYsTable[RevisedBudget], allFYsTable[Code], SummaryTable[[#This Row],[Code]], allFYsTable[year2], DI$3))</f>
        <v>#N/A</v>
      </c>
      <c r="DM145" s="61" t="e">
        <f>IF(COUNTIFS(allFYsTable[Code], SummaryTable[[#This Row],[Code]], allFYsTable[year2], DI$3)=0, NotFound, SUMIFS(allFYsTable[Actual], allFYsTable[Code], SummaryTable[[#This Row],[Code]], allFYsTable[year2], DI$3))</f>
        <v>#N/A</v>
      </c>
      <c r="DN145" s="61" t="e">
        <f>IF(COUNTIFS(allFYsTable[Code], SummaryTable[[#This Row],[Code]], allFYsTable[year2], DI$3)=0, NotFound, SUMIFS(allFYsTable[DiffAmount], allFYsTable[Code], SummaryTable[[#This Row],[Code]], allFYsTable[year2], DI$3))</f>
        <v>#N/A</v>
      </c>
      <c r="DO145" s="63" t="e">
        <f>IF(SummaryTable[[#This Row],[OriginalBudget13]]=0, IF(SummaryTable[[#This Row],[DiffAmount13]]=0, ZeroBudgetNoSpending, ZeroBudgetWithSpending), SummaryTable[[#This Row],[DiffAmount13]]/SummaryTable[[#This Row],[OriginalBudget13]])</f>
        <v>#N/A</v>
      </c>
      <c r="DP145" s="62" t="e">
        <f>IF(COUNTIFS(allFYsTable[Code], SummaryTable[[#This Row],[Code]], allFYsTable[year2], DP$3)=0, NotFound, SUMIFS(allFYsTable[OriginalBudget], allFYsTable[Code], SummaryTable[[#This Row],[Code]], allFYsTable[year2], DP$3))</f>
        <v>#N/A</v>
      </c>
      <c r="DQ145" s="61" t="e">
        <f>SummaryTable[[#This Row],[OriginalBudget12]]-SummaryTable[[#This Row],[OriginalBudget11]]</f>
        <v>#N/A</v>
      </c>
      <c r="DR145" s="54" t="e">
        <f>SummaryTable[[#This Row],[BudgetIncreaseAmount12]]/SummaryTable[[#This Row],[OriginalBudget11]]</f>
        <v>#N/A</v>
      </c>
      <c r="DS145" s="61" t="e">
        <f>IF(COUNTIFS(allFYsTable[Code], SummaryTable[[#This Row],[Code]], allFYsTable[year2], DP$3)=0, NotFound, SUMIFS(allFYsTable[RevisedBudget], allFYsTable[Code], SummaryTable[[#This Row],[Code]], allFYsTable[year2], DP$3))</f>
        <v>#N/A</v>
      </c>
      <c r="DT145" s="61" t="e">
        <f>IF(COUNTIFS(allFYsTable[Code], SummaryTable[[#This Row],[Code]], allFYsTable[year2], DP$3)=0, NotFound, SUMIFS(allFYsTable[Actual], allFYsTable[Code], SummaryTable[[#This Row],[Code]], allFYsTable[year2], DP$3))</f>
        <v>#N/A</v>
      </c>
      <c r="DU145" s="61" t="e">
        <f>IF(COUNTIFS(allFYsTable[Code], SummaryTable[[#This Row],[Code]], allFYsTable[year2], DP$3)=0, NotFound, SUMIFS(allFYsTable[DiffAmount], allFYsTable[Code], SummaryTable[[#This Row],[Code]], allFYsTable[year2], DP$3))</f>
        <v>#N/A</v>
      </c>
      <c r="DV145" s="63" t="e">
        <f>IF(SummaryTable[[#This Row],[OriginalBudget12]]=0, IF(SummaryTable[[#This Row],[DiffAmount12]]=0, ZeroBudgetNoSpending, ZeroBudgetWithSpending), SummaryTable[[#This Row],[DiffAmount12]]/SummaryTable[[#This Row],[OriginalBudget12]])</f>
        <v>#N/A</v>
      </c>
      <c r="DW145" s="62">
        <f>IF(COUNTIFS(allFYsTable[Code], SummaryTable[[#This Row],[Code]], allFYsTable[year2], DW$3)=0, NotFound, SUMIFS(allFYsTable[OriginalBudget], allFYsTable[Code], SummaryTable[[#This Row],[Code]], allFYsTable[year2], DW$3))</f>
        <v>0</v>
      </c>
      <c r="DX145" s="61" t="e">
        <f>SummaryTable[[#This Row],[OriginalBudget11]]-SummaryTable[[#This Row],[OriginalBudget10]]</f>
        <v>#N/A</v>
      </c>
      <c r="DY145" s="54" t="e">
        <f>SummaryTable[[#This Row],[BudgetIncreaseAmount11]]/SummaryTable[[#This Row],[OriginalBudget10]]</f>
        <v>#N/A</v>
      </c>
      <c r="DZ145" s="61">
        <f>IF(COUNTIFS(allFYsTable[Code], SummaryTable[[#This Row],[Code]], allFYsTable[year2], DW$3)=0, NotFound, SUMIFS(allFYsTable[RevisedBudget], allFYsTable[Code], SummaryTable[[#This Row],[Code]], allFYsTable[year2], DW$3))</f>
        <v>1380</v>
      </c>
      <c r="EA145" s="61">
        <f>IF(COUNTIFS(allFYsTable[Code], SummaryTable[[#This Row],[Code]], allFYsTable[year2], DW$3)=0, NotFound, SUMIFS(allFYsTable[Actual], allFYsTable[Code], SummaryTable[[#This Row],[Code]], allFYsTable[year2], DW$3))</f>
        <v>1380</v>
      </c>
      <c r="EB145" s="61">
        <f>IF(COUNTIFS(allFYsTable[Code], SummaryTable[[#This Row],[Code]], allFYsTable[year2], DW$3)=0, NotFound, SUMIFS(allFYsTable[DiffAmount], allFYsTable[Code], SummaryTable[[#This Row],[Code]], allFYsTable[year2], DW$3))</f>
        <v>1380</v>
      </c>
      <c r="EC145" s="63">
        <f>IF(SummaryTable[[#This Row],[OriginalBudget11]]=0, IF(SummaryTable[[#This Row],[DiffAmount11]]=0, ZeroBudgetNoSpending, ZeroBudgetWithSpending), SummaryTable[[#This Row],[DiffAmount11]]/SummaryTable[[#This Row],[OriginalBudget11]])</f>
        <v>99.99</v>
      </c>
      <c r="ED145" s="62" t="e">
        <f>IF(COUNTIFS(allFYsTable[Code], SummaryTable[[#This Row],[Code]], allFYsTable[year2], ED$3)=0, NotFound, SUMIFS(allFYsTable[OriginalBudget], allFYsTable[Code], SummaryTable[[#This Row],[Code]], allFYsTable[year2], ED$3))</f>
        <v>#N/A</v>
      </c>
      <c r="EE145" s="61" t="e">
        <f>SummaryTable[[#This Row],[OriginalBudget10]]-SummaryTable[[#This Row],[OriginalBudget09]]</f>
        <v>#N/A</v>
      </c>
      <c r="EF145" s="54" t="e">
        <f>SummaryTable[[#This Row],[BudgetIncreaseAmount10]]/SummaryTable[[#This Row],[OriginalBudget09]]</f>
        <v>#N/A</v>
      </c>
      <c r="EG145" s="61" t="e">
        <f>IF(COUNTIFS(allFYsTable[Code], SummaryTable[[#This Row],[Code]], allFYsTable[year2], ED$3)=0, NotFound, SUMIFS(allFYsTable[RevisedBudget], allFYsTable[Code], SummaryTable[[#This Row],[Code]], allFYsTable[year2], ED$3))</f>
        <v>#N/A</v>
      </c>
      <c r="EH145" s="61" t="e">
        <f>IF(COUNTIFS(allFYsTable[Code], SummaryTable[[#This Row],[Code]], allFYsTable[year2], ED$3)=0, NotFound, SUMIFS(allFYsTable[Actual], allFYsTable[Code], SummaryTable[[#This Row],[Code]], allFYsTable[year2], ED$3))</f>
        <v>#N/A</v>
      </c>
      <c r="EI145" s="61" t="e">
        <f>IF(COUNTIFS(allFYsTable[Code], SummaryTable[[#This Row],[Code]], allFYsTable[year2], ED$3)=0, NotFound, SUMIFS(allFYsTable[DiffAmount], allFYsTable[Code], SummaryTable[[#This Row],[Code]], allFYsTable[year2], ED$3))</f>
        <v>#N/A</v>
      </c>
      <c r="EJ145" s="63" t="e">
        <f>IF(SummaryTable[[#This Row],[OriginalBudget10]]=0, IF(SummaryTable[[#This Row],[DiffAmount10]]=0, ZeroBudgetNoSpending, ZeroBudgetWithSpending), SummaryTable[[#This Row],[DiffAmount10]]/SummaryTable[[#This Row],[OriginalBudget10]])</f>
        <v>#N/A</v>
      </c>
      <c r="EK145" s="62" t="e">
        <f>IF(COUNTIFS(allFYsTable[Code], SummaryTable[[#This Row],[Code]], allFYsTable[year2], EK$3)=0, NotFound, SUMIFS(allFYsTable[OriginalBudget], allFYsTable[Code], SummaryTable[[#This Row],[Code]], allFYsTable[year2], EK$3))</f>
        <v>#N/A</v>
      </c>
      <c r="EL145" s="61" t="e">
        <f>SummaryTable[[#This Row],[OriginalBudget09]]-SummaryTable[[#This Row],[OriginalBudget08]]</f>
        <v>#N/A</v>
      </c>
      <c r="EM145" s="54" t="e">
        <f>SummaryTable[[#This Row],[BudgetIncreaseAmount09]]/SummaryTable[[#This Row],[OriginalBudget08]]</f>
        <v>#N/A</v>
      </c>
      <c r="EN145" s="61" t="e">
        <f>IF(COUNTIFS(allFYsTable[Code], SummaryTable[[#This Row],[Code]], allFYsTable[year2], EK$3)=0, NotFound, SUMIFS(allFYsTable[RevisedBudget], allFYsTable[Code], SummaryTable[[#This Row],[Code]], allFYsTable[year2], EK$3))</f>
        <v>#N/A</v>
      </c>
      <c r="EO145" s="61" t="e">
        <f>IF(COUNTIFS(allFYsTable[Code], SummaryTable[[#This Row],[Code]], allFYsTable[year2], EK$3)=0, NotFound, SUMIFS(allFYsTable[Actual], allFYsTable[Code], SummaryTable[[#This Row],[Code]], allFYsTable[year2], EK$3))</f>
        <v>#N/A</v>
      </c>
      <c r="EP145" s="61" t="e">
        <f>IF(COUNTIFS(allFYsTable[Code], SummaryTable[[#This Row],[Code]], allFYsTable[year2], EK$3)=0, NotFound, SUMIFS(allFYsTable[DiffAmount], allFYsTable[Code], SummaryTable[[#This Row],[Code]], allFYsTable[year2], EK$3))</f>
        <v>#N/A</v>
      </c>
      <c r="EQ145" s="63" t="e">
        <f>IF(SummaryTable[[#This Row],[OriginalBudget09]]=0, IF(SummaryTable[[#This Row],[DiffAmount09]]=0, ZeroBudgetNoSpending, ZeroBudgetWithSpending), SummaryTable[[#This Row],[DiffAmount09]]/SummaryTable[[#This Row],[OriginalBudget09]])</f>
        <v>#N/A</v>
      </c>
      <c r="ER145" s="62">
        <f>IF(COUNTIFS(allFYsTable[Code], SummaryTable[[#This Row],[Code]], allFYsTable[year2], ER$3)=0, NotFound, SUMIFS(allFYsTable[OriginalBudget], allFYsTable[Code], SummaryTable[[#This Row],[Code]], allFYsTable[year2], ER$3))</f>
        <v>0</v>
      </c>
      <c r="ES145" s="61" t="e">
        <f>SummaryTable[[#This Row],[OriginalBudget08]]-SummaryTable[[#This Row],[OriginalBudget07]]</f>
        <v>#N/A</v>
      </c>
      <c r="ET145" s="54" t="e">
        <f>SummaryTable[[#This Row],[BudgetIncreaseAmount08]]/SummaryTable[[#This Row],[OriginalBudget07]]</f>
        <v>#N/A</v>
      </c>
      <c r="EU145" s="61">
        <f>IF(COUNTIFS(allFYsTable[Code], SummaryTable[[#This Row],[Code]], allFYsTable[year2], ER$3)=0, NotFound, SUMIFS(allFYsTable[RevisedBudget], allFYsTable[Code], SummaryTable[[#This Row],[Code]], allFYsTable[year2], ER$3))</f>
        <v>384</v>
      </c>
      <c r="EV145" s="61">
        <f>IF(COUNTIFS(allFYsTable[Code], SummaryTable[[#This Row],[Code]], allFYsTable[year2], ER$3)=0, NotFound, SUMIFS(allFYsTable[Actual], allFYsTable[Code], SummaryTable[[#This Row],[Code]], allFYsTable[year2], ER$3))</f>
        <v>384</v>
      </c>
      <c r="EW145" s="61">
        <f>IF(COUNTIFS(allFYsTable[Code], SummaryTable[[#This Row],[Code]], allFYsTable[year2], ER$3)=0, NotFound, SUMIFS(allFYsTable[DiffAmount], allFYsTable[Code], SummaryTable[[#This Row],[Code]], allFYsTable[year2], ER$3))</f>
        <v>384</v>
      </c>
      <c r="EX145" s="63">
        <f>IF(SummaryTable[[#This Row],[OriginalBudget08]]=0, IF(SummaryTable[[#This Row],[DiffAmount08]]=0, ZeroBudgetNoSpending, ZeroBudgetWithSpending), SummaryTable[[#This Row],[DiffAmount08]]/SummaryTable[[#This Row],[OriginalBudget08]])</f>
        <v>99.99</v>
      </c>
      <c r="EY145" s="62" t="e">
        <f>IF(COUNTIFS(allFYsTable[Code], SummaryTable[[#This Row],[Code]], allFYsTable[year2], EY$3)=0, NotFound, SUMIFS(allFYsTable[OriginalBudget], allFYsTable[Code], SummaryTable[[#This Row],[Code]], allFYsTable[year2], EY$3))</f>
        <v>#N/A</v>
      </c>
      <c r="EZ145" s="61" t="e">
        <f>SummaryTable[[#This Row],[OriginalBudget07]]-SummaryTable[[#This Row],[OriginalBudget06]]</f>
        <v>#N/A</v>
      </c>
      <c r="FA145" s="54" t="e">
        <f>SummaryTable[[#This Row],[BudgetIncreaseAmount07]]/SummaryTable[[#This Row],[OriginalBudget06]]</f>
        <v>#N/A</v>
      </c>
      <c r="FB145" s="61" t="e">
        <f>IF(COUNTIFS(allFYsTable[Code], SummaryTable[[#This Row],[Code]], allFYsTable[year2], EY$3)=0, NotFound, SUMIFS(allFYsTable[RevisedBudget], allFYsTable[Code], SummaryTable[[#This Row],[Code]], allFYsTable[year2], EY$3))</f>
        <v>#N/A</v>
      </c>
      <c r="FC145" s="61" t="e">
        <f>IF(COUNTIFS(allFYsTable[Code], SummaryTable[[#This Row],[Code]], allFYsTable[year2], EY$3)=0, NotFound, SUMIFS(allFYsTable[Actual], allFYsTable[Code], SummaryTable[[#This Row],[Code]], allFYsTable[year2], EY$3))</f>
        <v>#N/A</v>
      </c>
      <c r="FD145" s="61" t="e">
        <f>IF(COUNTIFS(allFYsTable[Code], SummaryTable[[#This Row],[Code]], allFYsTable[year2], EY$3)=0, NotFound, SUMIFS(allFYsTable[DiffAmount], allFYsTable[Code], SummaryTable[[#This Row],[Code]], allFYsTable[year2], EY$3))</f>
        <v>#N/A</v>
      </c>
      <c r="FE145" s="63" t="e">
        <f>IF(SummaryTable[[#This Row],[OriginalBudget07]]=0, IF(SummaryTable[[#This Row],[DiffAmount07]]=0, ZeroBudgetNoSpending, ZeroBudgetWithSpending), SummaryTable[[#This Row],[DiffAmount07]]/SummaryTable[[#This Row],[OriginalBudget07]])</f>
        <v>#N/A</v>
      </c>
      <c r="FF145" s="62" t="e">
        <f>IF(COUNTIFS(allFYsTable[Code], SummaryTable[[#This Row],[Code]], allFYsTable[year2], FF$3)=0, NotFound, SUMIFS(allFYsTable[OriginalBudget], allFYsTable[Code], SummaryTable[[#This Row],[Code]], allFYsTable[year2], FF$3))</f>
        <v>#N/A</v>
      </c>
      <c r="FI145" s="61" t="e">
        <f>IF(COUNTIFS(allFYsTable[Code], SummaryTable[[#This Row],[Code]], allFYsTable[year2], FF$3)=0, NotFound, SUMIFS(allFYsTable[RevisedBudget], allFYsTable[Code], SummaryTable[[#This Row],[Code]], allFYsTable[year2], FF$3))</f>
        <v>#N/A</v>
      </c>
      <c r="FJ145" s="61" t="e">
        <f>IF(COUNTIFS(allFYsTable[Code], SummaryTable[[#This Row],[Code]], allFYsTable[year2], FF$3)=0, NotFound, SUMIFS(allFYsTable[Actual], allFYsTable[Code], SummaryTable[[#This Row],[Code]], allFYsTable[year2], FF$3))</f>
        <v>#N/A</v>
      </c>
      <c r="FK145" s="61" t="e">
        <f>IF(COUNTIFS(allFYsTable[Code], SummaryTable[[#This Row],[Code]], allFYsTable[year2], FF$3)=0, NotFound, SUMIFS(allFYsTable[DiffAmount], allFYsTable[Code], SummaryTable[[#This Row],[Code]], allFYsTable[year2], FF$3))</f>
        <v>#N/A</v>
      </c>
      <c r="FL145" s="63" t="e">
        <f>IF(SummaryTable[[#This Row],[OriginalBudget06]]=0, IF(SummaryTable[[#This Row],[DiffAmount06]]=0, ZeroBudgetNoSpending, ZeroBudgetWithSpending), SummaryTable[[#This Row],[DiffAmount06]]/SummaryTable[[#This Row],[OriginalBudget06]])</f>
        <v>#N/A</v>
      </c>
    </row>
    <row r="146" spans="1:168" x14ac:dyDescent="0.45">
      <c r="A146" t="s">
        <v>840</v>
      </c>
      <c r="B146">
        <f>_xlfn.MAXIFS(allFYsTable[year2], allFYsTable[Code], SummaryTable[[#This Row],[Code]])</f>
        <v>2019</v>
      </c>
      <c r="C146" t="str">
        <f>_xlfn.XLOOKUP(SummaryTable[[#This Row],[Code]], NameCodingTable[Code], NameCodingTable[Most Recent Category per allFYs])</f>
        <v>Governmental  direction and support</v>
      </c>
      <c r="D146" t="str">
        <f>_xlfn.XLOOKUP(SummaryTable[[#This Row],[Code]], NameCodingTable[Code], NameCodingTable[Unit Display Name])</f>
        <v>Deputy mayor for greater economic opportunity</v>
      </c>
      <c r="E146" t="str">
        <f>_xlfn.XLOOKUP(SummaryTable[[#This Row],[Code]], NameCodingTable[Code], NameCodingTable[Type])</f>
        <v>untyped</v>
      </c>
      <c r="F14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4</v>
      </c>
      <c r="G14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46" s="54">
        <f>SummaryTable[[#This Row],['# Over]]/SummaryTable[[#This Row],[Count]]</f>
        <v>0</v>
      </c>
      <c r="I14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4</v>
      </c>
      <c r="J146" s="54">
        <f>SummaryTable[[#This Row],['# Under]]/SummaryTable[[#This Row],[Count]]</f>
        <v>1</v>
      </c>
      <c r="K14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46" s="54">
        <f>SummaryTable[[#This Row],['# Equal]]/SummaryTable[[#This Row],[Count]]</f>
        <v>0</v>
      </c>
      <c r="M146" s="61">
        <f>SUMIFS(allFYsTable[OriginalBudget],allFYsTable[Code],SummaryTable[[#This Row],[Code]])/SummaryTable[[#This Row],[Count]]</f>
        <v>3101</v>
      </c>
      <c r="N146" s="61">
        <f>SUMIFS(allFYsTable[Actual],allFYsTable[Code],SummaryTable[[#This Row],[Code]])/SummaryTable[[#This Row],[Count]]</f>
        <v>2548.5</v>
      </c>
      <c r="O146" s="61">
        <f>SummaryTable[[#This Row],[AvgActAmt]]-SummaryTable[[#This Row],[AvgBudAmt]]</f>
        <v>-552.5</v>
      </c>
      <c r="P146" s="54">
        <f>IF(SummaryTable[[#This Row],[AvgBudAmt]]=0, IF(SummaryTable[[#This Row],[AvgDiff'#]]=0, 0, NamedFields!$C$3), SummaryTable[[#This Row],[AvgDiff'#]]/SummaryTable[[#This Row],[AvgBudAmt]])</f>
        <v>-0.1781683327958723</v>
      </c>
      <c r="Q146" s="61">
        <f>IFERROR(SUMIFS(allFYsTable[OriginalBudget],allFYsTable[Code],SummaryTable[[#This Row],[Code]],allFYsTable[DiffAmount], "&gt;0")/SummaryTable[[#This Row],['# Over]], 0)</f>
        <v>0</v>
      </c>
      <c r="R146" s="61">
        <f>IFERROR(SUMIFS(allFYsTable[Actual],allFYsTable[Code],SummaryTable[[#This Row],[Code]],allFYsTable[DiffAmount], "&gt;0")/SummaryTable[[#This Row],['# Over]], 0)</f>
        <v>0</v>
      </c>
      <c r="S146" s="61">
        <f>SummaryTable[[#This Row],[OverAvgAct]]-SummaryTable[[#This Row],[OverAvgBud]]</f>
        <v>0</v>
      </c>
      <c r="T146" s="54">
        <f>IF(SummaryTable[[#This Row],[OverAvgBud]]=0, IF(SummaryTable[[#This Row],[OverAvgDiff'#]]=0, ZeroBudgetNoSpending, ZeroBudgetWithSpending), SummaryTable[[#This Row],[OverAvgDiff'#]]/SummaryTable[[#This Row],[OverAvgBud]])</f>
        <v>0</v>
      </c>
      <c r="U146" s="61">
        <f>IFERROR(SUMIFS(allFYsTable[OriginalBudget],allFYsTable[Code],SummaryTable[[#This Row],[Code]],allFYsTable[DiffAmount], "&lt;0")/SummaryTable[[#This Row],['# Under]], 0)</f>
        <v>3101</v>
      </c>
      <c r="V146" s="61">
        <f>IFERROR( SUMIFS(allFYsTable[Actual],allFYsTable[Code],SummaryTable[[#This Row],[Code]],allFYsTable[DiffAmount], "&lt;0")/SummaryTable[[#This Row],['# Under]], 0)</f>
        <v>2548.5</v>
      </c>
      <c r="W146" s="61">
        <f>SummaryTable[[#This Row],[UnderAvgAct]]-SummaryTable[[#This Row],[UnderAvgBud]]</f>
        <v>-552.5</v>
      </c>
      <c r="X146" s="54">
        <f>IF(SummaryTable[[#This Row],[UnderAvgBud]]=0, IF(SummaryTable[[#This Row],[UnderAvgDiff'#]]=0, ZeroBudgetNoSpending, NamedFields!$C$3), SummaryTable[[#This Row],[UnderAvgDiff'#]]/SummaryTable[[#This Row],[UnderAvgBud]])</f>
        <v>-0.1781683327958723</v>
      </c>
      <c r="Y14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14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6" s="54">
        <f>IF(SummaryTable[[#This Row],[IncreaseYears]]=0, ZeroBudgetNoSpending, SummaryTable[[#This Row],[OSinIncreaseYear'#]]/SummaryTable[[#This Row],[IncreaseYears]])</f>
        <v>0</v>
      </c>
      <c r="AB146" s="58" t="str">
        <f>SummaryTable[[#This Row],[Code]]</f>
        <v>EM0</v>
      </c>
      <c r="AC146" s="62" t="e">
        <f>IF(COUNTIFS(allFYsTable[Code], SummaryTable[[#This Row],[Code]], allFYsTable[year2], AC$3)=0, NotFound, SUMIFS(allFYsTable[OriginalBudget], allFYsTable[Code], SummaryTable[[#This Row],[Code]], allFYsTable[year2], AC$3))</f>
        <v>#N/A</v>
      </c>
      <c r="AD146" s="61" t="e">
        <f>SummaryTable[[#This Row],[OriginalBudget25]]-SummaryTable[[#This Row],[OriginalBudget24]]</f>
        <v>#N/A</v>
      </c>
      <c r="AE146" s="54" t="e">
        <f>SummaryTable[[#This Row],[BudgetIncreaseAmount25]]/SummaryTable[[#This Row],[OriginalBudget24]]</f>
        <v>#N/A</v>
      </c>
      <c r="AF146" s="61" t="e">
        <f>IF(COUNTIFS(allFYsTable[Code], SummaryTable[[#This Row],[Code]], allFYsTable[year2], AC$3)=0, NotFound, SUMIFS(allFYsTable[RevisedBudget], allFYsTable[Code], SummaryTable[[#This Row],[Code]], allFYsTable[year2], AC$3))</f>
        <v>#N/A</v>
      </c>
      <c r="AG146" s="61" t="e">
        <f>IF(COUNTIFS(allFYsTable[Code], SummaryTable[[#This Row],[Code]], allFYsTable[year2], AC$3)=0, NotFound, SUMIFS(allFYsTable[Actual], allFYsTable[Code], SummaryTable[[#This Row],[Code]], allFYsTable[year2], AC$3))</f>
        <v>#N/A</v>
      </c>
      <c r="AH146" s="61" t="e">
        <f>IF(COUNTIFS(allFYsTable[Code], SummaryTable[[#This Row],[Code]], allFYsTable[year2], AC$3)=0, NotFound, SUMIFS(allFYsTable[DiffAmount], allFYsTable[Code], SummaryTable[[#This Row],[Code]], allFYsTable[year2], AC$3))</f>
        <v>#N/A</v>
      </c>
      <c r="AI146" s="63" t="e">
        <f>IF(SummaryTable[[#This Row],[OriginalBudget25]]=0, IF(SummaryTable[[#This Row],[DiffAmount25]]=0, ZeroBudgetNoSpending, ZeroBudgetWithSpending), SummaryTable[[#This Row],[DiffAmount25]]/SummaryTable[[#This Row],[OriginalBudget25]])</f>
        <v>#N/A</v>
      </c>
      <c r="AJ146" s="62" t="e">
        <f>IF(COUNTIFS(allFYsTable[Code], SummaryTable[[#This Row],[Code]], allFYsTable[year2], AJ$3)=0, NotFound, SUMIFS(allFYsTable[OriginalBudget], allFYsTable[Code], SummaryTable[[#This Row],[Code]], allFYsTable[year2], AJ$3))</f>
        <v>#N/A</v>
      </c>
      <c r="AK146" s="61" t="e">
        <f>SummaryTable[[#This Row],[OriginalBudget24]]-SummaryTable[[#This Row],[OriginalBudget23]]</f>
        <v>#N/A</v>
      </c>
      <c r="AL146" s="54" t="e">
        <f>SummaryTable[[#This Row],[BudgetIncreaseAmount24]]/SummaryTable[[#This Row],[OriginalBudget23]]</f>
        <v>#N/A</v>
      </c>
      <c r="AM146" s="61" t="e">
        <f>IF(COUNTIFS(allFYsTable[Code], SummaryTable[[#This Row],[Code]], allFYsTable[year2], AK$3)=0, NotFound, SUMIFS(allFYsTable[RevisedBudget], allFYsTable[Code], SummaryTable[[#This Row],[Code]], allFYsTable[year2], AJ$3))</f>
        <v>#N/A</v>
      </c>
      <c r="AN146" s="61" t="e">
        <f>IF(COUNTIFS(allFYsTable[Code], SummaryTable[[#This Row],[Code]], allFYsTable[year2], AJ$3)=0, NotFound, SUMIFS(allFYsTable[Actual], allFYsTable[Code], SummaryTable[[#This Row],[Code]], allFYsTable[year2], AJ$3))</f>
        <v>#N/A</v>
      </c>
      <c r="AO146" s="61" t="e">
        <f>IF(COUNTIFS(allFYsTable[Code], SummaryTable[[#This Row],[Code]], allFYsTable[year2], AJ$3)=0, NotFound, SUMIFS(allFYsTable[DiffAmount], allFYsTable[Code], SummaryTable[[#This Row],[Code]], allFYsTable[year2], AJ$3))</f>
        <v>#N/A</v>
      </c>
      <c r="AP146" s="63" t="e">
        <f>IF(SummaryTable[[#This Row],[OriginalBudget24]]=0, IF(SummaryTable[[#This Row],[DiffAmount24]]=0, ZeroBudgetNoSpending, ZeroBudgetWithSpending), SummaryTable[[#This Row],[DiffAmount24]]/SummaryTable[[#This Row],[OriginalBudget24]])</f>
        <v>#N/A</v>
      </c>
      <c r="AQ146" s="62" t="e">
        <f>IF(COUNTIFS(allFYsTable[Code], SummaryTable[[#This Row],[Code]], allFYsTable[year2], AQ$3)=0, NotFound, SUMIFS(allFYsTable[OriginalBudget], allFYsTable[Code], SummaryTable[[#This Row],[Code]], allFYsTable[year2], AQ$3))</f>
        <v>#N/A</v>
      </c>
      <c r="AR146" s="61" t="e">
        <f>SummaryTable[[#This Row],[OriginalBudget23]]-SummaryTable[[#This Row],[OriginalBudget22]]</f>
        <v>#N/A</v>
      </c>
      <c r="AS146" s="54" t="e">
        <f>SummaryTable[[#This Row],[BudgetIncreaseAmount23]]/SummaryTable[[#This Row],[OriginalBudget22]]</f>
        <v>#N/A</v>
      </c>
      <c r="AT146" s="61" t="e">
        <f>IF(COUNTIFS(allFYsTable[Code], SummaryTable[[#This Row],[Code]], allFYsTable[year2], AQ$3)=0, NotFound, SUMIFS(allFYsTable[RevisedBudget], allFYsTable[Code], SummaryTable[[#This Row],[Code]], allFYsTable[year2], AQ$3))</f>
        <v>#N/A</v>
      </c>
      <c r="AU146" s="61" t="e">
        <f>IF(COUNTIFS(allFYsTable[Code], SummaryTable[[#This Row],[Code]], allFYsTable[year2], AQ$3)=0, NotFound, SUMIFS(allFYsTable[Actual], allFYsTable[Code], SummaryTable[[#This Row],[Code]], allFYsTable[year2], AQ$3))</f>
        <v>#N/A</v>
      </c>
      <c r="AV146" s="61" t="e">
        <f>IF(COUNTIFS(allFYsTable[Code], SummaryTable[[#This Row],[Code]], allFYsTable[year2], AQ$3)=0, NotFound, SUMIFS(allFYsTable[DiffAmount], allFYsTable[Code], SummaryTable[[#This Row],[Code]], allFYsTable[year2], AQ$3))</f>
        <v>#N/A</v>
      </c>
      <c r="AW146" s="63" t="e">
        <f>IF(SummaryTable[[#This Row],[OriginalBudget23]]=0, IF(SummaryTable[[#This Row],[DiffAmount23]]=0, ZeroBudgetNoSpending, ZeroBudgetWithSpending), SummaryTable[[#This Row],[DiffAmount23]]/SummaryTable[[#This Row],[OriginalBudget23]])</f>
        <v>#N/A</v>
      </c>
      <c r="AX146" s="62" t="e">
        <f>IF(COUNTIFS(allFYsTable[Code], SummaryTable[[#This Row],[Code]], allFYsTable[year2], AX$3)=0, NotFound, SUMIFS(allFYsTable[OriginalBudget], allFYsTable[Code], SummaryTable[[#This Row],[Code]], allFYsTable[year2], AX$3))</f>
        <v>#N/A</v>
      </c>
      <c r="AY146" s="61" t="e">
        <f>SummaryTable[[#This Row],[OriginalBudget22]]-SummaryTable[[#This Row],[OriginalBudget21]]</f>
        <v>#N/A</v>
      </c>
      <c r="AZ146" s="54" t="e">
        <f>SummaryTable[[#This Row],[BudgetIncreaseAmount22]]/SummaryTable[[#This Row],[OriginalBudget21]]</f>
        <v>#N/A</v>
      </c>
      <c r="BA146" s="61" t="e">
        <f>IF(COUNTIFS(allFYsTable[Code], SummaryTable[[#This Row],[Code]], allFYsTable[year2], AX$3)=0, NotFound, SUMIFS(allFYsTable[RevisedBudget], allFYsTable[Code], SummaryTable[[#This Row],[Code]], allFYsTable[year2], AX$3))</f>
        <v>#N/A</v>
      </c>
      <c r="BB146" s="61" t="e">
        <f>IF(COUNTIFS(allFYsTable[Code], SummaryTable[[#This Row],[Code]], allFYsTable[year2], AX$3)=0, NotFound, SUMIFS(allFYsTable[Actual], allFYsTable[Code], SummaryTable[[#This Row],[Code]], allFYsTable[year2], AX$3))</f>
        <v>#N/A</v>
      </c>
      <c r="BC146" s="61" t="e">
        <f>IF(COUNTIFS(allFYsTable[Code], SummaryTable[[#This Row],[Code]], allFYsTable[year2], AX$3)=0, NotFound, SUMIFS(allFYsTable[DiffAmount], allFYsTable[Code], SummaryTable[[#This Row],[Code]], allFYsTable[year2], AX$3))</f>
        <v>#N/A</v>
      </c>
      <c r="BD146" s="63" t="e">
        <f>IF(SummaryTable[[#This Row],[OriginalBudget22]]=0, IF(SummaryTable[[#This Row],[DiffAmount22]]=0, ZeroBudgetNoSpending, ZeroBudgetWithSpending), SummaryTable[[#This Row],[DiffAmount22]]/SummaryTable[[#This Row],[OriginalBudget22]])</f>
        <v>#N/A</v>
      </c>
      <c r="BE146" s="62" t="e">
        <f>IF(COUNTIFS(allFYsTable[Code], SummaryTable[[#This Row],[Code]], allFYsTable[year2], BE$3)=0, NotFound, SUMIFS(allFYsTable[OriginalBudget], allFYsTable[Code], SummaryTable[[#This Row],[Code]], allFYsTable[year2], BE$3))</f>
        <v>#N/A</v>
      </c>
      <c r="BF146" s="61" t="e">
        <f>SummaryTable[[#This Row],[OriginalBudget21]]-SummaryTable[[#This Row],[OriginalBudget20]]</f>
        <v>#N/A</v>
      </c>
      <c r="BG146" s="54" t="e">
        <f>SummaryTable[[#This Row],[BudgetIncreaseAmount21]]/SummaryTable[[#This Row],[OriginalBudget20]]</f>
        <v>#N/A</v>
      </c>
      <c r="BH146" s="61" t="e">
        <f>IF(COUNTIFS(allFYsTable[Code], SummaryTable[[#This Row],[Code]], allFYsTable[year2], BE$3)=0, NotFound, SUMIFS(allFYsTable[RevisedBudget], allFYsTable[Code], SummaryTable[[#This Row],[Code]], allFYsTable[year2], BE$3))</f>
        <v>#N/A</v>
      </c>
      <c r="BI146" s="61" t="e">
        <f>IF(COUNTIFS(allFYsTable[Code], SummaryTable[[#This Row],[Code]], allFYsTable[year2], BE$3)=0, NotFound, SUMIFS(allFYsTable[Actual], allFYsTable[Code], SummaryTable[[#This Row],[Code]], allFYsTable[year2], BE$3))</f>
        <v>#N/A</v>
      </c>
      <c r="BJ146" s="61" t="e">
        <f>IF(COUNTIFS(allFYsTable[Code], SummaryTable[[#This Row],[Code]], allFYsTable[year2], BE$3)=0, NotFound, SUMIFS(allFYsTable[DiffAmount], allFYsTable[Code], SummaryTable[[#This Row],[Code]], allFYsTable[year2], BE$3))</f>
        <v>#N/A</v>
      </c>
      <c r="BK146" s="63" t="e">
        <f>IF(SummaryTable[[#This Row],[OriginalBudget21]]=0, IF(SummaryTable[[#This Row],[DiffAmount21]]=0, ZeroBudgetNoSpending, ZeroBudgetWithSpending), SummaryTable[[#This Row],[DiffAmount21]]/SummaryTable[[#This Row],[OriginalBudget21]])</f>
        <v>#N/A</v>
      </c>
      <c r="BL146" s="62" t="e">
        <f>IF(COUNTIFS(allFYsTable[Code], SummaryTable[[#This Row],[Code]], allFYsTable[year2], BL$3)=0, NotFound, SUMIFS(allFYsTable[OriginalBudget], allFYsTable[Code], SummaryTable[[#This Row],[Code]], allFYsTable[year2], BL$3))</f>
        <v>#N/A</v>
      </c>
      <c r="BM146" s="61" t="e">
        <f>SummaryTable[[#This Row],[OriginalBudget20]]-SummaryTable[[#This Row],[OriginalBudget19]]</f>
        <v>#N/A</v>
      </c>
      <c r="BN146" s="54" t="e">
        <f>SummaryTable[[#This Row],[BudgetIncreaseAmount20]]/SummaryTable[[#This Row],[OriginalBudget19]]</f>
        <v>#N/A</v>
      </c>
      <c r="BO146" s="61" t="e">
        <f>IF(COUNTIFS(allFYsTable[Code], SummaryTable[[#This Row],[Code]], allFYsTable[year2], BL$3)=0, NotFound, SUMIFS(allFYsTable[RevisedBudget], allFYsTable[Code], SummaryTable[[#This Row],[Code]], allFYsTable[year2], BL$3))</f>
        <v>#N/A</v>
      </c>
      <c r="BP146" s="61" t="e">
        <f>IF(COUNTIFS(allFYsTable[Code], SummaryTable[[#This Row],[Code]], allFYsTable[year2], BL$3)=0, NotFound, SUMIFS(allFYsTable[Actual], allFYsTable[Code], SummaryTable[[#This Row],[Code]], allFYsTable[year2], BL$3))</f>
        <v>#N/A</v>
      </c>
      <c r="BQ146" s="61" t="e">
        <f>IF(COUNTIFS(allFYsTable[Code], SummaryTable[[#This Row],[Code]], allFYsTable[year2], BL$3)=0, NotFound, SUMIFS(allFYsTable[DiffAmount], allFYsTable[Code], SummaryTable[[#This Row],[Code]], allFYsTable[year2], BL$3))</f>
        <v>#N/A</v>
      </c>
      <c r="BR146" s="63" t="e">
        <f>IF(SummaryTable[[#This Row],[OriginalBudget20]]=0, IF(SummaryTable[[#This Row],[DiffAmount20]]=0, ZeroBudgetNoSpending, ZeroBudgetWithSpending), SummaryTable[[#This Row],[DiffAmount20]]/SummaryTable[[#This Row],[OriginalBudget20]])</f>
        <v>#N/A</v>
      </c>
      <c r="BS146" s="62">
        <f>IF(COUNTIFS(allFYsTable[Code], SummaryTable[[#This Row],[Code]], allFYsTable[year2], BS$3)=0, NotFound, SUMIFS(allFYsTable[OriginalBudget], allFYsTable[Code], SummaryTable[[#This Row],[Code]], allFYsTable[year2], BS$3))</f>
        <v>5513</v>
      </c>
      <c r="BT146" s="61">
        <f>SummaryTable[[#This Row],[OriginalBudget19]]-SummaryTable[[#This Row],[OriginalBudget18]]</f>
        <v>2266</v>
      </c>
      <c r="BU146" s="54">
        <f>SummaryTable[[#This Row],[BudgetIncreaseAmount19]]/SummaryTable[[#This Row],[OriginalBudget18]]</f>
        <v>0.69787496150292583</v>
      </c>
      <c r="BV146" s="61">
        <f>IF(COUNTIFS(allFYsTable[Code], SummaryTable[[#This Row],[Code]], allFYsTable[year2], BS$3)=0, NotFound, SUMIFS(allFYsTable[RevisedBudget], allFYsTable[Code], SummaryTable[[#This Row],[Code]], allFYsTable[year2], BS$3))</f>
        <v>4763</v>
      </c>
      <c r="BW146" s="61">
        <f>IF(COUNTIFS(allFYsTable[Code], SummaryTable[[#This Row],[Code]], allFYsTable[year2], BS$3)=0, NotFound, SUMIFS(allFYsTable[Actual], allFYsTable[Code], SummaryTable[[#This Row],[Code]], allFYsTable[year2], BS$3))</f>
        <v>4231</v>
      </c>
      <c r="BX146" s="61">
        <f>IF(COUNTIFS(allFYsTable[Code], SummaryTable[[#This Row],[Code]], allFYsTable[year2], BS$3)=0, NotFound, SUMIFS(allFYsTable[DiffAmount], allFYsTable[Code], SummaryTable[[#This Row],[Code]], allFYsTable[year2], BS$3))</f>
        <v>-1282</v>
      </c>
      <c r="BY146" s="63">
        <f>IF(SummaryTable[[#This Row],[OriginalBudget19]]=0, IF(SummaryTable[[#This Row],[DiffAmount19]]=0, ZeroBudgetNoSpending, ZeroBudgetWithSpending), SummaryTable[[#This Row],[DiffAmount19]]/SummaryTable[[#This Row],[OriginalBudget19]])</f>
        <v>-0.23254126609831308</v>
      </c>
      <c r="BZ146" s="62">
        <f>IF(COUNTIFS(allFYsTable[Code], SummaryTable[[#This Row],[Code]], allFYsTable[year2], BZ$3)=0, NotFound, SUMIFS(allFYsTable[OriginalBudget], allFYsTable[Code], SummaryTable[[#This Row],[Code]], allFYsTable[year2], BZ$3))</f>
        <v>3247</v>
      </c>
      <c r="CA146" s="61">
        <f>SummaryTable[[#This Row],[OriginalBudget18]]-SummaryTable[[#This Row],[OriginalBudget17]]</f>
        <v>301</v>
      </c>
      <c r="CB146" s="54">
        <f>SummaryTable[[#This Row],[BudgetIncreaseAmount18]]/SummaryTable[[#This Row],[OriginalBudget17]]</f>
        <v>0.1021724372029871</v>
      </c>
      <c r="CC146" s="61">
        <f>IF(COUNTIFS(allFYsTable[Code], SummaryTable[[#This Row],[Code]], allFYsTable[year2], BZ$3)=0, NotFound, SUMIFS(allFYsTable[RevisedBudget], allFYsTable[Code], SummaryTable[[#This Row],[Code]], allFYsTable[year2], BZ$3))</f>
        <v>2947</v>
      </c>
      <c r="CD146" s="61">
        <f>IF(COUNTIFS(allFYsTable[Code], SummaryTable[[#This Row],[Code]], allFYsTable[year2], BZ$3)=0, NotFound, SUMIFS(allFYsTable[Actual], allFYsTable[Code], SummaryTable[[#This Row],[Code]], allFYsTable[year2], BZ$3))</f>
        <v>2620</v>
      </c>
      <c r="CE146" s="61">
        <f>IF(COUNTIFS(allFYsTable[Code], SummaryTable[[#This Row],[Code]], allFYsTable[year2], BZ$3)=0, NotFound, SUMIFS(allFYsTable[DiffAmount], allFYsTable[Code], SummaryTable[[#This Row],[Code]], allFYsTable[year2], BZ$3))</f>
        <v>-627</v>
      </c>
      <c r="CF146" s="63">
        <f>IF(SummaryTable[[#This Row],[OriginalBudget18]]=0, IF(SummaryTable[[#This Row],[DiffAmount18]]=0, ZeroBudgetNoSpending, ZeroBudgetWithSpending), SummaryTable[[#This Row],[DiffAmount18]]/SummaryTable[[#This Row],[OriginalBudget18]])</f>
        <v>-0.19310132429935326</v>
      </c>
      <c r="CG146" s="62">
        <f>IF(COUNTIFS(allFYsTable[Code], SummaryTable[[#This Row],[Code]], allFYsTable[year2], CG$3)=0, NotFound, SUMIFS(allFYsTable[OriginalBudget], allFYsTable[Code], SummaryTable[[#This Row],[Code]], allFYsTable[year2], CG$3))</f>
        <v>2946</v>
      </c>
      <c r="CH146" s="61">
        <f>SummaryTable[[#This Row],[OriginalBudget17]]-SummaryTable[[#This Row],[OriginalBudget16]]</f>
        <v>2248</v>
      </c>
      <c r="CI146" s="54">
        <f>SummaryTable[[#This Row],[BudgetIncreaseAmount17]]/SummaryTable[[#This Row],[OriginalBudget16]]</f>
        <v>3.2206303724928365</v>
      </c>
      <c r="CJ146" s="61">
        <f>IF(COUNTIFS(allFYsTable[Code], SummaryTable[[#This Row],[Code]], allFYsTable[year2], CG$3)=0, NotFound, SUMIFS(allFYsTable[RevisedBudget], allFYsTable[Code], SummaryTable[[#This Row],[Code]], allFYsTable[year2], CG$3))</f>
        <v>3061</v>
      </c>
      <c r="CK146" s="61">
        <f>IF(COUNTIFS(allFYsTable[Code], SummaryTable[[#This Row],[Code]], allFYsTable[year2], CG$3)=0, NotFound, SUMIFS(allFYsTable[Actual], allFYsTable[Code], SummaryTable[[#This Row],[Code]], allFYsTable[year2], CG$3))</f>
        <v>2671</v>
      </c>
      <c r="CL146" s="61">
        <f>IF(COUNTIFS(allFYsTable[Code], SummaryTable[[#This Row],[Code]], allFYsTable[year2], CG$3)=0, NotFound, SUMIFS(allFYsTable[DiffAmount], allFYsTable[Code], SummaryTable[[#This Row],[Code]], allFYsTable[year2], CG$3))</f>
        <v>-275</v>
      </c>
      <c r="CM146" s="63">
        <f>IF(SummaryTable[[#This Row],[OriginalBudget17]]=0, IF(SummaryTable[[#This Row],[DiffAmount17]]=0, ZeroBudgetNoSpending, ZeroBudgetWithSpending), SummaryTable[[#This Row],[DiffAmount17]]/SummaryTable[[#This Row],[OriginalBudget17]])</f>
        <v>-9.3346911065852009E-2</v>
      </c>
      <c r="CN146" s="62">
        <f>IF(COUNTIFS(allFYsTable[Code], SummaryTable[[#This Row],[Code]], allFYsTable[year2], CN$3)=0, NotFound, SUMIFS(allFYsTable[OriginalBudget], allFYsTable[Code], SummaryTable[[#This Row],[Code]], allFYsTable[year2], CN$3))</f>
        <v>698</v>
      </c>
      <c r="CO146" s="61" t="e">
        <f>SummaryTable[[#This Row],[OriginalBudget16]]-SummaryTable[[#This Row],[OriginalBudget15]]</f>
        <v>#N/A</v>
      </c>
      <c r="CP146" s="54" t="e">
        <f>SummaryTable[[#This Row],[BudgetIncreaseAmount16]]/SummaryTable[[#This Row],[OriginalBudget15]]</f>
        <v>#N/A</v>
      </c>
      <c r="CQ146" s="61">
        <f>IF(COUNTIFS(allFYsTable[Code], SummaryTable[[#This Row],[Code]], allFYsTable[year2], CN$3)=0, NotFound, SUMIFS(allFYsTable[RevisedBudget], allFYsTable[Code], SummaryTable[[#This Row],[Code]], allFYsTable[year2], CN$3))</f>
        <v>673</v>
      </c>
      <c r="CR146" s="61">
        <f>IF(COUNTIFS(allFYsTable[Code], SummaryTable[[#This Row],[Code]], allFYsTable[year2], CN$3)=0, NotFound, SUMIFS(allFYsTable[Actual], allFYsTable[Code], SummaryTable[[#This Row],[Code]], allFYsTable[year2], CN$3))</f>
        <v>672</v>
      </c>
      <c r="CS146" s="61">
        <f>IF(COUNTIFS(allFYsTable[Code], SummaryTable[[#This Row],[Code]], allFYsTable[year2], CN$3)=0, NotFound, SUMIFS(allFYsTable[DiffAmount], allFYsTable[Code], SummaryTable[[#This Row],[Code]], allFYsTable[year2], CN$3))</f>
        <v>-26</v>
      </c>
      <c r="CT146" s="63">
        <f>IF(SummaryTable[[#This Row],[OriginalBudget16]]=0, IF(SummaryTable[[#This Row],[DiffAmount16]]=0, ZeroBudgetNoSpending, ZeroBudgetWithSpending), SummaryTable[[#This Row],[DiffAmount16]]/SummaryTable[[#This Row],[OriginalBudget16]])</f>
        <v>-3.7249283667621778E-2</v>
      </c>
      <c r="CU146" s="62" t="e">
        <f>IF(COUNTIFS(allFYsTable[Code], SummaryTable[[#This Row],[Code]], allFYsTable[year2], CU$3)=0, NotFound, SUMIFS(allFYsTable[OriginalBudget], allFYsTable[Code], SummaryTable[[#This Row],[Code]], allFYsTable[year2], CU$3))</f>
        <v>#N/A</v>
      </c>
      <c r="CV146" s="61" t="e">
        <f>SummaryTable[[#This Row],[OriginalBudget15]]-SummaryTable[[#This Row],[OriginalBudget14]]</f>
        <v>#N/A</v>
      </c>
      <c r="CW146" s="54" t="e">
        <f>SummaryTable[[#This Row],[BudgetIncreaseAmount15]]/SummaryTable[[#This Row],[OriginalBudget14]]</f>
        <v>#N/A</v>
      </c>
      <c r="CX146" s="61" t="e">
        <f>IF(COUNTIFS(allFYsTable[Code], SummaryTable[[#This Row],[Code]], allFYsTable[year2], CU$3)=0, NotFound, SUMIFS(allFYsTable[RevisedBudget], allFYsTable[Code], SummaryTable[[#This Row],[Code]], allFYsTable[year2], CU$3))</f>
        <v>#N/A</v>
      </c>
      <c r="CY146" s="61" t="e">
        <f>IF(COUNTIFS(allFYsTable[Code], SummaryTable[[#This Row],[Code]], allFYsTable[year2], CU$3)=0, NotFound, SUMIFS(allFYsTable[Actual], allFYsTable[Code], SummaryTable[[#This Row],[Code]], allFYsTable[year2], CU$3))</f>
        <v>#N/A</v>
      </c>
      <c r="CZ146" s="61" t="e">
        <f>IF(COUNTIFS(allFYsTable[Code], SummaryTable[[#This Row],[Code]], allFYsTable[year2], CU$3)=0, NotFound, SUMIFS(allFYsTable[DiffAmount], allFYsTable[Code], SummaryTable[[#This Row],[Code]], allFYsTable[year2], CU$3))</f>
        <v>#N/A</v>
      </c>
      <c r="DA146" s="63" t="e">
        <f>IF(SummaryTable[[#This Row],[OriginalBudget15]]=0, IF(SummaryTable[[#This Row],[DiffAmount15]]=0, ZeroBudgetNoSpending, ZeroBudgetWithSpending), SummaryTable[[#This Row],[DiffAmount15]]/SummaryTable[[#This Row],[OriginalBudget15]])</f>
        <v>#N/A</v>
      </c>
      <c r="DB146" s="62" t="e">
        <f>IF(COUNTIFS(allFYsTable[Code], SummaryTable[[#This Row],[Code]], allFYsTable[year2], DB$3)=0, NotFound, SUMIFS(allFYsTable[OriginalBudget], allFYsTable[Code], SummaryTable[[#This Row],[Code]], allFYsTable[year2], DB$3))</f>
        <v>#N/A</v>
      </c>
      <c r="DC146" s="61" t="e">
        <f>SummaryTable[[#This Row],[OriginalBudget14]]-SummaryTable[[#This Row],[OriginalBudget13]]</f>
        <v>#N/A</v>
      </c>
      <c r="DD146" s="54" t="e">
        <f>SummaryTable[[#This Row],[BudgetIncreaseAmount14]]/SummaryTable[[#This Row],[OriginalBudget13]]</f>
        <v>#N/A</v>
      </c>
      <c r="DE146" s="61" t="e">
        <f>IF(COUNTIFS(allFYsTable[Code], SummaryTable[[#This Row],[Code]], allFYsTable[year2], DB$3)=0, NotFound, SUMIFS(allFYsTable[RevisedBudget], allFYsTable[Code], SummaryTable[[#This Row],[Code]], allFYsTable[year2], DB$3))</f>
        <v>#N/A</v>
      </c>
      <c r="DF146" s="61" t="e">
        <f>IF(COUNTIFS(allFYsTable[Code], SummaryTable[[#This Row],[Code]], allFYsTable[year2], DB$3)=0, NotFound, SUMIFS(allFYsTable[Actual], allFYsTable[Code], SummaryTable[[#This Row],[Code]], allFYsTable[year2], DB$3))</f>
        <v>#N/A</v>
      </c>
      <c r="DG146" s="61" t="e">
        <f>IF(COUNTIFS(allFYsTable[Code], SummaryTable[[#This Row],[Code]], allFYsTable[year2], DB$3)=0, NotFound, SUMIFS(allFYsTable[DiffAmount], allFYsTable[Code], SummaryTable[[#This Row],[Code]], allFYsTable[year2], DB$3))</f>
        <v>#N/A</v>
      </c>
      <c r="DH146" s="63" t="e">
        <f>IF(SummaryTable[[#This Row],[OriginalBudget14]]=0, IF(SummaryTable[[#This Row],[DiffAmount14]]=0, ZeroBudgetNoSpending, ZeroBudgetWithSpending), SummaryTable[[#This Row],[DiffAmount14]]/SummaryTable[[#This Row],[OriginalBudget14]])</f>
        <v>#N/A</v>
      </c>
      <c r="DI146" s="62" t="e">
        <f>IF(COUNTIFS(allFYsTable[Code], SummaryTable[[#This Row],[Code]], allFYsTable[year2], DI$3)=0, NotFound, SUMIFS(allFYsTable[OriginalBudget], allFYsTable[Code], SummaryTable[[#This Row],[Code]], allFYsTable[year2], DI$3))</f>
        <v>#N/A</v>
      </c>
      <c r="DJ146" s="61" t="e">
        <f>SummaryTable[[#This Row],[OriginalBudget13]]-SummaryTable[[#This Row],[OriginalBudget12]]</f>
        <v>#N/A</v>
      </c>
      <c r="DK146" s="54" t="e">
        <f>SummaryTable[[#This Row],[BudgetIncreaseAmount13]]/SummaryTable[[#This Row],[OriginalBudget12]]</f>
        <v>#N/A</v>
      </c>
      <c r="DL146" s="61" t="e">
        <f>IF(COUNTIFS(allFYsTable[Code], SummaryTable[[#This Row],[Code]], allFYsTable[year2], DI$3)=0, NotFound, SUMIFS(allFYsTable[RevisedBudget], allFYsTable[Code], SummaryTable[[#This Row],[Code]], allFYsTable[year2], DI$3))</f>
        <v>#N/A</v>
      </c>
      <c r="DM146" s="61" t="e">
        <f>IF(COUNTIFS(allFYsTable[Code], SummaryTable[[#This Row],[Code]], allFYsTable[year2], DI$3)=0, NotFound, SUMIFS(allFYsTable[Actual], allFYsTable[Code], SummaryTable[[#This Row],[Code]], allFYsTable[year2], DI$3))</f>
        <v>#N/A</v>
      </c>
      <c r="DN146" s="61" t="e">
        <f>IF(COUNTIFS(allFYsTable[Code], SummaryTable[[#This Row],[Code]], allFYsTable[year2], DI$3)=0, NotFound, SUMIFS(allFYsTable[DiffAmount], allFYsTable[Code], SummaryTable[[#This Row],[Code]], allFYsTable[year2], DI$3))</f>
        <v>#N/A</v>
      </c>
      <c r="DO146" s="63" t="e">
        <f>IF(SummaryTable[[#This Row],[OriginalBudget13]]=0, IF(SummaryTable[[#This Row],[DiffAmount13]]=0, ZeroBudgetNoSpending, ZeroBudgetWithSpending), SummaryTable[[#This Row],[DiffAmount13]]/SummaryTable[[#This Row],[OriginalBudget13]])</f>
        <v>#N/A</v>
      </c>
      <c r="DP146" s="62" t="e">
        <f>IF(COUNTIFS(allFYsTable[Code], SummaryTable[[#This Row],[Code]], allFYsTable[year2], DP$3)=0, NotFound, SUMIFS(allFYsTable[OriginalBudget], allFYsTable[Code], SummaryTable[[#This Row],[Code]], allFYsTable[year2], DP$3))</f>
        <v>#N/A</v>
      </c>
      <c r="DQ146" s="61" t="e">
        <f>SummaryTable[[#This Row],[OriginalBudget12]]-SummaryTable[[#This Row],[OriginalBudget11]]</f>
        <v>#N/A</v>
      </c>
      <c r="DR146" s="54" t="e">
        <f>SummaryTable[[#This Row],[BudgetIncreaseAmount12]]/SummaryTable[[#This Row],[OriginalBudget11]]</f>
        <v>#N/A</v>
      </c>
      <c r="DS146" s="61" t="e">
        <f>IF(COUNTIFS(allFYsTable[Code], SummaryTable[[#This Row],[Code]], allFYsTable[year2], DP$3)=0, NotFound, SUMIFS(allFYsTable[RevisedBudget], allFYsTable[Code], SummaryTable[[#This Row],[Code]], allFYsTable[year2], DP$3))</f>
        <v>#N/A</v>
      </c>
      <c r="DT146" s="61" t="e">
        <f>IF(COUNTIFS(allFYsTable[Code], SummaryTable[[#This Row],[Code]], allFYsTable[year2], DP$3)=0, NotFound, SUMIFS(allFYsTable[Actual], allFYsTable[Code], SummaryTable[[#This Row],[Code]], allFYsTable[year2], DP$3))</f>
        <v>#N/A</v>
      </c>
      <c r="DU146" s="61" t="e">
        <f>IF(COUNTIFS(allFYsTable[Code], SummaryTable[[#This Row],[Code]], allFYsTable[year2], DP$3)=0, NotFound, SUMIFS(allFYsTable[DiffAmount], allFYsTable[Code], SummaryTable[[#This Row],[Code]], allFYsTable[year2], DP$3))</f>
        <v>#N/A</v>
      </c>
      <c r="DV146" s="63" t="e">
        <f>IF(SummaryTable[[#This Row],[OriginalBudget12]]=0, IF(SummaryTable[[#This Row],[DiffAmount12]]=0, ZeroBudgetNoSpending, ZeroBudgetWithSpending), SummaryTable[[#This Row],[DiffAmount12]]/SummaryTable[[#This Row],[OriginalBudget12]])</f>
        <v>#N/A</v>
      </c>
      <c r="DW146" s="62" t="e">
        <f>IF(COUNTIFS(allFYsTable[Code], SummaryTable[[#This Row],[Code]], allFYsTable[year2], DW$3)=0, NotFound, SUMIFS(allFYsTable[OriginalBudget], allFYsTable[Code], SummaryTable[[#This Row],[Code]], allFYsTable[year2], DW$3))</f>
        <v>#N/A</v>
      </c>
      <c r="DX146" s="61" t="e">
        <f>SummaryTable[[#This Row],[OriginalBudget11]]-SummaryTable[[#This Row],[OriginalBudget10]]</f>
        <v>#N/A</v>
      </c>
      <c r="DY146" s="54" t="e">
        <f>SummaryTable[[#This Row],[BudgetIncreaseAmount11]]/SummaryTable[[#This Row],[OriginalBudget10]]</f>
        <v>#N/A</v>
      </c>
      <c r="DZ146" s="61" t="e">
        <f>IF(COUNTIFS(allFYsTable[Code], SummaryTable[[#This Row],[Code]], allFYsTable[year2], DW$3)=0, NotFound, SUMIFS(allFYsTable[RevisedBudget], allFYsTable[Code], SummaryTable[[#This Row],[Code]], allFYsTable[year2], DW$3))</f>
        <v>#N/A</v>
      </c>
      <c r="EA146" s="61" t="e">
        <f>IF(COUNTIFS(allFYsTable[Code], SummaryTable[[#This Row],[Code]], allFYsTable[year2], DW$3)=0, NotFound, SUMIFS(allFYsTable[Actual], allFYsTable[Code], SummaryTable[[#This Row],[Code]], allFYsTable[year2], DW$3))</f>
        <v>#N/A</v>
      </c>
      <c r="EB146" s="61" t="e">
        <f>IF(COUNTIFS(allFYsTable[Code], SummaryTable[[#This Row],[Code]], allFYsTable[year2], DW$3)=0, NotFound, SUMIFS(allFYsTable[DiffAmount], allFYsTable[Code], SummaryTable[[#This Row],[Code]], allFYsTable[year2], DW$3))</f>
        <v>#N/A</v>
      </c>
      <c r="EC146" s="63" t="e">
        <f>IF(SummaryTable[[#This Row],[OriginalBudget11]]=0, IF(SummaryTable[[#This Row],[DiffAmount11]]=0, ZeroBudgetNoSpending, ZeroBudgetWithSpending), SummaryTable[[#This Row],[DiffAmount11]]/SummaryTable[[#This Row],[OriginalBudget11]])</f>
        <v>#N/A</v>
      </c>
      <c r="ED146" s="62" t="e">
        <f>IF(COUNTIFS(allFYsTable[Code], SummaryTable[[#This Row],[Code]], allFYsTable[year2], ED$3)=0, NotFound, SUMIFS(allFYsTable[OriginalBudget], allFYsTable[Code], SummaryTable[[#This Row],[Code]], allFYsTable[year2], ED$3))</f>
        <v>#N/A</v>
      </c>
      <c r="EE146" s="61" t="e">
        <f>SummaryTable[[#This Row],[OriginalBudget10]]-SummaryTable[[#This Row],[OriginalBudget09]]</f>
        <v>#N/A</v>
      </c>
      <c r="EF146" s="54" t="e">
        <f>SummaryTable[[#This Row],[BudgetIncreaseAmount10]]/SummaryTable[[#This Row],[OriginalBudget09]]</f>
        <v>#N/A</v>
      </c>
      <c r="EG146" s="61" t="e">
        <f>IF(COUNTIFS(allFYsTable[Code], SummaryTable[[#This Row],[Code]], allFYsTable[year2], ED$3)=0, NotFound, SUMIFS(allFYsTable[RevisedBudget], allFYsTable[Code], SummaryTable[[#This Row],[Code]], allFYsTable[year2], ED$3))</f>
        <v>#N/A</v>
      </c>
      <c r="EH146" s="61" t="e">
        <f>IF(COUNTIFS(allFYsTable[Code], SummaryTable[[#This Row],[Code]], allFYsTable[year2], ED$3)=0, NotFound, SUMIFS(allFYsTable[Actual], allFYsTable[Code], SummaryTable[[#This Row],[Code]], allFYsTable[year2], ED$3))</f>
        <v>#N/A</v>
      </c>
      <c r="EI146" s="61" t="e">
        <f>IF(COUNTIFS(allFYsTable[Code], SummaryTable[[#This Row],[Code]], allFYsTable[year2], ED$3)=0, NotFound, SUMIFS(allFYsTable[DiffAmount], allFYsTable[Code], SummaryTable[[#This Row],[Code]], allFYsTable[year2], ED$3))</f>
        <v>#N/A</v>
      </c>
      <c r="EJ146" s="63" t="e">
        <f>IF(SummaryTable[[#This Row],[OriginalBudget10]]=0, IF(SummaryTable[[#This Row],[DiffAmount10]]=0, ZeroBudgetNoSpending, ZeroBudgetWithSpending), SummaryTable[[#This Row],[DiffAmount10]]/SummaryTable[[#This Row],[OriginalBudget10]])</f>
        <v>#N/A</v>
      </c>
      <c r="EK146" s="62" t="e">
        <f>IF(COUNTIFS(allFYsTable[Code], SummaryTable[[#This Row],[Code]], allFYsTable[year2], EK$3)=0, NotFound, SUMIFS(allFYsTable[OriginalBudget], allFYsTable[Code], SummaryTable[[#This Row],[Code]], allFYsTable[year2], EK$3))</f>
        <v>#N/A</v>
      </c>
      <c r="EL146" s="61" t="e">
        <f>SummaryTable[[#This Row],[OriginalBudget09]]-SummaryTable[[#This Row],[OriginalBudget08]]</f>
        <v>#N/A</v>
      </c>
      <c r="EM146" s="54" t="e">
        <f>SummaryTable[[#This Row],[BudgetIncreaseAmount09]]/SummaryTable[[#This Row],[OriginalBudget08]]</f>
        <v>#N/A</v>
      </c>
      <c r="EN146" s="61" t="e">
        <f>IF(COUNTIFS(allFYsTable[Code], SummaryTable[[#This Row],[Code]], allFYsTable[year2], EK$3)=0, NotFound, SUMIFS(allFYsTable[RevisedBudget], allFYsTable[Code], SummaryTable[[#This Row],[Code]], allFYsTable[year2], EK$3))</f>
        <v>#N/A</v>
      </c>
      <c r="EO146" s="61" t="e">
        <f>IF(COUNTIFS(allFYsTable[Code], SummaryTable[[#This Row],[Code]], allFYsTable[year2], EK$3)=0, NotFound, SUMIFS(allFYsTable[Actual], allFYsTable[Code], SummaryTable[[#This Row],[Code]], allFYsTable[year2], EK$3))</f>
        <v>#N/A</v>
      </c>
      <c r="EP146" s="61" t="e">
        <f>IF(COUNTIFS(allFYsTable[Code], SummaryTable[[#This Row],[Code]], allFYsTable[year2], EK$3)=0, NotFound, SUMIFS(allFYsTable[DiffAmount], allFYsTable[Code], SummaryTable[[#This Row],[Code]], allFYsTable[year2], EK$3))</f>
        <v>#N/A</v>
      </c>
      <c r="EQ146" s="63" t="e">
        <f>IF(SummaryTable[[#This Row],[OriginalBudget09]]=0, IF(SummaryTable[[#This Row],[DiffAmount09]]=0, ZeroBudgetNoSpending, ZeroBudgetWithSpending), SummaryTable[[#This Row],[DiffAmount09]]/SummaryTable[[#This Row],[OriginalBudget09]])</f>
        <v>#N/A</v>
      </c>
      <c r="ER146" s="62" t="e">
        <f>IF(COUNTIFS(allFYsTable[Code], SummaryTable[[#This Row],[Code]], allFYsTable[year2], ER$3)=0, NotFound, SUMIFS(allFYsTable[OriginalBudget], allFYsTable[Code], SummaryTable[[#This Row],[Code]], allFYsTable[year2], ER$3))</f>
        <v>#N/A</v>
      </c>
      <c r="ES146" s="61" t="e">
        <f>SummaryTable[[#This Row],[OriginalBudget08]]-SummaryTable[[#This Row],[OriginalBudget07]]</f>
        <v>#N/A</v>
      </c>
      <c r="ET146" s="54" t="e">
        <f>SummaryTable[[#This Row],[BudgetIncreaseAmount08]]/SummaryTable[[#This Row],[OriginalBudget07]]</f>
        <v>#N/A</v>
      </c>
      <c r="EU146" s="61" t="e">
        <f>IF(COUNTIFS(allFYsTable[Code], SummaryTable[[#This Row],[Code]], allFYsTable[year2], ER$3)=0, NotFound, SUMIFS(allFYsTable[RevisedBudget], allFYsTable[Code], SummaryTable[[#This Row],[Code]], allFYsTable[year2], ER$3))</f>
        <v>#N/A</v>
      </c>
      <c r="EV146" s="61" t="e">
        <f>IF(COUNTIFS(allFYsTable[Code], SummaryTable[[#This Row],[Code]], allFYsTable[year2], ER$3)=0, NotFound, SUMIFS(allFYsTable[Actual], allFYsTable[Code], SummaryTable[[#This Row],[Code]], allFYsTable[year2], ER$3))</f>
        <v>#N/A</v>
      </c>
      <c r="EW146" s="61" t="e">
        <f>IF(COUNTIFS(allFYsTable[Code], SummaryTable[[#This Row],[Code]], allFYsTable[year2], ER$3)=0, NotFound, SUMIFS(allFYsTable[DiffAmount], allFYsTable[Code], SummaryTable[[#This Row],[Code]], allFYsTable[year2], ER$3))</f>
        <v>#N/A</v>
      </c>
      <c r="EX146" s="63" t="e">
        <f>IF(SummaryTable[[#This Row],[OriginalBudget08]]=0, IF(SummaryTable[[#This Row],[DiffAmount08]]=0, ZeroBudgetNoSpending, ZeroBudgetWithSpending), SummaryTable[[#This Row],[DiffAmount08]]/SummaryTable[[#This Row],[OriginalBudget08]])</f>
        <v>#N/A</v>
      </c>
      <c r="EY146" s="62" t="e">
        <f>IF(COUNTIFS(allFYsTable[Code], SummaryTable[[#This Row],[Code]], allFYsTable[year2], EY$3)=0, NotFound, SUMIFS(allFYsTable[OriginalBudget], allFYsTable[Code], SummaryTable[[#This Row],[Code]], allFYsTable[year2], EY$3))</f>
        <v>#N/A</v>
      </c>
      <c r="EZ146" s="61" t="e">
        <f>SummaryTable[[#This Row],[OriginalBudget07]]-SummaryTable[[#This Row],[OriginalBudget06]]</f>
        <v>#N/A</v>
      </c>
      <c r="FA146" s="54" t="e">
        <f>SummaryTable[[#This Row],[BudgetIncreaseAmount07]]/SummaryTable[[#This Row],[OriginalBudget06]]</f>
        <v>#N/A</v>
      </c>
      <c r="FB146" s="61" t="e">
        <f>IF(COUNTIFS(allFYsTable[Code], SummaryTable[[#This Row],[Code]], allFYsTable[year2], EY$3)=0, NotFound, SUMIFS(allFYsTable[RevisedBudget], allFYsTable[Code], SummaryTable[[#This Row],[Code]], allFYsTable[year2], EY$3))</f>
        <v>#N/A</v>
      </c>
      <c r="FC146" s="61" t="e">
        <f>IF(COUNTIFS(allFYsTable[Code], SummaryTable[[#This Row],[Code]], allFYsTable[year2], EY$3)=0, NotFound, SUMIFS(allFYsTable[Actual], allFYsTable[Code], SummaryTable[[#This Row],[Code]], allFYsTable[year2], EY$3))</f>
        <v>#N/A</v>
      </c>
      <c r="FD146" s="61" t="e">
        <f>IF(COUNTIFS(allFYsTable[Code], SummaryTable[[#This Row],[Code]], allFYsTable[year2], EY$3)=0, NotFound, SUMIFS(allFYsTable[DiffAmount], allFYsTable[Code], SummaryTable[[#This Row],[Code]], allFYsTable[year2], EY$3))</f>
        <v>#N/A</v>
      </c>
      <c r="FE146" s="63" t="e">
        <f>IF(SummaryTable[[#This Row],[OriginalBudget07]]=0, IF(SummaryTable[[#This Row],[DiffAmount07]]=0, ZeroBudgetNoSpending, ZeroBudgetWithSpending), SummaryTable[[#This Row],[DiffAmount07]]/SummaryTable[[#This Row],[OriginalBudget07]])</f>
        <v>#N/A</v>
      </c>
      <c r="FF146" s="62" t="e">
        <f>IF(COUNTIFS(allFYsTable[Code], SummaryTable[[#This Row],[Code]], allFYsTable[year2], FF$3)=0, NotFound, SUMIFS(allFYsTable[OriginalBudget], allFYsTable[Code], SummaryTable[[#This Row],[Code]], allFYsTable[year2], FF$3))</f>
        <v>#N/A</v>
      </c>
      <c r="FI146" s="61" t="e">
        <f>IF(COUNTIFS(allFYsTable[Code], SummaryTable[[#This Row],[Code]], allFYsTable[year2], FF$3)=0, NotFound, SUMIFS(allFYsTable[RevisedBudget], allFYsTable[Code], SummaryTable[[#This Row],[Code]], allFYsTable[year2], FF$3))</f>
        <v>#N/A</v>
      </c>
      <c r="FJ146" s="61" t="e">
        <f>IF(COUNTIFS(allFYsTable[Code], SummaryTable[[#This Row],[Code]], allFYsTable[year2], FF$3)=0, NotFound, SUMIFS(allFYsTable[Actual], allFYsTable[Code], SummaryTable[[#This Row],[Code]], allFYsTable[year2], FF$3))</f>
        <v>#N/A</v>
      </c>
      <c r="FK146" s="61" t="e">
        <f>IF(COUNTIFS(allFYsTable[Code], SummaryTable[[#This Row],[Code]], allFYsTable[year2], FF$3)=0, NotFound, SUMIFS(allFYsTable[DiffAmount], allFYsTable[Code], SummaryTable[[#This Row],[Code]], allFYsTable[year2], FF$3))</f>
        <v>#N/A</v>
      </c>
      <c r="FL146" s="63" t="e">
        <f>IF(SummaryTable[[#This Row],[OriginalBudget06]]=0, IF(SummaryTable[[#This Row],[DiffAmount06]]=0, ZeroBudgetNoSpending, ZeroBudgetWithSpending), SummaryTable[[#This Row],[DiffAmount06]]/SummaryTable[[#This Row],[OriginalBudget06]])</f>
        <v>#N/A</v>
      </c>
    </row>
    <row r="147" spans="1:168" x14ac:dyDescent="0.45">
      <c r="A147" t="s">
        <v>841</v>
      </c>
      <c r="B147">
        <f>_xlfn.MAXIFS(allFYsTable[year2], allFYsTable[Code], SummaryTable[[#This Row],[Code]])</f>
        <v>2018</v>
      </c>
      <c r="C147" t="str">
        <f>_xlfn.XLOOKUP(SummaryTable[[#This Row],[Code]], NameCodingTable[Code], NameCodingTable[Most Recent Category per allFYs])</f>
        <v>Public safety and justice</v>
      </c>
      <c r="D147" t="str">
        <f>_xlfn.XLOOKUP(SummaryTable[[#This Row],[Code]], NameCodingTable[Code], NameCodingTable[Unit Display Name])</f>
        <v>Office of justice grant administration</v>
      </c>
      <c r="E147" t="str">
        <f>_xlfn.XLOOKUP(SummaryTable[[#This Row],[Code]], NameCodingTable[Code], NameCodingTable[Type])</f>
        <v>untyped</v>
      </c>
      <c r="F14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8</v>
      </c>
      <c r="G14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47" s="54">
        <f>SummaryTable[[#This Row],['# Over]]/SummaryTable[[#This Row],[Count]]</f>
        <v>0.125</v>
      </c>
      <c r="I14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4</v>
      </c>
      <c r="J147" s="54">
        <f>SummaryTable[[#This Row],['# Under]]/SummaryTable[[#This Row],[Count]]</f>
        <v>0.5</v>
      </c>
      <c r="K14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3</v>
      </c>
      <c r="L147" s="54">
        <f>SummaryTable[[#This Row],['# Equal]]/SummaryTable[[#This Row],[Count]]</f>
        <v>0.375</v>
      </c>
      <c r="M147" s="61">
        <f>SUMIFS(allFYsTable[OriginalBudget],allFYsTable[Code],SummaryTable[[#This Row],[Code]])/SummaryTable[[#This Row],[Count]]</f>
        <v>9329.125</v>
      </c>
      <c r="N147" s="61">
        <f>SUMIFS(allFYsTable[Actual],allFYsTable[Code],SummaryTable[[#This Row],[Code]])/SummaryTable[[#This Row],[Count]]</f>
        <v>9199.25</v>
      </c>
      <c r="O147" s="61">
        <f>SummaryTable[[#This Row],[AvgActAmt]]-SummaryTable[[#This Row],[AvgBudAmt]]</f>
        <v>-129.875</v>
      </c>
      <c r="P147" s="54">
        <f>IF(SummaryTable[[#This Row],[AvgBudAmt]]=0, IF(SummaryTable[[#This Row],[AvgDiff'#]]=0, 0, NamedFields!$C$3), SummaryTable[[#This Row],[AvgDiff'#]]/SummaryTable[[#This Row],[AvgBudAmt]])</f>
        <v>-1.3921455656345049E-2</v>
      </c>
      <c r="Q147" s="61">
        <f>IFERROR(SUMIFS(allFYsTable[OriginalBudget],allFYsTable[Code],SummaryTable[[#This Row],[Code]],allFYsTable[DiffAmount], "&gt;0")/SummaryTable[[#This Row],['# Over]], 0)</f>
        <v>92</v>
      </c>
      <c r="R147" s="61">
        <f>IFERROR(SUMIFS(allFYsTable[Actual],allFYsTable[Code],SummaryTable[[#This Row],[Code]],allFYsTable[DiffAmount], "&gt;0")/SummaryTable[[#This Row],['# Over]], 0)</f>
        <v>222</v>
      </c>
      <c r="S147" s="61">
        <f>SummaryTable[[#This Row],[OverAvgAct]]-SummaryTable[[#This Row],[OverAvgBud]]</f>
        <v>130</v>
      </c>
      <c r="T147" s="54">
        <f>IF(SummaryTable[[#This Row],[OverAvgBud]]=0, IF(SummaryTable[[#This Row],[OverAvgDiff'#]]=0, ZeroBudgetNoSpending, ZeroBudgetWithSpending), SummaryTable[[#This Row],[OverAvgDiff'#]]/SummaryTable[[#This Row],[OverAvgBud]])</f>
        <v>1.4130434782608696</v>
      </c>
      <c r="U147" s="61">
        <f>IFERROR(SUMIFS(allFYsTable[OriginalBudget],allFYsTable[Code],SummaryTable[[#This Row],[Code]],allFYsTable[DiffAmount], "&lt;0")/SummaryTable[[#This Row],['# Under]], 0)</f>
        <v>18310.25</v>
      </c>
      <c r="V147" s="61">
        <f>IFERROR( SUMIFS(allFYsTable[Actual],allFYsTable[Code],SummaryTable[[#This Row],[Code]],allFYsTable[DiffAmount], "&lt;0")/SummaryTable[[#This Row],['# Under]], 0)</f>
        <v>18018</v>
      </c>
      <c r="W147" s="61">
        <f>SummaryTable[[#This Row],[UnderAvgAct]]-SummaryTable[[#This Row],[UnderAvgBud]]</f>
        <v>-292.25</v>
      </c>
      <c r="X147" s="54">
        <f>IF(SummaryTable[[#This Row],[UnderAvgBud]]=0, IF(SummaryTable[[#This Row],[UnderAvgDiff'#]]=0, ZeroBudgetNoSpending, NamedFields!$C$3), SummaryTable[[#This Row],[UnderAvgDiff'#]]/SummaryTable[[#This Row],[UnderAvgBud]])</f>
        <v>-1.5961005447768326E-2</v>
      </c>
      <c r="Y14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14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7" s="54">
        <f>IF(SummaryTable[[#This Row],[IncreaseYears]]=0, ZeroBudgetNoSpending, SummaryTable[[#This Row],[OSinIncreaseYear'#]]/SummaryTable[[#This Row],[IncreaseYears]])</f>
        <v>0</v>
      </c>
      <c r="AB147" s="58" t="str">
        <f>SummaryTable[[#This Row],[Code]]</f>
        <v>FO0</v>
      </c>
      <c r="AC147" s="62" t="e">
        <f>IF(COUNTIFS(allFYsTable[Code], SummaryTable[[#This Row],[Code]], allFYsTable[year2], AC$3)=0, NotFound, SUMIFS(allFYsTable[OriginalBudget], allFYsTable[Code], SummaryTable[[#This Row],[Code]], allFYsTable[year2], AC$3))</f>
        <v>#N/A</v>
      </c>
      <c r="AD147" s="61" t="e">
        <f>SummaryTable[[#This Row],[OriginalBudget25]]-SummaryTable[[#This Row],[OriginalBudget24]]</f>
        <v>#N/A</v>
      </c>
      <c r="AE147" s="54" t="e">
        <f>SummaryTable[[#This Row],[BudgetIncreaseAmount25]]/SummaryTable[[#This Row],[OriginalBudget24]]</f>
        <v>#N/A</v>
      </c>
      <c r="AF147" s="61" t="e">
        <f>IF(COUNTIFS(allFYsTable[Code], SummaryTable[[#This Row],[Code]], allFYsTable[year2], AC$3)=0, NotFound, SUMIFS(allFYsTable[RevisedBudget], allFYsTable[Code], SummaryTable[[#This Row],[Code]], allFYsTable[year2], AC$3))</f>
        <v>#N/A</v>
      </c>
      <c r="AG147" s="61" t="e">
        <f>IF(COUNTIFS(allFYsTable[Code], SummaryTable[[#This Row],[Code]], allFYsTable[year2], AC$3)=0, NotFound, SUMIFS(allFYsTable[Actual], allFYsTable[Code], SummaryTable[[#This Row],[Code]], allFYsTable[year2], AC$3))</f>
        <v>#N/A</v>
      </c>
      <c r="AH147" s="61" t="e">
        <f>IF(COUNTIFS(allFYsTable[Code], SummaryTable[[#This Row],[Code]], allFYsTable[year2], AC$3)=0, NotFound, SUMIFS(allFYsTable[DiffAmount], allFYsTable[Code], SummaryTable[[#This Row],[Code]], allFYsTable[year2], AC$3))</f>
        <v>#N/A</v>
      </c>
      <c r="AI147" s="63" t="e">
        <f>IF(SummaryTable[[#This Row],[OriginalBudget25]]=0, IF(SummaryTable[[#This Row],[DiffAmount25]]=0, ZeroBudgetNoSpending, ZeroBudgetWithSpending), SummaryTable[[#This Row],[DiffAmount25]]/SummaryTable[[#This Row],[OriginalBudget25]])</f>
        <v>#N/A</v>
      </c>
      <c r="AJ147" s="62" t="e">
        <f>IF(COUNTIFS(allFYsTable[Code], SummaryTable[[#This Row],[Code]], allFYsTable[year2], AJ$3)=0, NotFound, SUMIFS(allFYsTable[OriginalBudget], allFYsTable[Code], SummaryTable[[#This Row],[Code]], allFYsTable[year2], AJ$3))</f>
        <v>#N/A</v>
      </c>
      <c r="AK147" s="61" t="e">
        <f>SummaryTable[[#This Row],[OriginalBudget24]]-SummaryTable[[#This Row],[OriginalBudget23]]</f>
        <v>#N/A</v>
      </c>
      <c r="AL147" s="54" t="e">
        <f>SummaryTable[[#This Row],[BudgetIncreaseAmount24]]/SummaryTable[[#This Row],[OriginalBudget23]]</f>
        <v>#N/A</v>
      </c>
      <c r="AM147" s="61" t="e">
        <f>IF(COUNTIFS(allFYsTable[Code], SummaryTable[[#This Row],[Code]], allFYsTable[year2], AK$3)=0, NotFound, SUMIFS(allFYsTable[RevisedBudget], allFYsTable[Code], SummaryTable[[#This Row],[Code]], allFYsTable[year2], AJ$3))</f>
        <v>#N/A</v>
      </c>
      <c r="AN147" s="61" t="e">
        <f>IF(COUNTIFS(allFYsTable[Code], SummaryTable[[#This Row],[Code]], allFYsTable[year2], AJ$3)=0, NotFound, SUMIFS(allFYsTable[Actual], allFYsTable[Code], SummaryTable[[#This Row],[Code]], allFYsTable[year2], AJ$3))</f>
        <v>#N/A</v>
      </c>
      <c r="AO147" s="61" t="e">
        <f>IF(COUNTIFS(allFYsTable[Code], SummaryTable[[#This Row],[Code]], allFYsTable[year2], AJ$3)=0, NotFound, SUMIFS(allFYsTable[DiffAmount], allFYsTable[Code], SummaryTable[[#This Row],[Code]], allFYsTable[year2], AJ$3))</f>
        <v>#N/A</v>
      </c>
      <c r="AP147" s="63" t="e">
        <f>IF(SummaryTable[[#This Row],[OriginalBudget24]]=0, IF(SummaryTable[[#This Row],[DiffAmount24]]=0, ZeroBudgetNoSpending, ZeroBudgetWithSpending), SummaryTable[[#This Row],[DiffAmount24]]/SummaryTable[[#This Row],[OriginalBudget24]])</f>
        <v>#N/A</v>
      </c>
      <c r="AQ147" s="62" t="e">
        <f>IF(COUNTIFS(allFYsTable[Code], SummaryTable[[#This Row],[Code]], allFYsTable[year2], AQ$3)=0, NotFound, SUMIFS(allFYsTable[OriginalBudget], allFYsTable[Code], SummaryTable[[#This Row],[Code]], allFYsTable[year2], AQ$3))</f>
        <v>#N/A</v>
      </c>
      <c r="AR147" s="61" t="e">
        <f>SummaryTable[[#This Row],[OriginalBudget23]]-SummaryTable[[#This Row],[OriginalBudget22]]</f>
        <v>#N/A</v>
      </c>
      <c r="AS147" s="54" t="e">
        <f>SummaryTable[[#This Row],[BudgetIncreaseAmount23]]/SummaryTable[[#This Row],[OriginalBudget22]]</f>
        <v>#N/A</v>
      </c>
      <c r="AT147" s="61" t="e">
        <f>IF(COUNTIFS(allFYsTable[Code], SummaryTable[[#This Row],[Code]], allFYsTable[year2], AQ$3)=0, NotFound, SUMIFS(allFYsTable[RevisedBudget], allFYsTable[Code], SummaryTable[[#This Row],[Code]], allFYsTable[year2], AQ$3))</f>
        <v>#N/A</v>
      </c>
      <c r="AU147" s="61" t="e">
        <f>IF(COUNTIFS(allFYsTable[Code], SummaryTable[[#This Row],[Code]], allFYsTable[year2], AQ$3)=0, NotFound, SUMIFS(allFYsTable[Actual], allFYsTable[Code], SummaryTable[[#This Row],[Code]], allFYsTable[year2], AQ$3))</f>
        <v>#N/A</v>
      </c>
      <c r="AV147" s="61" t="e">
        <f>IF(COUNTIFS(allFYsTable[Code], SummaryTable[[#This Row],[Code]], allFYsTable[year2], AQ$3)=0, NotFound, SUMIFS(allFYsTable[DiffAmount], allFYsTable[Code], SummaryTable[[#This Row],[Code]], allFYsTable[year2], AQ$3))</f>
        <v>#N/A</v>
      </c>
      <c r="AW147" s="63" t="e">
        <f>IF(SummaryTable[[#This Row],[OriginalBudget23]]=0, IF(SummaryTable[[#This Row],[DiffAmount23]]=0, ZeroBudgetNoSpending, ZeroBudgetWithSpending), SummaryTable[[#This Row],[DiffAmount23]]/SummaryTable[[#This Row],[OriginalBudget23]])</f>
        <v>#N/A</v>
      </c>
      <c r="AX147" s="62" t="e">
        <f>IF(COUNTIFS(allFYsTable[Code], SummaryTable[[#This Row],[Code]], allFYsTable[year2], AX$3)=0, NotFound, SUMIFS(allFYsTable[OriginalBudget], allFYsTable[Code], SummaryTable[[#This Row],[Code]], allFYsTable[year2], AX$3))</f>
        <v>#N/A</v>
      </c>
      <c r="AY147" s="61" t="e">
        <f>SummaryTable[[#This Row],[OriginalBudget22]]-SummaryTable[[#This Row],[OriginalBudget21]]</f>
        <v>#N/A</v>
      </c>
      <c r="AZ147" s="54" t="e">
        <f>SummaryTable[[#This Row],[BudgetIncreaseAmount22]]/SummaryTable[[#This Row],[OriginalBudget21]]</f>
        <v>#N/A</v>
      </c>
      <c r="BA147" s="61" t="e">
        <f>IF(COUNTIFS(allFYsTable[Code], SummaryTable[[#This Row],[Code]], allFYsTable[year2], AX$3)=0, NotFound, SUMIFS(allFYsTable[RevisedBudget], allFYsTable[Code], SummaryTable[[#This Row],[Code]], allFYsTable[year2], AX$3))</f>
        <v>#N/A</v>
      </c>
      <c r="BB147" s="61" t="e">
        <f>IF(COUNTIFS(allFYsTable[Code], SummaryTable[[#This Row],[Code]], allFYsTable[year2], AX$3)=0, NotFound, SUMIFS(allFYsTable[Actual], allFYsTable[Code], SummaryTable[[#This Row],[Code]], allFYsTable[year2], AX$3))</f>
        <v>#N/A</v>
      </c>
      <c r="BC147" s="61" t="e">
        <f>IF(COUNTIFS(allFYsTable[Code], SummaryTable[[#This Row],[Code]], allFYsTable[year2], AX$3)=0, NotFound, SUMIFS(allFYsTable[DiffAmount], allFYsTable[Code], SummaryTable[[#This Row],[Code]], allFYsTable[year2], AX$3))</f>
        <v>#N/A</v>
      </c>
      <c r="BD147" s="63" t="e">
        <f>IF(SummaryTable[[#This Row],[OriginalBudget22]]=0, IF(SummaryTable[[#This Row],[DiffAmount22]]=0, ZeroBudgetNoSpending, ZeroBudgetWithSpending), SummaryTable[[#This Row],[DiffAmount22]]/SummaryTable[[#This Row],[OriginalBudget22]])</f>
        <v>#N/A</v>
      </c>
      <c r="BE147" s="62" t="e">
        <f>IF(COUNTIFS(allFYsTable[Code], SummaryTable[[#This Row],[Code]], allFYsTable[year2], BE$3)=0, NotFound, SUMIFS(allFYsTable[OriginalBudget], allFYsTable[Code], SummaryTable[[#This Row],[Code]], allFYsTable[year2], BE$3))</f>
        <v>#N/A</v>
      </c>
      <c r="BF147" s="61" t="e">
        <f>SummaryTable[[#This Row],[OriginalBudget21]]-SummaryTable[[#This Row],[OriginalBudget20]]</f>
        <v>#N/A</v>
      </c>
      <c r="BG147" s="54" t="e">
        <f>SummaryTable[[#This Row],[BudgetIncreaseAmount21]]/SummaryTable[[#This Row],[OriginalBudget20]]</f>
        <v>#N/A</v>
      </c>
      <c r="BH147" s="61" t="e">
        <f>IF(COUNTIFS(allFYsTable[Code], SummaryTable[[#This Row],[Code]], allFYsTable[year2], BE$3)=0, NotFound, SUMIFS(allFYsTable[RevisedBudget], allFYsTable[Code], SummaryTable[[#This Row],[Code]], allFYsTable[year2], BE$3))</f>
        <v>#N/A</v>
      </c>
      <c r="BI147" s="61" t="e">
        <f>IF(COUNTIFS(allFYsTable[Code], SummaryTable[[#This Row],[Code]], allFYsTable[year2], BE$3)=0, NotFound, SUMIFS(allFYsTable[Actual], allFYsTable[Code], SummaryTable[[#This Row],[Code]], allFYsTable[year2], BE$3))</f>
        <v>#N/A</v>
      </c>
      <c r="BJ147" s="61" t="e">
        <f>IF(COUNTIFS(allFYsTable[Code], SummaryTable[[#This Row],[Code]], allFYsTable[year2], BE$3)=0, NotFound, SUMIFS(allFYsTable[DiffAmount], allFYsTable[Code], SummaryTable[[#This Row],[Code]], allFYsTable[year2], BE$3))</f>
        <v>#N/A</v>
      </c>
      <c r="BK147" s="63" t="e">
        <f>IF(SummaryTable[[#This Row],[OriginalBudget21]]=0, IF(SummaryTable[[#This Row],[DiffAmount21]]=0, ZeroBudgetNoSpending, ZeroBudgetWithSpending), SummaryTable[[#This Row],[DiffAmount21]]/SummaryTable[[#This Row],[OriginalBudget21]])</f>
        <v>#N/A</v>
      </c>
      <c r="BL147" s="62" t="e">
        <f>IF(COUNTIFS(allFYsTable[Code], SummaryTable[[#This Row],[Code]], allFYsTable[year2], BL$3)=0, NotFound, SUMIFS(allFYsTable[OriginalBudget], allFYsTable[Code], SummaryTable[[#This Row],[Code]], allFYsTable[year2], BL$3))</f>
        <v>#N/A</v>
      </c>
      <c r="BM147" s="61" t="e">
        <f>SummaryTable[[#This Row],[OriginalBudget20]]-SummaryTable[[#This Row],[OriginalBudget19]]</f>
        <v>#N/A</v>
      </c>
      <c r="BN147" s="54" t="e">
        <f>SummaryTable[[#This Row],[BudgetIncreaseAmount20]]/SummaryTable[[#This Row],[OriginalBudget19]]</f>
        <v>#N/A</v>
      </c>
      <c r="BO147" s="61" t="e">
        <f>IF(COUNTIFS(allFYsTable[Code], SummaryTable[[#This Row],[Code]], allFYsTable[year2], BL$3)=0, NotFound, SUMIFS(allFYsTable[RevisedBudget], allFYsTable[Code], SummaryTable[[#This Row],[Code]], allFYsTable[year2], BL$3))</f>
        <v>#N/A</v>
      </c>
      <c r="BP147" s="61" t="e">
        <f>IF(COUNTIFS(allFYsTable[Code], SummaryTable[[#This Row],[Code]], allFYsTable[year2], BL$3)=0, NotFound, SUMIFS(allFYsTable[Actual], allFYsTable[Code], SummaryTable[[#This Row],[Code]], allFYsTable[year2], BL$3))</f>
        <v>#N/A</v>
      </c>
      <c r="BQ147" s="61" t="e">
        <f>IF(COUNTIFS(allFYsTable[Code], SummaryTable[[#This Row],[Code]], allFYsTable[year2], BL$3)=0, NotFound, SUMIFS(allFYsTable[DiffAmount], allFYsTable[Code], SummaryTable[[#This Row],[Code]], allFYsTable[year2], BL$3))</f>
        <v>#N/A</v>
      </c>
      <c r="BR147" s="63" t="e">
        <f>IF(SummaryTable[[#This Row],[OriginalBudget20]]=0, IF(SummaryTable[[#This Row],[DiffAmount20]]=0, ZeroBudgetNoSpending, ZeroBudgetWithSpending), SummaryTable[[#This Row],[DiffAmount20]]/SummaryTable[[#This Row],[OriginalBudget20]])</f>
        <v>#N/A</v>
      </c>
      <c r="BS147" s="62" t="e">
        <f>IF(COUNTIFS(allFYsTable[Code], SummaryTable[[#This Row],[Code]], allFYsTable[year2], BS$3)=0, NotFound, SUMIFS(allFYsTable[OriginalBudget], allFYsTable[Code], SummaryTable[[#This Row],[Code]], allFYsTable[year2], BS$3))</f>
        <v>#N/A</v>
      </c>
      <c r="BT147" s="61" t="e">
        <f>SummaryTable[[#This Row],[OriginalBudget19]]-SummaryTable[[#This Row],[OriginalBudget18]]</f>
        <v>#N/A</v>
      </c>
      <c r="BU147" s="54" t="e">
        <f>SummaryTable[[#This Row],[BudgetIncreaseAmount19]]/SummaryTable[[#This Row],[OriginalBudget18]]</f>
        <v>#N/A</v>
      </c>
      <c r="BV147" s="61" t="e">
        <f>IF(COUNTIFS(allFYsTable[Code], SummaryTable[[#This Row],[Code]], allFYsTable[year2], BS$3)=0, NotFound, SUMIFS(allFYsTable[RevisedBudget], allFYsTable[Code], SummaryTable[[#This Row],[Code]], allFYsTable[year2], BS$3))</f>
        <v>#N/A</v>
      </c>
      <c r="BW147" s="61" t="e">
        <f>IF(COUNTIFS(allFYsTable[Code], SummaryTable[[#This Row],[Code]], allFYsTable[year2], BS$3)=0, NotFound, SUMIFS(allFYsTable[Actual], allFYsTable[Code], SummaryTable[[#This Row],[Code]], allFYsTable[year2], BS$3))</f>
        <v>#N/A</v>
      </c>
      <c r="BX147" s="61" t="e">
        <f>IF(COUNTIFS(allFYsTable[Code], SummaryTable[[#This Row],[Code]], allFYsTable[year2], BS$3)=0, NotFound, SUMIFS(allFYsTable[DiffAmount], allFYsTable[Code], SummaryTable[[#This Row],[Code]], allFYsTable[year2], BS$3))</f>
        <v>#N/A</v>
      </c>
      <c r="BY147" s="63" t="e">
        <f>IF(SummaryTable[[#This Row],[OriginalBudget19]]=0, IF(SummaryTable[[#This Row],[DiffAmount19]]=0, ZeroBudgetNoSpending, ZeroBudgetWithSpending), SummaryTable[[#This Row],[DiffAmount19]]/SummaryTable[[#This Row],[OriginalBudget19]])</f>
        <v>#N/A</v>
      </c>
      <c r="BZ147" s="62">
        <f>IF(COUNTIFS(allFYsTable[Code], SummaryTable[[#This Row],[Code]], allFYsTable[year2], BZ$3)=0, NotFound, SUMIFS(allFYsTable[OriginalBudget], allFYsTable[Code], SummaryTable[[#This Row],[Code]], allFYsTable[year2], BZ$3))</f>
        <v>28941</v>
      </c>
      <c r="CA147" s="61">
        <f>SummaryTable[[#This Row],[OriginalBudget18]]-SummaryTable[[#This Row],[OriginalBudget17]]</f>
        <v>5510</v>
      </c>
      <c r="CB147" s="54">
        <f>SummaryTable[[#This Row],[BudgetIncreaseAmount18]]/SummaryTable[[#This Row],[OriginalBudget17]]</f>
        <v>0.23515855063804361</v>
      </c>
      <c r="CC147" s="61">
        <f>IF(COUNTIFS(allFYsTable[Code], SummaryTable[[#This Row],[Code]], allFYsTable[year2], BZ$3)=0, NotFound, SUMIFS(allFYsTable[RevisedBudget], allFYsTable[Code], SummaryTable[[#This Row],[Code]], allFYsTable[year2], BZ$3))</f>
        <v>29052</v>
      </c>
      <c r="CD147" s="61">
        <f>IF(COUNTIFS(allFYsTable[Code], SummaryTable[[#This Row],[Code]], allFYsTable[year2], BZ$3)=0, NotFound, SUMIFS(allFYsTable[Actual], allFYsTable[Code], SummaryTable[[#This Row],[Code]], allFYsTable[year2], BZ$3))</f>
        <v>28750</v>
      </c>
      <c r="CE147" s="61">
        <f>IF(COUNTIFS(allFYsTable[Code], SummaryTable[[#This Row],[Code]], allFYsTable[year2], BZ$3)=0, NotFound, SUMIFS(allFYsTable[DiffAmount], allFYsTable[Code], SummaryTable[[#This Row],[Code]], allFYsTable[year2], BZ$3))</f>
        <v>-191</v>
      </c>
      <c r="CF147" s="63">
        <f>IF(SummaryTable[[#This Row],[OriginalBudget18]]=0, IF(SummaryTable[[#This Row],[DiffAmount18]]=0, ZeroBudgetNoSpending, ZeroBudgetWithSpending), SummaryTable[[#This Row],[DiffAmount18]]/SummaryTable[[#This Row],[OriginalBudget18]])</f>
        <v>-6.5996337376040912E-3</v>
      </c>
      <c r="CG147" s="62">
        <f>IF(COUNTIFS(allFYsTable[Code], SummaryTable[[#This Row],[Code]], allFYsTable[year2], CG$3)=0, NotFound, SUMIFS(allFYsTable[OriginalBudget], allFYsTable[Code], SummaryTable[[#This Row],[Code]], allFYsTable[year2], CG$3))</f>
        <v>23431</v>
      </c>
      <c r="CH147" s="61">
        <f>SummaryTable[[#This Row],[OriginalBudget17]]-SummaryTable[[#This Row],[OriginalBudget16]]</f>
        <v>2632</v>
      </c>
      <c r="CI147" s="54">
        <f>SummaryTable[[#This Row],[BudgetIncreaseAmount17]]/SummaryTable[[#This Row],[OriginalBudget16]]</f>
        <v>0.12654454541083707</v>
      </c>
      <c r="CJ147" s="61">
        <f>IF(COUNTIFS(allFYsTable[Code], SummaryTable[[#This Row],[Code]], allFYsTable[year2], CG$3)=0, NotFound, SUMIFS(allFYsTable[RevisedBudget], allFYsTable[Code], SummaryTable[[#This Row],[Code]], allFYsTable[year2], CG$3))</f>
        <v>23086</v>
      </c>
      <c r="CK147" s="61">
        <f>IF(COUNTIFS(allFYsTable[Code], SummaryTable[[#This Row],[Code]], allFYsTable[year2], CG$3)=0, NotFound, SUMIFS(allFYsTable[Actual], allFYsTable[Code], SummaryTable[[#This Row],[Code]], allFYsTable[year2], CG$3))</f>
        <v>22831</v>
      </c>
      <c r="CL147" s="61">
        <f>IF(COUNTIFS(allFYsTable[Code], SummaryTable[[#This Row],[Code]], allFYsTable[year2], CG$3)=0, NotFound, SUMIFS(allFYsTable[DiffAmount], allFYsTable[Code], SummaryTable[[#This Row],[Code]], allFYsTable[year2], CG$3))</f>
        <v>-600</v>
      </c>
      <c r="CM147" s="63">
        <f>IF(SummaryTable[[#This Row],[OriginalBudget17]]=0, IF(SummaryTable[[#This Row],[DiffAmount17]]=0, ZeroBudgetNoSpending, ZeroBudgetWithSpending), SummaryTable[[#This Row],[DiffAmount17]]/SummaryTable[[#This Row],[OriginalBudget17]])</f>
        <v>-2.5607101702872264E-2</v>
      </c>
      <c r="CN147" s="62">
        <f>IF(COUNTIFS(allFYsTable[Code], SummaryTable[[#This Row],[Code]], allFYsTable[year2], CN$3)=0, NotFound, SUMIFS(allFYsTable[OriginalBudget], allFYsTable[Code], SummaryTable[[#This Row],[Code]], allFYsTable[year2], CN$3))</f>
        <v>20799</v>
      </c>
      <c r="CO147" s="61" t="e">
        <f>SummaryTable[[#This Row],[OriginalBudget16]]-SummaryTable[[#This Row],[OriginalBudget15]]</f>
        <v>#N/A</v>
      </c>
      <c r="CP147" s="54" t="e">
        <f>SummaryTable[[#This Row],[BudgetIncreaseAmount16]]/SummaryTable[[#This Row],[OriginalBudget15]]</f>
        <v>#N/A</v>
      </c>
      <c r="CQ147" s="61">
        <f>IF(COUNTIFS(allFYsTable[Code], SummaryTable[[#This Row],[Code]], allFYsTable[year2], CN$3)=0, NotFound, SUMIFS(allFYsTable[RevisedBudget], allFYsTable[Code], SummaryTable[[#This Row],[Code]], allFYsTable[year2], CN$3))</f>
        <v>20779</v>
      </c>
      <c r="CR147" s="61">
        <f>IF(COUNTIFS(allFYsTable[Code], SummaryTable[[#This Row],[Code]], allFYsTable[year2], CN$3)=0, NotFound, SUMIFS(allFYsTable[Actual], allFYsTable[Code], SummaryTable[[#This Row],[Code]], allFYsTable[year2], CN$3))</f>
        <v>20442</v>
      </c>
      <c r="CS147" s="61">
        <f>IF(COUNTIFS(allFYsTable[Code], SummaryTable[[#This Row],[Code]], allFYsTable[year2], CN$3)=0, NotFound, SUMIFS(allFYsTable[DiffAmount], allFYsTable[Code], SummaryTable[[#This Row],[Code]], allFYsTable[year2], CN$3))</f>
        <v>-357</v>
      </c>
      <c r="CT147" s="63">
        <f>IF(SummaryTable[[#This Row],[OriginalBudget16]]=0, IF(SummaryTable[[#This Row],[DiffAmount16]]=0, ZeroBudgetNoSpending, ZeroBudgetWithSpending), SummaryTable[[#This Row],[DiffAmount16]]/SummaryTable[[#This Row],[OriginalBudget16]])</f>
        <v>-1.7164286744555026E-2</v>
      </c>
      <c r="CU147" s="62" t="e">
        <f>IF(COUNTIFS(allFYsTable[Code], SummaryTable[[#This Row],[Code]], allFYsTable[year2], CU$3)=0, NotFound, SUMIFS(allFYsTable[OriginalBudget], allFYsTable[Code], SummaryTable[[#This Row],[Code]], allFYsTable[year2], CU$3))</f>
        <v>#N/A</v>
      </c>
      <c r="CV147" s="61" t="e">
        <f>SummaryTable[[#This Row],[OriginalBudget15]]-SummaryTable[[#This Row],[OriginalBudget14]]</f>
        <v>#N/A</v>
      </c>
      <c r="CW147" s="54" t="e">
        <f>SummaryTable[[#This Row],[BudgetIncreaseAmount15]]/SummaryTable[[#This Row],[OriginalBudget14]]</f>
        <v>#N/A</v>
      </c>
      <c r="CX147" s="61" t="e">
        <f>IF(COUNTIFS(allFYsTable[Code], SummaryTable[[#This Row],[Code]], allFYsTable[year2], CU$3)=0, NotFound, SUMIFS(allFYsTable[RevisedBudget], allFYsTable[Code], SummaryTable[[#This Row],[Code]], allFYsTable[year2], CU$3))</f>
        <v>#N/A</v>
      </c>
      <c r="CY147" s="61" t="e">
        <f>IF(COUNTIFS(allFYsTable[Code], SummaryTable[[#This Row],[Code]], allFYsTable[year2], CU$3)=0, NotFound, SUMIFS(allFYsTable[Actual], allFYsTable[Code], SummaryTable[[#This Row],[Code]], allFYsTable[year2], CU$3))</f>
        <v>#N/A</v>
      </c>
      <c r="CZ147" s="61" t="e">
        <f>IF(COUNTIFS(allFYsTable[Code], SummaryTable[[#This Row],[Code]], allFYsTable[year2], CU$3)=0, NotFound, SUMIFS(allFYsTable[DiffAmount], allFYsTable[Code], SummaryTable[[#This Row],[Code]], allFYsTable[year2], CU$3))</f>
        <v>#N/A</v>
      </c>
      <c r="DA147" s="63" t="e">
        <f>IF(SummaryTable[[#This Row],[OriginalBudget15]]=0, IF(SummaryTable[[#This Row],[DiffAmount15]]=0, ZeroBudgetNoSpending, ZeroBudgetWithSpending), SummaryTable[[#This Row],[DiffAmount15]]/SummaryTable[[#This Row],[OriginalBudget15]])</f>
        <v>#N/A</v>
      </c>
      <c r="DB147" s="62" t="e">
        <f>IF(COUNTIFS(allFYsTable[Code], SummaryTable[[#This Row],[Code]], allFYsTable[year2], DB$3)=0, NotFound, SUMIFS(allFYsTable[OriginalBudget], allFYsTable[Code], SummaryTable[[#This Row],[Code]], allFYsTable[year2], DB$3))</f>
        <v>#N/A</v>
      </c>
      <c r="DC147" s="61" t="e">
        <f>SummaryTable[[#This Row],[OriginalBudget14]]-SummaryTable[[#This Row],[OriginalBudget13]]</f>
        <v>#N/A</v>
      </c>
      <c r="DD147" s="54" t="e">
        <f>SummaryTable[[#This Row],[BudgetIncreaseAmount14]]/SummaryTable[[#This Row],[OriginalBudget13]]</f>
        <v>#N/A</v>
      </c>
      <c r="DE147" s="61" t="e">
        <f>IF(COUNTIFS(allFYsTable[Code], SummaryTable[[#This Row],[Code]], allFYsTable[year2], DB$3)=0, NotFound, SUMIFS(allFYsTable[RevisedBudget], allFYsTable[Code], SummaryTable[[#This Row],[Code]], allFYsTable[year2], DB$3))</f>
        <v>#N/A</v>
      </c>
      <c r="DF147" s="61" t="e">
        <f>IF(COUNTIFS(allFYsTable[Code], SummaryTable[[#This Row],[Code]], allFYsTable[year2], DB$3)=0, NotFound, SUMIFS(allFYsTable[Actual], allFYsTable[Code], SummaryTable[[#This Row],[Code]], allFYsTable[year2], DB$3))</f>
        <v>#N/A</v>
      </c>
      <c r="DG147" s="61" t="e">
        <f>IF(COUNTIFS(allFYsTable[Code], SummaryTable[[#This Row],[Code]], allFYsTable[year2], DB$3)=0, NotFound, SUMIFS(allFYsTable[DiffAmount], allFYsTable[Code], SummaryTable[[#This Row],[Code]], allFYsTable[year2], DB$3))</f>
        <v>#N/A</v>
      </c>
      <c r="DH147" s="63" t="e">
        <f>IF(SummaryTable[[#This Row],[OriginalBudget14]]=0, IF(SummaryTable[[#This Row],[DiffAmount14]]=0, ZeroBudgetNoSpending, ZeroBudgetWithSpending), SummaryTable[[#This Row],[DiffAmount14]]/SummaryTable[[#This Row],[OriginalBudget14]])</f>
        <v>#N/A</v>
      </c>
      <c r="DI147" s="62" t="e">
        <f>IF(COUNTIFS(allFYsTable[Code], SummaryTable[[#This Row],[Code]], allFYsTable[year2], DI$3)=0, NotFound, SUMIFS(allFYsTable[OriginalBudget], allFYsTable[Code], SummaryTable[[#This Row],[Code]], allFYsTable[year2], DI$3))</f>
        <v>#N/A</v>
      </c>
      <c r="DJ147" s="61" t="e">
        <f>SummaryTable[[#This Row],[OriginalBudget13]]-SummaryTable[[#This Row],[OriginalBudget12]]</f>
        <v>#N/A</v>
      </c>
      <c r="DK147" s="54" t="e">
        <f>SummaryTable[[#This Row],[BudgetIncreaseAmount13]]/SummaryTable[[#This Row],[OriginalBudget12]]</f>
        <v>#N/A</v>
      </c>
      <c r="DL147" s="61" t="e">
        <f>IF(COUNTIFS(allFYsTable[Code], SummaryTable[[#This Row],[Code]], allFYsTable[year2], DI$3)=0, NotFound, SUMIFS(allFYsTable[RevisedBudget], allFYsTable[Code], SummaryTable[[#This Row],[Code]], allFYsTable[year2], DI$3))</f>
        <v>#N/A</v>
      </c>
      <c r="DM147" s="61" t="e">
        <f>IF(COUNTIFS(allFYsTable[Code], SummaryTable[[#This Row],[Code]], allFYsTable[year2], DI$3)=0, NotFound, SUMIFS(allFYsTable[Actual], allFYsTable[Code], SummaryTable[[#This Row],[Code]], allFYsTable[year2], DI$3))</f>
        <v>#N/A</v>
      </c>
      <c r="DN147" s="61" t="e">
        <f>IF(COUNTIFS(allFYsTable[Code], SummaryTable[[#This Row],[Code]], allFYsTable[year2], DI$3)=0, NotFound, SUMIFS(allFYsTable[DiffAmount], allFYsTable[Code], SummaryTable[[#This Row],[Code]], allFYsTable[year2], DI$3))</f>
        <v>#N/A</v>
      </c>
      <c r="DO147" s="63" t="e">
        <f>IF(SummaryTable[[#This Row],[OriginalBudget13]]=0, IF(SummaryTable[[#This Row],[DiffAmount13]]=0, ZeroBudgetNoSpending, ZeroBudgetWithSpending), SummaryTable[[#This Row],[DiffAmount13]]/SummaryTable[[#This Row],[OriginalBudget13]])</f>
        <v>#N/A</v>
      </c>
      <c r="DP147" s="62">
        <f>IF(COUNTIFS(allFYsTable[Code], SummaryTable[[#This Row],[Code]], allFYsTable[year2], DP$3)=0, NotFound, SUMIFS(allFYsTable[OriginalBudget], allFYsTable[Code], SummaryTable[[#This Row],[Code]], allFYsTable[year2], DP$3))</f>
        <v>0</v>
      </c>
      <c r="DQ147" s="61">
        <f>SummaryTable[[#This Row],[OriginalBudget12]]-SummaryTable[[#This Row],[OriginalBudget11]]</f>
        <v>-70</v>
      </c>
      <c r="DR147" s="54">
        <f>SummaryTable[[#This Row],[BudgetIncreaseAmount12]]/SummaryTable[[#This Row],[OriginalBudget11]]</f>
        <v>-1</v>
      </c>
      <c r="DS147" s="61">
        <f>IF(COUNTIFS(allFYsTable[Code], SummaryTable[[#This Row],[Code]], allFYsTable[year2], DP$3)=0, NotFound, SUMIFS(allFYsTable[RevisedBudget], allFYsTable[Code], SummaryTable[[#This Row],[Code]], allFYsTable[year2], DP$3))</f>
        <v>0</v>
      </c>
      <c r="DT147" s="61">
        <f>IF(COUNTIFS(allFYsTable[Code], SummaryTable[[#This Row],[Code]], allFYsTable[year2], DP$3)=0, NotFound, SUMIFS(allFYsTable[Actual], allFYsTable[Code], SummaryTable[[#This Row],[Code]], allFYsTable[year2], DP$3))</f>
        <v>0</v>
      </c>
      <c r="DU147" s="61">
        <f>IF(COUNTIFS(allFYsTable[Code], SummaryTable[[#This Row],[Code]], allFYsTable[year2], DP$3)=0, NotFound, SUMIFS(allFYsTable[DiffAmount], allFYsTable[Code], SummaryTable[[#This Row],[Code]], allFYsTable[year2], DP$3))</f>
        <v>0</v>
      </c>
      <c r="DV147" s="63">
        <f>IF(SummaryTable[[#This Row],[OriginalBudget12]]=0, IF(SummaryTable[[#This Row],[DiffAmount12]]=0, ZeroBudgetNoSpending, ZeroBudgetWithSpending), SummaryTable[[#This Row],[DiffAmount12]]/SummaryTable[[#This Row],[OriginalBudget12]])</f>
        <v>0</v>
      </c>
      <c r="DW147" s="62">
        <f>IF(COUNTIFS(allFYsTable[Code], SummaryTable[[#This Row],[Code]], allFYsTable[year2], DW$3)=0, NotFound, SUMIFS(allFYsTable[OriginalBudget], allFYsTable[Code], SummaryTable[[#This Row],[Code]], allFYsTable[year2], DW$3))</f>
        <v>70</v>
      </c>
      <c r="DX147" s="61">
        <f>SummaryTable[[#This Row],[OriginalBudget11]]-SummaryTable[[#This Row],[OriginalBudget10]]</f>
        <v>-325</v>
      </c>
      <c r="DY147" s="54">
        <f>SummaryTable[[#This Row],[BudgetIncreaseAmount11]]/SummaryTable[[#This Row],[OriginalBudget10]]</f>
        <v>-0.82278481012658233</v>
      </c>
      <c r="DZ147" s="61">
        <f>IF(COUNTIFS(allFYsTable[Code], SummaryTable[[#This Row],[Code]], allFYsTable[year2], DW$3)=0, NotFound, SUMIFS(allFYsTable[RevisedBudget], allFYsTable[Code], SummaryTable[[#This Row],[Code]], allFYsTable[year2], DW$3))</f>
        <v>320</v>
      </c>
      <c r="EA147" s="61">
        <f>IF(COUNTIFS(allFYsTable[Code], SummaryTable[[#This Row],[Code]], allFYsTable[year2], DW$3)=0, NotFound, SUMIFS(allFYsTable[Actual], allFYsTable[Code], SummaryTable[[#This Row],[Code]], allFYsTable[year2], DW$3))</f>
        <v>49</v>
      </c>
      <c r="EB147" s="61">
        <f>IF(COUNTIFS(allFYsTable[Code], SummaryTable[[#This Row],[Code]], allFYsTable[year2], DW$3)=0, NotFound, SUMIFS(allFYsTable[DiffAmount], allFYsTable[Code], SummaryTable[[#This Row],[Code]], allFYsTable[year2], DW$3))</f>
        <v>-21</v>
      </c>
      <c r="EC147" s="63">
        <f>IF(SummaryTable[[#This Row],[OriginalBudget11]]=0, IF(SummaryTable[[#This Row],[DiffAmount11]]=0, ZeroBudgetNoSpending, ZeroBudgetWithSpending), SummaryTable[[#This Row],[DiffAmount11]]/SummaryTable[[#This Row],[OriginalBudget11]])</f>
        <v>-0.3</v>
      </c>
      <c r="ED147" s="62">
        <f>IF(COUNTIFS(allFYsTable[Code], SummaryTable[[#This Row],[Code]], allFYsTable[year2], ED$3)=0, NotFound, SUMIFS(allFYsTable[OriginalBudget], allFYsTable[Code], SummaryTable[[#This Row],[Code]], allFYsTable[year2], ED$3))</f>
        <v>395</v>
      </c>
      <c r="EE147" s="61">
        <f>SummaryTable[[#This Row],[OriginalBudget10]]-SummaryTable[[#This Row],[OriginalBudget09]]</f>
        <v>-510</v>
      </c>
      <c r="EF147" s="54">
        <f>SummaryTable[[#This Row],[BudgetIncreaseAmount10]]/SummaryTable[[#This Row],[OriginalBudget09]]</f>
        <v>-0.56353591160220995</v>
      </c>
      <c r="EG147" s="61">
        <f>IF(COUNTIFS(allFYsTable[Code], SummaryTable[[#This Row],[Code]], allFYsTable[year2], ED$3)=0, NotFound, SUMIFS(allFYsTable[RevisedBudget], allFYsTable[Code], SummaryTable[[#This Row],[Code]], allFYsTable[year2], ED$3))</f>
        <v>395</v>
      </c>
      <c r="EH147" s="61">
        <f>IF(COUNTIFS(allFYsTable[Code], SummaryTable[[#This Row],[Code]], allFYsTable[year2], ED$3)=0, NotFound, SUMIFS(allFYsTable[Actual], allFYsTable[Code], SummaryTable[[#This Row],[Code]], allFYsTable[year2], ED$3))</f>
        <v>395</v>
      </c>
      <c r="EI147" s="61">
        <f>IF(COUNTIFS(allFYsTable[Code], SummaryTable[[#This Row],[Code]], allFYsTable[year2], ED$3)=0, NotFound, SUMIFS(allFYsTable[DiffAmount], allFYsTable[Code], SummaryTable[[#This Row],[Code]], allFYsTable[year2], ED$3))</f>
        <v>0</v>
      </c>
      <c r="EJ147" s="63">
        <f>IF(SummaryTable[[#This Row],[OriginalBudget10]]=0, IF(SummaryTable[[#This Row],[DiffAmount10]]=0, ZeroBudgetNoSpending, ZeroBudgetWithSpending), SummaryTable[[#This Row],[DiffAmount10]]/SummaryTable[[#This Row],[OriginalBudget10]])</f>
        <v>0</v>
      </c>
      <c r="EK147" s="62">
        <f>IF(COUNTIFS(allFYsTable[Code], SummaryTable[[#This Row],[Code]], allFYsTable[year2], EK$3)=0, NotFound, SUMIFS(allFYsTable[OriginalBudget], allFYsTable[Code], SummaryTable[[#This Row],[Code]], allFYsTable[year2], EK$3))</f>
        <v>905</v>
      </c>
      <c r="EL147" s="61">
        <f>SummaryTable[[#This Row],[OriginalBudget09]]-SummaryTable[[#This Row],[OriginalBudget08]]</f>
        <v>813</v>
      </c>
      <c r="EM147" s="54">
        <f>SummaryTable[[#This Row],[BudgetIncreaseAmount09]]/SummaryTable[[#This Row],[OriginalBudget08]]</f>
        <v>8.8369565217391308</v>
      </c>
      <c r="EN147" s="61">
        <f>IF(COUNTIFS(allFYsTable[Code], SummaryTable[[#This Row],[Code]], allFYsTable[year2], EK$3)=0, NotFound, SUMIFS(allFYsTable[RevisedBudget], allFYsTable[Code], SummaryTable[[#This Row],[Code]], allFYsTable[year2], EK$3))</f>
        <v>930</v>
      </c>
      <c r="EO147" s="61">
        <f>IF(COUNTIFS(allFYsTable[Code], SummaryTable[[#This Row],[Code]], allFYsTable[year2], EK$3)=0, NotFound, SUMIFS(allFYsTable[Actual], allFYsTable[Code], SummaryTable[[#This Row],[Code]], allFYsTable[year2], EK$3))</f>
        <v>905</v>
      </c>
      <c r="EP147" s="61">
        <f>IF(COUNTIFS(allFYsTable[Code], SummaryTable[[#This Row],[Code]], allFYsTable[year2], EK$3)=0, NotFound, SUMIFS(allFYsTable[DiffAmount], allFYsTable[Code], SummaryTable[[#This Row],[Code]], allFYsTable[year2], EK$3))</f>
        <v>0</v>
      </c>
      <c r="EQ147" s="63">
        <f>IF(SummaryTable[[#This Row],[OriginalBudget09]]=0, IF(SummaryTable[[#This Row],[DiffAmount09]]=0, ZeroBudgetNoSpending, ZeroBudgetWithSpending), SummaryTable[[#This Row],[DiffAmount09]]/SummaryTable[[#This Row],[OriginalBudget09]])</f>
        <v>0</v>
      </c>
      <c r="ER147" s="62">
        <f>IF(COUNTIFS(allFYsTable[Code], SummaryTable[[#This Row],[Code]], allFYsTable[year2], ER$3)=0, NotFound, SUMIFS(allFYsTable[OriginalBudget], allFYsTable[Code], SummaryTable[[#This Row],[Code]], allFYsTable[year2], ER$3))</f>
        <v>92</v>
      </c>
      <c r="ES147" s="61" t="e">
        <f>SummaryTable[[#This Row],[OriginalBudget08]]-SummaryTable[[#This Row],[OriginalBudget07]]</f>
        <v>#N/A</v>
      </c>
      <c r="ET147" s="54" t="e">
        <f>SummaryTable[[#This Row],[BudgetIncreaseAmount08]]/SummaryTable[[#This Row],[OriginalBudget07]]</f>
        <v>#N/A</v>
      </c>
      <c r="EU147" s="61">
        <f>IF(COUNTIFS(allFYsTable[Code], SummaryTable[[#This Row],[Code]], allFYsTable[year2], ER$3)=0, NotFound, SUMIFS(allFYsTable[RevisedBudget], allFYsTable[Code], SummaryTable[[#This Row],[Code]], allFYsTable[year2], ER$3))</f>
        <v>222</v>
      </c>
      <c r="EV147" s="61">
        <f>IF(COUNTIFS(allFYsTable[Code], SummaryTable[[#This Row],[Code]], allFYsTable[year2], ER$3)=0, NotFound, SUMIFS(allFYsTable[Actual], allFYsTable[Code], SummaryTable[[#This Row],[Code]], allFYsTable[year2], ER$3))</f>
        <v>222</v>
      </c>
      <c r="EW147" s="61">
        <f>IF(COUNTIFS(allFYsTable[Code], SummaryTable[[#This Row],[Code]], allFYsTable[year2], ER$3)=0, NotFound, SUMIFS(allFYsTable[DiffAmount], allFYsTable[Code], SummaryTable[[#This Row],[Code]], allFYsTable[year2], ER$3))</f>
        <v>130</v>
      </c>
      <c r="EX147" s="63">
        <f>IF(SummaryTable[[#This Row],[OriginalBudget08]]=0, IF(SummaryTable[[#This Row],[DiffAmount08]]=0, ZeroBudgetNoSpending, ZeroBudgetWithSpending), SummaryTable[[#This Row],[DiffAmount08]]/SummaryTable[[#This Row],[OriginalBudget08]])</f>
        <v>1.4130434782608696</v>
      </c>
      <c r="EY147" s="62" t="e">
        <f>IF(COUNTIFS(allFYsTable[Code], SummaryTable[[#This Row],[Code]], allFYsTable[year2], EY$3)=0, NotFound, SUMIFS(allFYsTable[OriginalBudget], allFYsTable[Code], SummaryTable[[#This Row],[Code]], allFYsTable[year2], EY$3))</f>
        <v>#N/A</v>
      </c>
      <c r="EZ147" s="61" t="e">
        <f>SummaryTable[[#This Row],[OriginalBudget07]]-SummaryTable[[#This Row],[OriginalBudget06]]</f>
        <v>#N/A</v>
      </c>
      <c r="FA147" s="54" t="e">
        <f>SummaryTable[[#This Row],[BudgetIncreaseAmount07]]/SummaryTable[[#This Row],[OriginalBudget06]]</f>
        <v>#N/A</v>
      </c>
      <c r="FB147" s="61" t="e">
        <f>IF(COUNTIFS(allFYsTable[Code], SummaryTable[[#This Row],[Code]], allFYsTable[year2], EY$3)=0, NotFound, SUMIFS(allFYsTable[RevisedBudget], allFYsTable[Code], SummaryTable[[#This Row],[Code]], allFYsTable[year2], EY$3))</f>
        <v>#N/A</v>
      </c>
      <c r="FC147" s="61" t="e">
        <f>IF(COUNTIFS(allFYsTable[Code], SummaryTable[[#This Row],[Code]], allFYsTable[year2], EY$3)=0, NotFound, SUMIFS(allFYsTable[Actual], allFYsTable[Code], SummaryTable[[#This Row],[Code]], allFYsTable[year2], EY$3))</f>
        <v>#N/A</v>
      </c>
      <c r="FD147" s="61" t="e">
        <f>IF(COUNTIFS(allFYsTable[Code], SummaryTable[[#This Row],[Code]], allFYsTable[year2], EY$3)=0, NotFound, SUMIFS(allFYsTable[DiffAmount], allFYsTable[Code], SummaryTable[[#This Row],[Code]], allFYsTable[year2], EY$3))</f>
        <v>#N/A</v>
      </c>
      <c r="FE147" s="63" t="e">
        <f>IF(SummaryTable[[#This Row],[OriginalBudget07]]=0, IF(SummaryTable[[#This Row],[DiffAmount07]]=0, ZeroBudgetNoSpending, ZeroBudgetWithSpending), SummaryTable[[#This Row],[DiffAmount07]]/SummaryTable[[#This Row],[OriginalBudget07]])</f>
        <v>#N/A</v>
      </c>
      <c r="FF147" s="62" t="e">
        <f>IF(COUNTIFS(allFYsTable[Code], SummaryTable[[#This Row],[Code]], allFYsTable[year2], FF$3)=0, NotFound, SUMIFS(allFYsTable[OriginalBudget], allFYsTable[Code], SummaryTable[[#This Row],[Code]], allFYsTable[year2], FF$3))</f>
        <v>#N/A</v>
      </c>
      <c r="FI147" s="61" t="e">
        <f>IF(COUNTIFS(allFYsTable[Code], SummaryTable[[#This Row],[Code]], allFYsTable[year2], FF$3)=0, NotFound, SUMIFS(allFYsTable[RevisedBudget], allFYsTable[Code], SummaryTable[[#This Row],[Code]], allFYsTable[year2], FF$3))</f>
        <v>#N/A</v>
      </c>
      <c r="FJ147" s="61" t="e">
        <f>IF(COUNTIFS(allFYsTable[Code], SummaryTable[[#This Row],[Code]], allFYsTable[year2], FF$3)=0, NotFound, SUMIFS(allFYsTable[Actual], allFYsTable[Code], SummaryTable[[#This Row],[Code]], allFYsTable[year2], FF$3))</f>
        <v>#N/A</v>
      </c>
      <c r="FK147" s="61" t="e">
        <f>IF(COUNTIFS(allFYsTable[Code], SummaryTable[[#This Row],[Code]], allFYsTable[year2], FF$3)=0, NotFound, SUMIFS(allFYsTable[DiffAmount], allFYsTable[Code], SummaryTable[[#This Row],[Code]], allFYsTable[year2], FF$3))</f>
        <v>#N/A</v>
      </c>
      <c r="FL147" s="63" t="e">
        <f>IF(SummaryTable[[#This Row],[OriginalBudget06]]=0, IF(SummaryTable[[#This Row],[DiffAmount06]]=0, ZeroBudgetNoSpending, ZeroBudgetWithSpending), SummaryTable[[#This Row],[DiffAmount06]]/SummaryTable[[#This Row],[OriginalBudget06]])</f>
        <v>#N/A</v>
      </c>
    </row>
    <row r="148" spans="1:168" x14ac:dyDescent="0.45">
      <c r="A148" t="s">
        <v>875</v>
      </c>
      <c r="B148">
        <f>_xlfn.MAXIFS(allFYsTable[year2], allFYsTable[Code], SummaryTable[[#This Row],[Code]])</f>
        <v>2018</v>
      </c>
      <c r="C148" t="str">
        <f>_xlfn.XLOOKUP(SummaryTable[[#This Row],[Code]], NameCodingTable[Code], NameCodingTable[Most Recent Category per allFYs])</f>
        <v>Human support services</v>
      </c>
      <c r="D148" t="str">
        <f>_xlfn.XLOOKUP(SummaryTable[[#This Row],[Code]], NameCodingTable[Code], NameCodingTable[Unit Display Name])</f>
        <v>Section 103 - human support services</v>
      </c>
      <c r="E148" t="str">
        <f>_xlfn.XLOOKUP(SummaryTable[[#This Row],[Code]], NameCodingTable[Code], NameCodingTable[Type])</f>
        <v>untyped</v>
      </c>
      <c r="F14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4</v>
      </c>
      <c r="G14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4</v>
      </c>
      <c r="H148" s="54">
        <f>SummaryTable[[#This Row],['# Over]]/SummaryTable[[#This Row],[Count]]</f>
        <v>1</v>
      </c>
      <c r="I14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48" s="54">
        <f>SummaryTable[[#This Row],['# Under]]/SummaryTable[[#This Row],[Count]]</f>
        <v>0</v>
      </c>
      <c r="K14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48" s="54">
        <f>SummaryTable[[#This Row],['# Equal]]/SummaryTable[[#This Row],[Count]]</f>
        <v>0</v>
      </c>
      <c r="M148" s="61">
        <f>SUMIFS(allFYsTable[OriginalBudget],allFYsTable[Code],SummaryTable[[#This Row],[Code]])/SummaryTable[[#This Row],[Count]]</f>
        <v>0</v>
      </c>
      <c r="N148" s="61">
        <f>SUMIFS(allFYsTable[Actual],allFYsTable[Code],SummaryTable[[#This Row],[Code]])/SummaryTable[[#This Row],[Count]]</f>
        <v>3736.75</v>
      </c>
      <c r="O148" s="61">
        <f>SummaryTable[[#This Row],[AvgActAmt]]-SummaryTable[[#This Row],[AvgBudAmt]]</f>
        <v>3736.75</v>
      </c>
      <c r="P148" s="54">
        <f>IF(SummaryTable[[#This Row],[AvgBudAmt]]=0, IF(SummaryTable[[#This Row],[AvgDiff'#]]=0, 0, NamedFields!$C$3), SummaryTable[[#This Row],[AvgDiff'#]]/SummaryTable[[#This Row],[AvgBudAmt]])</f>
        <v>99.99</v>
      </c>
      <c r="Q148" s="61">
        <f>IFERROR(SUMIFS(allFYsTable[OriginalBudget],allFYsTable[Code],SummaryTable[[#This Row],[Code]],allFYsTable[DiffAmount], "&gt;0")/SummaryTable[[#This Row],['# Over]], 0)</f>
        <v>0</v>
      </c>
      <c r="R148" s="61">
        <f>IFERROR(SUMIFS(allFYsTable[Actual],allFYsTable[Code],SummaryTable[[#This Row],[Code]],allFYsTable[DiffAmount], "&gt;0")/SummaryTable[[#This Row],['# Over]], 0)</f>
        <v>3736.75</v>
      </c>
      <c r="S148" s="61">
        <f>SummaryTable[[#This Row],[OverAvgAct]]-SummaryTable[[#This Row],[OverAvgBud]]</f>
        <v>3736.75</v>
      </c>
      <c r="T148" s="54">
        <f>IF(SummaryTable[[#This Row],[OverAvgBud]]=0, IF(SummaryTable[[#This Row],[OverAvgDiff'#]]=0, ZeroBudgetNoSpending, ZeroBudgetWithSpending), SummaryTable[[#This Row],[OverAvgDiff'#]]/SummaryTable[[#This Row],[OverAvgBud]])</f>
        <v>99.99</v>
      </c>
      <c r="U148" s="61">
        <f>IFERROR(SUMIFS(allFYsTable[OriginalBudget],allFYsTable[Code],SummaryTable[[#This Row],[Code]],allFYsTable[DiffAmount], "&lt;0")/SummaryTable[[#This Row],['# Under]], 0)</f>
        <v>0</v>
      </c>
      <c r="V148" s="61">
        <f>IFERROR( SUMIFS(allFYsTable[Actual],allFYsTable[Code],SummaryTable[[#This Row],[Code]],allFYsTable[DiffAmount], "&lt;0")/SummaryTable[[#This Row],['# Under]], 0)</f>
        <v>0</v>
      </c>
      <c r="W148" s="61">
        <f>SummaryTable[[#This Row],[UnderAvgAct]]-SummaryTable[[#This Row],[UnderAvgBud]]</f>
        <v>0</v>
      </c>
      <c r="X148" s="54">
        <f>IF(SummaryTable[[#This Row],[UnderAvgBud]]=0, IF(SummaryTable[[#This Row],[UnderAvgDiff'#]]=0, ZeroBudgetNoSpending, NamedFields!$C$3), SummaryTable[[#This Row],[UnderAvgDiff'#]]/SummaryTable[[#This Row],[UnderAvgBud]])</f>
        <v>0</v>
      </c>
      <c r="Y14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4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8" s="54">
        <f>IF(SummaryTable[[#This Row],[IncreaseYears]]=0, ZeroBudgetNoSpending, SummaryTable[[#This Row],[OSinIncreaseYear'#]]/SummaryTable[[#This Row],[IncreaseYears]])</f>
        <v>0</v>
      </c>
      <c r="AB148" s="58" t="str">
        <f>SummaryTable[[#This Row],[Code]]</f>
        <v>XJH</v>
      </c>
      <c r="AC148" s="62" t="e">
        <f>IF(COUNTIFS(allFYsTable[Code], SummaryTable[[#This Row],[Code]], allFYsTable[year2], AC$3)=0, NotFound, SUMIFS(allFYsTable[OriginalBudget], allFYsTable[Code], SummaryTable[[#This Row],[Code]], allFYsTable[year2], AC$3))</f>
        <v>#N/A</v>
      </c>
      <c r="AD148" s="61" t="e">
        <f>SummaryTable[[#This Row],[OriginalBudget25]]-SummaryTable[[#This Row],[OriginalBudget24]]</f>
        <v>#N/A</v>
      </c>
      <c r="AE148" s="54" t="e">
        <f>SummaryTable[[#This Row],[BudgetIncreaseAmount25]]/SummaryTable[[#This Row],[OriginalBudget24]]</f>
        <v>#N/A</v>
      </c>
      <c r="AF148" s="61" t="e">
        <f>IF(COUNTIFS(allFYsTable[Code], SummaryTable[[#This Row],[Code]], allFYsTable[year2], AC$3)=0, NotFound, SUMIFS(allFYsTable[RevisedBudget], allFYsTable[Code], SummaryTable[[#This Row],[Code]], allFYsTable[year2], AC$3))</f>
        <v>#N/A</v>
      </c>
      <c r="AG148" s="61" t="e">
        <f>IF(COUNTIFS(allFYsTable[Code], SummaryTable[[#This Row],[Code]], allFYsTable[year2], AC$3)=0, NotFound, SUMIFS(allFYsTable[Actual], allFYsTable[Code], SummaryTable[[#This Row],[Code]], allFYsTable[year2], AC$3))</f>
        <v>#N/A</v>
      </c>
      <c r="AH148" s="61" t="e">
        <f>IF(COUNTIFS(allFYsTable[Code], SummaryTable[[#This Row],[Code]], allFYsTable[year2], AC$3)=0, NotFound, SUMIFS(allFYsTable[DiffAmount], allFYsTable[Code], SummaryTable[[#This Row],[Code]], allFYsTable[year2], AC$3))</f>
        <v>#N/A</v>
      </c>
      <c r="AI148" s="63" t="e">
        <f>IF(SummaryTable[[#This Row],[OriginalBudget25]]=0, IF(SummaryTable[[#This Row],[DiffAmount25]]=0, ZeroBudgetNoSpending, ZeroBudgetWithSpending), SummaryTable[[#This Row],[DiffAmount25]]/SummaryTable[[#This Row],[OriginalBudget25]])</f>
        <v>#N/A</v>
      </c>
      <c r="AJ148" s="62" t="e">
        <f>IF(COUNTIFS(allFYsTable[Code], SummaryTable[[#This Row],[Code]], allFYsTable[year2], AJ$3)=0, NotFound, SUMIFS(allFYsTable[OriginalBudget], allFYsTable[Code], SummaryTable[[#This Row],[Code]], allFYsTable[year2], AJ$3))</f>
        <v>#N/A</v>
      </c>
      <c r="AK148" s="61" t="e">
        <f>SummaryTable[[#This Row],[OriginalBudget24]]-SummaryTable[[#This Row],[OriginalBudget23]]</f>
        <v>#N/A</v>
      </c>
      <c r="AL148" s="54" t="e">
        <f>SummaryTable[[#This Row],[BudgetIncreaseAmount24]]/SummaryTable[[#This Row],[OriginalBudget23]]</f>
        <v>#N/A</v>
      </c>
      <c r="AM148" s="61" t="e">
        <f>IF(COUNTIFS(allFYsTable[Code], SummaryTable[[#This Row],[Code]], allFYsTable[year2], AK$3)=0, NotFound, SUMIFS(allFYsTable[RevisedBudget], allFYsTable[Code], SummaryTable[[#This Row],[Code]], allFYsTable[year2], AJ$3))</f>
        <v>#N/A</v>
      </c>
      <c r="AN148" s="61" t="e">
        <f>IF(COUNTIFS(allFYsTable[Code], SummaryTable[[#This Row],[Code]], allFYsTable[year2], AJ$3)=0, NotFound, SUMIFS(allFYsTable[Actual], allFYsTable[Code], SummaryTable[[#This Row],[Code]], allFYsTable[year2], AJ$3))</f>
        <v>#N/A</v>
      </c>
      <c r="AO148" s="61" t="e">
        <f>IF(COUNTIFS(allFYsTable[Code], SummaryTable[[#This Row],[Code]], allFYsTable[year2], AJ$3)=0, NotFound, SUMIFS(allFYsTable[DiffAmount], allFYsTable[Code], SummaryTable[[#This Row],[Code]], allFYsTable[year2], AJ$3))</f>
        <v>#N/A</v>
      </c>
      <c r="AP148" s="63" t="e">
        <f>IF(SummaryTable[[#This Row],[OriginalBudget24]]=0, IF(SummaryTable[[#This Row],[DiffAmount24]]=0, ZeroBudgetNoSpending, ZeroBudgetWithSpending), SummaryTable[[#This Row],[DiffAmount24]]/SummaryTable[[#This Row],[OriginalBudget24]])</f>
        <v>#N/A</v>
      </c>
      <c r="AQ148" s="62" t="e">
        <f>IF(COUNTIFS(allFYsTable[Code], SummaryTable[[#This Row],[Code]], allFYsTable[year2], AQ$3)=0, NotFound, SUMIFS(allFYsTable[OriginalBudget], allFYsTable[Code], SummaryTable[[#This Row],[Code]], allFYsTable[year2], AQ$3))</f>
        <v>#N/A</v>
      </c>
      <c r="AR148" s="61" t="e">
        <f>SummaryTable[[#This Row],[OriginalBudget23]]-SummaryTable[[#This Row],[OriginalBudget22]]</f>
        <v>#N/A</v>
      </c>
      <c r="AS148" s="54" t="e">
        <f>SummaryTable[[#This Row],[BudgetIncreaseAmount23]]/SummaryTable[[#This Row],[OriginalBudget22]]</f>
        <v>#N/A</v>
      </c>
      <c r="AT148" s="61" t="e">
        <f>IF(COUNTIFS(allFYsTable[Code], SummaryTable[[#This Row],[Code]], allFYsTable[year2], AQ$3)=0, NotFound, SUMIFS(allFYsTable[RevisedBudget], allFYsTable[Code], SummaryTable[[#This Row],[Code]], allFYsTable[year2], AQ$3))</f>
        <v>#N/A</v>
      </c>
      <c r="AU148" s="61" t="e">
        <f>IF(COUNTIFS(allFYsTable[Code], SummaryTable[[#This Row],[Code]], allFYsTable[year2], AQ$3)=0, NotFound, SUMIFS(allFYsTable[Actual], allFYsTable[Code], SummaryTable[[#This Row],[Code]], allFYsTable[year2], AQ$3))</f>
        <v>#N/A</v>
      </c>
      <c r="AV148" s="61" t="e">
        <f>IF(COUNTIFS(allFYsTable[Code], SummaryTable[[#This Row],[Code]], allFYsTable[year2], AQ$3)=0, NotFound, SUMIFS(allFYsTable[DiffAmount], allFYsTable[Code], SummaryTable[[#This Row],[Code]], allFYsTable[year2], AQ$3))</f>
        <v>#N/A</v>
      </c>
      <c r="AW148" s="63" t="e">
        <f>IF(SummaryTable[[#This Row],[OriginalBudget23]]=0, IF(SummaryTable[[#This Row],[DiffAmount23]]=0, ZeroBudgetNoSpending, ZeroBudgetWithSpending), SummaryTable[[#This Row],[DiffAmount23]]/SummaryTable[[#This Row],[OriginalBudget23]])</f>
        <v>#N/A</v>
      </c>
      <c r="AX148" s="62" t="e">
        <f>IF(COUNTIFS(allFYsTable[Code], SummaryTable[[#This Row],[Code]], allFYsTable[year2], AX$3)=0, NotFound, SUMIFS(allFYsTable[OriginalBudget], allFYsTable[Code], SummaryTable[[#This Row],[Code]], allFYsTable[year2], AX$3))</f>
        <v>#N/A</v>
      </c>
      <c r="AY148" s="61" t="e">
        <f>SummaryTable[[#This Row],[OriginalBudget22]]-SummaryTable[[#This Row],[OriginalBudget21]]</f>
        <v>#N/A</v>
      </c>
      <c r="AZ148" s="54" t="e">
        <f>SummaryTable[[#This Row],[BudgetIncreaseAmount22]]/SummaryTable[[#This Row],[OriginalBudget21]]</f>
        <v>#N/A</v>
      </c>
      <c r="BA148" s="61" t="e">
        <f>IF(COUNTIFS(allFYsTable[Code], SummaryTable[[#This Row],[Code]], allFYsTable[year2], AX$3)=0, NotFound, SUMIFS(allFYsTable[RevisedBudget], allFYsTable[Code], SummaryTable[[#This Row],[Code]], allFYsTable[year2], AX$3))</f>
        <v>#N/A</v>
      </c>
      <c r="BB148" s="61" t="e">
        <f>IF(COUNTIFS(allFYsTable[Code], SummaryTable[[#This Row],[Code]], allFYsTable[year2], AX$3)=0, NotFound, SUMIFS(allFYsTable[Actual], allFYsTable[Code], SummaryTable[[#This Row],[Code]], allFYsTable[year2], AX$3))</f>
        <v>#N/A</v>
      </c>
      <c r="BC148" s="61" t="e">
        <f>IF(COUNTIFS(allFYsTable[Code], SummaryTable[[#This Row],[Code]], allFYsTable[year2], AX$3)=0, NotFound, SUMIFS(allFYsTable[DiffAmount], allFYsTable[Code], SummaryTable[[#This Row],[Code]], allFYsTable[year2], AX$3))</f>
        <v>#N/A</v>
      </c>
      <c r="BD148" s="63" t="e">
        <f>IF(SummaryTable[[#This Row],[OriginalBudget22]]=0, IF(SummaryTable[[#This Row],[DiffAmount22]]=0, ZeroBudgetNoSpending, ZeroBudgetWithSpending), SummaryTable[[#This Row],[DiffAmount22]]/SummaryTable[[#This Row],[OriginalBudget22]])</f>
        <v>#N/A</v>
      </c>
      <c r="BE148" s="62" t="e">
        <f>IF(COUNTIFS(allFYsTable[Code], SummaryTable[[#This Row],[Code]], allFYsTable[year2], BE$3)=0, NotFound, SUMIFS(allFYsTable[OriginalBudget], allFYsTable[Code], SummaryTable[[#This Row],[Code]], allFYsTable[year2], BE$3))</f>
        <v>#N/A</v>
      </c>
      <c r="BF148" s="61" t="e">
        <f>SummaryTable[[#This Row],[OriginalBudget21]]-SummaryTable[[#This Row],[OriginalBudget20]]</f>
        <v>#N/A</v>
      </c>
      <c r="BG148" s="54" t="e">
        <f>SummaryTable[[#This Row],[BudgetIncreaseAmount21]]/SummaryTable[[#This Row],[OriginalBudget20]]</f>
        <v>#N/A</v>
      </c>
      <c r="BH148" s="61" t="e">
        <f>IF(COUNTIFS(allFYsTable[Code], SummaryTable[[#This Row],[Code]], allFYsTable[year2], BE$3)=0, NotFound, SUMIFS(allFYsTable[RevisedBudget], allFYsTable[Code], SummaryTable[[#This Row],[Code]], allFYsTable[year2], BE$3))</f>
        <v>#N/A</v>
      </c>
      <c r="BI148" s="61" t="e">
        <f>IF(COUNTIFS(allFYsTable[Code], SummaryTable[[#This Row],[Code]], allFYsTable[year2], BE$3)=0, NotFound, SUMIFS(allFYsTable[Actual], allFYsTable[Code], SummaryTable[[#This Row],[Code]], allFYsTable[year2], BE$3))</f>
        <v>#N/A</v>
      </c>
      <c r="BJ148" s="61" t="e">
        <f>IF(COUNTIFS(allFYsTable[Code], SummaryTable[[#This Row],[Code]], allFYsTable[year2], BE$3)=0, NotFound, SUMIFS(allFYsTable[DiffAmount], allFYsTable[Code], SummaryTable[[#This Row],[Code]], allFYsTable[year2], BE$3))</f>
        <v>#N/A</v>
      </c>
      <c r="BK148" s="63" t="e">
        <f>IF(SummaryTable[[#This Row],[OriginalBudget21]]=0, IF(SummaryTable[[#This Row],[DiffAmount21]]=0, ZeroBudgetNoSpending, ZeroBudgetWithSpending), SummaryTable[[#This Row],[DiffAmount21]]/SummaryTable[[#This Row],[OriginalBudget21]])</f>
        <v>#N/A</v>
      </c>
      <c r="BL148" s="62" t="e">
        <f>IF(COUNTIFS(allFYsTable[Code], SummaryTable[[#This Row],[Code]], allFYsTable[year2], BL$3)=0, NotFound, SUMIFS(allFYsTable[OriginalBudget], allFYsTable[Code], SummaryTable[[#This Row],[Code]], allFYsTable[year2], BL$3))</f>
        <v>#N/A</v>
      </c>
      <c r="BM148" s="61" t="e">
        <f>SummaryTable[[#This Row],[OriginalBudget20]]-SummaryTable[[#This Row],[OriginalBudget19]]</f>
        <v>#N/A</v>
      </c>
      <c r="BN148" s="54" t="e">
        <f>SummaryTable[[#This Row],[BudgetIncreaseAmount20]]/SummaryTable[[#This Row],[OriginalBudget19]]</f>
        <v>#N/A</v>
      </c>
      <c r="BO148" s="61" t="e">
        <f>IF(COUNTIFS(allFYsTable[Code], SummaryTable[[#This Row],[Code]], allFYsTable[year2], BL$3)=0, NotFound, SUMIFS(allFYsTable[RevisedBudget], allFYsTable[Code], SummaryTable[[#This Row],[Code]], allFYsTable[year2], BL$3))</f>
        <v>#N/A</v>
      </c>
      <c r="BP148" s="61" t="e">
        <f>IF(COUNTIFS(allFYsTable[Code], SummaryTable[[#This Row],[Code]], allFYsTable[year2], BL$3)=0, NotFound, SUMIFS(allFYsTable[Actual], allFYsTable[Code], SummaryTable[[#This Row],[Code]], allFYsTable[year2], BL$3))</f>
        <v>#N/A</v>
      </c>
      <c r="BQ148" s="61" t="e">
        <f>IF(COUNTIFS(allFYsTable[Code], SummaryTable[[#This Row],[Code]], allFYsTable[year2], BL$3)=0, NotFound, SUMIFS(allFYsTable[DiffAmount], allFYsTable[Code], SummaryTable[[#This Row],[Code]], allFYsTable[year2], BL$3))</f>
        <v>#N/A</v>
      </c>
      <c r="BR148" s="63" t="e">
        <f>IF(SummaryTable[[#This Row],[OriginalBudget20]]=0, IF(SummaryTable[[#This Row],[DiffAmount20]]=0, ZeroBudgetNoSpending, ZeroBudgetWithSpending), SummaryTable[[#This Row],[DiffAmount20]]/SummaryTable[[#This Row],[OriginalBudget20]])</f>
        <v>#N/A</v>
      </c>
      <c r="BS148" s="62" t="e">
        <f>IF(COUNTIFS(allFYsTable[Code], SummaryTable[[#This Row],[Code]], allFYsTable[year2], BS$3)=0, NotFound, SUMIFS(allFYsTable[OriginalBudget], allFYsTable[Code], SummaryTable[[#This Row],[Code]], allFYsTable[year2], BS$3))</f>
        <v>#N/A</v>
      </c>
      <c r="BT148" s="61" t="e">
        <f>SummaryTable[[#This Row],[OriginalBudget19]]-SummaryTable[[#This Row],[OriginalBudget18]]</f>
        <v>#N/A</v>
      </c>
      <c r="BU148" s="54" t="e">
        <f>SummaryTable[[#This Row],[BudgetIncreaseAmount19]]/SummaryTable[[#This Row],[OriginalBudget18]]</f>
        <v>#N/A</v>
      </c>
      <c r="BV148" s="61" t="e">
        <f>IF(COUNTIFS(allFYsTable[Code], SummaryTable[[#This Row],[Code]], allFYsTable[year2], BS$3)=0, NotFound, SUMIFS(allFYsTable[RevisedBudget], allFYsTable[Code], SummaryTable[[#This Row],[Code]], allFYsTable[year2], BS$3))</f>
        <v>#N/A</v>
      </c>
      <c r="BW148" s="61" t="e">
        <f>IF(COUNTIFS(allFYsTable[Code], SummaryTable[[#This Row],[Code]], allFYsTable[year2], BS$3)=0, NotFound, SUMIFS(allFYsTable[Actual], allFYsTable[Code], SummaryTable[[#This Row],[Code]], allFYsTable[year2], BS$3))</f>
        <v>#N/A</v>
      </c>
      <c r="BX148" s="61" t="e">
        <f>IF(COUNTIFS(allFYsTable[Code], SummaryTable[[#This Row],[Code]], allFYsTable[year2], BS$3)=0, NotFound, SUMIFS(allFYsTable[DiffAmount], allFYsTable[Code], SummaryTable[[#This Row],[Code]], allFYsTable[year2], BS$3))</f>
        <v>#N/A</v>
      </c>
      <c r="BY148" s="63" t="e">
        <f>IF(SummaryTable[[#This Row],[OriginalBudget19]]=0, IF(SummaryTable[[#This Row],[DiffAmount19]]=0, ZeroBudgetNoSpending, ZeroBudgetWithSpending), SummaryTable[[#This Row],[DiffAmount19]]/SummaryTable[[#This Row],[OriginalBudget19]])</f>
        <v>#N/A</v>
      </c>
      <c r="BZ148" s="62">
        <f>IF(COUNTIFS(allFYsTable[Code], SummaryTable[[#This Row],[Code]], allFYsTable[year2], BZ$3)=0, NotFound, SUMIFS(allFYsTable[OriginalBudget], allFYsTable[Code], SummaryTable[[#This Row],[Code]], allFYsTable[year2], BZ$3))</f>
        <v>0</v>
      </c>
      <c r="CA148" s="61">
        <f>SummaryTable[[#This Row],[OriginalBudget18]]-SummaryTable[[#This Row],[OriginalBudget17]]</f>
        <v>0</v>
      </c>
      <c r="CB148" s="54" t="e">
        <f>SummaryTable[[#This Row],[BudgetIncreaseAmount18]]/SummaryTable[[#This Row],[OriginalBudget17]]</f>
        <v>#DIV/0!</v>
      </c>
      <c r="CC148" s="61">
        <f>IF(COUNTIFS(allFYsTable[Code], SummaryTable[[#This Row],[Code]], allFYsTable[year2], BZ$3)=0, NotFound, SUMIFS(allFYsTable[RevisedBudget], allFYsTable[Code], SummaryTable[[#This Row],[Code]], allFYsTable[year2], BZ$3))</f>
        <v>1000</v>
      </c>
      <c r="CD148" s="61">
        <f>IF(COUNTIFS(allFYsTable[Code], SummaryTable[[#This Row],[Code]], allFYsTable[year2], BZ$3)=0, NotFound, SUMIFS(allFYsTable[Actual], allFYsTable[Code], SummaryTable[[#This Row],[Code]], allFYsTable[year2], BZ$3))</f>
        <v>1000</v>
      </c>
      <c r="CE148" s="61">
        <f>IF(COUNTIFS(allFYsTable[Code], SummaryTable[[#This Row],[Code]], allFYsTable[year2], BZ$3)=0, NotFound, SUMIFS(allFYsTable[DiffAmount], allFYsTable[Code], SummaryTable[[#This Row],[Code]], allFYsTable[year2], BZ$3))</f>
        <v>1000</v>
      </c>
      <c r="CF148" s="63">
        <f>IF(SummaryTable[[#This Row],[OriginalBudget18]]=0, IF(SummaryTable[[#This Row],[DiffAmount18]]=0, ZeroBudgetNoSpending, ZeroBudgetWithSpending), SummaryTable[[#This Row],[DiffAmount18]]/SummaryTable[[#This Row],[OriginalBudget18]])</f>
        <v>99.99</v>
      </c>
      <c r="CG148" s="62">
        <f>IF(COUNTIFS(allFYsTable[Code], SummaryTable[[#This Row],[Code]], allFYsTable[year2], CG$3)=0, NotFound, SUMIFS(allFYsTable[OriginalBudget], allFYsTable[Code], SummaryTable[[#This Row],[Code]], allFYsTable[year2], CG$3))</f>
        <v>0</v>
      </c>
      <c r="CH148" s="61" t="e">
        <f>SummaryTable[[#This Row],[OriginalBudget17]]-SummaryTable[[#This Row],[OriginalBudget16]]</f>
        <v>#N/A</v>
      </c>
      <c r="CI148" s="54" t="e">
        <f>SummaryTable[[#This Row],[BudgetIncreaseAmount17]]/SummaryTable[[#This Row],[OriginalBudget16]]</f>
        <v>#N/A</v>
      </c>
      <c r="CJ148" s="61">
        <f>IF(COUNTIFS(allFYsTable[Code], SummaryTable[[#This Row],[Code]], allFYsTable[year2], CG$3)=0, NotFound, SUMIFS(allFYsTable[RevisedBudget], allFYsTable[Code], SummaryTable[[#This Row],[Code]], allFYsTable[year2], CG$3))</f>
        <v>2600</v>
      </c>
      <c r="CK148" s="61">
        <f>IF(COUNTIFS(allFYsTable[Code], SummaryTable[[#This Row],[Code]], allFYsTable[year2], CG$3)=0, NotFound, SUMIFS(allFYsTable[Actual], allFYsTable[Code], SummaryTable[[#This Row],[Code]], allFYsTable[year2], CG$3))</f>
        <v>2600</v>
      </c>
      <c r="CL148" s="61">
        <f>IF(COUNTIFS(allFYsTable[Code], SummaryTable[[#This Row],[Code]], allFYsTable[year2], CG$3)=0, NotFound, SUMIFS(allFYsTable[DiffAmount], allFYsTable[Code], SummaryTable[[#This Row],[Code]], allFYsTable[year2], CG$3))</f>
        <v>2600</v>
      </c>
      <c r="CM148" s="63">
        <f>IF(SummaryTable[[#This Row],[OriginalBudget17]]=0, IF(SummaryTable[[#This Row],[DiffAmount17]]=0, ZeroBudgetNoSpending, ZeroBudgetWithSpending), SummaryTable[[#This Row],[DiffAmount17]]/SummaryTable[[#This Row],[OriginalBudget17]])</f>
        <v>99.99</v>
      </c>
      <c r="CN148" s="62" t="e">
        <f>IF(COUNTIFS(allFYsTable[Code], SummaryTable[[#This Row],[Code]], allFYsTable[year2], CN$3)=0, NotFound, SUMIFS(allFYsTable[OriginalBudget], allFYsTable[Code], SummaryTable[[#This Row],[Code]], allFYsTable[year2], CN$3))</f>
        <v>#N/A</v>
      </c>
      <c r="CO148" s="61" t="e">
        <f>SummaryTable[[#This Row],[OriginalBudget16]]-SummaryTable[[#This Row],[OriginalBudget15]]</f>
        <v>#N/A</v>
      </c>
      <c r="CP148" s="54" t="e">
        <f>SummaryTable[[#This Row],[BudgetIncreaseAmount16]]/SummaryTable[[#This Row],[OriginalBudget15]]</f>
        <v>#N/A</v>
      </c>
      <c r="CQ148" s="61" t="e">
        <f>IF(COUNTIFS(allFYsTable[Code], SummaryTable[[#This Row],[Code]], allFYsTable[year2], CN$3)=0, NotFound, SUMIFS(allFYsTable[RevisedBudget], allFYsTable[Code], SummaryTable[[#This Row],[Code]], allFYsTable[year2], CN$3))</f>
        <v>#N/A</v>
      </c>
      <c r="CR148" s="61" t="e">
        <f>IF(COUNTIFS(allFYsTable[Code], SummaryTable[[#This Row],[Code]], allFYsTable[year2], CN$3)=0, NotFound, SUMIFS(allFYsTable[Actual], allFYsTable[Code], SummaryTable[[#This Row],[Code]], allFYsTable[year2], CN$3))</f>
        <v>#N/A</v>
      </c>
      <c r="CS148" s="61" t="e">
        <f>IF(COUNTIFS(allFYsTable[Code], SummaryTable[[#This Row],[Code]], allFYsTable[year2], CN$3)=0, NotFound, SUMIFS(allFYsTable[DiffAmount], allFYsTable[Code], SummaryTable[[#This Row],[Code]], allFYsTable[year2], CN$3))</f>
        <v>#N/A</v>
      </c>
      <c r="CT148" s="63" t="e">
        <f>IF(SummaryTable[[#This Row],[OriginalBudget16]]=0, IF(SummaryTable[[#This Row],[DiffAmount16]]=0, ZeroBudgetNoSpending, ZeroBudgetWithSpending), SummaryTable[[#This Row],[DiffAmount16]]/SummaryTable[[#This Row],[OriginalBudget16]])</f>
        <v>#N/A</v>
      </c>
      <c r="CU148" s="62" t="e">
        <f>IF(COUNTIFS(allFYsTable[Code], SummaryTable[[#This Row],[Code]], allFYsTable[year2], CU$3)=0, NotFound, SUMIFS(allFYsTable[OriginalBudget], allFYsTable[Code], SummaryTable[[#This Row],[Code]], allFYsTable[year2], CU$3))</f>
        <v>#N/A</v>
      </c>
      <c r="CV148" s="61" t="e">
        <f>SummaryTable[[#This Row],[OriginalBudget15]]-SummaryTable[[#This Row],[OriginalBudget14]]</f>
        <v>#N/A</v>
      </c>
      <c r="CW148" s="54" t="e">
        <f>SummaryTable[[#This Row],[BudgetIncreaseAmount15]]/SummaryTable[[#This Row],[OriginalBudget14]]</f>
        <v>#N/A</v>
      </c>
      <c r="CX148" s="61" t="e">
        <f>IF(COUNTIFS(allFYsTable[Code], SummaryTable[[#This Row],[Code]], allFYsTable[year2], CU$3)=0, NotFound, SUMIFS(allFYsTable[RevisedBudget], allFYsTable[Code], SummaryTable[[#This Row],[Code]], allFYsTable[year2], CU$3))</f>
        <v>#N/A</v>
      </c>
      <c r="CY148" s="61" t="e">
        <f>IF(COUNTIFS(allFYsTable[Code], SummaryTable[[#This Row],[Code]], allFYsTable[year2], CU$3)=0, NotFound, SUMIFS(allFYsTable[Actual], allFYsTable[Code], SummaryTable[[#This Row],[Code]], allFYsTable[year2], CU$3))</f>
        <v>#N/A</v>
      </c>
      <c r="CZ148" s="61" t="e">
        <f>IF(COUNTIFS(allFYsTable[Code], SummaryTable[[#This Row],[Code]], allFYsTable[year2], CU$3)=0, NotFound, SUMIFS(allFYsTable[DiffAmount], allFYsTable[Code], SummaryTable[[#This Row],[Code]], allFYsTable[year2], CU$3))</f>
        <v>#N/A</v>
      </c>
      <c r="DA148" s="63" t="e">
        <f>IF(SummaryTable[[#This Row],[OriginalBudget15]]=0, IF(SummaryTable[[#This Row],[DiffAmount15]]=0, ZeroBudgetNoSpending, ZeroBudgetWithSpending), SummaryTable[[#This Row],[DiffAmount15]]/SummaryTable[[#This Row],[OriginalBudget15]])</f>
        <v>#N/A</v>
      </c>
      <c r="DB148" s="62">
        <f>IF(COUNTIFS(allFYsTable[Code], SummaryTable[[#This Row],[Code]], allFYsTable[year2], DB$3)=0, NotFound, SUMIFS(allFYsTable[OriginalBudget], allFYsTable[Code], SummaryTable[[#This Row],[Code]], allFYsTable[year2], DB$3))</f>
        <v>0</v>
      </c>
      <c r="DC148" s="61" t="e">
        <f>SummaryTable[[#This Row],[OriginalBudget14]]-SummaryTable[[#This Row],[OriginalBudget13]]</f>
        <v>#N/A</v>
      </c>
      <c r="DD148" s="54" t="e">
        <f>SummaryTable[[#This Row],[BudgetIncreaseAmount14]]/SummaryTable[[#This Row],[OriginalBudget13]]</f>
        <v>#N/A</v>
      </c>
      <c r="DE148" s="61">
        <f>IF(COUNTIFS(allFYsTable[Code], SummaryTable[[#This Row],[Code]], allFYsTable[year2], DB$3)=0, NotFound, SUMIFS(allFYsTable[RevisedBudget], allFYsTable[Code], SummaryTable[[#This Row],[Code]], allFYsTable[year2], DB$3))</f>
        <v>147</v>
      </c>
      <c r="DF148" s="61">
        <f>IF(COUNTIFS(allFYsTable[Code], SummaryTable[[#This Row],[Code]], allFYsTable[year2], DB$3)=0, NotFound, SUMIFS(allFYsTable[Actual], allFYsTable[Code], SummaryTable[[#This Row],[Code]], allFYsTable[year2], DB$3))</f>
        <v>147</v>
      </c>
      <c r="DG148" s="61">
        <f>IF(COUNTIFS(allFYsTable[Code], SummaryTable[[#This Row],[Code]], allFYsTable[year2], DB$3)=0, NotFound, SUMIFS(allFYsTable[DiffAmount], allFYsTable[Code], SummaryTable[[#This Row],[Code]], allFYsTable[year2], DB$3))</f>
        <v>147</v>
      </c>
      <c r="DH148" s="63">
        <f>IF(SummaryTable[[#This Row],[OriginalBudget14]]=0, IF(SummaryTable[[#This Row],[DiffAmount14]]=0, ZeroBudgetNoSpending, ZeroBudgetWithSpending), SummaryTable[[#This Row],[DiffAmount14]]/SummaryTable[[#This Row],[OriginalBudget14]])</f>
        <v>99.99</v>
      </c>
      <c r="DI148" s="62" t="e">
        <f>IF(COUNTIFS(allFYsTable[Code], SummaryTable[[#This Row],[Code]], allFYsTable[year2], DI$3)=0, NotFound, SUMIFS(allFYsTable[OriginalBudget], allFYsTable[Code], SummaryTable[[#This Row],[Code]], allFYsTable[year2], DI$3))</f>
        <v>#N/A</v>
      </c>
      <c r="DJ148" s="61" t="e">
        <f>SummaryTable[[#This Row],[OriginalBudget13]]-SummaryTable[[#This Row],[OriginalBudget12]]</f>
        <v>#N/A</v>
      </c>
      <c r="DK148" s="54" t="e">
        <f>SummaryTable[[#This Row],[BudgetIncreaseAmount13]]/SummaryTable[[#This Row],[OriginalBudget12]]</f>
        <v>#N/A</v>
      </c>
      <c r="DL148" s="61" t="e">
        <f>IF(COUNTIFS(allFYsTable[Code], SummaryTable[[#This Row],[Code]], allFYsTable[year2], DI$3)=0, NotFound, SUMIFS(allFYsTable[RevisedBudget], allFYsTable[Code], SummaryTable[[#This Row],[Code]], allFYsTable[year2], DI$3))</f>
        <v>#N/A</v>
      </c>
      <c r="DM148" s="61" t="e">
        <f>IF(COUNTIFS(allFYsTable[Code], SummaryTable[[#This Row],[Code]], allFYsTable[year2], DI$3)=0, NotFound, SUMIFS(allFYsTable[Actual], allFYsTable[Code], SummaryTable[[#This Row],[Code]], allFYsTable[year2], DI$3))</f>
        <v>#N/A</v>
      </c>
      <c r="DN148" s="61" t="e">
        <f>IF(COUNTIFS(allFYsTable[Code], SummaryTable[[#This Row],[Code]], allFYsTable[year2], DI$3)=0, NotFound, SUMIFS(allFYsTable[DiffAmount], allFYsTable[Code], SummaryTable[[#This Row],[Code]], allFYsTable[year2], DI$3))</f>
        <v>#N/A</v>
      </c>
      <c r="DO148" s="63" t="e">
        <f>IF(SummaryTable[[#This Row],[OriginalBudget13]]=0, IF(SummaryTable[[#This Row],[DiffAmount13]]=0, ZeroBudgetNoSpending, ZeroBudgetWithSpending), SummaryTable[[#This Row],[DiffAmount13]]/SummaryTable[[#This Row],[OriginalBudget13]])</f>
        <v>#N/A</v>
      </c>
      <c r="DP148" s="62" t="e">
        <f>IF(COUNTIFS(allFYsTable[Code], SummaryTable[[#This Row],[Code]], allFYsTable[year2], DP$3)=0, NotFound, SUMIFS(allFYsTable[OriginalBudget], allFYsTable[Code], SummaryTable[[#This Row],[Code]], allFYsTable[year2], DP$3))</f>
        <v>#N/A</v>
      </c>
      <c r="DQ148" s="61" t="e">
        <f>SummaryTable[[#This Row],[OriginalBudget12]]-SummaryTable[[#This Row],[OriginalBudget11]]</f>
        <v>#N/A</v>
      </c>
      <c r="DR148" s="54" t="e">
        <f>SummaryTable[[#This Row],[BudgetIncreaseAmount12]]/SummaryTable[[#This Row],[OriginalBudget11]]</f>
        <v>#N/A</v>
      </c>
      <c r="DS148" s="61" t="e">
        <f>IF(COUNTIFS(allFYsTable[Code], SummaryTable[[#This Row],[Code]], allFYsTable[year2], DP$3)=0, NotFound, SUMIFS(allFYsTable[RevisedBudget], allFYsTable[Code], SummaryTable[[#This Row],[Code]], allFYsTable[year2], DP$3))</f>
        <v>#N/A</v>
      </c>
      <c r="DT148" s="61" t="e">
        <f>IF(COUNTIFS(allFYsTable[Code], SummaryTable[[#This Row],[Code]], allFYsTable[year2], DP$3)=0, NotFound, SUMIFS(allFYsTable[Actual], allFYsTable[Code], SummaryTable[[#This Row],[Code]], allFYsTable[year2], DP$3))</f>
        <v>#N/A</v>
      </c>
      <c r="DU148" s="61" t="e">
        <f>IF(COUNTIFS(allFYsTable[Code], SummaryTable[[#This Row],[Code]], allFYsTable[year2], DP$3)=0, NotFound, SUMIFS(allFYsTable[DiffAmount], allFYsTable[Code], SummaryTable[[#This Row],[Code]], allFYsTable[year2], DP$3))</f>
        <v>#N/A</v>
      </c>
      <c r="DV148" s="63" t="e">
        <f>IF(SummaryTable[[#This Row],[OriginalBudget12]]=0, IF(SummaryTable[[#This Row],[DiffAmount12]]=0, ZeroBudgetNoSpending, ZeroBudgetWithSpending), SummaryTable[[#This Row],[DiffAmount12]]/SummaryTable[[#This Row],[OriginalBudget12]])</f>
        <v>#N/A</v>
      </c>
      <c r="DW148" s="62">
        <f>IF(COUNTIFS(allFYsTable[Code], SummaryTable[[#This Row],[Code]], allFYsTable[year2], DW$3)=0, NotFound, SUMIFS(allFYsTable[OriginalBudget], allFYsTable[Code], SummaryTable[[#This Row],[Code]], allFYsTable[year2], DW$3))</f>
        <v>0</v>
      </c>
      <c r="DX148" s="61" t="e">
        <f>SummaryTable[[#This Row],[OriginalBudget11]]-SummaryTable[[#This Row],[OriginalBudget10]]</f>
        <v>#N/A</v>
      </c>
      <c r="DY148" s="54" t="e">
        <f>SummaryTable[[#This Row],[BudgetIncreaseAmount11]]/SummaryTable[[#This Row],[OriginalBudget10]]</f>
        <v>#N/A</v>
      </c>
      <c r="DZ148" s="61">
        <f>IF(COUNTIFS(allFYsTable[Code], SummaryTable[[#This Row],[Code]], allFYsTable[year2], DW$3)=0, NotFound, SUMIFS(allFYsTable[RevisedBudget], allFYsTable[Code], SummaryTable[[#This Row],[Code]], allFYsTable[year2], DW$3))</f>
        <v>11200</v>
      </c>
      <c r="EA148" s="61">
        <f>IF(COUNTIFS(allFYsTable[Code], SummaryTable[[#This Row],[Code]], allFYsTable[year2], DW$3)=0, NotFound, SUMIFS(allFYsTable[Actual], allFYsTable[Code], SummaryTable[[#This Row],[Code]], allFYsTable[year2], DW$3))</f>
        <v>11200</v>
      </c>
      <c r="EB148" s="61">
        <f>IF(COUNTIFS(allFYsTable[Code], SummaryTable[[#This Row],[Code]], allFYsTable[year2], DW$3)=0, NotFound, SUMIFS(allFYsTable[DiffAmount], allFYsTable[Code], SummaryTable[[#This Row],[Code]], allFYsTable[year2], DW$3))</f>
        <v>11200</v>
      </c>
      <c r="EC148" s="63">
        <f>IF(SummaryTable[[#This Row],[OriginalBudget11]]=0, IF(SummaryTable[[#This Row],[DiffAmount11]]=0, ZeroBudgetNoSpending, ZeroBudgetWithSpending), SummaryTable[[#This Row],[DiffAmount11]]/SummaryTable[[#This Row],[OriginalBudget11]])</f>
        <v>99.99</v>
      </c>
      <c r="ED148" s="62" t="e">
        <f>IF(COUNTIFS(allFYsTable[Code], SummaryTable[[#This Row],[Code]], allFYsTable[year2], ED$3)=0, NotFound, SUMIFS(allFYsTable[OriginalBudget], allFYsTable[Code], SummaryTable[[#This Row],[Code]], allFYsTable[year2], ED$3))</f>
        <v>#N/A</v>
      </c>
      <c r="EE148" s="61" t="e">
        <f>SummaryTable[[#This Row],[OriginalBudget10]]-SummaryTable[[#This Row],[OriginalBudget09]]</f>
        <v>#N/A</v>
      </c>
      <c r="EF148" s="54" t="e">
        <f>SummaryTable[[#This Row],[BudgetIncreaseAmount10]]/SummaryTable[[#This Row],[OriginalBudget09]]</f>
        <v>#N/A</v>
      </c>
      <c r="EG148" s="61" t="e">
        <f>IF(COUNTIFS(allFYsTable[Code], SummaryTable[[#This Row],[Code]], allFYsTable[year2], ED$3)=0, NotFound, SUMIFS(allFYsTable[RevisedBudget], allFYsTable[Code], SummaryTable[[#This Row],[Code]], allFYsTable[year2], ED$3))</f>
        <v>#N/A</v>
      </c>
      <c r="EH148" s="61" t="e">
        <f>IF(COUNTIFS(allFYsTable[Code], SummaryTable[[#This Row],[Code]], allFYsTable[year2], ED$3)=0, NotFound, SUMIFS(allFYsTable[Actual], allFYsTable[Code], SummaryTable[[#This Row],[Code]], allFYsTable[year2], ED$3))</f>
        <v>#N/A</v>
      </c>
      <c r="EI148" s="61" t="e">
        <f>IF(COUNTIFS(allFYsTable[Code], SummaryTable[[#This Row],[Code]], allFYsTable[year2], ED$3)=0, NotFound, SUMIFS(allFYsTable[DiffAmount], allFYsTable[Code], SummaryTable[[#This Row],[Code]], allFYsTable[year2], ED$3))</f>
        <v>#N/A</v>
      </c>
      <c r="EJ148" s="63" t="e">
        <f>IF(SummaryTable[[#This Row],[OriginalBudget10]]=0, IF(SummaryTable[[#This Row],[DiffAmount10]]=0, ZeroBudgetNoSpending, ZeroBudgetWithSpending), SummaryTable[[#This Row],[DiffAmount10]]/SummaryTable[[#This Row],[OriginalBudget10]])</f>
        <v>#N/A</v>
      </c>
      <c r="EK148" s="62" t="e">
        <f>IF(COUNTIFS(allFYsTable[Code], SummaryTable[[#This Row],[Code]], allFYsTable[year2], EK$3)=0, NotFound, SUMIFS(allFYsTable[OriginalBudget], allFYsTable[Code], SummaryTable[[#This Row],[Code]], allFYsTable[year2], EK$3))</f>
        <v>#N/A</v>
      </c>
      <c r="EL148" s="61" t="e">
        <f>SummaryTable[[#This Row],[OriginalBudget09]]-SummaryTable[[#This Row],[OriginalBudget08]]</f>
        <v>#N/A</v>
      </c>
      <c r="EM148" s="54" t="e">
        <f>SummaryTable[[#This Row],[BudgetIncreaseAmount09]]/SummaryTable[[#This Row],[OriginalBudget08]]</f>
        <v>#N/A</v>
      </c>
      <c r="EN148" s="61" t="e">
        <f>IF(COUNTIFS(allFYsTable[Code], SummaryTable[[#This Row],[Code]], allFYsTable[year2], EK$3)=0, NotFound, SUMIFS(allFYsTable[RevisedBudget], allFYsTable[Code], SummaryTable[[#This Row],[Code]], allFYsTable[year2], EK$3))</f>
        <v>#N/A</v>
      </c>
      <c r="EO148" s="61" t="e">
        <f>IF(COUNTIFS(allFYsTable[Code], SummaryTable[[#This Row],[Code]], allFYsTable[year2], EK$3)=0, NotFound, SUMIFS(allFYsTable[Actual], allFYsTable[Code], SummaryTable[[#This Row],[Code]], allFYsTable[year2], EK$3))</f>
        <v>#N/A</v>
      </c>
      <c r="EP148" s="61" t="e">
        <f>IF(COUNTIFS(allFYsTable[Code], SummaryTable[[#This Row],[Code]], allFYsTable[year2], EK$3)=0, NotFound, SUMIFS(allFYsTable[DiffAmount], allFYsTable[Code], SummaryTable[[#This Row],[Code]], allFYsTable[year2], EK$3))</f>
        <v>#N/A</v>
      </c>
      <c r="EQ148" s="63" t="e">
        <f>IF(SummaryTable[[#This Row],[OriginalBudget09]]=0, IF(SummaryTable[[#This Row],[DiffAmount09]]=0, ZeroBudgetNoSpending, ZeroBudgetWithSpending), SummaryTable[[#This Row],[DiffAmount09]]/SummaryTable[[#This Row],[OriginalBudget09]])</f>
        <v>#N/A</v>
      </c>
      <c r="ER148" s="62" t="e">
        <f>IF(COUNTIFS(allFYsTable[Code], SummaryTable[[#This Row],[Code]], allFYsTable[year2], ER$3)=0, NotFound, SUMIFS(allFYsTable[OriginalBudget], allFYsTable[Code], SummaryTable[[#This Row],[Code]], allFYsTable[year2], ER$3))</f>
        <v>#N/A</v>
      </c>
      <c r="ES148" s="61" t="e">
        <f>SummaryTable[[#This Row],[OriginalBudget08]]-SummaryTable[[#This Row],[OriginalBudget07]]</f>
        <v>#N/A</v>
      </c>
      <c r="ET148" s="54" t="e">
        <f>SummaryTable[[#This Row],[BudgetIncreaseAmount08]]/SummaryTable[[#This Row],[OriginalBudget07]]</f>
        <v>#N/A</v>
      </c>
      <c r="EU148" s="61" t="e">
        <f>IF(COUNTIFS(allFYsTable[Code], SummaryTable[[#This Row],[Code]], allFYsTable[year2], ER$3)=0, NotFound, SUMIFS(allFYsTable[RevisedBudget], allFYsTable[Code], SummaryTable[[#This Row],[Code]], allFYsTable[year2], ER$3))</f>
        <v>#N/A</v>
      </c>
      <c r="EV148" s="61" t="e">
        <f>IF(COUNTIFS(allFYsTable[Code], SummaryTable[[#This Row],[Code]], allFYsTable[year2], ER$3)=0, NotFound, SUMIFS(allFYsTable[Actual], allFYsTable[Code], SummaryTable[[#This Row],[Code]], allFYsTable[year2], ER$3))</f>
        <v>#N/A</v>
      </c>
      <c r="EW148" s="61" t="e">
        <f>IF(COUNTIFS(allFYsTable[Code], SummaryTable[[#This Row],[Code]], allFYsTable[year2], ER$3)=0, NotFound, SUMIFS(allFYsTable[DiffAmount], allFYsTable[Code], SummaryTable[[#This Row],[Code]], allFYsTable[year2], ER$3))</f>
        <v>#N/A</v>
      </c>
      <c r="EX148" s="63" t="e">
        <f>IF(SummaryTable[[#This Row],[OriginalBudget08]]=0, IF(SummaryTable[[#This Row],[DiffAmount08]]=0, ZeroBudgetNoSpending, ZeroBudgetWithSpending), SummaryTable[[#This Row],[DiffAmount08]]/SummaryTable[[#This Row],[OriginalBudget08]])</f>
        <v>#N/A</v>
      </c>
      <c r="EY148" s="62" t="e">
        <f>IF(COUNTIFS(allFYsTable[Code], SummaryTable[[#This Row],[Code]], allFYsTable[year2], EY$3)=0, NotFound, SUMIFS(allFYsTable[OriginalBudget], allFYsTable[Code], SummaryTable[[#This Row],[Code]], allFYsTable[year2], EY$3))</f>
        <v>#N/A</v>
      </c>
      <c r="EZ148" s="61" t="e">
        <f>SummaryTable[[#This Row],[OriginalBudget07]]-SummaryTable[[#This Row],[OriginalBudget06]]</f>
        <v>#N/A</v>
      </c>
      <c r="FA148" s="54" t="e">
        <f>SummaryTable[[#This Row],[BudgetIncreaseAmount07]]/SummaryTable[[#This Row],[OriginalBudget06]]</f>
        <v>#N/A</v>
      </c>
      <c r="FB148" s="61" t="e">
        <f>IF(COUNTIFS(allFYsTable[Code], SummaryTable[[#This Row],[Code]], allFYsTable[year2], EY$3)=0, NotFound, SUMIFS(allFYsTable[RevisedBudget], allFYsTable[Code], SummaryTable[[#This Row],[Code]], allFYsTable[year2], EY$3))</f>
        <v>#N/A</v>
      </c>
      <c r="FC148" s="61" t="e">
        <f>IF(COUNTIFS(allFYsTable[Code], SummaryTable[[#This Row],[Code]], allFYsTable[year2], EY$3)=0, NotFound, SUMIFS(allFYsTable[Actual], allFYsTable[Code], SummaryTable[[#This Row],[Code]], allFYsTable[year2], EY$3))</f>
        <v>#N/A</v>
      </c>
      <c r="FD148" s="61" t="e">
        <f>IF(COUNTIFS(allFYsTable[Code], SummaryTable[[#This Row],[Code]], allFYsTable[year2], EY$3)=0, NotFound, SUMIFS(allFYsTable[DiffAmount], allFYsTable[Code], SummaryTable[[#This Row],[Code]], allFYsTable[year2], EY$3))</f>
        <v>#N/A</v>
      </c>
      <c r="FE148" s="63" t="e">
        <f>IF(SummaryTable[[#This Row],[OriginalBudget07]]=0, IF(SummaryTable[[#This Row],[DiffAmount07]]=0, ZeroBudgetNoSpending, ZeroBudgetWithSpending), SummaryTable[[#This Row],[DiffAmount07]]/SummaryTable[[#This Row],[OriginalBudget07]])</f>
        <v>#N/A</v>
      </c>
      <c r="FF148" s="62" t="e">
        <f>IF(COUNTIFS(allFYsTable[Code], SummaryTable[[#This Row],[Code]], allFYsTable[year2], FF$3)=0, NotFound, SUMIFS(allFYsTable[OriginalBudget], allFYsTable[Code], SummaryTable[[#This Row],[Code]], allFYsTable[year2], FF$3))</f>
        <v>#N/A</v>
      </c>
      <c r="FI148" s="61" t="e">
        <f>IF(COUNTIFS(allFYsTable[Code], SummaryTable[[#This Row],[Code]], allFYsTable[year2], FF$3)=0, NotFound, SUMIFS(allFYsTable[RevisedBudget], allFYsTable[Code], SummaryTable[[#This Row],[Code]], allFYsTable[year2], FF$3))</f>
        <v>#N/A</v>
      </c>
      <c r="FJ148" s="61" t="e">
        <f>IF(COUNTIFS(allFYsTable[Code], SummaryTable[[#This Row],[Code]], allFYsTable[year2], FF$3)=0, NotFound, SUMIFS(allFYsTable[Actual], allFYsTable[Code], SummaryTable[[#This Row],[Code]], allFYsTable[year2], FF$3))</f>
        <v>#N/A</v>
      </c>
      <c r="FK148" s="61" t="e">
        <f>IF(COUNTIFS(allFYsTable[Code], SummaryTable[[#This Row],[Code]], allFYsTable[year2], FF$3)=0, NotFound, SUMIFS(allFYsTable[DiffAmount], allFYsTable[Code], SummaryTable[[#This Row],[Code]], allFYsTable[year2], FF$3))</f>
        <v>#N/A</v>
      </c>
      <c r="FL148" s="63" t="e">
        <f>IF(SummaryTable[[#This Row],[OriginalBudget06]]=0, IF(SummaryTable[[#This Row],[DiffAmount06]]=0, ZeroBudgetNoSpending, ZeroBudgetWithSpending), SummaryTable[[#This Row],[DiffAmount06]]/SummaryTable[[#This Row],[OriginalBudget06]])</f>
        <v>#N/A</v>
      </c>
    </row>
    <row r="149" spans="1:168" x14ac:dyDescent="0.45">
      <c r="A149" t="s">
        <v>876</v>
      </c>
      <c r="B149">
        <f>_xlfn.MAXIFS(allFYsTable[year2], allFYsTable[Code], SummaryTable[[#This Row],[Code]])</f>
        <v>2018</v>
      </c>
      <c r="C149" t="str">
        <f>_xlfn.XLOOKUP(SummaryTable[[#This Row],[Code]], NameCodingTable[Code], NameCodingTable[Most Recent Category per allFYs])</f>
        <v>Public works</v>
      </c>
      <c r="D149" t="str">
        <f>_xlfn.XLOOKUP(SummaryTable[[#This Row],[Code]], NameCodingTable[Code], NameCodingTable[Unit Display Name])</f>
        <v>Section 103 - public works</v>
      </c>
      <c r="E149" t="str">
        <f>_xlfn.XLOOKUP(SummaryTable[[#This Row],[Code]], NameCodingTable[Code], NameCodingTable[Type])</f>
        <v>untyped</v>
      </c>
      <c r="F14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4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49" s="54">
        <f>SummaryTable[[#This Row],['# Over]]/SummaryTable[[#This Row],[Count]]</f>
        <v>0</v>
      </c>
      <c r="I14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49" s="54">
        <f>SummaryTable[[#This Row],['# Under]]/SummaryTable[[#This Row],[Count]]</f>
        <v>0</v>
      </c>
      <c r="K14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49" s="54">
        <f>SummaryTable[[#This Row],['# Equal]]/SummaryTable[[#This Row],[Count]]</f>
        <v>1</v>
      </c>
      <c r="M149" s="61">
        <f>SUMIFS(allFYsTable[OriginalBudget],allFYsTable[Code],SummaryTable[[#This Row],[Code]])/SummaryTable[[#This Row],[Count]]</f>
        <v>0</v>
      </c>
      <c r="N149" s="61">
        <f>SUMIFS(allFYsTable[Actual],allFYsTable[Code],SummaryTable[[#This Row],[Code]])/SummaryTable[[#This Row],[Count]]</f>
        <v>0</v>
      </c>
      <c r="O149" s="61">
        <f>SummaryTable[[#This Row],[AvgActAmt]]-SummaryTable[[#This Row],[AvgBudAmt]]</f>
        <v>0</v>
      </c>
      <c r="P149" s="54">
        <f>IF(SummaryTable[[#This Row],[AvgBudAmt]]=0, IF(SummaryTable[[#This Row],[AvgDiff'#]]=0, 0, NamedFields!$C$3), SummaryTable[[#This Row],[AvgDiff'#]]/SummaryTable[[#This Row],[AvgBudAmt]])</f>
        <v>0</v>
      </c>
      <c r="Q149" s="61">
        <f>IFERROR(SUMIFS(allFYsTable[OriginalBudget],allFYsTable[Code],SummaryTable[[#This Row],[Code]],allFYsTable[DiffAmount], "&gt;0")/SummaryTable[[#This Row],['# Over]], 0)</f>
        <v>0</v>
      </c>
      <c r="R149" s="61">
        <f>IFERROR(SUMIFS(allFYsTable[Actual],allFYsTable[Code],SummaryTable[[#This Row],[Code]],allFYsTable[DiffAmount], "&gt;0")/SummaryTable[[#This Row],['# Over]], 0)</f>
        <v>0</v>
      </c>
      <c r="S149" s="61">
        <f>SummaryTable[[#This Row],[OverAvgAct]]-SummaryTable[[#This Row],[OverAvgBud]]</f>
        <v>0</v>
      </c>
      <c r="T149" s="54">
        <f>IF(SummaryTable[[#This Row],[OverAvgBud]]=0, IF(SummaryTable[[#This Row],[OverAvgDiff'#]]=0, ZeroBudgetNoSpending, ZeroBudgetWithSpending), SummaryTable[[#This Row],[OverAvgDiff'#]]/SummaryTable[[#This Row],[OverAvgBud]])</f>
        <v>0</v>
      </c>
      <c r="U149" s="61">
        <f>IFERROR(SUMIFS(allFYsTable[OriginalBudget],allFYsTable[Code],SummaryTable[[#This Row],[Code]],allFYsTable[DiffAmount], "&lt;0")/SummaryTable[[#This Row],['# Under]], 0)</f>
        <v>0</v>
      </c>
      <c r="V149" s="61">
        <f>IFERROR( SUMIFS(allFYsTable[Actual],allFYsTable[Code],SummaryTable[[#This Row],[Code]],allFYsTable[DiffAmount], "&lt;0")/SummaryTable[[#This Row],['# Under]], 0)</f>
        <v>0</v>
      </c>
      <c r="W149" s="61">
        <f>SummaryTable[[#This Row],[UnderAvgAct]]-SummaryTable[[#This Row],[UnderAvgBud]]</f>
        <v>0</v>
      </c>
      <c r="X149" s="54">
        <f>IF(SummaryTable[[#This Row],[UnderAvgBud]]=0, IF(SummaryTable[[#This Row],[UnderAvgDiff'#]]=0, ZeroBudgetNoSpending, NamedFields!$C$3), SummaryTable[[#This Row],[UnderAvgDiff'#]]/SummaryTable[[#This Row],[UnderAvgBud]])</f>
        <v>0</v>
      </c>
      <c r="Y14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4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49" s="54">
        <f>IF(SummaryTable[[#This Row],[IncreaseYears]]=0, ZeroBudgetNoSpending, SummaryTable[[#This Row],[OSinIncreaseYear'#]]/SummaryTable[[#This Row],[IncreaseYears]])</f>
        <v>0</v>
      </c>
      <c r="AB149" s="58" t="str">
        <f>SummaryTable[[#This Row],[Code]]</f>
        <v>XJW</v>
      </c>
      <c r="AC149" s="62" t="e">
        <f>IF(COUNTIFS(allFYsTable[Code], SummaryTable[[#This Row],[Code]], allFYsTable[year2], AC$3)=0, NotFound, SUMIFS(allFYsTable[OriginalBudget], allFYsTable[Code], SummaryTable[[#This Row],[Code]], allFYsTable[year2], AC$3))</f>
        <v>#N/A</v>
      </c>
      <c r="AD149" s="61" t="e">
        <f>SummaryTable[[#This Row],[OriginalBudget25]]-SummaryTable[[#This Row],[OriginalBudget24]]</f>
        <v>#N/A</v>
      </c>
      <c r="AE149" s="54" t="e">
        <f>SummaryTable[[#This Row],[BudgetIncreaseAmount25]]/SummaryTable[[#This Row],[OriginalBudget24]]</f>
        <v>#N/A</v>
      </c>
      <c r="AF149" s="61" t="e">
        <f>IF(COUNTIFS(allFYsTable[Code], SummaryTable[[#This Row],[Code]], allFYsTable[year2], AC$3)=0, NotFound, SUMIFS(allFYsTable[RevisedBudget], allFYsTable[Code], SummaryTable[[#This Row],[Code]], allFYsTable[year2], AC$3))</f>
        <v>#N/A</v>
      </c>
      <c r="AG149" s="61" t="e">
        <f>IF(COUNTIFS(allFYsTable[Code], SummaryTable[[#This Row],[Code]], allFYsTable[year2], AC$3)=0, NotFound, SUMIFS(allFYsTable[Actual], allFYsTable[Code], SummaryTable[[#This Row],[Code]], allFYsTable[year2], AC$3))</f>
        <v>#N/A</v>
      </c>
      <c r="AH149" s="61" t="e">
        <f>IF(COUNTIFS(allFYsTable[Code], SummaryTable[[#This Row],[Code]], allFYsTable[year2], AC$3)=0, NotFound, SUMIFS(allFYsTable[DiffAmount], allFYsTable[Code], SummaryTable[[#This Row],[Code]], allFYsTable[year2], AC$3))</f>
        <v>#N/A</v>
      </c>
      <c r="AI149" s="63" t="e">
        <f>IF(SummaryTable[[#This Row],[OriginalBudget25]]=0, IF(SummaryTable[[#This Row],[DiffAmount25]]=0, ZeroBudgetNoSpending, ZeroBudgetWithSpending), SummaryTable[[#This Row],[DiffAmount25]]/SummaryTable[[#This Row],[OriginalBudget25]])</f>
        <v>#N/A</v>
      </c>
      <c r="AJ149" s="62" t="e">
        <f>IF(COUNTIFS(allFYsTable[Code], SummaryTable[[#This Row],[Code]], allFYsTable[year2], AJ$3)=0, NotFound, SUMIFS(allFYsTable[OriginalBudget], allFYsTable[Code], SummaryTable[[#This Row],[Code]], allFYsTable[year2], AJ$3))</f>
        <v>#N/A</v>
      </c>
      <c r="AK149" s="61" t="e">
        <f>SummaryTable[[#This Row],[OriginalBudget24]]-SummaryTable[[#This Row],[OriginalBudget23]]</f>
        <v>#N/A</v>
      </c>
      <c r="AL149" s="54" t="e">
        <f>SummaryTable[[#This Row],[BudgetIncreaseAmount24]]/SummaryTable[[#This Row],[OriginalBudget23]]</f>
        <v>#N/A</v>
      </c>
      <c r="AM149" s="61" t="e">
        <f>IF(COUNTIFS(allFYsTable[Code], SummaryTable[[#This Row],[Code]], allFYsTable[year2], AK$3)=0, NotFound, SUMIFS(allFYsTable[RevisedBudget], allFYsTable[Code], SummaryTable[[#This Row],[Code]], allFYsTable[year2], AJ$3))</f>
        <v>#N/A</v>
      </c>
      <c r="AN149" s="61" t="e">
        <f>IF(COUNTIFS(allFYsTable[Code], SummaryTable[[#This Row],[Code]], allFYsTable[year2], AJ$3)=0, NotFound, SUMIFS(allFYsTable[Actual], allFYsTable[Code], SummaryTable[[#This Row],[Code]], allFYsTable[year2], AJ$3))</f>
        <v>#N/A</v>
      </c>
      <c r="AO149" s="61" t="e">
        <f>IF(COUNTIFS(allFYsTable[Code], SummaryTable[[#This Row],[Code]], allFYsTable[year2], AJ$3)=0, NotFound, SUMIFS(allFYsTable[DiffAmount], allFYsTable[Code], SummaryTable[[#This Row],[Code]], allFYsTable[year2], AJ$3))</f>
        <v>#N/A</v>
      </c>
      <c r="AP149" s="63" t="e">
        <f>IF(SummaryTable[[#This Row],[OriginalBudget24]]=0, IF(SummaryTable[[#This Row],[DiffAmount24]]=0, ZeroBudgetNoSpending, ZeroBudgetWithSpending), SummaryTable[[#This Row],[DiffAmount24]]/SummaryTable[[#This Row],[OriginalBudget24]])</f>
        <v>#N/A</v>
      </c>
      <c r="AQ149" s="62" t="e">
        <f>IF(COUNTIFS(allFYsTable[Code], SummaryTable[[#This Row],[Code]], allFYsTable[year2], AQ$3)=0, NotFound, SUMIFS(allFYsTable[OriginalBudget], allFYsTable[Code], SummaryTable[[#This Row],[Code]], allFYsTable[year2], AQ$3))</f>
        <v>#N/A</v>
      </c>
      <c r="AR149" s="61" t="e">
        <f>SummaryTable[[#This Row],[OriginalBudget23]]-SummaryTable[[#This Row],[OriginalBudget22]]</f>
        <v>#N/A</v>
      </c>
      <c r="AS149" s="54" t="e">
        <f>SummaryTable[[#This Row],[BudgetIncreaseAmount23]]/SummaryTable[[#This Row],[OriginalBudget22]]</f>
        <v>#N/A</v>
      </c>
      <c r="AT149" s="61" t="e">
        <f>IF(COUNTIFS(allFYsTable[Code], SummaryTable[[#This Row],[Code]], allFYsTable[year2], AQ$3)=0, NotFound, SUMIFS(allFYsTable[RevisedBudget], allFYsTable[Code], SummaryTable[[#This Row],[Code]], allFYsTable[year2], AQ$3))</f>
        <v>#N/A</v>
      </c>
      <c r="AU149" s="61" t="e">
        <f>IF(COUNTIFS(allFYsTable[Code], SummaryTable[[#This Row],[Code]], allFYsTable[year2], AQ$3)=0, NotFound, SUMIFS(allFYsTable[Actual], allFYsTable[Code], SummaryTable[[#This Row],[Code]], allFYsTable[year2], AQ$3))</f>
        <v>#N/A</v>
      </c>
      <c r="AV149" s="61" t="e">
        <f>IF(COUNTIFS(allFYsTable[Code], SummaryTable[[#This Row],[Code]], allFYsTable[year2], AQ$3)=0, NotFound, SUMIFS(allFYsTable[DiffAmount], allFYsTable[Code], SummaryTable[[#This Row],[Code]], allFYsTable[year2], AQ$3))</f>
        <v>#N/A</v>
      </c>
      <c r="AW149" s="63" t="e">
        <f>IF(SummaryTable[[#This Row],[OriginalBudget23]]=0, IF(SummaryTable[[#This Row],[DiffAmount23]]=0, ZeroBudgetNoSpending, ZeroBudgetWithSpending), SummaryTable[[#This Row],[DiffAmount23]]/SummaryTable[[#This Row],[OriginalBudget23]])</f>
        <v>#N/A</v>
      </c>
      <c r="AX149" s="62" t="e">
        <f>IF(COUNTIFS(allFYsTable[Code], SummaryTable[[#This Row],[Code]], allFYsTable[year2], AX$3)=0, NotFound, SUMIFS(allFYsTable[OriginalBudget], allFYsTable[Code], SummaryTable[[#This Row],[Code]], allFYsTable[year2], AX$3))</f>
        <v>#N/A</v>
      </c>
      <c r="AY149" s="61" t="e">
        <f>SummaryTable[[#This Row],[OriginalBudget22]]-SummaryTable[[#This Row],[OriginalBudget21]]</f>
        <v>#N/A</v>
      </c>
      <c r="AZ149" s="54" t="e">
        <f>SummaryTable[[#This Row],[BudgetIncreaseAmount22]]/SummaryTable[[#This Row],[OriginalBudget21]]</f>
        <v>#N/A</v>
      </c>
      <c r="BA149" s="61" t="e">
        <f>IF(COUNTIFS(allFYsTable[Code], SummaryTable[[#This Row],[Code]], allFYsTable[year2], AX$3)=0, NotFound, SUMIFS(allFYsTable[RevisedBudget], allFYsTable[Code], SummaryTable[[#This Row],[Code]], allFYsTable[year2], AX$3))</f>
        <v>#N/A</v>
      </c>
      <c r="BB149" s="61" t="e">
        <f>IF(COUNTIFS(allFYsTable[Code], SummaryTable[[#This Row],[Code]], allFYsTable[year2], AX$3)=0, NotFound, SUMIFS(allFYsTable[Actual], allFYsTable[Code], SummaryTable[[#This Row],[Code]], allFYsTable[year2], AX$3))</f>
        <v>#N/A</v>
      </c>
      <c r="BC149" s="61" t="e">
        <f>IF(COUNTIFS(allFYsTable[Code], SummaryTable[[#This Row],[Code]], allFYsTable[year2], AX$3)=0, NotFound, SUMIFS(allFYsTable[DiffAmount], allFYsTable[Code], SummaryTable[[#This Row],[Code]], allFYsTable[year2], AX$3))</f>
        <v>#N/A</v>
      </c>
      <c r="BD149" s="63" t="e">
        <f>IF(SummaryTable[[#This Row],[OriginalBudget22]]=0, IF(SummaryTable[[#This Row],[DiffAmount22]]=0, ZeroBudgetNoSpending, ZeroBudgetWithSpending), SummaryTable[[#This Row],[DiffAmount22]]/SummaryTable[[#This Row],[OriginalBudget22]])</f>
        <v>#N/A</v>
      </c>
      <c r="BE149" s="62" t="e">
        <f>IF(COUNTIFS(allFYsTable[Code], SummaryTable[[#This Row],[Code]], allFYsTable[year2], BE$3)=0, NotFound, SUMIFS(allFYsTable[OriginalBudget], allFYsTable[Code], SummaryTable[[#This Row],[Code]], allFYsTable[year2], BE$3))</f>
        <v>#N/A</v>
      </c>
      <c r="BF149" s="61" t="e">
        <f>SummaryTable[[#This Row],[OriginalBudget21]]-SummaryTable[[#This Row],[OriginalBudget20]]</f>
        <v>#N/A</v>
      </c>
      <c r="BG149" s="54" t="e">
        <f>SummaryTable[[#This Row],[BudgetIncreaseAmount21]]/SummaryTable[[#This Row],[OriginalBudget20]]</f>
        <v>#N/A</v>
      </c>
      <c r="BH149" s="61" t="e">
        <f>IF(COUNTIFS(allFYsTable[Code], SummaryTable[[#This Row],[Code]], allFYsTable[year2], BE$3)=0, NotFound, SUMIFS(allFYsTable[RevisedBudget], allFYsTable[Code], SummaryTable[[#This Row],[Code]], allFYsTable[year2], BE$3))</f>
        <v>#N/A</v>
      </c>
      <c r="BI149" s="61" t="e">
        <f>IF(COUNTIFS(allFYsTable[Code], SummaryTable[[#This Row],[Code]], allFYsTable[year2], BE$3)=0, NotFound, SUMIFS(allFYsTable[Actual], allFYsTable[Code], SummaryTable[[#This Row],[Code]], allFYsTable[year2], BE$3))</f>
        <v>#N/A</v>
      </c>
      <c r="BJ149" s="61" t="e">
        <f>IF(COUNTIFS(allFYsTable[Code], SummaryTable[[#This Row],[Code]], allFYsTable[year2], BE$3)=0, NotFound, SUMIFS(allFYsTable[DiffAmount], allFYsTable[Code], SummaryTable[[#This Row],[Code]], allFYsTable[year2], BE$3))</f>
        <v>#N/A</v>
      </c>
      <c r="BK149" s="63" t="e">
        <f>IF(SummaryTable[[#This Row],[OriginalBudget21]]=0, IF(SummaryTable[[#This Row],[DiffAmount21]]=0, ZeroBudgetNoSpending, ZeroBudgetWithSpending), SummaryTable[[#This Row],[DiffAmount21]]/SummaryTable[[#This Row],[OriginalBudget21]])</f>
        <v>#N/A</v>
      </c>
      <c r="BL149" s="62" t="e">
        <f>IF(COUNTIFS(allFYsTable[Code], SummaryTable[[#This Row],[Code]], allFYsTable[year2], BL$3)=0, NotFound, SUMIFS(allFYsTable[OriginalBudget], allFYsTable[Code], SummaryTable[[#This Row],[Code]], allFYsTable[year2], BL$3))</f>
        <v>#N/A</v>
      </c>
      <c r="BM149" s="61" t="e">
        <f>SummaryTable[[#This Row],[OriginalBudget20]]-SummaryTable[[#This Row],[OriginalBudget19]]</f>
        <v>#N/A</v>
      </c>
      <c r="BN149" s="54" t="e">
        <f>SummaryTable[[#This Row],[BudgetIncreaseAmount20]]/SummaryTable[[#This Row],[OriginalBudget19]]</f>
        <v>#N/A</v>
      </c>
      <c r="BO149" s="61" t="e">
        <f>IF(COUNTIFS(allFYsTable[Code], SummaryTable[[#This Row],[Code]], allFYsTable[year2], BL$3)=0, NotFound, SUMIFS(allFYsTable[RevisedBudget], allFYsTable[Code], SummaryTable[[#This Row],[Code]], allFYsTable[year2], BL$3))</f>
        <v>#N/A</v>
      </c>
      <c r="BP149" s="61" t="e">
        <f>IF(COUNTIFS(allFYsTable[Code], SummaryTable[[#This Row],[Code]], allFYsTable[year2], BL$3)=0, NotFound, SUMIFS(allFYsTable[Actual], allFYsTable[Code], SummaryTable[[#This Row],[Code]], allFYsTable[year2], BL$3))</f>
        <v>#N/A</v>
      </c>
      <c r="BQ149" s="61" t="e">
        <f>IF(COUNTIFS(allFYsTable[Code], SummaryTable[[#This Row],[Code]], allFYsTable[year2], BL$3)=0, NotFound, SUMIFS(allFYsTable[DiffAmount], allFYsTable[Code], SummaryTable[[#This Row],[Code]], allFYsTable[year2], BL$3))</f>
        <v>#N/A</v>
      </c>
      <c r="BR149" s="63" t="e">
        <f>IF(SummaryTable[[#This Row],[OriginalBudget20]]=0, IF(SummaryTable[[#This Row],[DiffAmount20]]=0, ZeroBudgetNoSpending, ZeroBudgetWithSpending), SummaryTable[[#This Row],[DiffAmount20]]/SummaryTable[[#This Row],[OriginalBudget20]])</f>
        <v>#N/A</v>
      </c>
      <c r="BS149" s="62" t="e">
        <f>IF(COUNTIFS(allFYsTable[Code], SummaryTable[[#This Row],[Code]], allFYsTable[year2], BS$3)=0, NotFound, SUMIFS(allFYsTable[OriginalBudget], allFYsTable[Code], SummaryTable[[#This Row],[Code]], allFYsTable[year2], BS$3))</f>
        <v>#N/A</v>
      </c>
      <c r="BT149" s="61" t="e">
        <f>SummaryTable[[#This Row],[OriginalBudget19]]-SummaryTable[[#This Row],[OriginalBudget18]]</f>
        <v>#N/A</v>
      </c>
      <c r="BU149" s="54" t="e">
        <f>SummaryTable[[#This Row],[BudgetIncreaseAmount19]]/SummaryTable[[#This Row],[OriginalBudget18]]</f>
        <v>#N/A</v>
      </c>
      <c r="BV149" s="61" t="e">
        <f>IF(COUNTIFS(allFYsTable[Code], SummaryTable[[#This Row],[Code]], allFYsTable[year2], BS$3)=0, NotFound, SUMIFS(allFYsTable[RevisedBudget], allFYsTable[Code], SummaryTable[[#This Row],[Code]], allFYsTable[year2], BS$3))</f>
        <v>#N/A</v>
      </c>
      <c r="BW149" s="61" t="e">
        <f>IF(COUNTIFS(allFYsTable[Code], SummaryTable[[#This Row],[Code]], allFYsTable[year2], BS$3)=0, NotFound, SUMIFS(allFYsTable[Actual], allFYsTable[Code], SummaryTable[[#This Row],[Code]], allFYsTable[year2], BS$3))</f>
        <v>#N/A</v>
      </c>
      <c r="BX149" s="61" t="e">
        <f>IF(COUNTIFS(allFYsTable[Code], SummaryTable[[#This Row],[Code]], allFYsTable[year2], BS$3)=0, NotFound, SUMIFS(allFYsTable[DiffAmount], allFYsTable[Code], SummaryTable[[#This Row],[Code]], allFYsTable[year2], BS$3))</f>
        <v>#N/A</v>
      </c>
      <c r="BY149" s="63" t="e">
        <f>IF(SummaryTable[[#This Row],[OriginalBudget19]]=0, IF(SummaryTable[[#This Row],[DiffAmount19]]=0, ZeroBudgetNoSpending, ZeroBudgetWithSpending), SummaryTable[[#This Row],[DiffAmount19]]/SummaryTable[[#This Row],[OriginalBudget19]])</f>
        <v>#N/A</v>
      </c>
      <c r="BZ149" s="62">
        <f>IF(COUNTIFS(allFYsTable[Code], SummaryTable[[#This Row],[Code]], allFYsTable[year2], BZ$3)=0, NotFound, SUMIFS(allFYsTable[OriginalBudget], allFYsTable[Code], SummaryTable[[#This Row],[Code]], allFYsTable[year2], BZ$3))</f>
        <v>0</v>
      </c>
      <c r="CA149" s="61" t="e">
        <f>SummaryTable[[#This Row],[OriginalBudget18]]-SummaryTable[[#This Row],[OriginalBudget17]]</f>
        <v>#N/A</v>
      </c>
      <c r="CB149" s="54" t="e">
        <f>SummaryTable[[#This Row],[BudgetIncreaseAmount18]]/SummaryTable[[#This Row],[OriginalBudget17]]</f>
        <v>#N/A</v>
      </c>
      <c r="CC149" s="61">
        <f>IF(COUNTIFS(allFYsTable[Code], SummaryTable[[#This Row],[Code]], allFYsTable[year2], BZ$3)=0, NotFound, SUMIFS(allFYsTable[RevisedBudget], allFYsTable[Code], SummaryTable[[#This Row],[Code]], allFYsTable[year2], BZ$3))</f>
        <v>0</v>
      </c>
      <c r="CD149" s="61">
        <f>IF(COUNTIFS(allFYsTable[Code], SummaryTable[[#This Row],[Code]], allFYsTable[year2], BZ$3)=0, NotFound, SUMIFS(allFYsTable[Actual], allFYsTable[Code], SummaryTable[[#This Row],[Code]], allFYsTable[year2], BZ$3))</f>
        <v>0</v>
      </c>
      <c r="CE149" s="61">
        <f>IF(COUNTIFS(allFYsTable[Code], SummaryTable[[#This Row],[Code]], allFYsTable[year2], BZ$3)=0, NotFound, SUMIFS(allFYsTable[DiffAmount], allFYsTable[Code], SummaryTable[[#This Row],[Code]], allFYsTable[year2], BZ$3))</f>
        <v>0</v>
      </c>
      <c r="CF149" s="63">
        <f>IF(SummaryTable[[#This Row],[OriginalBudget18]]=0, IF(SummaryTable[[#This Row],[DiffAmount18]]=0, ZeroBudgetNoSpending, ZeroBudgetWithSpending), SummaryTable[[#This Row],[DiffAmount18]]/SummaryTable[[#This Row],[OriginalBudget18]])</f>
        <v>0</v>
      </c>
      <c r="CG149" s="62" t="e">
        <f>IF(COUNTIFS(allFYsTable[Code], SummaryTable[[#This Row],[Code]], allFYsTable[year2], CG$3)=0, NotFound, SUMIFS(allFYsTable[OriginalBudget], allFYsTable[Code], SummaryTable[[#This Row],[Code]], allFYsTable[year2], CG$3))</f>
        <v>#N/A</v>
      </c>
      <c r="CH149" s="61" t="e">
        <f>SummaryTable[[#This Row],[OriginalBudget17]]-SummaryTable[[#This Row],[OriginalBudget16]]</f>
        <v>#N/A</v>
      </c>
      <c r="CI149" s="54" t="e">
        <f>SummaryTable[[#This Row],[BudgetIncreaseAmount17]]/SummaryTable[[#This Row],[OriginalBudget16]]</f>
        <v>#N/A</v>
      </c>
      <c r="CJ149" s="61" t="e">
        <f>IF(COUNTIFS(allFYsTable[Code], SummaryTable[[#This Row],[Code]], allFYsTable[year2], CG$3)=0, NotFound, SUMIFS(allFYsTable[RevisedBudget], allFYsTable[Code], SummaryTable[[#This Row],[Code]], allFYsTable[year2], CG$3))</f>
        <v>#N/A</v>
      </c>
      <c r="CK149" s="61" t="e">
        <f>IF(COUNTIFS(allFYsTable[Code], SummaryTable[[#This Row],[Code]], allFYsTable[year2], CG$3)=0, NotFound, SUMIFS(allFYsTable[Actual], allFYsTable[Code], SummaryTable[[#This Row],[Code]], allFYsTable[year2], CG$3))</f>
        <v>#N/A</v>
      </c>
      <c r="CL149" s="61" t="e">
        <f>IF(COUNTIFS(allFYsTable[Code], SummaryTable[[#This Row],[Code]], allFYsTable[year2], CG$3)=0, NotFound, SUMIFS(allFYsTable[DiffAmount], allFYsTable[Code], SummaryTable[[#This Row],[Code]], allFYsTable[year2], CG$3))</f>
        <v>#N/A</v>
      </c>
      <c r="CM149" s="63" t="e">
        <f>IF(SummaryTable[[#This Row],[OriginalBudget17]]=0, IF(SummaryTable[[#This Row],[DiffAmount17]]=0, ZeroBudgetNoSpending, ZeroBudgetWithSpending), SummaryTable[[#This Row],[DiffAmount17]]/SummaryTable[[#This Row],[OriginalBudget17]])</f>
        <v>#N/A</v>
      </c>
      <c r="CN149" s="62" t="e">
        <f>IF(COUNTIFS(allFYsTable[Code], SummaryTable[[#This Row],[Code]], allFYsTable[year2], CN$3)=0, NotFound, SUMIFS(allFYsTable[OriginalBudget], allFYsTable[Code], SummaryTable[[#This Row],[Code]], allFYsTable[year2], CN$3))</f>
        <v>#N/A</v>
      </c>
      <c r="CO149" s="61" t="e">
        <f>SummaryTable[[#This Row],[OriginalBudget16]]-SummaryTable[[#This Row],[OriginalBudget15]]</f>
        <v>#N/A</v>
      </c>
      <c r="CP149" s="54" t="e">
        <f>SummaryTable[[#This Row],[BudgetIncreaseAmount16]]/SummaryTable[[#This Row],[OriginalBudget15]]</f>
        <v>#N/A</v>
      </c>
      <c r="CQ149" s="61" t="e">
        <f>IF(COUNTIFS(allFYsTable[Code], SummaryTable[[#This Row],[Code]], allFYsTable[year2], CN$3)=0, NotFound, SUMIFS(allFYsTable[RevisedBudget], allFYsTable[Code], SummaryTable[[#This Row],[Code]], allFYsTable[year2], CN$3))</f>
        <v>#N/A</v>
      </c>
      <c r="CR149" s="61" t="e">
        <f>IF(COUNTIFS(allFYsTable[Code], SummaryTable[[#This Row],[Code]], allFYsTable[year2], CN$3)=0, NotFound, SUMIFS(allFYsTable[Actual], allFYsTable[Code], SummaryTable[[#This Row],[Code]], allFYsTable[year2], CN$3))</f>
        <v>#N/A</v>
      </c>
      <c r="CS149" s="61" t="e">
        <f>IF(COUNTIFS(allFYsTable[Code], SummaryTable[[#This Row],[Code]], allFYsTable[year2], CN$3)=0, NotFound, SUMIFS(allFYsTable[DiffAmount], allFYsTable[Code], SummaryTable[[#This Row],[Code]], allFYsTable[year2], CN$3))</f>
        <v>#N/A</v>
      </c>
      <c r="CT149" s="63" t="e">
        <f>IF(SummaryTable[[#This Row],[OriginalBudget16]]=0, IF(SummaryTable[[#This Row],[DiffAmount16]]=0, ZeroBudgetNoSpending, ZeroBudgetWithSpending), SummaryTable[[#This Row],[DiffAmount16]]/SummaryTable[[#This Row],[OriginalBudget16]])</f>
        <v>#N/A</v>
      </c>
      <c r="CU149" s="62" t="e">
        <f>IF(COUNTIFS(allFYsTable[Code], SummaryTable[[#This Row],[Code]], allFYsTable[year2], CU$3)=0, NotFound, SUMIFS(allFYsTable[OriginalBudget], allFYsTable[Code], SummaryTable[[#This Row],[Code]], allFYsTable[year2], CU$3))</f>
        <v>#N/A</v>
      </c>
      <c r="CV149" s="61" t="e">
        <f>SummaryTable[[#This Row],[OriginalBudget15]]-SummaryTable[[#This Row],[OriginalBudget14]]</f>
        <v>#N/A</v>
      </c>
      <c r="CW149" s="54" t="e">
        <f>SummaryTable[[#This Row],[BudgetIncreaseAmount15]]/SummaryTable[[#This Row],[OriginalBudget14]]</f>
        <v>#N/A</v>
      </c>
      <c r="CX149" s="61" t="e">
        <f>IF(COUNTIFS(allFYsTable[Code], SummaryTable[[#This Row],[Code]], allFYsTable[year2], CU$3)=0, NotFound, SUMIFS(allFYsTable[RevisedBudget], allFYsTable[Code], SummaryTable[[#This Row],[Code]], allFYsTable[year2], CU$3))</f>
        <v>#N/A</v>
      </c>
      <c r="CY149" s="61" t="e">
        <f>IF(COUNTIFS(allFYsTable[Code], SummaryTable[[#This Row],[Code]], allFYsTable[year2], CU$3)=0, NotFound, SUMIFS(allFYsTable[Actual], allFYsTable[Code], SummaryTable[[#This Row],[Code]], allFYsTable[year2], CU$3))</f>
        <v>#N/A</v>
      </c>
      <c r="CZ149" s="61" t="e">
        <f>IF(COUNTIFS(allFYsTable[Code], SummaryTable[[#This Row],[Code]], allFYsTable[year2], CU$3)=0, NotFound, SUMIFS(allFYsTable[DiffAmount], allFYsTable[Code], SummaryTable[[#This Row],[Code]], allFYsTable[year2], CU$3))</f>
        <v>#N/A</v>
      </c>
      <c r="DA149" s="63" t="e">
        <f>IF(SummaryTable[[#This Row],[OriginalBudget15]]=0, IF(SummaryTable[[#This Row],[DiffAmount15]]=0, ZeroBudgetNoSpending, ZeroBudgetWithSpending), SummaryTable[[#This Row],[DiffAmount15]]/SummaryTable[[#This Row],[OriginalBudget15]])</f>
        <v>#N/A</v>
      </c>
      <c r="DB149" s="62" t="e">
        <f>IF(COUNTIFS(allFYsTable[Code], SummaryTable[[#This Row],[Code]], allFYsTable[year2], DB$3)=0, NotFound, SUMIFS(allFYsTable[OriginalBudget], allFYsTable[Code], SummaryTable[[#This Row],[Code]], allFYsTable[year2], DB$3))</f>
        <v>#N/A</v>
      </c>
      <c r="DC149" s="61" t="e">
        <f>SummaryTable[[#This Row],[OriginalBudget14]]-SummaryTable[[#This Row],[OriginalBudget13]]</f>
        <v>#N/A</v>
      </c>
      <c r="DD149" s="54" t="e">
        <f>SummaryTable[[#This Row],[BudgetIncreaseAmount14]]/SummaryTable[[#This Row],[OriginalBudget13]]</f>
        <v>#N/A</v>
      </c>
      <c r="DE149" s="61" t="e">
        <f>IF(COUNTIFS(allFYsTable[Code], SummaryTable[[#This Row],[Code]], allFYsTable[year2], DB$3)=0, NotFound, SUMIFS(allFYsTable[RevisedBudget], allFYsTable[Code], SummaryTable[[#This Row],[Code]], allFYsTable[year2], DB$3))</f>
        <v>#N/A</v>
      </c>
      <c r="DF149" s="61" t="e">
        <f>IF(COUNTIFS(allFYsTable[Code], SummaryTable[[#This Row],[Code]], allFYsTable[year2], DB$3)=0, NotFound, SUMIFS(allFYsTable[Actual], allFYsTable[Code], SummaryTable[[#This Row],[Code]], allFYsTable[year2], DB$3))</f>
        <v>#N/A</v>
      </c>
      <c r="DG149" s="61" t="e">
        <f>IF(COUNTIFS(allFYsTable[Code], SummaryTable[[#This Row],[Code]], allFYsTable[year2], DB$3)=0, NotFound, SUMIFS(allFYsTable[DiffAmount], allFYsTable[Code], SummaryTable[[#This Row],[Code]], allFYsTable[year2], DB$3))</f>
        <v>#N/A</v>
      </c>
      <c r="DH149" s="63" t="e">
        <f>IF(SummaryTable[[#This Row],[OriginalBudget14]]=0, IF(SummaryTable[[#This Row],[DiffAmount14]]=0, ZeroBudgetNoSpending, ZeroBudgetWithSpending), SummaryTable[[#This Row],[DiffAmount14]]/SummaryTable[[#This Row],[OriginalBudget14]])</f>
        <v>#N/A</v>
      </c>
      <c r="DI149" s="62" t="e">
        <f>IF(COUNTIFS(allFYsTable[Code], SummaryTable[[#This Row],[Code]], allFYsTable[year2], DI$3)=0, NotFound, SUMIFS(allFYsTable[OriginalBudget], allFYsTable[Code], SummaryTable[[#This Row],[Code]], allFYsTable[year2], DI$3))</f>
        <v>#N/A</v>
      </c>
      <c r="DJ149" s="61" t="e">
        <f>SummaryTable[[#This Row],[OriginalBudget13]]-SummaryTable[[#This Row],[OriginalBudget12]]</f>
        <v>#N/A</v>
      </c>
      <c r="DK149" s="54" t="e">
        <f>SummaryTable[[#This Row],[BudgetIncreaseAmount13]]/SummaryTable[[#This Row],[OriginalBudget12]]</f>
        <v>#N/A</v>
      </c>
      <c r="DL149" s="61" t="e">
        <f>IF(COUNTIFS(allFYsTable[Code], SummaryTable[[#This Row],[Code]], allFYsTable[year2], DI$3)=0, NotFound, SUMIFS(allFYsTable[RevisedBudget], allFYsTable[Code], SummaryTable[[#This Row],[Code]], allFYsTable[year2], DI$3))</f>
        <v>#N/A</v>
      </c>
      <c r="DM149" s="61" t="e">
        <f>IF(COUNTIFS(allFYsTable[Code], SummaryTable[[#This Row],[Code]], allFYsTable[year2], DI$3)=0, NotFound, SUMIFS(allFYsTable[Actual], allFYsTable[Code], SummaryTable[[#This Row],[Code]], allFYsTable[year2], DI$3))</f>
        <v>#N/A</v>
      </c>
      <c r="DN149" s="61" t="e">
        <f>IF(COUNTIFS(allFYsTable[Code], SummaryTable[[#This Row],[Code]], allFYsTable[year2], DI$3)=0, NotFound, SUMIFS(allFYsTable[DiffAmount], allFYsTable[Code], SummaryTable[[#This Row],[Code]], allFYsTable[year2], DI$3))</f>
        <v>#N/A</v>
      </c>
      <c r="DO149" s="63" t="e">
        <f>IF(SummaryTable[[#This Row],[OriginalBudget13]]=0, IF(SummaryTable[[#This Row],[DiffAmount13]]=0, ZeroBudgetNoSpending, ZeroBudgetWithSpending), SummaryTable[[#This Row],[DiffAmount13]]/SummaryTable[[#This Row],[OriginalBudget13]])</f>
        <v>#N/A</v>
      </c>
      <c r="DP149" s="62" t="e">
        <f>IF(COUNTIFS(allFYsTable[Code], SummaryTable[[#This Row],[Code]], allFYsTable[year2], DP$3)=0, NotFound, SUMIFS(allFYsTable[OriginalBudget], allFYsTable[Code], SummaryTable[[#This Row],[Code]], allFYsTable[year2], DP$3))</f>
        <v>#N/A</v>
      </c>
      <c r="DQ149" s="61" t="e">
        <f>SummaryTable[[#This Row],[OriginalBudget12]]-SummaryTable[[#This Row],[OriginalBudget11]]</f>
        <v>#N/A</v>
      </c>
      <c r="DR149" s="54" t="e">
        <f>SummaryTable[[#This Row],[BudgetIncreaseAmount12]]/SummaryTable[[#This Row],[OriginalBudget11]]</f>
        <v>#N/A</v>
      </c>
      <c r="DS149" s="61" t="e">
        <f>IF(COUNTIFS(allFYsTable[Code], SummaryTable[[#This Row],[Code]], allFYsTable[year2], DP$3)=0, NotFound, SUMIFS(allFYsTable[RevisedBudget], allFYsTable[Code], SummaryTable[[#This Row],[Code]], allFYsTable[year2], DP$3))</f>
        <v>#N/A</v>
      </c>
      <c r="DT149" s="61" t="e">
        <f>IF(COUNTIFS(allFYsTable[Code], SummaryTable[[#This Row],[Code]], allFYsTable[year2], DP$3)=0, NotFound, SUMIFS(allFYsTable[Actual], allFYsTable[Code], SummaryTable[[#This Row],[Code]], allFYsTable[year2], DP$3))</f>
        <v>#N/A</v>
      </c>
      <c r="DU149" s="61" t="e">
        <f>IF(COUNTIFS(allFYsTable[Code], SummaryTable[[#This Row],[Code]], allFYsTable[year2], DP$3)=0, NotFound, SUMIFS(allFYsTable[DiffAmount], allFYsTable[Code], SummaryTable[[#This Row],[Code]], allFYsTable[year2], DP$3))</f>
        <v>#N/A</v>
      </c>
      <c r="DV149" s="63" t="e">
        <f>IF(SummaryTable[[#This Row],[OriginalBudget12]]=0, IF(SummaryTable[[#This Row],[DiffAmount12]]=0, ZeroBudgetNoSpending, ZeroBudgetWithSpending), SummaryTable[[#This Row],[DiffAmount12]]/SummaryTable[[#This Row],[OriginalBudget12]])</f>
        <v>#N/A</v>
      </c>
      <c r="DW149" s="62" t="e">
        <f>IF(COUNTIFS(allFYsTable[Code], SummaryTable[[#This Row],[Code]], allFYsTable[year2], DW$3)=0, NotFound, SUMIFS(allFYsTable[OriginalBudget], allFYsTable[Code], SummaryTable[[#This Row],[Code]], allFYsTable[year2], DW$3))</f>
        <v>#N/A</v>
      </c>
      <c r="DX149" s="61" t="e">
        <f>SummaryTable[[#This Row],[OriginalBudget11]]-SummaryTable[[#This Row],[OriginalBudget10]]</f>
        <v>#N/A</v>
      </c>
      <c r="DY149" s="54" t="e">
        <f>SummaryTable[[#This Row],[BudgetIncreaseAmount11]]/SummaryTable[[#This Row],[OriginalBudget10]]</f>
        <v>#N/A</v>
      </c>
      <c r="DZ149" s="61" t="e">
        <f>IF(COUNTIFS(allFYsTable[Code], SummaryTable[[#This Row],[Code]], allFYsTable[year2], DW$3)=0, NotFound, SUMIFS(allFYsTable[RevisedBudget], allFYsTable[Code], SummaryTable[[#This Row],[Code]], allFYsTable[year2], DW$3))</f>
        <v>#N/A</v>
      </c>
      <c r="EA149" s="61" t="e">
        <f>IF(COUNTIFS(allFYsTable[Code], SummaryTable[[#This Row],[Code]], allFYsTable[year2], DW$3)=0, NotFound, SUMIFS(allFYsTable[Actual], allFYsTable[Code], SummaryTable[[#This Row],[Code]], allFYsTable[year2], DW$3))</f>
        <v>#N/A</v>
      </c>
      <c r="EB149" s="61" t="e">
        <f>IF(COUNTIFS(allFYsTable[Code], SummaryTable[[#This Row],[Code]], allFYsTable[year2], DW$3)=0, NotFound, SUMIFS(allFYsTable[DiffAmount], allFYsTable[Code], SummaryTable[[#This Row],[Code]], allFYsTable[year2], DW$3))</f>
        <v>#N/A</v>
      </c>
      <c r="EC149" s="63" t="e">
        <f>IF(SummaryTable[[#This Row],[OriginalBudget11]]=0, IF(SummaryTable[[#This Row],[DiffAmount11]]=0, ZeroBudgetNoSpending, ZeroBudgetWithSpending), SummaryTable[[#This Row],[DiffAmount11]]/SummaryTable[[#This Row],[OriginalBudget11]])</f>
        <v>#N/A</v>
      </c>
      <c r="ED149" s="62" t="e">
        <f>IF(COUNTIFS(allFYsTable[Code], SummaryTable[[#This Row],[Code]], allFYsTable[year2], ED$3)=0, NotFound, SUMIFS(allFYsTable[OriginalBudget], allFYsTable[Code], SummaryTable[[#This Row],[Code]], allFYsTable[year2], ED$3))</f>
        <v>#N/A</v>
      </c>
      <c r="EE149" s="61" t="e">
        <f>SummaryTable[[#This Row],[OriginalBudget10]]-SummaryTable[[#This Row],[OriginalBudget09]]</f>
        <v>#N/A</v>
      </c>
      <c r="EF149" s="54" t="e">
        <f>SummaryTable[[#This Row],[BudgetIncreaseAmount10]]/SummaryTable[[#This Row],[OriginalBudget09]]</f>
        <v>#N/A</v>
      </c>
      <c r="EG149" s="61" t="e">
        <f>IF(COUNTIFS(allFYsTable[Code], SummaryTable[[#This Row],[Code]], allFYsTable[year2], ED$3)=0, NotFound, SUMIFS(allFYsTable[RevisedBudget], allFYsTable[Code], SummaryTable[[#This Row],[Code]], allFYsTable[year2], ED$3))</f>
        <v>#N/A</v>
      </c>
      <c r="EH149" s="61" t="e">
        <f>IF(COUNTIFS(allFYsTable[Code], SummaryTable[[#This Row],[Code]], allFYsTable[year2], ED$3)=0, NotFound, SUMIFS(allFYsTable[Actual], allFYsTable[Code], SummaryTable[[#This Row],[Code]], allFYsTable[year2], ED$3))</f>
        <v>#N/A</v>
      </c>
      <c r="EI149" s="61" t="e">
        <f>IF(COUNTIFS(allFYsTable[Code], SummaryTable[[#This Row],[Code]], allFYsTable[year2], ED$3)=0, NotFound, SUMIFS(allFYsTable[DiffAmount], allFYsTable[Code], SummaryTable[[#This Row],[Code]], allFYsTable[year2], ED$3))</f>
        <v>#N/A</v>
      </c>
      <c r="EJ149" s="63" t="e">
        <f>IF(SummaryTable[[#This Row],[OriginalBudget10]]=0, IF(SummaryTable[[#This Row],[DiffAmount10]]=0, ZeroBudgetNoSpending, ZeroBudgetWithSpending), SummaryTable[[#This Row],[DiffAmount10]]/SummaryTable[[#This Row],[OriginalBudget10]])</f>
        <v>#N/A</v>
      </c>
      <c r="EK149" s="62" t="e">
        <f>IF(COUNTIFS(allFYsTable[Code], SummaryTable[[#This Row],[Code]], allFYsTable[year2], EK$3)=0, NotFound, SUMIFS(allFYsTable[OriginalBudget], allFYsTable[Code], SummaryTable[[#This Row],[Code]], allFYsTable[year2], EK$3))</f>
        <v>#N/A</v>
      </c>
      <c r="EL149" s="61" t="e">
        <f>SummaryTable[[#This Row],[OriginalBudget09]]-SummaryTable[[#This Row],[OriginalBudget08]]</f>
        <v>#N/A</v>
      </c>
      <c r="EM149" s="54" t="e">
        <f>SummaryTable[[#This Row],[BudgetIncreaseAmount09]]/SummaryTable[[#This Row],[OriginalBudget08]]</f>
        <v>#N/A</v>
      </c>
      <c r="EN149" s="61" t="e">
        <f>IF(COUNTIFS(allFYsTable[Code], SummaryTable[[#This Row],[Code]], allFYsTable[year2], EK$3)=0, NotFound, SUMIFS(allFYsTable[RevisedBudget], allFYsTable[Code], SummaryTable[[#This Row],[Code]], allFYsTable[year2], EK$3))</f>
        <v>#N/A</v>
      </c>
      <c r="EO149" s="61" t="e">
        <f>IF(COUNTIFS(allFYsTable[Code], SummaryTable[[#This Row],[Code]], allFYsTable[year2], EK$3)=0, NotFound, SUMIFS(allFYsTable[Actual], allFYsTable[Code], SummaryTable[[#This Row],[Code]], allFYsTable[year2], EK$3))</f>
        <v>#N/A</v>
      </c>
      <c r="EP149" s="61" t="e">
        <f>IF(COUNTIFS(allFYsTable[Code], SummaryTable[[#This Row],[Code]], allFYsTable[year2], EK$3)=0, NotFound, SUMIFS(allFYsTable[DiffAmount], allFYsTable[Code], SummaryTable[[#This Row],[Code]], allFYsTable[year2], EK$3))</f>
        <v>#N/A</v>
      </c>
      <c r="EQ149" s="63" t="e">
        <f>IF(SummaryTable[[#This Row],[OriginalBudget09]]=0, IF(SummaryTable[[#This Row],[DiffAmount09]]=0, ZeroBudgetNoSpending, ZeroBudgetWithSpending), SummaryTable[[#This Row],[DiffAmount09]]/SummaryTable[[#This Row],[OriginalBudget09]])</f>
        <v>#N/A</v>
      </c>
      <c r="ER149" s="62" t="e">
        <f>IF(COUNTIFS(allFYsTable[Code], SummaryTable[[#This Row],[Code]], allFYsTable[year2], ER$3)=0, NotFound, SUMIFS(allFYsTable[OriginalBudget], allFYsTable[Code], SummaryTable[[#This Row],[Code]], allFYsTable[year2], ER$3))</f>
        <v>#N/A</v>
      </c>
      <c r="ES149" s="61" t="e">
        <f>SummaryTable[[#This Row],[OriginalBudget08]]-SummaryTable[[#This Row],[OriginalBudget07]]</f>
        <v>#N/A</v>
      </c>
      <c r="ET149" s="54" t="e">
        <f>SummaryTable[[#This Row],[BudgetIncreaseAmount08]]/SummaryTable[[#This Row],[OriginalBudget07]]</f>
        <v>#N/A</v>
      </c>
      <c r="EU149" s="61" t="e">
        <f>IF(COUNTIFS(allFYsTable[Code], SummaryTable[[#This Row],[Code]], allFYsTable[year2], ER$3)=0, NotFound, SUMIFS(allFYsTable[RevisedBudget], allFYsTable[Code], SummaryTable[[#This Row],[Code]], allFYsTable[year2], ER$3))</f>
        <v>#N/A</v>
      </c>
      <c r="EV149" s="61" t="e">
        <f>IF(COUNTIFS(allFYsTable[Code], SummaryTable[[#This Row],[Code]], allFYsTable[year2], ER$3)=0, NotFound, SUMIFS(allFYsTable[Actual], allFYsTable[Code], SummaryTable[[#This Row],[Code]], allFYsTable[year2], ER$3))</f>
        <v>#N/A</v>
      </c>
      <c r="EW149" s="61" t="e">
        <f>IF(COUNTIFS(allFYsTable[Code], SummaryTable[[#This Row],[Code]], allFYsTable[year2], ER$3)=0, NotFound, SUMIFS(allFYsTable[DiffAmount], allFYsTable[Code], SummaryTable[[#This Row],[Code]], allFYsTable[year2], ER$3))</f>
        <v>#N/A</v>
      </c>
      <c r="EX149" s="63" t="e">
        <f>IF(SummaryTable[[#This Row],[OriginalBudget08]]=0, IF(SummaryTable[[#This Row],[DiffAmount08]]=0, ZeroBudgetNoSpending, ZeroBudgetWithSpending), SummaryTable[[#This Row],[DiffAmount08]]/SummaryTable[[#This Row],[OriginalBudget08]])</f>
        <v>#N/A</v>
      </c>
      <c r="EY149" s="62" t="e">
        <f>IF(COUNTIFS(allFYsTable[Code], SummaryTable[[#This Row],[Code]], allFYsTable[year2], EY$3)=0, NotFound, SUMIFS(allFYsTable[OriginalBudget], allFYsTable[Code], SummaryTable[[#This Row],[Code]], allFYsTable[year2], EY$3))</f>
        <v>#N/A</v>
      </c>
      <c r="EZ149" s="61" t="e">
        <f>SummaryTable[[#This Row],[OriginalBudget07]]-SummaryTable[[#This Row],[OriginalBudget06]]</f>
        <v>#N/A</v>
      </c>
      <c r="FA149" s="54" t="e">
        <f>SummaryTable[[#This Row],[BudgetIncreaseAmount07]]/SummaryTable[[#This Row],[OriginalBudget06]]</f>
        <v>#N/A</v>
      </c>
      <c r="FB149" s="61" t="e">
        <f>IF(COUNTIFS(allFYsTable[Code], SummaryTable[[#This Row],[Code]], allFYsTable[year2], EY$3)=0, NotFound, SUMIFS(allFYsTable[RevisedBudget], allFYsTable[Code], SummaryTable[[#This Row],[Code]], allFYsTable[year2], EY$3))</f>
        <v>#N/A</v>
      </c>
      <c r="FC149" s="61" t="e">
        <f>IF(COUNTIFS(allFYsTable[Code], SummaryTable[[#This Row],[Code]], allFYsTable[year2], EY$3)=0, NotFound, SUMIFS(allFYsTable[Actual], allFYsTable[Code], SummaryTable[[#This Row],[Code]], allFYsTable[year2], EY$3))</f>
        <v>#N/A</v>
      </c>
      <c r="FD149" s="61" t="e">
        <f>IF(COUNTIFS(allFYsTable[Code], SummaryTable[[#This Row],[Code]], allFYsTable[year2], EY$3)=0, NotFound, SUMIFS(allFYsTable[DiffAmount], allFYsTable[Code], SummaryTable[[#This Row],[Code]], allFYsTable[year2], EY$3))</f>
        <v>#N/A</v>
      </c>
      <c r="FE149" s="63" t="e">
        <f>IF(SummaryTable[[#This Row],[OriginalBudget07]]=0, IF(SummaryTable[[#This Row],[DiffAmount07]]=0, ZeroBudgetNoSpending, ZeroBudgetWithSpending), SummaryTable[[#This Row],[DiffAmount07]]/SummaryTable[[#This Row],[OriginalBudget07]])</f>
        <v>#N/A</v>
      </c>
      <c r="FF149" s="62" t="e">
        <f>IF(COUNTIFS(allFYsTable[Code], SummaryTable[[#This Row],[Code]], allFYsTable[year2], FF$3)=0, NotFound, SUMIFS(allFYsTable[OriginalBudget], allFYsTable[Code], SummaryTable[[#This Row],[Code]], allFYsTable[year2], FF$3))</f>
        <v>#N/A</v>
      </c>
      <c r="FI149" s="61" t="e">
        <f>IF(COUNTIFS(allFYsTable[Code], SummaryTable[[#This Row],[Code]], allFYsTable[year2], FF$3)=0, NotFound, SUMIFS(allFYsTable[RevisedBudget], allFYsTable[Code], SummaryTable[[#This Row],[Code]], allFYsTable[year2], FF$3))</f>
        <v>#N/A</v>
      </c>
      <c r="FJ149" s="61" t="e">
        <f>IF(COUNTIFS(allFYsTable[Code], SummaryTable[[#This Row],[Code]], allFYsTable[year2], FF$3)=0, NotFound, SUMIFS(allFYsTable[Actual], allFYsTable[Code], SummaryTable[[#This Row],[Code]], allFYsTable[year2], FF$3))</f>
        <v>#N/A</v>
      </c>
      <c r="FK149" s="61" t="e">
        <f>IF(COUNTIFS(allFYsTable[Code], SummaryTable[[#This Row],[Code]], allFYsTable[year2], FF$3)=0, NotFound, SUMIFS(allFYsTable[DiffAmount], allFYsTable[Code], SummaryTable[[#This Row],[Code]], allFYsTable[year2], FF$3))</f>
        <v>#N/A</v>
      </c>
      <c r="FL149" s="63" t="e">
        <f>IF(SummaryTable[[#This Row],[OriginalBudget06]]=0, IF(SummaryTable[[#This Row],[DiffAmount06]]=0, ZeroBudgetNoSpending, ZeroBudgetWithSpending), SummaryTable[[#This Row],[DiffAmount06]]/SummaryTable[[#This Row],[OriginalBudget06]])</f>
        <v>#N/A</v>
      </c>
    </row>
    <row r="150" spans="1:168" x14ac:dyDescent="0.45">
      <c r="A150" t="s">
        <v>828</v>
      </c>
      <c r="B150">
        <f>_xlfn.MAXIFS(allFYsTable[year2], allFYsTable[Code], SummaryTable[[#This Row],[Code]])</f>
        <v>2017</v>
      </c>
      <c r="C150" t="str">
        <f>_xlfn.XLOOKUP(SummaryTable[[#This Row],[Code]], NameCodingTable[Code], NameCodingTable[Most Recent Category per allFYs])</f>
        <v>Human support services</v>
      </c>
      <c r="D150" t="str">
        <f>_xlfn.XLOOKUP(SummaryTable[[#This Row],[Code]], NameCodingTable[Code], NameCodingTable[Unit Display Name])</f>
        <v>Children investment trust</v>
      </c>
      <c r="E150" t="str">
        <f>_xlfn.XLOOKUP(SummaryTable[[#This Row],[Code]], NameCodingTable[Code], NameCodingTable[Type])</f>
        <v>untyped</v>
      </c>
      <c r="F15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12</v>
      </c>
      <c r="G15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10</v>
      </c>
      <c r="H150" s="54">
        <f>SummaryTable[[#This Row],['# Over]]/SummaryTable[[#This Row],[Count]]</f>
        <v>0.83333333333333337</v>
      </c>
      <c r="I15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50" s="54">
        <f>SummaryTable[[#This Row],['# Under]]/SummaryTable[[#This Row],[Count]]</f>
        <v>0</v>
      </c>
      <c r="K15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2</v>
      </c>
      <c r="L150" s="54">
        <f>SummaryTable[[#This Row],['# Equal]]/SummaryTable[[#This Row],[Count]]</f>
        <v>0.16666666666666666</v>
      </c>
      <c r="M150" s="61">
        <f>SUMIFS(allFYsTable[OriginalBudget],allFYsTable[Code],SummaryTable[[#This Row],[Code]])/SummaryTable[[#This Row],[Count]]</f>
        <v>7649.166666666667</v>
      </c>
      <c r="N150" s="61">
        <f>SUMIFS(allFYsTable[Actual],allFYsTable[Code],SummaryTable[[#This Row],[Code]])/SummaryTable[[#This Row],[Count]]</f>
        <v>10363.416666666666</v>
      </c>
      <c r="O150" s="61">
        <f>SummaryTable[[#This Row],[AvgActAmt]]-SummaryTable[[#This Row],[AvgBudAmt]]</f>
        <v>2714.2499999999991</v>
      </c>
      <c r="P150" s="54">
        <f>IF(SummaryTable[[#This Row],[AvgBudAmt]]=0, IF(SummaryTable[[#This Row],[AvgDiff'#]]=0, 0, NamedFields!$C$3), SummaryTable[[#This Row],[AvgDiff'#]]/SummaryTable[[#This Row],[AvgBudAmt]])</f>
        <v>0.35484257544394798</v>
      </c>
      <c r="Q150" s="61">
        <f>IFERROR(SUMIFS(allFYsTable[OriginalBudget],allFYsTable[Code],SummaryTable[[#This Row],[Code]],allFYsTable[DiffAmount], "&gt;0")/SummaryTable[[#This Row],['# Over]], 0)</f>
        <v>7120</v>
      </c>
      <c r="R150" s="61">
        <f>IFERROR(SUMIFS(allFYsTable[Actual],allFYsTable[Code],SummaryTable[[#This Row],[Code]],allFYsTable[DiffAmount], "&gt;0")/SummaryTable[[#This Row],['# Over]], 0)</f>
        <v>10377.1</v>
      </c>
      <c r="S150" s="61">
        <f>SummaryTable[[#This Row],[OverAvgAct]]-SummaryTable[[#This Row],[OverAvgBud]]</f>
        <v>3257.1000000000004</v>
      </c>
      <c r="T150" s="54">
        <f>IF(SummaryTable[[#This Row],[OverAvgBud]]=0, IF(SummaryTable[[#This Row],[OverAvgDiff'#]]=0, ZeroBudgetNoSpending, ZeroBudgetWithSpending), SummaryTable[[#This Row],[OverAvgDiff'#]]/SummaryTable[[#This Row],[OverAvgBud]])</f>
        <v>0.45745786516853937</v>
      </c>
      <c r="U150" s="61">
        <f>IFERROR(SUMIFS(allFYsTable[OriginalBudget],allFYsTable[Code],SummaryTable[[#This Row],[Code]],allFYsTable[DiffAmount], "&lt;0")/SummaryTable[[#This Row],['# Under]], 0)</f>
        <v>0</v>
      </c>
      <c r="V150" s="61">
        <f>IFERROR( SUMIFS(allFYsTable[Actual],allFYsTable[Code],SummaryTable[[#This Row],[Code]],allFYsTable[DiffAmount], "&lt;0")/SummaryTable[[#This Row],['# Under]], 0)</f>
        <v>0</v>
      </c>
      <c r="W150" s="61">
        <f>SummaryTable[[#This Row],[UnderAvgAct]]-SummaryTable[[#This Row],[UnderAvgBud]]</f>
        <v>0</v>
      </c>
      <c r="X150" s="54">
        <f>IF(SummaryTable[[#This Row],[UnderAvgBud]]=0, IF(SummaryTable[[#This Row],[UnderAvgDiff'#]]=0, ZeroBudgetNoSpending, NamedFields!$C$3), SummaryTable[[#This Row],[UnderAvgDiff'#]]/SummaryTable[[#This Row],[UnderAvgBud]])</f>
        <v>0</v>
      </c>
      <c r="Y15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3</v>
      </c>
      <c r="Z15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2</v>
      </c>
      <c r="AA150" s="54">
        <f>IF(SummaryTable[[#This Row],[IncreaseYears]]=0, ZeroBudgetNoSpending, SummaryTable[[#This Row],[OSinIncreaseYear'#]]/SummaryTable[[#This Row],[IncreaseYears]])</f>
        <v>0.66666666666666663</v>
      </c>
      <c r="AB150" s="58" t="str">
        <f>SummaryTable[[#This Row],[Code]]</f>
        <v>JY0</v>
      </c>
      <c r="AC150" s="62" t="e">
        <f>IF(COUNTIFS(allFYsTable[Code], SummaryTable[[#This Row],[Code]], allFYsTable[year2], AC$3)=0, NotFound, SUMIFS(allFYsTable[OriginalBudget], allFYsTable[Code], SummaryTable[[#This Row],[Code]], allFYsTable[year2], AC$3))</f>
        <v>#N/A</v>
      </c>
      <c r="AD150" s="61" t="e">
        <f>SummaryTable[[#This Row],[OriginalBudget25]]-SummaryTable[[#This Row],[OriginalBudget24]]</f>
        <v>#N/A</v>
      </c>
      <c r="AE150" s="54" t="e">
        <f>SummaryTable[[#This Row],[BudgetIncreaseAmount25]]/SummaryTable[[#This Row],[OriginalBudget24]]</f>
        <v>#N/A</v>
      </c>
      <c r="AF150" s="61" t="e">
        <f>IF(COUNTIFS(allFYsTable[Code], SummaryTable[[#This Row],[Code]], allFYsTable[year2], AC$3)=0, NotFound, SUMIFS(allFYsTable[RevisedBudget], allFYsTable[Code], SummaryTable[[#This Row],[Code]], allFYsTable[year2], AC$3))</f>
        <v>#N/A</v>
      </c>
      <c r="AG150" s="61" t="e">
        <f>IF(COUNTIFS(allFYsTable[Code], SummaryTable[[#This Row],[Code]], allFYsTable[year2], AC$3)=0, NotFound, SUMIFS(allFYsTable[Actual], allFYsTable[Code], SummaryTable[[#This Row],[Code]], allFYsTable[year2], AC$3))</f>
        <v>#N/A</v>
      </c>
      <c r="AH150" s="61" t="e">
        <f>IF(COUNTIFS(allFYsTable[Code], SummaryTable[[#This Row],[Code]], allFYsTable[year2], AC$3)=0, NotFound, SUMIFS(allFYsTable[DiffAmount], allFYsTable[Code], SummaryTable[[#This Row],[Code]], allFYsTable[year2], AC$3))</f>
        <v>#N/A</v>
      </c>
      <c r="AI150" s="63" t="e">
        <f>IF(SummaryTable[[#This Row],[OriginalBudget25]]=0, IF(SummaryTable[[#This Row],[DiffAmount25]]=0, ZeroBudgetNoSpending, ZeroBudgetWithSpending), SummaryTable[[#This Row],[DiffAmount25]]/SummaryTable[[#This Row],[OriginalBudget25]])</f>
        <v>#N/A</v>
      </c>
      <c r="AJ150" s="62" t="e">
        <f>IF(COUNTIFS(allFYsTable[Code], SummaryTable[[#This Row],[Code]], allFYsTable[year2], AJ$3)=0, NotFound, SUMIFS(allFYsTable[OriginalBudget], allFYsTable[Code], SummaryTable[[#This Row],[Code]], allFYsTable[year2], AJ$3))</f>
        <v>#N/A</v>
      </c>
      <c r="AK150" s="61" t="e">
        <f>SummaryTable[[#This Row],[OriginalBudget24]]-SummaryTable[[#This Row],[OriginalBudget23]]</f>
        <v>#N/A</v>
      </c>
      <c r="AL150" s="54" t="e">
        <f>SummaryTable[[#This Row],[BudgetIncreaseAmount24]]/SummaryTable[[#This Row],[OriginalBudget23]]</f>
        <v>#N/A</v>
      </c>
      <c r="AM150" s="61" t="e">
        <f>IF(COUNTIFS(allFYsTable[Code], SummaryTable[[#This Row],[Code]], allFYsTable[year2], AK$3)=0, NotFound, SUMIFS(allFYsTable[RevisedBudget], allFYsTable[Code], SummaryTable[[#This Row],[Code]], allFYsTable[year2], AJ$3))</f>
        <v>#N/A</v>
      </c>
      <c r="AN150" s="61" t="e">
        <f>IF(COUNTIFS(allFYsTable[Code], SummaryTable[[#This Row],[Code]], allFYsTable[year2], AJ$3)=0, NotFound, SUMIFS(allFYsTable[Actual], allFYsTable[Code], SummaryTable[[#This Row],[Code]], allFYsTable[year2], AJ$3))</f>
        <v>#N/A</v>
      </c>
      <c r="AO150" s="61" t="e">
        <f>IF(COUNTIFS(allFYsTable[Code], SummaryTable[[#This Row],[Code]], allFYsTable[year2], AJ$3)=0, NotFound, SUMIFS(allFYsTable[DiffAmount], allFYsTable[Code], SummaryTable[[#This Row],[Code]], allFYsTable[year2], AJ$3))</f>
        <v>#N/A</v>
      </c>
      <c r="AP150" s="63" t="e">
        <f>IF(SummaryTable[[#This Row],[OriginalBudget24]]=0, IF(SummaryTable[[#This Row],[DiffAmount24]]=0, ZeroBudgetNoSpending, ZeroBudgetWithSpending), SummaryTable[[#This Row],[DiffAmount24]]/SummaryTable[[#This Row],[OriginalBudget24]])</f>
        <v>#N/A</v>
      </c>
      <c r="AQ150" s="62" t="e">
        <f>IF(COUNTIFS(allFYsTable[Code], SummaryTable[[#This Row],[Code]], allFYsTable[year2], AQ$3)=0, NotFound, SUMIFS(allFYsTable[OriginalBudget], allFYsTable[Code], SummaryTable[[#This Row],[Code]], allFYsTable[year2], AQ$3))</f>
        <v>#N/A</v>
      </c>
      <c r="AR150" s="61" t="e">
        <f>SummaryTable[[#This Row],[OriginalBudget23]]-SummaryTable[[#This Row],[OriginalBudget22]]</f>
        <v>#N/A</v>
      </c>
      <c r="AS150" s="54" t="e">
        <f>SummaryTable[[#This Row],[BudgetIncreaseAmount23]]/SummaryTable[[#This Row],[OriginalBudget22]]</f>
        <v>#N/A</v>
      </c>
      <c r="AT150" s="61" t="e">
        <f>IF(COUNTIFS(allFYsTable[Code], SummaryTable[[#This Row],[Code]], allFYsTable[year2], AQ$3)=0, NotFound, SUMIFS(allFYsTable[RevisedBudget], allFYsTable[Code], SummaryTable[[#This Row],[Code]], allFYsTable[year2], AQ$3))</f>
        <v>#N/A</v>
      </c>
      <c r="AU150" s="61" t="e">
        <f>IF(COUNTIFS(allFYsTable[Code], SummaryTable[[#This Row],[Code]], allFYsTable[year2], AQ$3)=0, NotFound, SUMIFS(allFYsTable[Actual], allFYsTable[Code], SummaryTable[[#This Row],[Code]], allFYsTable[year2], AQ$3))</f>
        <v>#N/A</v>
      </c>
      <c r="AV150" s="61" t="e">
        <f>IF(COUNTIFS(allFYsTable[Code], SummaryTable[[#This Row],[Code]], allFYsTable[year2], AQ$3)=0, NotFound, SUMIFS(allFYsTable[DiffAmount], allFYsTable[Code], SummaryTable[[#This Row],[Code]], allFYsTable[year2], AQ$3))</f>
        <v>#N/A</v>
      </c>
      <c r="AW150" s="63" t="e">
        <f>IF(SummaryTable[[#This Row],[OriginalBudget23]]=0, IF(SummaryTable[[#This Row],[DiffAmount23]]=0, ZeroBudgetNoSpending, ZeroBudgetWithSpending), SummaryTable[[#This Row],[DiffAmount23]]/SummaryTable[[#This Row],[OriginalBudget23]])</f>
        <v>#N/A</v>
      </c>
      <c r="AX150" s="62" t="e">
        <f>IF(COUNTIFS(allFYsTable[Code], SummaryTable[[#This Row],[Code]], allFYsTable[year2], AX$3)=0, NotFound, SUMIFS(allFYsTable[OriginalBudget], allFYsTable[Code], SummaryTable[[#This Row],[Code]], allFYsTable[year2], AX$3))</f>
        <v>#N/A</v>
      </c>
      <c r="AY150" s="61" t="e">
        <f>SummaryTable[[#This Row],[OriginalBudget22]]-SummaryTable[[#This Row],[OriginalBudget21]]</f>
        <v>#N/A</v>
      </c>
      <c r="AZ150" s="54" t="e">
        <f>SummaryTable[[#This Row],[BudgetIncreaseAmount22]]/SummaryTable[[#This Row],[OriginalBudget21]]</f>
        <v>#N/A</v>
      </c>
      <c r="BA150" s="61" t="e">
        <f>IF(COUNTIFS(allFYsTable[Code], SummaryTable[[#This Row],[Code]], allFYsTable[year2], AX$3)=0, NotFound, SUMIFS(allFYsTable[RevisedBudget], allFYsTable[Code], SummaryTable[[#This Row],[Code]], allFYsTable[year2], AX$3))</f>
        <v>#N/A</v>
      </c>
      <c r="BB150" s="61" t="e">
        <f>IF(COUNTIFS(allFYsTable[Code], SummaryTable[[#This Row],[Code]], allFYsTable[year2], AX$3)=0, NotFound, SUMIFS(allFYsTable[Actual], allFYsTable[Code], SummaryTable[[#This Row],[Code]], allFYsTable[year2], AX$3))</f>
        <v>#N/A</v>
      </c>
      <c r="BC150" s="61" t="e">
        <f>IF(COUNTIFS(allFYsTable[Code], SummaryTable[[#This Row],[Code]], allFYsTable[year2], AX$3)=0, NotFound, SUMIFS(allFYsTable[DiffAmount], allFYsTable[Code], SummaryTable[[#This Row],[Code]], allFYsTable[year2], AX$3))</f>
        <v>#N/A</v>
      </c>
      <c r="BD150" s="63" t="e">
        <f>IF(SummaryTable[[#This Row],[OriginalBudget22]]=0, IF(SummaryTable[[#This Row],[DiffAmount22]]=0, ZeroBudgetNoSpending, ZeroBudgetWithSpending), SummaryTable[[#This Row],[DiffAmount22]]/SummaryTable[[#This Row],[OriginalBudget22]])</f>
        <v>#N/A</v>
      </c>
      <c r="BE150" s="62" t="e">
        <f>IF(COUNTIFS(allFYsTable[Code], SummaryTable[[#This Row],[Code]], allFYsTable[year2], BE$3)=0, NotFound, SUMIFS(allFYsTable[OriginalBudget], allFYsTable[Code], SummaryTable[[#This Row],[Code]], allFYsTable[year2], BE$3))</f>
        <v>#N/A</v>
      </c>
      <c r="BF150" s="61" t="e">
        <f>SummaryTable[[#This Row],[OriginalBudget21]]-SummaryTable[[#This Row],[OriginalBudget20]]</f>
        <v>#N/A</v>
      </c>
      <c r="BG150" s="54" t="e">
        <f>SummaryTable[[#This Row],[BudgetIncreaseAmount21]]/SummaryTable[[#This Row],[OriginalBudget20]]</f>
        <v>#N/A</v>
      </c>
      <c r="BH150" s="61" t="e">
        <f>IF(COUNTIFS(allFYsTable[Code], SummaryTable[[#This Row],[Code]], allFYsTable[year2], BE$3)=0, NotFound, SUMIFS(allFYsTable[RevisedBudget], allFYsTable[Code], SummaryTable[[#This Row],[Code]], allFYsTable[year2], BE$3))</f>
        <v>#N/A</v>
      </c>
      <c r="BI150" s="61" t="e">
        <f>IF(COUNTIFS(allFYsTable[Code], SummaryTable[[#This Row],[Code]], allFYsTable[year2], BE$3)=0, NotFound, SUMIFS(allFYsTable[Actual], allFYsTable[Code], SummaryTable[[#This Row],[Code]], allFYsTable[year2], BE$3))</f>
        <v>#N/A</v>
      </c>
      <c r="BJ150" s="61" t="e">
        <f>IF(COUNTIFS(allFYsTable[Code], SummaryTable[[#This Row],[Code]], allFYsTable[year2], BE$3)=0, NotFound, SUMIFS(allFYsTable[DiffAmount], allFYsTable[Code], SummaryTable[[#This Row],[Code]], allFYsTable[year2], BE$3))</f>
        <v>#N/A</v>
      </c>
      <c r="BK150" s="63" t="e">
        <f>IF(SummaryTable[[#This Row],[OriginalBudget21]]=0, IF(SummaryTable[[#This Row],[DiffAmount21]]=0, ZeroBudgetNoSpending, ZeroBudgetWithSpending), SummaryTable[[#This Row],[DiffAmount21]]/SummaryTable[[#This Row],[OriginalBudget21]])</f>
        <v>#N/A</v>
      </c>
      <c r="BL150" s="62" t="e">
        <f>IF(COUNTIFS(allFYsTable[Code], SummaryTable[[#This Row],[Code]], allFYsTable[year2], BL$3)=0, NotFound, SUMIFS(allFYsTable[OriginalBudget], allFYsTable[Code], SummaryTable[[#This Row],[Code]], allFYsTable[year2], BL$3))</f>
        <v>#N/A</v>
      </c>
      <c r="BM150" s="61" t="e">
        <f>SummaryTable[[#This Row],[OriginalBudget20]]-SummaryTable[[#This Row],[OriginalBudget19]]</f>
        <v>#N/A</v>
      </c>
      <c r="BN150" s="54" t="e">
        <f>SummaryTable[[#This Row],[BudgetIncreaseAmount20]]/SummaryTable[[#This Row],[OriginalBudget19]]</f>
        <v>#N/A</v>
      </c>
      <c r="BO150" s="61" t="e">
        <f>IF(COUNTIFS(allFYsTable[Code], SummaryTable[[#This Row],[Code]], allFYsTable[year2], BL$3)=0, NotFound, SUMIFS(allFYsTable[RevisedBudget], allFYsTable[Code], SummaryTable[[#This Row],[Code]], allFYsTable[year2], BL$3))</f>
        <v>#N/A</v>
      </c>
      <c r="BP150" s="61" t="e">
        <f>IF(COUNTIFS(allFYsTable[Code], SummaryTable[[#This Row],[Code]], allFYsTable[year2], BL$3)=0, NotFound, SUMIFS(allFYsTable[Actual], allFYsTable[Code], SummaryTable[[#This Row],[Code]], allFYsTable[year2], BL$3))</f>
        <v>#N/A</v>
      </c>
      <c r="BQ150" s="61" t="e">
        <f>IF(COUNTIFS(allFYsTable[Code], SummaryTable[[#This Row],[Code]], allFYsTable[year2], BL$3)=0, NotFound, SUMIFS(allFYsTable[DiffAmount], allFYsTable[Code], SummaryTable[[#This Row],[Code]], allFYsTable[year2], BL$3))</f>
        <v>#N/A</v>
      </c>
      <c r="BR150" s="63" t="e">
        <f>IF(SummaryTable[[#This Row],[OriginalBudget20]]=0, IF(SummaryTable[[#This Row],[DiffAmount20]]=0, ZeroBudgetNoSpending, ZeroBudgetWithSpending), SummaryTable[[#This Row],[DiffAmount20]]/SummaryTable[[#This Row],[OriginalBudget20]])</f>
        <v>#N/A</v>
      </c>
      <c r="BS150" s="62" t="e">
        <f>IF(COUNTIFS(allFYsTable[Code], SummaryTable[[#This Row],[Code]], allFYsTable[year2], BS$3)=0, NotFound, SUMIFS(allFYsTable[OriginalBudget], allFYsTable[Code], SummaryTable[[#This Row],[Code]], allFYsTable[year2], BS$3))</f>
        <v>#N/A</v>
      </c>
      <c r="BT150" s="61" t="e">
        <f>SummaryTable[[#This Row],[OriginalBudget19]]-SummaryTable[[#This Row],[OriginalBudget18]]</f>
        <v>#N/A</v>
      </c>
      <c r="BU150" s="54" t="e">
        <f>SummaryTable[[#This Row],[BudgetIncreaseAmount19]]/SummaryTable[[#This Row],[OriginalBudget18]]</f>
        <v>#N/A</v>
      </c>
      <c r="BV150" s="61" t="e">
        <f>IF(COUNTIFS(allFYsTable[Code], SummaryTable[[#This Row],[Code]], allFYsTable[year2], BS$3)=0, NotFound, SUMIFS(allFYsTable[RevisedBudget], allFYsTable[Code], SummaryTable[[#This Row],[Code]], allFYsTable[year2], BS$3))</f>
        <v>#N/A</v>
      </c>
      <c r="BW150" s="61" t="e">
        <f>IF(COUNTIFS(allFYsTable[Code], SummaryTable[[#This Row],[Code]], allFYsTable[year2], BS$3)=0, NotFound, SUMIFS(allFYsTable[Actual], allFYsTable[Code], SummaryTable[[#This Row],[Code]], allFYsTable[year2], BS$3))</f>
        <v>#N/A</v>
      </c>
      <c r="BX150" s="61" t="e">
        <f>IF(COUNTIFS(allFYsTable[Code], SummaryTable[[#This Row],[Code]], allFYsTable[year2], BS$3)=0, NotFound, SUMIFS(allFYsTable[DiffAmount], allFYsTable[Code], SummaryTable[[#This Row],[Code]], allFYsTable[year2], BS$3))</f>
        <v>#N/A</v>
      </c>
      <c r="BY150" s="63" t="e">
        <f>IF(SummaryTable[[#This Row],[OriginalBudget19]]=0, IF(SummaryTable[[#This Row],[DiffAmount19]]=0, ZeroBudgetNoSpending, ZeroBudgetWithSpending), SummaryTable[[#This Row],[DiffAmount19]]/SummaryTable[[#This Row],[OriginalBudget19]])</f>
        <v>#N/A</v>
      </c>
      <c r="BZ150" s="62" t="e">
        <f>IF(COUNTIFS(allFYsTable[Code], SummaryTable[[#This Row],[Code]], allFYsTable[year2], BZ$3)=0, NotFound, SUMIFS(allFYsTable[OriginalBudget], allFYsTable[Code], SummaryTable[[#This Row],[Code]], allFYsTable[year2], BZ$3))</f>
        <v>#N/A</v>
      </c>
      <c r="CA150" s="61" t="e">
        <f>SummaryTable[[#This Row],[OriginalBudget18]]-SummaryTable[[#This Row],[OriginalBudget17]]</f>
        <v>#N/A</v>
      </c>
      <c r="CB150" s="54" t="e">
        <f>SummaryTable[[#This Row],[BudgetIncreaseAmount18]]/SummaryTable[[#This Row],[OriginalBudget17]]</f>
        <v>#N/A</v>
      </c>
      <c r="CC150" s="61" t="e">
        <f>IF(COUNTIFS(allFYsTable[Code], SummaryTable[[#This Row],[Code]], allFYsTable[year2], BZ$3)=0, NotFound, SUMIFS(allFYsTable[RevisedBudget], allFYsTable[Code], SummaryTable[[#This Row],[Code]], allFYsTable[year2], BZ$3))</f>
        <v>#N/A</v>
      </c>
      <c r="CD150" s="61" t="e">
        <f>IF(COUNTIFS(allFYsTable[Code], SummaryTable[[#This Row],[Code]], allFYsTable[year2], BZ$3)=0, NotFound, SUMIFS(allFYsTable[Actual], allFYsTable[Code], SummaryTable[[#This Row],[Code]], allFYsTable[year2], BZ$3))</f>
        <v>#N/A</v>
      </c>
      <c r="CE150" s="61" t="e">
        <f>IF(COUNTIFS(allFYsTable[Code], SummaryTable[[#This Row],[Code]], allFYsTable[year2], BZ$3)=0, NotFound, SUMIFS(allFYsTable[DiffAmount], allFYsTable[Code], SummaryTable[[#This Row],[Code]], allFYsTable[year2], BZ$3))</f>
        <v>#N/A</v>
      </c>
      <c r="CF150" s="63" t="e">
        <f>IF(SummaryTable[[#This Row],[OriginalBudget18]]=0, IF(SummaryTable[[#This Row],[DiffAmount18]]=0, ZeroBudgetNoSpending, ZeroBudgetWithSpending), SummaryTable[[#This Row],[DiffAmount18]]/SummaryTable[[#This Row],[OriginalBudget18]])</f>
        <v>#N/A</v>
      </c>
      <c r="CG150" s="62">
        <f>IF(COUNTIFS(allFYsTable[Code], SummaryTable[[#This Row],[Code]], allFYsTable[year2], CG$3)=0, NotFound, SUMIFS(allFYsTable[OriginalBudget], allFYsTable[Code], SummaryTable[[#This Row],[Code]], allFYsTable[year2], CG$3))</f>
        <v>4920</v>
      </c>
      <c r="CH150" s="61">
        <f>SummaryTable[[#This Row],[OriginalBudget17]]-SummaryTable[[#This Row],[OriginalBudget16]]</f>
        <v>-590</v>
      </c>
      <c r="CI150" s="54">
        <f>SummaryTable[[#This Row],[BudgetIncreaseAmount17]]/SummaryTable[[#This Row],[OriginalBudget16]]</f>
        <v>-0.10707803992740472</v>
      </c>
      <c r="CJ150" s="61">
        <f>IF(COUNTIFS(allFYsTable[Code], SummaryTable[[#This Row],[Code]], allFYsTable[year2], CG$3)=0, NotFound, SUMIFS(allFYsTable[RevisedBudget], allFYsTable[Code], SummaryTable[[#This Row],[Code]], allFYsTable[year2], CG$3))</f>
        <v>4920</v>
      </c>
      <c r="CK150" s="61">
        <f>IF(COUNTIFS(allFYsTable[Code], SummaryTable[[#This Row],[Code]], allFYsTable[year2], CG$3)=0, NotFound, SUMIFS(allFYsTable[Actual], allFYsTable[Code], SummaryTable[[#This Row],[Code]], allFYsTable[year2], CG$3))</f>
        <v>4920</v>
      </c>
      <c r="CL150" s="61">
        <f>IF(COUNTIFS(allFYsTable[Code], SummaryTable[[#This Row],[Code]], allFYsTable[year2], CG$3)=0, NotFound, SUMIFS(allFYsTable[DiffAmount], allFYsTable[Code], SummaryTable[[#This Row],[Code]], allFYsTable[year2], CG$3))</f>
        <v>0</v>
      </c>
      <c r="CM150" s="63">
        <f>IF(SummaryTable[[#This Row],[OriginalBudget17]]=0, IF(SummaryTable[[#This Row],[DiffAmount17]]=0, ZeroBudgetNoSpending, ZeroBudgetWithSpending), SummaryTable[[#This Row],[DiffAmount17]]/SummaryTable[[#This Row],[OriginalBudget17]])</f>
        <v>0</v>
      </c>
      <c r="CN150" s="62">
        <f>IF(COUNTIFS(allFYsTable[Code], SummaryTable[[#This Row],[Code]], allFYsTable[year2], CN$3)=0, NotFound, SUMIFS(allFYsTable[OriginalBudget], allFYsTable[Code], SummaryTable[[#This Row],[Code]], allFYsTable[year2], CN$3))</f>
        <v>5510</v>
      </c>
      <c r="CO150" s="61">
        <f>SummaryTable[[#This Row],[OriginalBudget16]]-SummaryTable[[#This Row],[OriginalBudget15]]</f>
        <v>2510</v>
      </c>
      <c r="CP150" s="54">
        <f>SummaryTable[[#This Row],[BudgetIncreaseAmount16]]/SummaryTable[[#This Row],[OriginalBudget15]]</f>
        <v>0.83666666666666667</v>
      </c>
      <c r="CQ150" s="61">
        <f>IF(COUNTIFS(allFYsTable[Code], SummaryTable[[#This Row],[Code]], allFYsTable[year2], CN$3)=0, NotFound, SUMIFS(allFYsTable[RevisedBudget], allFYsTable[Code], SummaryTable[[#This Row],[Code]], allFYsTable[year2], CN$3))</f>
        <v>7510</v>
      </c>
      <c r="CR150" s="61">
        <f>IF(COUNTIFS(allFYsTable[Code], SummaryTable[[#This Row],[Code]], allFYsTable[year2], CN$3)=0, NotFound, SUMIFS(allFYsTable[Actual], allFYsTable[Code], SummaryTable[[#This Row],[Code]], allFYsTable[year2], CN$3))</f>
        <v>7510</v>
      </c>
      <c r="CS150" s="61">
        <f>IF(COUNTIFS(allFYsTable[Code], SummaryTable[[#This Row],[Code]], allFYsTable[year2], CN$3)=0, NotFound, SUMIFS(allFYsTable[DiffAmount], allFYsTable[Code], SummaryTable[[#This Row],[Code]], allFYsTable[year2], CN$3))</f>
        <v>2000</v>
      </c>
      <c r="CT150" s="63">
        <f>IF(SummaryTable[[#This Row],[OriginalBudget16]]=0, IF(SummaryTable[[#This Row],[DiffAmount16]]=0, ZeroBudgetNoSpending, ZeroBudgetWithSpending), SummaryTable[[#This Row],[DiffAmount16]]/SummaryTable[[#This Row],[OriginalBudget16]])</f>
        <v>0.36297640653357532</v>
      </c>
      <c r="CU150" s="62">
        <f>IF(COUNTIFS(allFYsTable[Code], SummaryTable[[#This Row],[Code]], allFYsTable[year2], CU$3)=0, NotFound, SUMIFS(allFYsTable[OriginalBudget], allFYsTable[Code], SummaryTable[[#This Row],[Code]], allFYsTable[year2], CU$3))</f>
        <v>3000</v>
      </c>
      <c r="CV150" s="61">
        <f>SummaryTable[[#This Row],[OriginalBudget15]]-SummaryTable[[#This Row],[OriginalBudget14]]</f>
        <v>0</v>
      </c>
      <c r="CW150" s="54">
        <f>SummaryTable[[#This Row],[BudgetIncreaseAmount15]]/SummaryTable[[#This Row],[OriginalBudget14]]</f>
        <v>0</v>
      </c>
      <c r="CX150" s="61">
        <f>IF(COUNTIFS(allFYsTable[Code], SummaryTable[[#This Row],[Code]], allFYsTable[year2], CU$3)=0, NotFound, SUMIFS(allFYsTable[RevisedBudget], allFYsTable[Code], SummaryTable[[#This Row],[Code]], allFYsTable[year2], CU$3))</f>
        <v>7000</v>
      </c>
      <c r="CY150" s="61">
        <f>IF(COUNTIFS(allFYsTable[Code], SummaryTable[[#This Row],[Code]], allFYsTable[year2], CU$3)=0, NotFound, SUMIFS(allFYsTable[Actual], allFYsTable[Code], SummaryTable[[#This Row],[Code]], allFYsTable[year2], CU$3))</f>
        <v>7000</v>
      </c>
      <c r="CZ150" s="61">
        <f>IF(COUNTIFS(allFYsTable[Code], SummaryTable[[#This Row],[Code]], allFYsTable[year2], CU$3)=0, NotFound, SUMIFS(allFYsTable[DiffAmount], allFYsTable[Code], SummaryTable[[#This Row],[Code]], allFYsTable[year2], CU$3))</f>
        <v>4000</v>
      </c>
      <c r="DA150" s="63">
        <f>IF(SummaryTable[[#This Row],[OriginalBudget15]]=0, IF(SummaryTable[[#This Row],[DiffAmount15]]=0, ZeroBudgetNoSpending, ZeroBudgetWithSpending), SummaryTable[[#This Row],[DiffAmount15]]/SummaryTable[[#This Row],[OriginalBudget15]])</f>
        <v>1.3333333333333333</v>
      </c>
      <c r="DB150" s="62">
        <f>IF(COUNTIFS(allFYsTable[Code], SummaryTable[[#This Row],[Code]], allFYsTable[year2], DB$3)=0, NotFound, SUMIFS(allFYsTable[OriginalBudget], allFYsTable[Code], SummaryTable[[#This Row],[Code]], allFYsTable[year2], DB$3))</f>
        <v>3000</v>
      </c>
      <c r="DC150" s="61">
        <f>SummaryTable[[#This Row],[OriginalBudget14]]-SummaryTable[[#This Row],[OriginalBudget13]]</f>
        <v>0</v>
      </c>
      <c r="DD150" s="54">
        <f>SummaryTable[[#This Row],[BudgetIncreaseAmount14]]/SummaryTable[[#This Row],[OriginalBudget13]]</f>
        <v>0</v>
      </c>
      <c r="DE150" s="61">
        <f>IF(COUNTIFS(allFYsTable[Code], SummaryTable[[#This Row],[Code]], allFYsTable[year2], DB$3)=0, NotFound, SUMIFS(allFYsTable[RevisedBudget], allFYsTable[Code], SummaryTable[[#This Row],[Code]], allFYsTable[year2], DB$3))</f>
        <v>11400</v>
      </c>
      <c r="DF150" s="61">
        <f>IF(COUNTIFS(allFYsTable[Code], SummaryTable[[#This Row],[Code]], allFYsTable[year2], DB$3)=0, NotFound, SUMIFS(allFYsTable[Actual], allFYsTable[Code], SummaryTable[[#This Row],[Code]], allFYsTable[year2], DB$3))</f>
        <v>11400</v>
      </c>
      <c r="DG150" s="61">
        <f>IF(COUNTIFS(allFYsTable[Code], SummaryTable[[#This Row],[Code]], allFYsTable[year2], DB$3)=0, NotFound, SUMIFS(allFYsTable[DiffAmount], allFYsTable[Code], SummaryTable[[#This Row],[Code]], allFYsTable[year2], DB$3))</f>
        <v>8400</v>
      </c>
      <c r="DH150" s="63">
        <f>IF(SummaryTable[[#This Row],[OriginalBudget14]]=0, IF(SummaryTable[[#This Row],[DiffAmount14]]=0, ZeroBudgetNoSpending, ZeroBudgetWithSpending), SummaryTable[[#This Row],[DiffAmount14]]/SummaryTable[[#This Row],[OriginalBudget14]])</f>
        <v>2.8</v>
      </c>
      <c r="DI150" s="62">
        <f>IF(COUNTIFS(allFYsTable[Code], SummaryTable[[#This Row],[Code]], allFYsTable[year2], DI$3)=0, NotFound, SUMIFS(allFYsTable[OriginalBudget], allFYsTable[Code], SummaryTable[[#This Row],[Code]], allFYsTable[year2], DI$3))</f>
        <v>3000</v>
      </c>
      <c r="DJ150" s="61">
        <f>SummaryTable[[#This Row],[OriginalBudget13]]-SummaryTable[[#This Row],[OriginalBudget12]]</f>
        <v>0</v>
      </c>
      <c r="DK150" s="54">
        <f>SummaryTable[[#This Row],[BudgetIncreaseAmount13]]/SummaryTable[[#This Row],[OriginalBudget12]]</f>
        <v>0</v>
      </c>
      <c r="DL150" s="61">
        <f>IF(COUNTIFS(allFYsTable[Code], SummaryTable[[#This Row],[Code]], allFYsTable[year2], DI$3)=0, NotFound, SUMIFS(allFYsTable[RevisedBudget], allFYsTable[Code], SummaryTable[[#This Row],[Code]], allFYsTable[year2], DI$3))</f>
        <v>6500</v>
      </c>
      <c r="DM150" s="61">
        <f>IF(COUNTIFS(allFYsTable[Code], SummaryTable[[#This Row],[Code]], allFYsTable[year2], DI$3)=0, NotFound, SUMIFS(allFYsTable[Actual], allFYsTable[Code], SummaryTable[[#This Row],[Code]], allFYsTable[year2], DI$3))</f>
        <v>6500</v>
      </c>
      <c r="DN150" s="61">
        <f>IF(COUNTIFS(allFYsTable[Code], SummaryTable[[#This Row],[Code]], allFYsTable[year2], DI$3)=0, NotFound, SUMIFS(allFYsTable[DiffAmount], allFYsTable[Code], SummaryTable[[#This Row],[Code]], allFYsTable[year2], DI$3))</f>
        <v>3500</v>
      </c>
      <c r="DO150" s="63">
        <f>IF(SummaryTable[[#This Row],[OriginalBudget13]]=0, IF(SummaryTable[[#This Row],[DiffAmount13]]=0, ZeroBudgetNoSpending, ZeroBudgetWithSpending), SummaryTable[[#This Row],[DiffAmount13]]/SummaryTable[[#This Row],[OriginalBudget13]])</f>
        <v>1.1666666666666667</v>
      </c>
      <c r="DP150" s="62">
        <f>IF(COUNTIFS(allFYsTable[Code], SummaryTable[[#This Row],[Code]], allFYsTable[year2], DP$3)=0, NotFound, SUMIFS(allFYsTable[OriginalBudget], allFYsTable[Code], SummaryTable[[#This Row],[Code]], allFYsTable[year2], DP$3))</f>
        <v>3000</v>
      </c>
      <c r="DQ150" s="61">
        <f>SummaryTable[[#This Row],[OriginalBudget12]]-SummaryTable[[#This Row],[OriginalBudget11]]</f>
        <v>-1625</v>
      </c>
      <c r="DR150" s="54">
        <f>SummaryTable[[#This Row],[BudgetIncreaseAmount12]]/SummaryTable[[#This Row],[OriginalBudget11]]</f>
        <v>-0.35135135135135137</v>
      </c>
      <c r="DS150" s="61">
        <f>IF(COUNTIFS(allFYsTable[Code], SummaryTable[[#This Row],[Code]], allFYsTable[year2], DP$3)=0, NotFound, SUMIFS(allFYsTable[RevisedBudget], allFYsTable[Code], SummaryTable[[#This Row],[Code]], allFYsTable[year2], DP$3))</f>
        <v>3989</v>
      </c>
      <c r="DT150" s="61">
        <f>IF(COUNTIFS(allFYsTable[Code], SummaryTable[[#This Row],[Code]], allFYsTable[year2], DP$3)=0, NotFound, SUMIFS(allFYsTable[Actual], allFYsTable[Code], SummaryTable[[#This Row],[Code]], allFYsTable[year2], DP$3))</f>
        <v>3989</v>
      </c>
      <c r="DU150" s="61">
        <f>IF(COUNTIFS(allFYsTable[Code], SummaryTable[[#This Row],[Code]], allFYsTable[year2], DP$3)=0, NotFound, SUMIFS(allFYsTable[DiffAmount], allFYsTable[Code], SummaryTable[[#This Row],[Code]], allFYsTable[year2], DP$3))</f>
        <v>989</v>
      </c>
      <c r="DV150" s="63">
        <f>IF(SummaryTable[[#This Row],[OriginalBudget12]]=0, IF(SummaryTable[[#This Row],[DiffAmount12]]=0, ZeroBudgetNoSpending, ZeroBudgetWithSpending), SummaryTable[[#This Row],[DiffAmount12]]/SummaryTable[[#This Row],[OriginalBudget12]])</f>
        <v>0.32966666666666666</v>
      </c>
      <c r="DW150" s="62">
        <f>IF(COUNTIFS(allFYsTable[Code], SummaryTable[[#This Row],[Code]], allFYsTable[year2], DW$3)=0, NotFound, SUMIFS(allFYsTable[OriginalBudget], allFYsTable[Code], SummaryTable[[#This Row],[Code]], allFYsTable[year2], DW$3))</f>
        <v>4625</v>
      </c>
      <c r="DX150" s="61">
        <f>SummaryTable[[#This Row],[OriginalBudget11]]-SummaryTable[[#This Row],[OriginalBudget10]]</f>
        <v>-5977</v>
      </c>
      <c r="DY150" s="54">
        <f>SummaryTable[[#This Row],[BudgetIncreaseAmount11]]/SummaryTable[[#This Row],[OriginalBudget10]]</f>
        <v>-0.56376155442369369</v>
      </c>
      <c r="DZ150" s="61">
        <f>IF(COUNTIFS(allFYsTable[Code], SummaryTable[[#This Row],[Code]], allFYsTable[year2], DW$3)=0, NotFound, SUMIFS(allFYsTable[RevisedBudget], allFYsTable[Code], SummaryTable[[#This Row],[Code]], allFYsTable[year2], DW$3))</f>
        <v>5120</v>
      </c>
      <c r="EA150" s="61">
        <f>IF(COUNTIFS(allFYsTable[Code], SummaryTable[[#This Row],[Code]], allFYsTable[year2], DW$3)=0, NotFound, SUMIFS(allFYsTable[Actual], allFYsTable[Code], SummaryTable[[#This Row],[Code]], allFYsTable[year2], DW$3))</f>
        <v>5120</v>
      </c>
      <c r="EB150" s="61">
        <f>IF(COUNTIFS(allFYsTable[Code], SummaryTable[[#This Row],[Code]], allFYsTable[year2], DW$3)=0, NotFound, SUMIFS(allFYsTable[DiffAmount], allFYsTable[Code], SummaryTable[[#This Row],[Code]], allFYsTable[year2], DW$3))</f>
        <v>495</v>
      </c>
      <c r="EC150" s="63">
        <f>IF(SummaryTable[[#This Row],[OriginalBudget11]]=0, IF(SummaryTable[[#This Row],[DiffAmount11]]=0, ZeroBudgetNoSpending, ZeroBudgetWithSpending), SummaryTable[[#This Row],[DiffAmount11]]/SummaryTable[[#This Row],[OriginalBudget11]])</f>
        <v>0.10702702702702703</v>
      </c>
      <c r="ED150" s="62">
        <f>IF(COUNTIFS(allFYsTable[Code], SummaryTable[[#This Row],[Code]], allFYsTable[year2], ED$3)=0, NotFound, SUMIFS(allFYsTable[OriginalBudget], allFYsTable[Code], SummaryTable[[#This Row],[Code]], allFYsTable[year2], ED$3))</f>
        <v>10602</v>
      </c>
      <c r="EE150" s="61">
        <f>SummaryTable[[#This Row],[OriginalBudget10]]-SummaryTable[[#This Row],[OriginalBudget09]]</f>
        <v>-7858</v>
      </c>
      <c r="EF150" s="54">
        <f>SummaryTable[[#This Row],[BudgetIncreaseAmount10]]/SummaryTable[[#This Row],[OriginalBudget09]]</f>
        <v>-0.42567713976164678</v>
      </c>
      <c r="EG150" s="61">
        <f>IF(COUNTIFS(allFYsTable[Code], SummaryTable[[#This Row],[Code]], allFYsTable[year2], ED$3)=0, NotFound, SUMIFS(allFYsTable[RevisedBudget], allFYsTable[Code], SummaryTable[[#This Row],[Code]], allFYsTable[year2], ED$3))</f>
        <v>10602</v>
      </c>
      <c r="EH150" s="61">
        <f>IF(COUNTIFS(allFYsTable[Code], SummaryTable[[#This Row],[Code]], allFYsTable[year2], ED$3)=0, NotFound, SUMIFS(allFYsTable[Actual], allFYsTable[Code], SummaryTable[[#This Row],[Code]], allFYsTable[year2], ED$3))</f>
        <v>10602</v>
      </c>
      <c r="EI150" s="61">
        <f>IF(COUNTIFS(allFYsTable[Code], SummaryTable[[#This Row],[Code]], allFYsTable[year2], ED$3)=0, NotFound, SUMIFS(allFYsTable[DiffAmount], allFYsTable[Code], SummaryTable[[#This Row],[Code]], allFYsTable[year2], ED$3))</f>
        <v>0</v>
      </c>
      <c r="EJ150" s="63">
        <f>IF(SummaryTable[[#This Row],[OriginalBudget10]]=0, IF(SummaryTable[[#This Row],[DiffAmount10]]=0, ZeroBudgetNoSpending, ZeroBudgetWithSpending), SummaryTable[[#This Row],[DiffAmount10]]/SummaryTable[[#This Row],[OriginalBudget10]])</f>
        <v>0</v>
      </c>
      <c r="EK150" s="62">
        <f>IF(COUNTIFS(allFYsTable[Code], SummaryTable[[#This Row],[Code]], allFYsTable[year2], EK$3)=0, NotFound, SUMIFS(allFYsTable[OriginalBudget], allFYsTable[Code], SummaryTable[[#This Row],[Code]], allFYsTable[year2], EK$3))</f>
        <v>18460</v>
      </c>
      <c r="EL150" s="61">
        <f>SummaryTable[[#This Row],[OriginalBudget09]]-SummaryTable[[#This Row],[OriginalBudget08]]</f>
        <v>4430</v>
      </c>
      <c r="EM150" s="54">
        <f>SummaryTable[[#This Row],[BudgetIncreaseAmount09]]/SummaryTable[[#This Row],[OriginalBudget08]]</f>
        <v>0.31575196008553102</v>
      </c>
      <c r="EN150" s="61">
        <f>IF(COUNTIFS(allFYsTable[Code], SummaryTable[[#This Row],[Code]], allFYsTable[year2], EK$3)=0, NotFound, SUMIFS(allFYsTable[RevisedBudget], allFYsTable[Code], SummaryTable[[#This Row],[Code]], allFYsTable[year2], EK$3))</f>
        <v>19100</v>
      </c>
      <c r="EO150" s="61">
        <f>IF(COUNTIFS(allFYsTable[Code], SummaryTable[[#This Row],[Code]], allFYsTable[year2], EK$3)=0, NotFound, SUMIFS(allFYsTable[Actual], allFYsTable[Code], SummaryTable[[#This Row],[Code]], allFYsTable[year2], EK$3))</f>
        <v>19100</v>
      </c>
      <c r="EP150" s="61">
        <f>IF(COUNTIFS(allFYsTable[Code], SummaryTable[[#This Row],[Code]], allFYsTable[year2], EK$3)=0, NotFound, SUMIFS(allFYsTable[DiffAmount], allFYsTable[Code], SummaryTable[[#This Row],[Code]], allFYsTable[year2], EK$3))</f>
        <v>640</v>
      </c>
      <c r="EQ150" s="63">
        <f>IF(SummaryTable[[#This Row],[OriginalBudget09]]=0, IF(SummaryTable[[#This Row],[DiffAmount09]]=0, ZeroBudgetNoSpending, ZeroBudgetWithSpending), SummaryTable[[#This Row],[DiffAmount09]]/SummaryTable[[#This Row],[OriginalBudget09]])</f>
        <v>3.4669555796316358E-2</v>
      </c>
      <c r="ER150" s="62">
        <f>IF(COUNTIFS(allFYsTable[Code], SummaryTable[[#This Row],[Code]], allFYsTable[year2], ER$3)=0, NotFound, SUMIFS(allFYsTable[OriginalBudget], allFYsTable[Code], SummaryTable[[#This Row],[Code]], allFYsTable[year2], ER$3))</f>
        <v>14030</v>
      </c>
      <c r="ES150" s="61">
        <f>SummaryTable[[#This Row],[OriginalBudget08]]-SummaryTable[[#This Row],[OriginalBudget07]]</f>
        <v>5523</v>
      </c>
      <c r="ET150" s="54">
        <f>SummaryTable[[#This Row],[BudgetIncreaseAmount08]]/SummaryTable[[#This Row],[OriginalBudget07]]</f>
        <v>0.64923004584459854</v>
      </c>
      <c r="EU150" s="61">
        <f>IF(COUNTIFS(allFYsTable[Code], SummaryTable[[#This Row],[Code]], allFYsTable[year2], ER$3)=0, NotFound, SUMIFS(allFYsTable[RevisedBudget], allFYsTable[Code], SummaryTable[[#This Row],[Code]], allFYsTable[year2], ER$3))</f>
        <v>20811</v>
      </c>
      <c r="EV150" s="61">
        <f>IF(COUNTIFS(allFYsTable[Code], SummaryTable[[#This Row],[Code]], allFYsTable[year2], ER$3)=0, NotFound, SUMIFS(allFYsTable[Actual], allFYsTable[Code], SummaryTable[[#This Row],[Code]], allFYsTable[year2], ER$3))</f>
        <v>20811</v>
      </c>
      <c r="EW150" s="61">
        <f>IF(COUNTIFS(allFYsTable[Code], SummaryTable[[#This Row],[Code]], allFYsTable[year2], ER$3)=0, NotFound, SUMIFS(allFYsTable[DiffAmount], allFYsTable[Code], SummaryTable[[#This Row],[Code]], allFYsTable[year2], ER$3))</f>
        <v>6781</v>
      </c>
      <c r="EX150" s="63">
        <f>IF(SummaryTable[[#This Row],[OriginalBudget08]]=0, IF(SummaryTable[[#This Row],[DiffAmount08]]=0, ZeroBudgetNoSpending, ZeroBudgetWithSpending), SummaryTable[[#This Row],[DiffAmount08]]/SummaryTable[[#This Row],[OriginalBudget08]])</f>
        <v>0.48332145402708482</v>
      </c>
      <c r="EY150" s="62">
        <f>IF(COUNTIFS(allFYsTable[Code], SummaryTable[[#This Row],[Code]], allFYsTable[year2], EY$3)=0, NotFound, SUMIFS(allFYsTable[OriginalBudget], allFYsTable[Code], SummaryTable[[#This Row],[Code]], allFYsTable[year2], EY$3))</f>
        <v>8507</v>
      </c>
      <c r="EZ150" s="61">
        <f>SummaryTable[[#This Row],[OriginalBudget07]]-SummaryTable[[#This Row],[OriginalBudget06]]</f>
        <v>439</v>
      </c>
      <c r="FA150" s="54">
        <f>SummaryTable[[#This Row],[BudgetIncreaseAmount07]]/SummaryTable[[#This Row],[OriginalBudget06]]</f>
        <v>5.4412493802677243E-2</v>
      </c>
      <c r="FB150" s="61">
        <f>IF(COUNTIFS(allFYsTable[Code], SummaryTable[[#This Row],[Code]], allFYsTable[year2], EY$3)=0, NotFound, SUMIFS(allFYsTable[RevisedBudget], allFYsTable[Code], SummaryTable[[#This Row],[Code]], allFYsTable[year2], EY$3))</f>
        <v>13092</v>
      </c>
      <c r="FC150" s="61">
        <f>IF(COUNTIFS(allFYsTable[Code], SummaryTable[[#This Row],[Code]], allFYsTable[year2], EY$3)=0, NotFound, SUMIFS(allFYsTable[Actual], allFYsTable[Code], SummaryTable[[#This Row],[Code]], allFYsTable[year2], EY$3))</f>
        <v>13092</v>
      </c>
      <c r="FD150" s="61">
        <f>IF(COUNTIFS(allFYsTable[Code], SummaryTable[[#This Row],[Code]], allFYsTable[year2], EY$3)=0, NotFound, SUMIFS(allFYsTable[DiffAmount], allFYsTable[Code], SummaryTable[[#This Row],[Code]], allFYsTable[year2], EY$3))</f>
        <v>4585</v>
      </c>
      <c r="FE150" s="63">
        <f>IF(SummaryTable[[#This Row],[OriginalBudget07]]=0, IF(SummaryTable[[#This Row],[DiffAmount07]]=0, ZeroBudgetNoSpending, ZeroBudgetWithSpending), SummaryTable[[#This Row],[DiffAmount07]]/SummaryTable[[#This Row],[OriginalBudget07]])</f>
        <v>0.53896790878100387</v>
      </c>
      <c r="FF150" s="62">
        <f>IF(COUNTIFS(allFYsTable[Code], SummaryTable[[#This Row],[Code]], allFYsTable[year2], FF$3)=0, NotFound, SUMIFS(allFYsTable[OriginalBudget], allFYsTable[Code], SummaryTable[[#This Row],[Code]], allFYsTable[year2], FF$3))</f>
        <v>8068</v>
      </c>
      <c r="FI150" s="61">
        <f>IF(COUNTIFS(allFYsTable[Code], SummaryTable[[#This Row],[Code]], allFYsTable[year2], FF$3)=0, NotFound, SUMIFS(allFYsTable[RevisedBudget], allFYsTable[Code], SummaryTable[[#This Row],[Code]], allFYsTable[year2], FF$3))</f>
        <v>9249</v>
      </c>
      <c r="FJ150" s="61">
        <f>IF(COUNTIFS(allFYsTable[Code], SummaryTable[[#This Row],[Code]], allFYsTable[year2], FF$3)=0, NotFound, SUMIFS(allFYsTable[Actual], allFYsTable[Code], SummaryTable[[#This Row],[Code]], allFYsTable[year2], FF$3))</f>
        <v>9249</v>
      </c>
      <c r="FK150" s="61">
        <f>IF(COUNTIFS(allFYsTable[Code], SummaryTable[[#This Row],[Code]], allFYsTable[year2], FF$3)=0, NotFound, SUMIFS(allFYsTable[DiffAmount], allFYsTable[Code], SummaryTable[[#This Row],[Code]], allFYsTable[year2], FF$3))</f>
        <v>1181</v>
      </c>
      <c r="FL150" s="63">
        <f>IF(SummaryTable[[#This Row],[OriginalBudget06]]=0, IF(SummaryTable[[#This Row],[DiffAmount06]]=0, ZeroBudgetNoSpending, ZeroBudgetWithSpending), SummaryTable[[#This Row],[DiffAmount06]]/SummaryTable[[#This Row],[OriginalBudget06]])</f>
        <v>0.1463807635101636</v>
      </c>
    </row>
    <row r="151" spans="1:168" x14ac:dyDescent="0.45">
      <c r="A151" t="s">
        <v>830</v>
      </c>
      <c r="B151">
        <f>_xlfn.MAXIFS(allFYsTable[year2], allFYsTable[Code], SummaryTable[[#This Row],[Code]])</f>
        <v>2017</v>
      </c>
      <c r="C151" t="str">
        <f>_xlfn.XLOOKUP(SummaryTable[[#This Row],[Code]], NameCodingTable[Code], NameCodingTable[Most Recent Category per allFYs])</f>
        <v>Other</v>
      </c>
      <c r="D151" t="str">
        <f>_xlfn.XLOOKUP(SummaryTable[[#This Row],[Code]], NameCodingTable[Code], NameCodingTable[Unit Display Name])</f>
        <v>Interest expense on short-term borrowing</v>
      </c>
      <c r="E151" t="str">
        <f>_xlfn.XLOOKUP(SummaryTable[[#This Row],[Code]], NameCodingTable[Code], NameCodingTable[Type])</f>
        <v>untyped</v>
      </c>
      <c r="F15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12</v>
      </c>
      <c r="G15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151" s="54">
        <f>SummaryTable[[#This Row],['# Over]]/SummaryTable[[#This Row],[Count]]</f>
        <v>0.16666666666666666</v>
      </c>
      <c r="I15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151" s="54">
        <f>SummaryTable[[#This Row],['# Under]]/SummaryTable[[#This Row],[Count]]</f>
        <v>0.83333333333333337</v>
      </c>
      <c r="K15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51" s="54">
        <f>SummaryTable[[#This Row],['# Equal]]/SummaryTable[[#This Row],[Count]]</f>
        <v>0</v>
      </c>
      <c r="M151" s="61">
        <f>SUMIFS(allFYsTable[OriginalBudget],allFYsTable[Code],SummaryTable[[#This Row],[Code]])/SummaryTable[[#This Row],[Count]]</f>
        <v>5991.583333333333</v>
      </c>
      <c r="N151" s="61">
        <f>SUMIFS(allFYsTable[Actual],allFYsTable[Code],SummaryTable[[#This Row],[Code]])/SummaryTable[[#This Row],[Count]]</f>
        <v>3676.0833333333335</v>
      </c>
      <c r="O151" s="61">
        <f>SummaryTable[[#This Row],[AvgActAmt]]-SummaryTable[[#This Row],[AvgBudAmt]]</f>
        <v>-2315.4999999999995</v>
      </c>
      <c r="P151" s="54">
        <f>IF(SummaryTable[[#This Row],[AvgBudAmt]]=0, IF(SummaryTable[[#This Row],[AvgDiff'#]]=0, 0, NamedFields!$C$3), SummaryTable[[#This Row],[AvgDiff'#]]/SummaryTable[[#This Row],[AvgBudAmt]])</f>
        <v>-0.38645878245872678</v>
      </c>
      <c r="Q151" s="61">
        <f>IFERROR(SUMIFS(allFYsTable[OriginalBudget],allFYsTable[Code],SummaryTable[[#This Row],[Code]],allFYsTable[DiffAmount], "&gt;0")/SummaryTable[[#This Row],['# Over]], 0)</f>
        <v>8750</v>
      </c>
      <c r="R151" s="61">
        <f>IFERROR(SUMIFS(allFYsTable[Actual],allFYsTable[Code],SummaryTable[[#This Row],[Code]],allFYsTable[DiffAmount], "&gt;0")/SummaryTable[[#This Row],['# Over]], 0)</f>
        <v>9885.5</v>
      </c>
      <c r="S151" s="61">
        <f>SummaryTable[[#This Row],[OverAvgAct]]-SummaryTable[[#This Row],[OverAvgBud]]</f>
        <v>1135.5</v>
      </c>
      <c r="T151" s="54">
        <f>IF(SummaryTable[[#This Row],[OverAvgBud]]=0, IF(SummaryTable[[#This Row],[OverAvgDiff'#]]=0, ZeroBudgetNoSpending, ZeroBudgetWithSpending), SummaryTable[[#This Row],[OverAvgDiff'#]]/SummaryTable[[#This Row],[OverAvgBud]])</f>
        <v>0.12977142857142857</v>
      </c>
      <c r="U151" s="61">
        <f>IFERROR(SUMIFS(allFYsTable[OriginalBudget],allFYsTable[Code],SummaryTable[[#This Row],[Code]],allFYsTable[DiffAmount], "&lt;0")/SummaryTable[[#This Row],['# Under]], 0)</f>
        <v>5439.9</v>
      </c>
      <c r="V151" s="61">
        <f>IFERROR( SUMIFS(allFYsTable[Actual],allFYsTable[Code],SummaryTable[[#This Row],[Code]],allFYsTable[DiffAmount], "&lt;0")/SummaryTable[[#This Row],['# Under]], 0)</f>
        <v>2434.1999999999998</v>
      </c>
      <c r="W151" s="61">
        <f>SummaryTable[[#This Row],[UnderAvgAct]]-SummaryTable[[#This Row],[UnderAvgBud]]</f>
        <v>-3005.7</v>
      </c>
      <c r="X151" s="54">
        <f>IF(SummaryTable[[#This Row],[UnderAvgBud]]=0, IF(SummaryTable[[#This Row],[UnderAvgDiff'#]]=0, ZeroBudgetNoSpending, NamedFields!$C$3), SummaryTable[[#This Row],[UnderAvgDiff'#]]/SummaryTable[[#This Row],[UnderAvgBud]])</f>
        <v>-0.55252853912755751</v>
      </c>
      <c r="Y15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15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1" s="54">
        <f>IF(SummaryTable[[#This Row],[IncreaseYears]]=0, ZeroBudgetNoSpending, SummaryTable[[#This Row],[OSinIncreaseYear'#]]/SummaryTable[[#This Row],[IncreaseYears]])</f>
        <v>0</v>
      </c>
      <c r="AB151" s="58" t="str">
        <f>SummaryTable[[#This Row],[Code]]</f>
        <v>ZA0</v>
      </c>
      <c r="AC151" s="62" t="e">
        <f>IF(COUNTIFS(allFYsTable[Code], SummaryTable[[#This Row],[Code]], allFYsTable[year2], AC$3)=0, NotFound, SUMIFS(allFYsTable[OriginalBudget], allFYsTable[Code], SummaryTable[[#This Row],[Code]], allFYsTable[year2], AC$3))</f>
        <v>#N/A</v>
      </c>
      <c r="AD151" s="61" t="e">
        <f>SummaryTable[[#This Row],[OriginalBudget25]]-SummaryTable[[#This Row],[OriginalBudget24]]</f>
        <v>#N/A</v>
      </c>
      <c r="AE151" s="54" t="e">
        <f>SummaryTable[[#This Row],[BudgetIncreaseAmount25]]/SummaryTable[[#This Row],[OriginalBudget24]]</f>
        <v>#N/A</v>
      </c>
      <c r="AF151" s="61" t="e">
        <f>IF(COUNTIFS(allFYsTable[Code], SummaryTable[[#This Row],[Code]], allFYsTable[year2], AC$3)=0, NotFound, SUMIFS(allFYsTable[RevisedBudget], allFYsTable[Code], SummaryTable[[#This Row],[Code]], allFYsTable[year2], AC$3))</f>
        <v>#N/A</v>
      </c>
      <c r="AG151" s="61" t="e">
        <f>IF(COUNTIFS(allFYsTable[Code], SummaryTable[[#This Row],[Code]], allFYsTable[year2], AC$3)=0, NotFound, SUMIFS(allFYsTable[Actual], allFYsTable[Code], SummaryTable[[#This Row],[Code]], allFYsTable[year2], AC$3))</f>
        <v>#N/A</v>
      </c>
      <c r="AH151" s="61" t="e">
        <f>IF(COUNTIFS(allFYsTable[Code], SummaryTable[[#This Row],[Code]], allFYsTable[year2], AC$3)=0, NotFound, SUMIFS(allFYsTable[DiffAmount], allFYsTable[Code], SummaryTable[[#This Row],[Code]], allFYsTable[year2], AC$3))</f>
        <v>#N/A</v>
      </c>
      <c r="AI151" s="63" t="e">
        <f>IF(SummaryTable[[#This Row],[OriginalBudget25]]=0, IF(SummaryTable[[#This Row],[DiffAmount25]]=0, ZeroBudgetNoSpending, ZeroBudgetWithSpending), SummaryTable[[#This Row],[DiffAmount25]]/SummaryTable[[#This Row],[OriginalBudget25]])</f>
        <v>#N/A</v>
      </c>
      <c r="AJ151" s="62" t="e">
        <f>IF(COUNTIFS(allFYsTable[Code], SummaryTable[[#This Row],[Code]], allFYsTable[year2], AJ$3)=0, NotFound, SUMIFS(allFYsTable[OriginalBudget], allFYsTable[Code], SummaryTable[[#This Row],[Code]], allFYsTable[year2], AJ$3))</f>
        <v>#N/A</v>
      </c>
      <c r="AK151" s="61" t="e">
        <f>SummaryTable[[#This Row],[OriginalBudget24]]-SummaryTable[[#This Row],[OriginalBudget23]]</f>
        <v>#N/A</v>
      </c>
      <c r="AL151" s="54" t="e">
        <f>SummaryTable[[#This Row],[BudgetIncreaseAmount24]]/SummaryTable[[#This Row],[OriginalBudget23]]</f>
        <v>#N/A</v>
      </c>
      <c r="AM151" s="61" t="e">
        <f>IF(COUNTIFS(allFYsTable[Code], SummaryTable[[#This Row],[Code]], allFYsTable[year2], AK$3)=0, NotFound, SUMIFS(allFYsTable[RevisedBudget], allFYsTable[Code], SummaryTable[[#This Row],[Code]], allFYsTable[year2], AJ$3))</f>
        <v>#N/A</v>
      </c>
      <c r="AN151" s="61" t="e">
        <f>IF(COUNTIFS(allFYsTable[Code], SummaryTable[[#This Row],[Code]], allFYsTable[year2], AJ$3)=0, NotFound, SUMIFS(allFYsTable[Actual], allFYsTable[Code], SummaryTable[[#This Row],[Code]], allFYsTable[year2], AJ$3))</f>
        <v>#N/A</v>
      </c>
      <c r="AO151" s="61" t="e">
        <f>IF(COUNTIFS(allFYsTable[Code], SummaryTable[[#This Row],[Code]], allFYsTable[year2], AJ$3)=0, NotFound, SUMIFS(allFYsTable[DiffAmount], allFYsTable[Code], SummaryTable[[#This Row],[Code]], allFYsTable[year2], AJ$3))</f>
        <v>#N/A</v>
      </c>
      <c r="AP151" s="63" t="e">
        <f>IF(SummaryTable[[#This Row],[OriginalBudget24]]=0, IF(SummaryTable[[#This Row],[DiffAmount24]]=0, ZeroBudgetNoSpending, ZeroBudgetWithSpending), SummaryTable[[#This Row],[DiffAmount24]]/SummaryTable[[#This Row],[OriginalBudget24]])</f>
        <v>#N/A</v>
      </c>
      <c r="AQ151" s="62" t="e">
        <f>IF(COUNTIFS(allFYsTable[Code], SummaryTable[[#This Row],[Code]], allFYsTable[year2], AQ$3)=0, NotFound, SUMIFS(allFYsTable[OriginalBudget], allFYsTable[Code], SummaryTable[[#This Row],[Code]], allFYsTable[year2], AQ$3))</f>
        <v>#N/A</v>
      </c>
      <c r="AR151" s="61" t="e">
        <f>SummaryTable[[#This Row],[OriginalBudget23]]-SummaryTable[[#This Row],[OriginalBudget22]]</f>
        <v>#N/A</v>
      </c>
      <c r="AS151" s="54" t="e">
        <f>SummaryTable[[#This Row],[BudgetIncreaseAmount23]]/SummaryTable[[#This Row],[OriginalBudget22]]</f>
        <v>#N/A</v>
      </c>
      <c r="AT151" s="61" t="e">
        <f>IF(COUNTIFS(allFYsTable[Code], SummaryTable[[#This Row],[Code]], allFYsTable[year2], AQ$3)=0, NotFound, SUMIFS(allFYsTable[RevisedBudget], allFYsTable[Code], SummaryTable[[#This Row],[Code]], allFYsTable[year2], AQ$3))</f>
        <v>#N/A</v>
      </c>
      <c r="AU151" s="61" t="e">
        <f>IF(COUNTIFS(allFYsTable[Code], SummaryTable[[#This Row],[Code]], allFYsTable[year2], AQ$3)=0, NotFound, SUMIFS(allFYsTable[Actual], allFYsTable[Code], SummaryTable[[#This Row],[Code]], allFYsTable[year2], AQ$3))</f>
        <v>#N/A</v>
      </c>
      <c r="AV151" s="61" t="e">
        <f>IF(COUNTIFS(allFYsTable[Code], SummaryTable[[#This Row],[Code]], allFYsTable[year2], AQ$3)=0, NotFound, SUMIFS(allFYsTable[DiffAmount], allFYsTable[Code], SummaryTable[[#This Row],[Code]], allFYsTable[year2], AQ$3))</f>
        <v>#N/A</v>
      </c>
      <c r="AW151" s="63" t="e">
        <f>IF(SummaryTable[[#This Row],[OriginalBudget23]]=0, IF(SummaryTable[[#This Row],[DiffAmount23]]=0, ZeroBudgetNoSpending, ZeroBudgetWithSpending), SummaryTable[[#This Row],[DiffAmount23]]/SummaryTable[[#This Row],[OriginalBudget23]])</f>
        <v>#N/A</v>
      </c>
      <c r="AX151" s="62" t="e">
        <f>IF(COUNTIFS(allFYsTable[Code], SummaryTable[[#This Row],[Code]], allFYsTable[year2], AX$3)=0, NotFound, SUMIFS(allFYsTable[OriginalBudget], allFYsTable[Code], SummaryTable[[#This Row],[Code]], allFYsTable[year2], AX$3))</f>
        <v>#N/A</v>
      </c>
      <c r="AY151" s="61" t="e">
        <f>SummaryTable[[#This Row],[OriginalBudget22]]-SummaryTable[[#This Row],[OriginalBudget21]]</f>
        <v>#N/A</v>
      </c>
      <c r="AZ151" s="54" t="e">
        <f>SummaryTable[[#This Row],[BudgetIncreaseAmount22]]/SummaryTable[[#This Row],[OriginalBudget21]]</f>
        <v>#N/A</v>
      </c>
      <c r="BA151" s="61" t="e">
        <f>IF(COUNTIFS(allFYsTable[Code], SummaryTable[[#This Row],[Code]], allFYsTable[year2], AX$3)=0, NotFound, SUMIFS(allFYsTable[RevisedBudget], allFYsTable[Code], SummaryTable[[#This Row],[Code]], allFYsTable[year2], AX$3))</f>
        <v>#N/A</v>
      </c>
      <c r="BB151" s="61" t="e">
        <f>IF(COUNTIFS(allFYsTable[Code], SummaryTable[[#This Row],[Code]], allFYsTable[year2], AX$3)=0, NotFound, SUMIFS(allFYsTable[Actual], allFYsTable[Code], SummaryTable[[#This Row],[Code]], allFYsTable[year2], AX$3))</f>
        <v>#N/A</v>
      </c>
      <c r="BC151" s="61" t="e">
        <f>IF(COUNTIFS(allFYsTable[Code], SummaryTable[[#This Row],[Code]], allFYsTable[year2], AX$3)=0, NotFound, SUMIFS(allFYsTable[DiffAmount], allFYsTable[Code], SummaryTable[[#This Row],[Code]], allFYsTable[year2], AX$3))</f>
        <v>#N/A</v>
      </c>
      <c r="BD151" s="63" t="e">
        <f>IF(SummaryTable[[#This Row],[OriginalBudget22]]=0, IF(SummaryTable[[#This Row],[DiffAmount22]]=0, ZeroBudgetNoSpending, ZeroBudgetWithSpending), SummaryTable[[#This Row],[DiffAmount22]]/SummaryTable[[#This Row],[OriginalBudget22]])</f>
        <v>#N/A</v>
      </c>
      <c r="BE151" s="62" t="e">
        <f>IF(COUNTIFS(allFYsTable[Code], SummaryTable[[#This Row],[Code]], allFYsTable[year2], BE$3)=0, NotFound, SUMIFS(allFYsTable[OriginalBudget], allFYsTable[Code], SummaryTable[[#This Row],[Code]], allFYsTable[year2], BE$3))</f>
        <v>#N/A</v>
      </c>
      <c r="BF151" s="61" t="e">
        <f>SummaryTable[[#This Row],[OriginalBudget21]]-SummaryTable[[#This Row],[OriginalBudget20]]</f>
        <v>#N/A</v>
      </c>
      <c r="BG151" s="54" t="e">
        <f>SummaryTable[[#This Row],[BudgetIncreaseAmount21]]/SummaryTable[[#This Row],[OriginalBudget20]]</f>
        <v>#N/A</v>
      </c>
      <c r="BH151" s="61" t="e">
        <f>IF(COUNTIFS(allFYsTable[Code], SummaryTable[[#This Row],[Code]], allFYsTable[year2], BE$3)=0, NotFound, SUMIFS(allFYsTable[RevisedBudget], allFYsTable[Code], SummaryTable[[#This Row],[Code]], allFYsTable[year2], BE$3))</f>
        <v>#N/A</v>
      </c>
      <c r="BI151" s="61" t="e">
        <f>IF(COUNTIFS(allFYsTable[Code], SummaryTable[[#This Row],[Code]], allFYsTable[year2], BE$3)=0, NotFound, SUMIFS(allFYsTable[Actual], allFYsTable[Code], SummaryTable[[#This Row],[Code]], allFYsTable[year2], BE$3))</f>
        <v>#N/A</v>
      </c>
      <c r="BJ151" s="61" t="e">
        <f>IF(COUNTIFS(allFYsTable[Code], SummaryTable[[#This Row],[Code]], allFYsTable[year2], BE$3)=0, NotFound, SUMIFS(allFYsTable[DiffAmount], allFYsTable[Code], SummaryTable[[#This Row],[Code]], allFYsTable[year2], BE$3))</f>
        <v>#N/A</v>
      </c>
      <c r="BK151" s="63" t="e">
        <f>IF(SummaryTable[[#This Row],[OriginalBudget21]]=0, IF(SummaryTable[[#This Row],[DiffAmount21]]=0, ZeroBudgetNoSpending, ZeroBudgetWithSpending), SummaryTable[[#This Row],[DiffAmount21]]/SummaryTable[[#This Row],[OriginalBudget21]])</f>
        <v>#N/A</v>
      </c>
      <c r="BL151" s="62" t="e">
        <f>IF(COUNTIFS(allFYsTable[Code], SummaryTable[[#This Row],[Code]], allFYsTable[year2], BL$3)=0, NotFound, SUMIFS(allFYsTable[OriginalBudget], allFYsTable[Code], SummaryTable[[#This Row],[Code]], allFYsTable[year2], BL$3))</f>
        <v>#N/A</v>
      </c>
      <c r="BM151" s="61" t="e">
        <f>SummaryTable[[#This Row],[OriginalBudget20]]-SummaryTable[[#This Row],[OriginalBudget19]]</f>
        <v>#N/A</v>
      </c>
      <c r="BN151" s="54" t="e">
        <f>SummaryTable[[#This Row],[BudgetIncreaseAmount20]]/SummaryTable[[#This Row],[OriginalBudget19]]</f>
        <v>#N/A</v>
      </c>
      <c r="BO151" s="61" t="e">
        <f>IF(COUNTIFS(allFYsTable[Code], SummaryTable[[#This Row],[Code]], allFYsTable[year2], BL$3)=0, NotFound, SUMIFS(allFYsTable[RevisedBudget], allFYsTable[Code], SummaryTable[[#This Row],[Code]], allFYsTable[year2], BL$3))</f>
        <v>#N/A</v>
      </c>
      <c r="BP151" s="61" t="e">
        <f>IF(COUNTIFS(allFYsTable[Code], SummaryTable[[#This Row],[Code]], allFYsTable[year2], BL$3)=0, NotFound, SUMIFS(allFYsTable[Actual], allFYsTable[Code], SummaryTable[[#This Row],[Code]], allFYsTable[year2], BL$3))</f>
        <v>#N/A</v>
      </c>
      <c r="BQ151" s="61" t="e">
        <f>IF(COUNTIFS(allFYsTable[Code], SummaryTable[[#This Row],[Code]], allFYsTable[year2], BL$3)=0, NotFound, SUMIFS(allFYsTable[DiffAmount], allFYsTable[Code], SummaryTable[[#This Row],[Code]], allFYsTable[year2], BL$3))</f>
        <v>#N/A</v>
      </c>
      <c r="BR151" s="63" t="e">
        <f>IF(SummaryTable[[#This Row],[OriginalBudget20]]=0, IF(SummaryTable[[#This Row],[DiffAmount20]]=0, ZeroBudgetNoSpending, ZeroBudgetWithSpending), SummaryTable[[#This Row],[DiffAmount20]]/SummaryTable[[#This Row],[OriginalBudget20]])</f>
        <v>#N/A</v>
      </c>
      <c r="BS151" s="62" t="e">
        <f>IF(COUNTIFS(allFYsTable[Code], SummaryTable[[#This Row],[Code]], allFYsTable[year2], BS$3)=0, NotFound, SUMIFS(allFYsTable[OriginalBudget], allFYsTable[Code], SummaryTable[[#This Row],[Code]], allFYsTable[year2], BS$3))</f>
        <v>#N/A</v>
      </c>
      <c r="BT151" s="61" t="e">
        <f>SummaryTable[[#This Row],[OriginalBudget19]]-SummaryTable[[#This Row],[OriginalBudget18]]</f>
        <v>#N/A</v>
      </c>
      <c r="BU151" s="54" t="e">
        <f>SummaryTable[[#This Row],[BudgetIncreaseAmount19]]/SummaryTable[[#This Row],[OriginalBudget18]]</f>
        <v>#N/A</v>
      </c>
      <c r="BV151" s="61" t="e">
        <f>IF(COUNTIFS(allFYsTable[Code], SummaryTable[[#This Row],[Code]], allFYsTable[year2], BS$3)=0, NotFound, SUMIFS(allFYsTable[RevisedBudget], allFYsTable[Code], SummaryTable[[#This Row],[Code]], allFYsTable[year2], BS$3))</f>
        <v>#N/A</v>
      </c>
      <c r="BW151" s="61" t="e">
        <f>IF(COUNTIFS(allFYsTable[Code], SummaryTable[[#This Row],[Code]], allFYsTable[year2], BS$3)=0, NotFound, SUMIFS(allFYsTable[Actual], allFYsTable[Code], SummaryTable[[#This Row],[Code]], allFYsTable[year2], BS$3))</f>
        <v>#N/A</v>
      </c>
      <c r="BX151" s="61" t="e">
        <f>IF(COUNTIFS(allFYsTable[Code], SummaryTable[[#This Row],[Code]], allFYsTable[year2], BS$3)=0, NotFound, SUMIFS(allFYsTable[DiffAmount], allFYsTable[Code], SummaryTable[[#This Row],[Code]], allFYsTable[year2], BS$3))</f>
        <v>#N/A</v>
      </c>
      <c r="BY151" s="63" t="e">
        <f>IF(SummaryTable[[#This Row],[OriginalBudget19]]=0, IF(SummaryTable[[#This Row],[DiffAmount19]]=0, ZeroBudgetNoSpending, ZeroBudgetWithSpending), SummaryTable[[#This Row],[DiffAmount19]]/SummaryTable[[#This Row],[OriginalBudget19]])</f>
        <v>#N/A</v>
      </c>
      <c r="BZ151" s="62" t="e">
        <f>IF(COUNTIFS(allFYsTable[Code], SummaryTable[[#This Row],[Code]], allFYsTable[year2], BZ$3)=0, NotFound, SUMIFS(allFYsTable[OriginalBudget], allFYsTable[Code], SummaryTable[[#This Row],[Code]], allFYsTable[year2], BZ$3))</f>
        <v>#N/A</v>
      </c>
      <c r="CA151" s="61" t="e">
        <f>SummaryTable[[#This Row],[OriginalBudget18]]-SummaryTable[[#This Row],[OriginalBudget17]]</f>
        <v>#N/A</v>
      </c>
      <c r="CB151" s="54" t="e">
        <f>SummaryTable[[#This Row],[BudgetIncreaseAmount18]]/SummaryTable[[#This Row],[OriginalBudget17]]</f>
        <v>#N/A</v>
      </c>
      <c r="CC151" s="61" t="e">
        <f>IF(COUNTIFS(allFYsTable[Code], SummaryTable[[#This Row],[Code]], allFYsTable[year2], BZ$3)=0, NotFound, SUMIFS(allFYsTable[RevisedBudget], allFYsTable[Code], SummaryTable[[#This Row],[Code]], allFYsTable[year2], BZ$3))</f>
        <v>#N/A</v>
      </c>
      <c r="CD151" s="61" t="e">
        <f>IF(COUNTIFS(allFYsTable[Code], SummaryTable[[#This Row],[Code]], allFYsTable[year2], BZ$3)=0, NotFound, SUMIFS(allFYsTable[Actual], allFYsTable[Code], SummaryTable[[#This Row],[Code]], allFYsTable[year2], BZ$3))</f>
        <v>#N/A</v>
      </c>
      <c r="CE151" s="61" t="e">
        <f>IF(COUNTIFS(allFYsTable[Code], SummaryTable[[#This Row],[Code]], allFYsTable[year2], BZ$3)=0, NotFound, SUMIFS(allFYsTable[DiffAmount], allFYsTable[Code], SummaryTable[[#This Row],[Code]], allFYsTable[year2], BZ$3))</f>
        <v>#N/A</v>
      </c>
      <c r="CF151" s="63" t="e">
        <f>IF(SummaryTable[[#This Row],[OriginalBudget18]]=0, IF(SummaryTable[[#This Row],[DiffAmount18]]=0, ZeroBudgetNoSpending, ZeroBudgetWithSpending), SummaryTable[[#This Row],[DiffAmount18]]/SummaryTable[[#This Row],[OriginalBudget18]])</f>
        <v>#N/A</v>
      </c>
      <c r="CG151" s="62">
        <f>IF(COUNTIFS(allFYsTable[Code], SummaryTable[[#This Row],[Code]], allFYsTable[year2], CG$3)=0, NotFound, SUMIFS(allFYsTable[OriginalBudget], allFYsTable[Code], SummaryTable[[#This Row],[Code]], allFYsTable[year2], CG$3))</f>
        <v>1250</v>
      </c>
      <c r="CH151" s="61">
        <f>SummaryTable[[#This Row],[OriginalBudget17]]-SummaryTable[[#This Row],[OriginalBudget16]]</f>
        <v>-2500</v>
      </c>
      <c r="CI151" s="54">
        <f>SummaryTable[[#This Row],[BudgetIncreaseAmount17]]/SummaryTable[[#This Row],[OriginalBudget16]]</f>
        <v>-0.66666666666666663</v>
      </c>
      <c r="CJ151" s="61">
        <f>IF(COUNTIFS(allFYsTable[Code], SummaryTable[[#This Row],[Code]], allFYsTable[year2], CG$3)=0, NotFound, SUMIFS(allFYsTable[RevisedBudget], allFYsTable[Code], SummaryTable[[#This Row],[Code]], allFYsTable[year2], CG$3))</f>
        <v>0</v>
      </c>
      <c r="CK151" s="61">
        <f>IF(COUNTIFS(allFYsTable[Code], SummaryTable[[#This Row],[Code]], allFYsTable[year2], CG$3)=0, NotFound, SUMIFS(allFYsTable[Actual], allFYsTable[Code], SummaryTable[[#This Row],[Code]], allFYsTable[year2], CG$3))</f>
        <v>0</v>
      </c>
      <c r="CL151" s="61">
        <f>IF(COUNTIFS(allFYsTable[Code], SummaryTable[[#This Row],[Code]], allFYsTable[year2], CG$3)=0, NotFound, SUMIFS(allFYsTable[DiffAmount], allFYsTable[Code], SummaryTable[[#This Row],[Code]], allFYsTable[year2], CG$3))</f>
        <v>-1250</v>
      </c>
      <c r="CM151" s="63">
        <f>IF(SummaryTable[[#This Row],[OriginalBudget17]]=0, IF(SummaryTable[[#This Row],[DiffAmount17]]=0, ZeroBudgetNoSpending, ZeroBudgetWithSpending), SummaryTable[[#This Row],[DiffAmount17]]/SummaryTable[[#This Row],[OriginalBudget17]])</f>
        <v>-1</v>
      </c>
      <c r="CN151" s="62">
        <f>IF(COUNTIFS(allFYsTable[Code], SummaryTable[[#This Row],[Code]], allFYsTable[year2], CN$3)=0, NotFound, SUMIFS(allFYsTable[OriginalBudget], allFYsTable[Code], SummaryTable[[#This Row],[Code]], allFYsTable[year2], CN$3))</f>
        <v>3750</v>
      </c>
      <c r="CO151" s="61">
        <f>SummaryTable[[#This Row],[OriginalBudget16]]-SummaryTable[[#This Row],[OriginalBudget15]]</f>
        <v>1250</v>
      </c>
      <c r="CP151" s="54">
        <f>SummaryTable[[#This Row],[BudgetIncreaseAmount16]]/SummaryTable[[#This Row],[OriginalBudget15]]</f>
        <v>0.5</v>
      </c>
      <c r="CQ151" s="61">
        <f>IF(COUNTIFS(allFYsTable[Code], SummaryTable[[#This Row],[Code]], allFYsTable[year2], CN$3)=0, NotFound, SUMIFS(allFYsTable[RevisedBudget], allFYsTable[Code], SummaryTable[[#This Row],[Code]], allFYsTable[year2], CN$3))</f>
        <v>922</v>
      </c>
      <c r="CR151" s="61">
        <f>IF(COUNTIFS(allFYsTable[Code], SummaryTable[[#This Row],[Code]], allFYsTable[year2], CN$3)=0, NotFound, SUMIFS(allFYsTable[Actual], allFYsTable[Code], SummaryTable[[#This Row],[Code]], allFYsTable[year2], CN$3))</f>
        <v>922</v>
      </c>
      <c r="CS151" s="61">
        <f>IF(COUNTIFS(allFYsTable[Code], SummaryTable[[#This Row],[Code]], allFYsTable[year2], CN$3)=0, NotFound, SUMIFS(allFYsTable[DiffAmount], allFYsTable[Code], SummaryTable[[#This Row],[Code]], allFYsTable[year2], CN$3))</f>
        <v>-2828</v>
      </c>
      <c r="CT151" s="63">
        <f>IF(SummaryTable[[#This Row],[OriginalBudget16]]=0, IF(SummaryTable[[#This Row],[DiffAmount16]]=0, ZeroBudgetNoSpending, ZeroBudgetWithSpending), SummaryTable[[#This Row],[DiffAmount16]]/SummaryTable[[#This Row],[OriginalBudget16]])</f>
        <v>-0.75413333333333332</v>
      </c>
      <c r="CU151" s="62">
        <f>IF(COUNTIFS(allFYsTable[Code], SummaryTable[[#This Row],[Code]], allFYsTable[year2], CU$3)=0, NotFound, SUMIFS(allFYsTable[OriginalBudget], allFYsTable[Code], SummaryTable[[#This Row],[Code]], allFYsTable[year2], CU$3))</f>
        <v>2500</v>
      </c>
      <c r="CV151" s="61">
        <f>SummaryTable[[#This Row],[OriginalBudget15]]-SummaryTable[[#This Row],[OriginalBudget14]]</f>
        <v>-1175</v>
      </c>
      <c r="CW151" s="54">
        <f>SummaryTable[[#This Row],[BudgetIncreaseAmount15]]/SummaryTable[[#This Row],[OriginalBudget14]]</f>
        <v>-0.31972789115646261</v>
      </c>
      <c r="CX151" s="61">
        <f>IF(COUNTIFS(allFYsTable[Code], SummaryTable[[#This Row],[Code]], allFYsTable[year2], CU$3)=0, NotFound, SUMIFS(allFYsTable[RevisedBudget], allFYsTable[Code], SummaryTable[[#This Row],[Code]], allFYsTable[year2], CU$3))</f>
        <v>723</v>
      </c>
      <c r="CY151" s="61">
        <f>IF(COUNTIFS(allFYsTable[Code], SummaryTable[[#This Row],[Code]], allFYsTable[year2], CU$3)=0, NotFound, SUMIFS(allFYsTable[Actual], allFYsTable[Code], SummaryTable[[#This Row],[Code]], allFYsTable[year2], CU$3))</f>
        <v>723</v>
      </c>
      <c r="CZ151" s="61">
        <f>IF(COUNTIFS(allFYsTable[Code], SummaryTable[[#This Row],[Code]], allFYsTable[year2], CU$3)=0, NotFound, SUMIFS(allFYsTable[DiffAmount], allFYsTable[Code], SummaryTable[[#This Row],[Code]], allFYsTable[year2], CU$3))</f>
        <v>-1777</v>
      </c>
      <c r="DA151" s="63">
        <f>IF(SummaryTable[[#This Row],[OriginalBudget15]]=0, IF(SummaryTable[[#This Row],[DiffAmount15]]=0, ZeroBudgetNoSpending, ZeroBudgetWithSpending), SummaryTable[[#This Row],[DiffAmount15]]/SummaryTable[[#This Row],[OriginalBudget15]])</f>
        <v>-0.71079999999999999</v>
      </c>
      <c r="DB151" s="62">
        <f>IF(COUNTIFS(allFYsTable[Code], SummaryTable[[#This Row],[Code]], allFYsTable[year2], DB$3)=0, NotFound, SUMIFS(allFYsTable[OriginalBudget], allFYsTable[Code], SummaryTable[[#This Row],[Code]], allFYsTable[year2], DB$3))</f>
        <v>3675</v>
      </c>
      <c r="DC151" s="61">
        <f>SummaryTable[[#This Row],[OriginalBudget14]]-SummaryTable[[#This Row],[OriginalBudget13]]</f>
        <v>-715</v>
      </c>
      <c r="DD151" s="54">
        <f>SummaryTable[[#This Row],[BudgetIncreaseAmount14]]/SummaryTable[[#This Row],[OriginalBudget13]]</f>
        <v>-0.16287015945330297</v>
      </c>
      <c r="DE151" s="61">
        <f>IF(COUNTIFS(allFYsTable[Code], SummaryTable[[#This Row],[Code]], allFYsTable[year2], DB$3)=0, NotFound, SUMIFS(allFYsTable[RevisedBudget], allFYsTable[Code], SummaryTable[[#This Row],[Code]], allFYsTable[year2], DB$3))</f>
        <v>3675</v>
      </c>
      <c r="DF151" s="61">
        <f>IF(COUNTIFS(allFYsTable[Code], SummaryTable[[#This Row],[Code]], allFYsTable[year2], DB$3)=0, NotFound, SUMIFS(allFYsTable[Actual], allFYsTable[Code], SummaryTable[[#This Row],[Code]], allFYsTable[year2], DB$3))</f>
        <v>943</v>
      </c>
      <c r="DG151" s="61">
        <f>IF(COUNTIFS(allFYsTable[Code], SummaryTable[[#This Row],[Code]], allFYsTable[year2], DB$3)=0, NotFound, SUMIFS(allFYsTable[DiffAmount], allFYsTable[Code], SummaryTable[[#This Row],[Code]], allFYsTable[year2], DB$3))</f>
        <v>-2732</v>
      </c>
      <c r="DH151" s="63">
        <f>IF(SummaryTable[[#This Row],[OriginalBudget14]]=0, IF(SummaryTable[[#This Row],[DiffAmount14]]=0, ZeroBudgetNoSpending, ZeroBudgetWithSpending), SummaryTable[[#This Row],[DiffAmount14]]/SummaryTable[[#This Row],[OriginalBudget14]])</f>
        <v>-0.74340136054421768</v>
      </c>
      <c r="DI151" s="62">
        <f>IF(COUNTIFS(allFYsTable[Code], SummaryTable[[#This Row],[Code]], allFYsTable[year2], DI$3)=0, NotFound, SUMIFS(allFYsTable[OriginalBudget], allFYsTable[Code], SummaryTable[[#This Row],[Code]], allFYsTable[year2], DI$3))</f>
        <v>4390</v>
      </c>
      <c r="DJ151" s="61">
        <f>SummaryTable[[#This Row],[OriginalBudget13]]-SummaryTable[[#This Row],[OriginalBudget12]]</f>
        <v>-110</v>
      </c>
      <c r="DK151" s="54">
        <f>SummaryTable[[#This Row],[BudgetIncreaseAmount13]]/SummaryTable[[#This Row],[OriginalBudget12]]</f>
        <v>-2.4444444444444446E-2</v>
      </c>
      <c r="DL151" s="61">
        <f>IF(COUNTIFS(allFYsTable[Code], SummaryTable[[#This Row],[Code]], allFYsTable[year2], DI$3)=0, NotFound, SUMIFS(allFYsTable[RevisedBudget], allFYsTable[Code], SummaryTable[[#This Row],[Code]], allFYsTable[year2], DI$3))</f>
        <v>2118</v>
      </c>
      <c r="DM151" s="61">
        <f>IF(COUNTIFS(allFYsTable[Code], SummaryTable[[#This Row],[Code]], allFYsTable[year2], DI$3)=0, NotFound, SUMIFS(allFYsTable[Actual], allFYsTable[Code], SummaryTable[[#This Row],[Code]], allFYsTable[year2], DI$3))</f>
        <v>1581</v>
      </c>
      <c r="DN151" s="61">
        <f>IF(COUNTIFS(allFYsTable[Code], SummaryTable[[#This Row],[Code]], allFYsTable[year2], DI$3)=0, NotFound, SUMIFS(allFYsTable[DiffAmount], allFYsTable[Code], SummaryTable[[#This Row],[Code]], allFYsTable[year2], DI$3))</f>
        <v>-2809</v>
      </c>
      <c r="DO151" s="63">
        <f>IF(SummaryTable[[#This Row],[OriginalBudget13]]=0, IF(SummaryTable[[#This Row],[DiffAmount13]]=0, ZeroBudgetNoSpending, ZeroBudgetWithSpending), SummaryTable[[#This Row],[DiffAmount13]]/SummaryTable[[#This Row],[OriginalBudget13]])</f>
        <v>-0.6398633257403189</v>
      </c>
      <c r="DP151" s="62">
        <f>IF(COUNTIFS(allFYsTable[Code], SummaryTable[[#This Row],[Code]], allFYsTable[year2], DP$3)=0, NotFound, SUMIFS(allFYsTable[OriginalBudget], allFYsTable[Code], SummaryTable[[#This Row],[Code]], allFYsTable[year2], DP$3))</f>
        <v>4500</v>
      </c>
      <c r="DQ151" s="61">
        <f>SummaryTable[[#This Row],[OriginalBudget12]]-SummaryTable[[#This Row],[OriginalBudget11]]</f>
        <v>1500</v>
      </c>
      <c r="DR151" s="54">
        <f>SummaryTable[[#This Row],[BudgetIncreaseAmount12]]/SummaryTable[[#This Row],[OriginalBudget11]]</f>
        <v>0.5</v>
      </c>
      <c r="DS151" s="61">
        <f>IF(COUNTIFS(allFYsTable[Code], SummaryTable[[#This Row],[Code]], allFYsTable[year2], DP$3)=0, NotFound, SUMIFS(allFYsTable[RevisedBudget], allFYsTable[Code], SummaryTable[[#This Row],[Code]], allFYsTable[year2], DP$3))</f>
        <v>2572</v>
      </c>
      <c r="DT151" s="61">
        <f>IF(COUNTIFS(allFYsTable[Code], SummaryTable[[#This Row],[Code]], allFYsTable[year2], DP$3)=0, NotFound, SUMIFS(allFYsTable[Actual], allFYsTable[Code], SummaryTable[[#This Row],[Code]], allFYsTable[year2], DP$3))</f>
        <v>2572</v>
      </c>
      <c r="DU151" s="61">
        <f>IF(COUNTIFS(allFYsTable[Code], SummaryTable[[#This Row],[Code]], allFYsTable[year2], DP$3)=0, NotFound, SUMIFS(allFYsTable[DiffAmount], allFYsTable[Code], SummaryTable[[#This Row],[Code]], allFYsTable[year2], DP$3))</f>
        <v>-1928</v>
      </c>
      <c r="DV151" s="63">
        <f>IF(SummaryTable[[#This Row],[OriginalBudget12]]=0, IF(SummaryTable[[#This Row],[DiffAmount12]]=0, ZeroBudgetNoSpending, ZeroBudgetWithSpending), SummaryTable[[#This Row],[DiffAmount12]]/SummaryTable[[#This Row],[OriginalBudget12]])</f>
        <v>-0.42844444444444446</v>
      </c>
      <c r="DW151" s="62">
        <f>IF(COUNTIFS(allFYsTable[Code], SummaryTable[[#This Row],[Code]], allFYsTable[year2], DW$3)=0, NotFound, SUMIFS(allFYsTable[OriginalBudget], allFYsTable[Code], SummaryTable[[#This Row],[Code]], allFYsTable[year2], DW$3))</f>
        <v>3000</v>
      </c>
      <c r="DX151" s="61">
        <f>SummaryTable[[#This Row],[OriginalBudget11]]-SummaryTable[[#This Row],[OriginalBudget10]]</f>
        <v>-6000</v>
      </c>
      <c r="DY151" s="54">
        <f>SummaryTable[[#This Row],[BudgetIncreaseAmount11]]/SummaryTable[[#This Row],[OriginalBudget10]]</f>
        <v>-0.66666666666666663</v>
      </c>
      <c r="DZ151" s="61">
        <f>IF(COUNTIFS(allFYsTable[Code], SummaryTable[[#This Row],[Code]], allFYsTable[year2], DW$3)=0, NotFound, SUMIFS(allFYsTable[RevisedBudget], allFYsTable[Code], SummaryTable[[#This Row],[Code]], allFYsTable[year2], DW$3))</f>
        <v>3000</v>
      </c>
      <c r="EA151" s="61">
        <f>IF(COUNTIFS(allFYsTable[Code], SummaryTable[[#This Row],[Code]], allFYsTable[year2], DW$3)=0, NotFound, SUMIFS(allFYsTable[Actual], allFYsTable[Code], SummaryTable[[#This Row],[Code]], allFYsTable[year2], DW$3))</f>
        <v>2841</v>
      </c>
      <c r="EB151" s="61">
        <f>IF(COUNTIFS(allFYsTable[Code], SummaryTable[[#This Row],[Code]], allFYsTable[year2], DW$3)=0, NotFound, SUMIFS(allFYsTable[DiffAmount], allFYsTable[Code], SummaryTable[[#This Row],[Code]], allFYsTable[year2], DW$3))</f>
        <v>-159</v>
      </c>
      <c r="EC151" s="63">
        <f>IF(SummaryTable[[#This Row],[OriginalBudget11]]=0, IF(SummaryTable[[#This Row],[DiffAmount11]]=0, ZeroBudgetNoSpending, ZeroBudgetWithSpending), SummaryTable[[#This Row],[DiffAmount11]]/SummaryTable[[#This Row],[OriginalBudget11]])</f>
        <v>-5.2999999999999999E-2</v>
      </c>
      <c r="ED151" s="62">
        <f>IF(COUNTIFS(allFYsTable[Code], SummaryTable[[#This Row],[Code]], allFYsTable[year2], ED$3)=0, NotFound, SUMIFS(allFYsTable[OriginalBudget], allFYsTable[Code], SummaryTable[[#This Row],[Code]], allFYsTable[year2], ED$3))</f>
        <v>9000</v>
      </c>
      <c r="EE151" s="61">
        <f>SummaryTable[[#This Row],[OriginalBudget10]]-SummaryTable[[#This Row],[OriginalBudget09]]</f>
        <v>0</v>
      </c>
      <c r="EF151" s="54">
        <f>SummaryTable[[#This Row],[BudgetIncreaseAmount10]]/SummaryTable[[#This Row],[OriginalBudget09]]</f>
        <v>0</v>
      </c>
      <c r="EG151" s="61">
        <f>IF(COUNTIFS(allFYsTable[Code], SummaryTable[[#This Row],[Code]], allFYsTable[year2], ED$3)=0, NotFound, SUMIFS(allFYsTable[RevisedBudget], allFYsTable[Code], SummaryTable[[#This Row],[Code]], allFYsTable[year2], ED$3))</f>
        <v>3000</v>
      </c>
      <c r="EH151" s="61">
        <f>IF(COUNTIFS(allFYsTable[Code], SummaryTable[[#This Row],[Code]], allFYsTable[year2], ED$3)=0, NotFound, SUMIFS(allFYsTable[Actual], allFYsTable[Code], SummaryTable[[#This Row],[Code]], allFYsTable[year2], ED$3))</f>
        <v>2373</v>
      </c>
      <c r="EI151" s="61">
        <f>IF(COUNTIFS(allFYsTable[Code], SummaryTable[[#This Row],[Code]], allFYsTable[year2], ED$3)=0, NotFound, SUMIFS(allFYsTable[DiffAmount], allFYsTable[Code], SummaryTable[[#This Row],[Code]], allFYsTable[year2], ED$3))</f>
        <v>-6627</v>
      </c>
      <c r="EJ151" s="63">
        <f>IF(SummaryTable[[#This Row],[OriginalBudget10]]=0, IF(SummaryTable[[#This Row],[DiffAmount10]]=0, ZeroBudgetNoSpending, ZeroBudgetWithSpending), SummaryTable[[#This Row],[DiffAmount10]]/SummaryTable[[#This Row],[OriginalBudget10]])</f>
        <v>-0.73633333333333328</v>
      </c>
      <c r="EK151" s="62">
        <f>IF(COUNTIFS(allFYsTable[Code], SummaryTable[[#This Row],[Code]], allFYsTable[year2], EK$3)=0, NotFound, SUMIFS(allFYsTable[OriginalBudget], allFYsTable[Code], SummaryTable[[#This Row],[Code]], allFYsTable[year2], EK$3))</f>
        <v>9000</v>
      </c>
      <c r="EL151" s="61">
        <f>SummaryTable[[#This Row],[OriginalBudget09]]-SummaryTable[[#This Row],[OriginalBudget08]]</f>
        <v>-4334</v>
      </c>
      <c r="EM151" s="54">
        <f>SummaryTable[[#This Row],[BudgetIncreaseAmount09]]/SummaryTable[[#This Row],[OriginalBudget08]]</f>
        <v>-0.32503374831258436</v>
      </c>
      <c r="EN151" s="61">
        <f>IF(COUNTIFS(allFYsTable[Code], SummaryTable[[#This Row],[Code]], allFYsTable[year2], EK$3)=0, NotFound, SUMIFS(allFYsTable[RevisedBudget], allFYsTable[Code], SummaryTable[[#This Row],[Code]], allFYsTable[year2], EK$3))</f>
        <v>4544</v>
      </c>
      <c r="EO151" s="61">
        <f>IF(COUNTIFS(allFYsTable[Code], SummaryTable[[#This Row],[Code]], allFYsTable[year2], EK$3)=0, NotFound, SUMIFS(allFYsTable[Actual], allFYsTable[Code], SummaryTable[[#This Row],[Code]], allFYsTable[year2], EK$3))</f>
        <v>4538</v>
      </c>
      <c r="EP151" s="61">
        <f>IF(COUNTIFS(allFYsTable[Code], SummaryTable[[#This Row],[Code]], allFYsTable[year2], EK$3)=0, NotFound, SUMIFS(allFYsTable[DiffAmount], allFYsTable[Code], SummaryTable[[#This Row],[Code]], allFYsTable[year2], EK$3))</f>
        <v>-4462</v>
      </c>
      <c r="EQ151" s="63">
        <f>IF(SummaryTable[[#This Row],[OriginalBudget09]]=0, IF(SummaryTable[[#This Row],[DiffAmount09]]=0, ZeroBudgetNoSpending, ZeroBudgetWithSpending), SummaryTable[[#This Row],[DiffAmount09]]/SummaryTable[[#This Row],[OriginalBudget09]])</f>
        <v>-0.49577777777777776</v>
      </c>
      <c r="ER151" s="62">
        <f>IF(COUNTIFS(allFYsTable[Code], SummaryTable[[#This Row],[Code]], allFYsTable[year2], ER$3)=0, NotFound, SUMIFS(allFYsTable[OriginalBudget], allFYsTable[Code], SummaryTable[[#This Row],[Code]], allFYsTable[year2], ER$3))</f>
        <v>13334</v>
      </c>
      <c r="ES151" s="61">
        <f>SummaryTable[[#This Row],[OriginalBudget08]]-SummaryTable[[#This Row],[OriginalBudget07]]</f>
        <v>5334</v>
      </c>
      <c r="ET151" s="54">
        <f>SummaryTable[[#This Row],[BudgetIncreaseAmount08]]/SummaryTable[[#This Row],[OriginalBudget07]]</f>
        <v>0.66674999999999995</v>
      </c>
      <c r="EU151" s="61">
        <f>IF(COUNTIFS(allFYsTable[Code], SummaryTable[[#This Row],[Code]], allFYsTable[year2], ER$3)=0, NotFound, SUMIFS(allFYsTable[RevisedBudget], allFYsTable[Code], SummaryTable[[#This Row],[Code]], allFYsTable[year2], ER$3))</f>
        <v>7849</v>
      </c>
      <c r="EV151" s="61">
        <f>IF(COUNTIFS(allFYsTable[Code], SummaryTable[[#This Row],[Code]], allFYsTable[year2], ER$3)=0, NotFound, SUMIFS(allFYsTable[Actual], allFYsTable[Code], SummaryTable[[#This Row],[Code]], allFYsTable[year2], ER$3))</f>
        <v>7849</v>
      </c>
      <c r="EW151" s="61">
        <f>IF(COUNTIFS(allFYsTable[Code], SummaryTable[[#This Row],[Code]], allFYsTable[year2], ER$3)=0, NotFound, SUMIFS(allFYsTable[DiffAmount], allFYsTable[Code], SummaryTable[[#This Row],[Code]], allFYsTable[year2], ER$3))</f>
        <v>-5485</v>
      </c>
      <c r="EX151" s="63">
        <f>IF(SummaryTable[[#This Row],[OriginalBudget08]]=0, IF(SummaryTable[[#This Row],[DiffAmount08]]=0, ZeroBudgetNoSpending, ZeroBudgetWithSpending), SummaryTable[[#This Row],[DiffAmount08]]/SummaryTable[[#This Row],[OriginalBudget08]])</f>
        <v>-0.41135443227838608</v>
      </c>
      <c r="EY151" s="62">
        <f>IF(COUNTIFS(allFYsTable[Code], SummaryTable[[#This Row],[Code]], allFYsTable[year2], EY$3)=0, NotFound, SUMIFS(allFYsTable[OriginalBudget], allFYsTable[Code], SummaryTable[[#This Row],[Code]], allFYsTable[year2], EY$3))</f>
        <v>8000</v>
      </c>
      <c r="EZ151" s="61">
        <f>SummaryTable[[#This Row],[OriginalBudget07]]-SummaryTable[[#This Row],[OriginalBudget06]]</f>
        <v>2500</v>
      </c>
      <c r="FA151" s="54">
        <f>SummaryTable[[#This Row],[BudgetIncreaseAmount07]]/SummaryTable[[#This Row],[OriginalBudget06]]</f>
        <v>0.45454545454545453</v>
      </c>
      <c r="FB151" s="61">
        <f>IF(COUNTIFS(allFYsTable[Code], SummaryTable[[#This Row],[Code]], allFYsTable[year2], EY$3)=0, NotFound, SUMIFS(allFYsTable[RevisedBudget], allFYsTable[Code], SummaryTable[[#This Row],[Code]], allFYsTable[year2], EY$3))</f>
        <v>8460</v>
      </c>
      <c r="FC151" s="61">
        <f>IF(COUNTIFS(allFYsTable[Code], SummaryTable[[#This Row],[Code]], allFYsTable[year2], EY$3)=0, NotFound, SUMIFS(allFYsTable[Actual], allFYsTable[Code], SummaryTable[[#This Row],[Code]], allFYsTable[year2], EY$3))</f>
        <v>8455</v>
      </c>
      <c r="FD151" s="61">
        <f>IF(COUNTIFS(allFYsTable[Code], SummaryTable[[#This Row],[Code]], allFYsTable[year2], EY$3)=0, NotFound, SUMIFS(allFYsTable[DiffAmount], allFYsTable[Code], SummaryTable[[#This Row],[Code]], allFYsTable[year2], EY$3))</f>
        <v>455</v>
      </c>
      <c r="FE151" s="63">
        <f>IF(SummaryTable[[#This Row],[OriginalBudget07]]=0, IF(SummaryTable[[#This Row],[DiffAmount07]]=0, ZeroBudgetNoSpending, ZeroBudgetWithSpending), SummaryTable[[#This Row],[DiffAmount07]]/SummaryTable[[#This Row],[OriginalBudget07]])</f>
        <v>5.6875000000000002E-2</v>
      </c>
      <c r="FF151" s="62">
        <f>IF(COUNTIFS(allFYsTable[Code], SummaryTable[[#This Row],[Code]], allFYsTable[year2], FF$3)=0, NotFound, SUMIFS(allFYsTable[OriginalBudget], allFYsTable[Code], SummaryTable[[#This Row],[Code]], allFYsTable[year2], FF$3))</f>
        <v>5500</v>
      </c>
      <c r="FI151" s="61">
        <f>IF(COUNTIFS(allFYsTable[Code], SummaryTable[[#This Row],[Code]], allFYsTable[year2], FF$3)=0, NotFound, SUMIFS(allFYsTable[RevisedBudget], allFYsTable[Code], SummaryTable[[#This Row],[Code]], allFYsTable[year2], FF$3))</f>
        <v>6650</v>
      </c>
      <c r="FJ151" s="61">
        <f>IF(COUNTIFS(allFYsTable[Code], SummaryTable[[#This Row],[Code]], allFYsTable[year2], FF$3)=0, NotFound, SUMIFS(allFYsTable[Actual], allFYsTable[Code], SummaryTable[[#This Row],[Code]], allFYsTable[year2], FF$3))</f>
        <v>6650</v>
      </c>
      <c r="FK151" s="61">
        <f>IF(COUNTIFS(allFYsTable[Code], SummaryTable[[#This Row],[Code]], allFYsTable[year2], FF$3)=0, NotFound, SUMIFS(allFYsTable[DiffAmount], allFYsTable[Code], SummaryTable[[#This Row],[Code]], allFYsTable[year2], FF$3))</f>
        <v>1150</v>
      </c>
      <c r="FL151" s="63">
        <f>IF(SummaryTable[[#This Row],[OriginalBudget06]]=0, IF(SummaryTable[[#This Row],[DiffAmount06]]=0, ZeroBudgetNoSpending, ZeroBudgetWithSpending), SummaryTable[[#This Row],[DiffAmount06]]/SummaryTable[[#This Row],[OriginalBudget06]])</f>
        <v>0.20909090909090908</v>
      </c>
    </row>
    <row r="152" spans="1:168" x14ac:dyDescent="0.45">
      <c r="A152" t="s">
        <v>833</v>
      </c>
      <c r="B152">
        <f>_xlfn.MAXIFS(allFYsTable[year2], allFYsTable[Code], SummaryTable[[#This Row],[Code]])</f>
        <v>2017</v>
      </c>
      <c r="C152" t="str">
        <f>_xlfn.XLOOKUP(SummaryTable[[#This Row],[Code]], NameCodingTable[Code], NameCodingTable[Most Recent Category per allFYs])</f>
        <v>Other</v>
      </c>
      <c r="D152" t="str">
        <f>_xlfn.XLOOKUP(SummaryTable[[#This Row],[Code]], NameCodingTable[Code], NameCodingTable[Unit Display Name])</f>
        <v>Schools modernization fund</v>
      </c>
      <c r="E152" t="str">
        <f>_xlfn.XLOOKUP(SummaryTable[[#This Row],[Code]], NameCodingTable[Code], NameCodingTable[Type])</f>
        <v>untyped</v>
      </c>
      <c r="F15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12</v>
      </c>
      <c r="G15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52" s="54">
        <f>SummaryTable[[#This Row],['# Over]]/SummaryTable[[#This Row],[Count]]</f>
        <v>0</v>
      </c>
      <c r="I15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3</v>
      </c>
      <c r="J152" s="54">
        <f>SummaryTable[[#This Row],['# Under]]/SummaryTable[[#This Row],[Count]]</f>
        <v>0.25</v>
      </c>
      <c r="K15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9</v>
      </c>
      <c r="L152" s="54">
        <f>SummaryTable[[#This Row],['# Equal]]/SummaryTable[[#This Row],[Count]]</f>
        <v>0.75</v>
      </c>
      <c r="M152" s="61">
        <f>SUMIFS(allFYsTable[OriginalBudget],allFYsTable[Code],SummaryTable[[#This Row],[Code]])/SummaryTable[[#This Row],[Count]]</f>
        <v>9537.6666666666661</v>
      </c>
      <c r="N152" s="61">
        <f>SUMIFS(allFYsTable[Actual],allFYsTable[Code],SummaryTable[[#This Row],[Code]])/SummaryTable[[#This Row],[Count]]</f>
        <v>8239.5833333333339</v>
      </c>
      <c r="O152" s="61">
        <f>SummaryTable[[#This Row],[AvgActAmt]]-SummaryTable[[#This Row],[AvgBudAmt]]</f>
        <v>-1298.0833333333321</v>
      </c>
      <c r="P152" s="54">
        <f>IF(SummaryTable[[#This Row],[AvgBudAmt]]=0, IF(SummaryTable[[#This Row],[AvgDiff'#]]=0, 0, NamedFields!$C$3), SummaryTable[[#This Row],[AvgDiff'#]]/SummaryTable[[#This Row],[AvgBudAmt]])</f>
        <v>-0.13610072344738394</v>
      </c>
      <c r="Q152" s="61">
        <f>IFERROR(SUMIFS(allFYsTable[OriginalBudget],allFYsTable[Code],SummaryTable[[#This Row],[Code]],allFYsTable[DiffAmount], "&gt;0")/SummaryTable[[#This Row],['# Over]], 0)</f>
        <v>0</v>
      </c>
      <c r="R152" s="61">
        <f>IFERROR(SUMIFS(allFYsTable[Actual],allFYsTable[Code],SummaryTable[[#This Row],[Code]],allFYsTable[DiffAmount], "&gt;0")/SummaryTable[[#This Row],['# Over]], 0)</f>
        <v>0</v>
      </c>
      <c r="S152" s="61">
        <f>SummaryTable[[#This Row],[OverAvgAct]]-SummaryTable[[#This Row],[OverAvgBud]]</f>
        <v>0</v>
      </c>
      <c r="T152" s="54">
        <f>IF(SummaryTable[[#This Row],[OverAvgBud]]=0, IF(SummaryTable[[#This Row],[OverAvgDiff'#]]=0, ZeroBudgetNoSpending, ZeroBudgetWithSpending), SummaryTable[[#This Row],[OverAvgDiff'#]]/SummaryTable[[#This Row],[OverAvgBud]])</f>
        <v>0</v>
      </c>
      <c r="U152" s="61">
        <f>IFERROR(SUMIFS(allFYsTable[OriginalBudget],allFYsTable[Code],SummaryTable[[#This Row],[Code]],allFYsTable[DiffAmount], "&lt;0")/SummaryTable[[#This Row],['# Under]], 0)</f>
        <v>6764.333333333333</v>
      </c>
      <c r="V152" s="61">
        <f>IFERROR( SUMIFS(allFYsTable[Actual],allFYsTable[Code],SummaryTable[[#This Row],[Code]],allFYsTable[DiffAmount], "&lt;0")/SummaryTable[[#This Row],['# Under]], 0)</f>
        <v>1572</v>
      </c>
      <c r="W152" s="61">
        <f>SummaryTable[[#This Row],[UnderAvgAct]]-SummaryTable[[#This Row],[UnderAvgBud]]</f>
        <v>-5192.333333333333</v>
      </c>
      <c r="X152" s="54">
        <f>IF(SummaryTable[[#This Row],[UnderAvgBud]]=0, IF(SummaryTable[[#This Row],[UnderAvgDiff'#]]=0, ZeroBudgetNoSpending, NamedFields!$C$3), SummaryTable[[#This Row],[UnderAvgDiff'#]]/SummaryTable[[#This Row],[UnderAvgBud]])</f>
        <v>-0.76760459271670034</v>
      </c>
      <c r="Y15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4</v>
      </c>
      <c r="Z15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2" s="54">
        <f>IF(SummaryTable[[#This Row],[IncreaseYears]]=0, ZeroBudgetNoSpending, SummaryTable[[#This Row],[OSinIncreaseYear'#]]/SummaryTable[[#This Row],[IncreaseYears]])</f>
        <v>0</v>
      </c>
      <c r="AB152" s="58" t="str">
        <f>SummaryTable[[#This Row],[Code]]</f>
        <v>SM0</v>
      </c>
      <c r="AC152" s="62" t="e">
        <f>IF(COUNTIFS(allFYsTable[Code], SummaryTable[[#This Row],[Code]], allFYsTable[year2], AC$3)=0, NotFound, SUMIFS(allFYsTable[OriginalBudget], allFYsTable[Code], SummaryTable[[#This Row],[Code]], allFYsTable[year2], AC$3))</f>
        <v>#N/A</v>
      </c>
      <c r="AD152" s="61" t="e">
        <f>SummaryTable[[#This Row],[OriginalBudget25]]-SummaryTable[[#This Row],[OriginalBudget24]]</f>
        <v>#N/A</v>
      </c>
      <c r="AE152" s="54" t="e">
        <f>SummaryTable[[#This Row],[BudgetIncreaseAmount25]]/SummaryTable[[#This Row],[OriginalBudget24]]</f>
        <v>#N/A</v>
      </c>
      <c r="AF152" s="61" t="e">
        <f>IF(COUNTIFS(allFYsTable[Code], SummaryTable[[#This Row],[Code]], allFYsTable[year2], AC$3)=0, NotFound, SUMIFS(allFYsTable[RevisedBudget], allFYsTable[Code], SummaryTable[[#This Row],[Code]], allFYsTable[year2], AC$3))</f>
        <v>#N/A</v>
      </c>
      <c r="AG152" s="61" t="e">
        <f>IF(COUNTIFS(allFYsTable[Code], SummaryTable[[#This Row],[Code]], allFYsTable[year2], AC$3)=0, NotFound, SUMIFS(allFYsTable[Actual], allFYsTable[Code], SummaryTable[[#This Row],[Code]], allFYsTable[year2], AC$3))</f>
        <v>#N/A</v>
      </c>
      <c r="AH152" s="61" t="e">
        <f>IF(COUNTIFS(allFYsTable[Code], SummaryTable[[#This Row],[Code]], allFYsTable[year2], AC$3)=0, NotFound, SUMIFS(allFYsTable[DiffAmount], allFYsTable[Code], SummaryTable[[#This Row],[Code]], allFYsTable[year2], AC$3))</f>
        <v>#N/A</v>
      </c>
      <c r="AI152" s="63" t="e">
        <f>IF(SummaryTable[[#This Row],[OriginalBudget25]]=0, IF(SummaryTable[[#This Row],[DiffAmount25]]=0, ZeroBudgetNoSpending, ZeroBudgetWithSpending), SummaryTable[[#This Row],[DiffAmount25]]/SummaryTable[[#This Row],[OriginalBudget25]])</f>
        <v>#N/A</v>
      </c>
      <c r="AJ152" s="62" t="e">
        <f>IF(COUNTIFS(allFYsTable[Code], SummaryTable[[#This Row],[Code]], allFYsTable[year2], AJ$3)=0, NotFound, SUMIFS(allFYsTable[OriginalBudget], allFYsTable[Code], SummaryTable[[#This Row],[Code]], allFYsTable[year2], AJ$3))</f>
        <v>#N/A</v>
      </c>
      <c r="AK152" s="61" t="e">
        <f>SummaryTable[[#This Row],[OriginalBudget24]]-SummaryTable[[#This Row],[OriginalBudget23]]</f>
        <v>#N/A</v>
      </c>
      <c r="AL152" s="54" t="e">
        <f>SummaryTable[[#This Row],[BudgetIncreaseAmount24]]/SummaryTable[[#This Row],[OriginalBudget23]]</f>
        <v>#N/A</v>
      </c>
      <c r="AM152" s="61" t="e">
        <f>IF(COUNTIFS(allFYsTable[Code], SummaryTable[[#This Row],[Code]], allFYsTable[year2], AK$3)=0, NotFound, SUMIFS(allFYsTable[RevisedBudget], allFYsTable[Code], SummaryTable[[#This Row],[Code]], allFYsTable[year2], AJ$3))</f>
        <v>#N/A</v>
      </c>
      <c r="AN152" s="61" t="e">
        <f>IF(COUNTIFS(allFYsTable[Code], SummaryTable[[#This Row],[Code]], allFYsTable[year2], AJ$3)=0, NotFound, SUMIFS(allFYsTable[Actual], allFYsTable[Code], SummaryTable[[#This Row],[Code]], allFYsTable[year2], AJ$3))</f>
        <v>#N/A</v>
      </c>
      <c r="AO152" s="61" t="e">
        <f>IF(COUNTIFS(allFYsTable[Code], SummaryTable[[#This Row],[Code]], allFYsTable[year2], AJ$3)=0, NotFound, SUMIFS(allFYsTable[DiffAmount], allFYsTable[Code], SummaryTable[[#This Row],[Code]], allFYsTable[year2], AJ$3))</f>
        <v>#N/A</v>
      </c>
      <c r="AP152" s="63" t="e">
        <f>IF(SummaryTable[[#This Row],[OriginalBudget24]]=0, IF(SummaryTable[[#This Row],[DiffAmount24]]=0, ZeroBudgetNoSpending, ZeroBudgetWithSpending), SummaryTable[[#This Row],[DiffAmount24]]/SummaryTable[[#This Row],[OriginalBudget24]])</f>
        <v>#N/A</v>
      </c>
      <c r="AQ152" s="62" t="e">
        <f>IF(COUNTIFS(allFYsTable[Code], SummaryTable[[#This Row],[Code]], allFYsTable[year2], AQ$3)=0, NotFound, SUMIFS(allFYsTable[OriginalBudget], allFYsTable[Code], SummaryTable[[#This Row],[Code]], allFYsTable[year2], AQ$3))</f>
        <v>#N/A</v>
      </c>
      <c r="AR152" s="61" t="e">
        <f>SummaryTable[[#This Row],[OriginalBudget23]]-SummaryTable[[#This Row],[OriginalBudget22]]</f>
        <v>#N/A</v>
      </c>
      <c r="AS152" s="54" t="e">
        <f>SummaryTable[[#This Row],[BudgetIncreaseAmount23]]/SummaryTable[[#This Row],[OriginalBudget22]]</f>
        <v>#N/A</v>
      </c>
      <c r="AT152" s="61" t="e">
        <f>IF(COUNTIFS(allFYsTable[Code], SummaryTable[[#This Row],[Code]], allFYsTable[year2], AQ$3)=0, NotFound, SUMIFS(allFYsTable[RevisedBudget], allFYsTable[Code], SummaryTable[[#This Row],[Code]], allFYsTable[year2], AQ$3))</f>
        <v>#N/A</v>
      </c>
      <c r="AU152" s="61" t="e">
        <f>IF(COUNTIFS(allFYsTable[Code], SummaryTable[[#This Row],[Code]], allFYsTable[year2], AQ$3)=0, NotFound, SUMIFS(allFYsTable[Actual], allFYsTable[Code], SummaryTable[[#This Row],[Code]], allFYsTable[year2], AQ$3))</f>
        <v>#N/A</v>
      </c>
      <c r="AV152" s="61" t="e">
        <f>IF(COUNTIFS(allFYsTable[Code], SummaryTable[[#This Row],[Code]], allFYsTable[year2], AQ$3)=0, NotFound, SUMIFS(allFYsTable[DiffAmount], allFYsTable[Code], SummaryTable[[#This Row],[Code]], allFYsTable[year2], AQ$3))</f>
        <v>#N/A</v>
      </c>
      <c r="AW152" s="63" t="e">
        <f>IF(SummaryTable[[#This Row],[OriginalBudget23]]=0, IF(SummaryTable[[#This Row],[DiffAmount23]]=0, ZeroBudgetNoSpending, ZeroBudgetWithSpending), SummaryTable[[#This Row],[DiffAmount23]]/SummaryTable[[#This Row],[OriginalBudget23]])</f>
        <v>#N/A</v>
      </c>
      <c r="AX152" s="62" t="e">
        <f>IF(COUNTIFS(allFYsTable[Code], SummaryTable[[#This Row],[Code]], allFYsTable[year2], AX$3)=0, NotFound, SUMIFS(allFYsTable[OriginalBudget], allFYsTable[Code], SummaryTable[[#This Row],[Code]], allFYsTable[year2], AX$3))</f>
        <v>#N/A</v>
      </c>
      <c r="AY152" s="61" t="e">
        <f>SummaryTable[[#This Row],[OriginalBudget22]]-SummaryTable[[#This Row],[OriginalBudget21]]</f>
        <v>#N/A</v>
      </c>
      <c r="AZ152" s="54" t="e">
        <f>SummaryTable[[#This Row],[BudgetIncreaseAmount22]]/SummaryTable[[#This Row],[OriginalBudget21]]</f>
        <v>#N/A</v>
      </c>
      <c r="BA152" s="61" t="e">
        <f>IF(COUNTIFS(allFYsTable[Code], SummaryTable[[#This Row],[Code]], allFYsTable[year2], AX$3)=0, NotFound, SUMIFS(allFYsTable[RevisedBudget], allFYsTable[Code], SummaryTable[[#This Row],[Code]], allFYsTable[year2], AX$3))</f>
        <v>#N/A</v>
      </c>
      <c r="BB152" s="61" t="e">
        <f>IF(COUNTIFS(allFYsTable[Code], SummaryTable[[#This Row],[Code]], allFYsTable[year2], AX$3)=0, NotFound, SUMIFS(allFYsTable[Actual], allFYsTable[Code], SummaryTable[[#This Row],[Code]], allFYsTable[year2], AX$3))</f>
        <v>#N/A</v>
      </c>
      <c r="BC152" s="61" t="e">
        <f>IF(COUNTIFS(allFYsTable[Code], SummaryTable[[#This Row],[Code]], allFYsTable[year2], AX$3)=0, NotFound, SUMIFS(allFYsTable[DiffAmount], allFYsTable[Code], SummaryTable[[#This Row],[Code]], allFYsTable[year2], AX$3))</f>
        <v>#N/A</v>
      </c>
      <c r="BD152" s="63" t="e">
        <f>IF(SummaryTable[[#This Row],[OriginalBudget22]]=0, IF(SummaryTable[[#This Row],[DiffAmount22]]=0, ZeroBudgetNoSpending, ZeroBudgetWithSpending), SummaryTable[[#This Row],[DiffAmount22]]/SummaryTable[[#This Row],[OriginalBudget22]])</f>
        <v>#N/A</v>
      </c>
      <c r="BE152" s="62" t="e">
        <f>IF(COUNTIFS(allFYsTable[Code], SummaryTable[[#This Row],[Code]], allFYsTable[year2], BE$3)=0, NotFound, SUMIFS(allFYsTable[OriginalBudget], allFYsTable[Code], SummaryTable[[#This Row],[Code]], allFYsTable[year2], BE$3))</f>
        <v>#N/A</v>
      </c>
      <c r="BF152" s="61" t="e">
        <f>SummaryTable[[#This Row],[OriginalBudget21]]-SummaryTable[[#This Row],[OriginalBudget20]]</f>
        <v>#N/A</v>
      </c>
      <c r="BG152" s="54" t="e">
        <f>SummaryTable[[#This Row],[BudgetIncreaseAmount21]]/SummaryTable[[#This Row],[OriginalBudget20]]</f>
        <v>#N/A</v>
      </c>
      <c r="BH152" s="61" t="e">
        <f>IF(COUNTIFS(allFYsTable[Code], SummaryTable[[#This Row],[Code]], allFYsTable[year2], BE$3)=0, NotFound, SUMIFS(allFYsTable[RevisedBudget], allFYsTable[Code], SummaryTable[[#This Row],[Code]], allFYsTable[year2], BE$3))</f>
        <v>#N/A</v>
      </c>
      <c r="BI152" s="61" t="e">
        <f>IF(COUNTIFS(allFYsTable[Code], SummaryTable[[#This Row],[Code]], allFYsTable[year2], BE$3)=0, NotFound, SUMIFS(allFYsTable[Actual], allFYsTable[Code], SummaryTable[[#This Row],[Code]], allFYsTable[year2], BE$3))</f>
        <v>#N/A</v>
      </c>
      <c r="BJ152" s="61" t="e">
        <f>IF(COUNTIFS(allFYsTable[Code], SummaryTable[[#This Row],[Code]], allFYsTable[year2], BE$3)=0, NotFound, SUMIFS(allFYsTable[DiffAmount], allFYsTable[Code], SummaryTable[[#This Row],[Code]], allFYsTable[year2], BE$3))</f>
        <v>#N/A</v>
      </c>
      <c r="BK152" s="63" t="e">
        <f>IF(SummaryTable[[#This Row],[OriginalBudget21]]=0, IF(SummaryTable[[#This Row],[DiffAmount21]]=0, ZeroBudgetNoSpending, ZeroBudgetWithSpending), SummaryTable[[#This Row],[DiffAmount21]]/SummaryTable[[#This Row],[OriginalBudget21]])</f>
        <v>#N/A</v>
      </c>
      <c r="BL152" s="62" t="e">
        <f>IF(COUNTIFS(allFYsTable[Code], SummaryTable[[#This Row],[Code]], allFYsTable[year2], BL$3)=0, NotFound, SUMIFS(allFYsTable[OriginalBudget], allFYsTable[Code], SummaryTable[[#This Row],[Code]], allFYsTable[year2], BL$3))</f>
        <v>#N/A</v>
      </c>
      <c r="BM152" s="61" t="e">
        <f>SummaryTable[[#This Row],[OriginalBudget20]]-SummaryTable[[#This Row],[OriginalBudget19]]</f>
        <v>#N/A</v>
      </c>
      <c r="BN152" s="54" t="e">
        <f>SummaryTable[[#This Row],[BudgetIncreaseAmount20]]/SummaryTable[[#This Row],[OriginalBudget19]]</f>
        <v>#N/A</v>
      </c>
      <c r="BO152" s="61" t="e">
        <f>IF(COUNTIFS(allFYsTable[Code], SummaryTable[[#This Row],[Code]], allFYsTable[year2], BL$3)=0, NotFound, SUMIFS(allFYsTable[RevisedBudget], allFYsTable[Code], SummaryTable[[#This Row],[Code]], allFYsTable[year2], BL$3))</f>
        <v>#N/A</v>
      </c>
      <c r="BP152" s="61" t="e">
        <f>IF(COUNTIFS(allFYsTable[Code], SummaryTable[[#This Row],[Code]], allFYsTable[year2], BL$3)=0, NotFound, SUMIFS(allFYsTable[Actual], allFYsTable[Code], SummaryTable[[#This Row],[Code]], allFYsTable[year2], BL$3))</f>
        <v>#N/A</v>
      </c>
      <c r="BQ152" s="61" t="e">
        <f>IF(COUNTIFS(allFYsTable[Code], SummaryTable[[#This Row],[Code]], allFYsTable[year2], BL$3)=0, NotFound, SUMIFS(allFYsTable[DiffAmount], allFYsTable[Code], SummaryTable[[#This Row],[Code]], allFYsTable[year2], BL$3))</f>
        <v>#N/A</v>
      </c>
      <c r="BR152" s="63" t="e">
        <f>IF(SummaryTable[[#This Row],[OriginalBudget20]]=0, IF(SummaryTable[[#This Row],[DiffAmount20]]=0, ZeroBudgetNoSpending, ZeroBudgetWithSpending), SummaryTable[[#This Row],[DiffAmount20]]/SummaryTable[[#This Row],[OriginalBudget20]])</f>
        <v>#N/A</v>
      </c>
      <c r="BS152" s="62" t="e">
        <f>IF(COUNTIFS(allFYsTable[Code], SummaryTable[[#This Row],[Code]], allFYsTable[year2], BS$3)=0, NotFound, SUMIFS(allFYsTable[OriginalBudget], allFYsTable[Code], SummaryTable[[#This Row],[Code]], allFYsTable[year2], BS$3))</f>
        <v>#N/A</v>
      </c>
      <c r="BT152" s="61" t="e">
        <f>SummaryTable[[#This Row],[OriginalBudget19]]-SummaryTable[[#This Row],[OriginalBudget18]]</f>
        <v>#N/A</v>
      </c>
      <c r="BU152" s="54" t="e">
        <f>SummaryTable[[#This Row],[BudgetIncreaseAmount19]]/SummaryTable[[#This Row],[OriginalBudget18]]</f>
        <v>#N/A</v>
      </c>
      <c r="BV152" s="61" t="e">
        <f>IF(COUNTIFS(allFYsTable[Code], SummaryTable[[#This Row],[Code]], allFYsTable[year2], BS$3)=0, NotFound, SUMIFS(allFYsTable[RevisedBudget], allFYsTable[Code], SummaryTable[[#This Row],[Code]], allFYsTable[year2], BS$3))</f>
        <v>#N/A</v>
      </c>
      <c r="BW152" s="61" t="e">
        <f>IF(COUNTIFS(allFYsTable[Code], SummaryTable[[#This Row],[Code]], allFYsTable[year2], BS$3)=0, NotFound, SUMIFS(allFYsTable[Actual], allFYsTable[Code], SummaryTable[[#This Row],[Code]], allFYsTable[year2], BS$3))</f>
        <v>#N/A</v>
      </c>
      <c r="BX152" s="61" t="e">
        <f>IF(COUNTIFS(allFYsTable[Code], SummaryTable[[#This Row],[Code]], allFYsTable[year2], BS$3)=0, NotFound, SUMIFS(allFYsTable[DiffAmount], allFYsTable[Code], SummaryTable[[#This Row],[Code]], allFYsTable[year2], BS$3))</f>
        <v>#N/A</v>
      </c>
      <c r="BY152" s="63" t="e">
        <f>IF(SummaryTable[[#This Row],[OriginalBudget19]]=0, IF(SummaryTable[[#This Row],[DiffAmount19]]=0, ZeroBudgetNoSpending, ZeroBudgetWithSpending), SummaryTable[[#This Row],[DiffAmount19]]/SummaryTable[[#This Row],[OriginalBudget19]])</f>
        <v>#N/A</v>
      </c>
      <c r="BZ152" s="62" t="e">
        <f>IF(COUNTIFS(allFYsTable[Code], SummaryTable[[#This Row],[Code]], allFYsTable[year2], BZ$3)=0, NotFound, SUMIFS(allFYsTable[OriginalBudget], allFYsTable[Code], SummaryTable[[#This Row],[Code]], allFYsTable[year2], BZ$3))</f>
        <v>#N/A</v>
      </c>
      <c r="CA152" s="61" t="e">
        <f>SummaryTable[[#This Row],[OriginalBudget18]]-SummaryTable[[#This Row],[OriginalBudget17]]</f>
        <v>#N/A</v>
      </c>
      <c r="CB152" s="54" t="e">
        <f>SummaryTable[[#This Row],[BudgetIncreaseAmount18]]/SummaryTable[[#This Row],[OriginalBudget17]]</f>
        <v>#N/A</v>
      </c>
      <c r="CC152" s="61" t="e">
        <f>IF(COUNTIFS(allFYsTable[Code], SummaryTable[[#This Row],[Code]], allFYsTable[year2], BZ$3)=0, NotFound, SUMIFS(allFYsTable[RevisedBudget], allFYsTable[Code], SummaryTable[[#This Row],[Code]], allFYsTable[year2], BZ$3))</f>
        <v>#N/A</v>
      </c>
      <c r="CD152" s="61" t="e">
        <f>IF(COUNTIFS(allFYsTable[Code], SummaryTable[[#This Row],[Code]], allFYsTable[year2], BZ$3)=0, NotFound, SUMIFS(allFYsTable[Actual], allFYsTable[Code], SummaryTable[[#This Row],[Code]], allFYsTable[year2], BZ$3))</f>
        <v>#N/A</v>
      </c>
      <c r="CE152" s="61" t="e">
        <f>IF(COUNTIFS(allFYsTable[Code], SummaryTable[[#This Row],[Code]], allFYsTable[year2], BZ$3)=0, NotFound, SUMIFS(allFYsTable[DiffAmount], allFYsTable[Code], SummaryTable[[#This Row],[Code]], allFYsTable[year2], BZ$3))</f>
        <v>#N/A</v>
      </c>
      <c r="CF152" s="63" t="e">
        <f>IF(SummaryTable[[#This Row],[OriginalBudget18]]=0, IF(SummaryTable[[#This Row],[DiffAmount18]]=0, ZeroBudgetNoSpending, ZeroBudgetWithSpending), SummaryTable[[#This Row],[DiffAmount18]]/SummaryTable[[#This Row],[OriginalBudget18]])</f>
        <v>#N/A</v>
      </c>
      <c r="CG152" s="62">
        <f>IF(COUNTIFS(allFYsTable[Code], SummaryTable[[#This Row],[Code]], allFYsTable[year2], CG$3)=0, NotFound, SUMIFS(allFYsTable[OriginalBudget], allFYsTable[Code], SummaryTable[[#This Row],[Code]], allFYsTable[year2], CG$3))</f>
        <v>13523</v>
      </c>
      <c r="CH152" s="61">
        <f>SummaryTable[[#This Row],[OriginalBudget17]]-SummaryTable[[#This Row],[OriginalBudget16]]</f>
        <v>-753</v>
      </c>
      <c r="CI152" s="54">
        <f>SummaryTable[[#This Row],[BudgetIncreaseAmount17]]/SummaryTable[[#This Row],[OriginalBudget16]]</f>
        <v>-5.2745867189688989E-2</v>
      </c>
      <c r="CJ152" s="61">
        <f>IF(COUNTIFS(allFYsTable[Code], SummaryTable[[#This Row],[Code]], allFYsTable[year2], CG$3)=0, NotFound, SUMIFS(allFYsTable[RevisedBudget], allFYsTable[Code], SummaryTable[[#This Row],[Code]], allFYsTable[year2], CG$3))</f>
        <v>13523</v>
      </c>
      <c r="CK152" s="61">
        <f>IF(COUNTIFS(allFYsTable[Code], SummaryTable[[#This Row],[Code]], allFYsTable[year2], CG$3)=0, NotFound, SUMIFS(allFYsTable[Actual], allFYsTable[Code], SummaryTable[[#This Row],[Code]], allFYsTable[year2], CG$3))</f>
        <v>13523</v>
      </c>
      <c r="CL152" s="61">
        <f>IF(COUNTIFS(allFYsTable[Code], SummaryTable[[#This Row],[Code]], allFYsTable[year2], CG$3)=0, NotFound, SUMIFS(allFYsTable[DiffAmount], allFYsTable[Code], SummaryTable[[#This Row],[Code]], allFYsTable[year2], CG$3))</f>
        <v>0</v>
      </c>
      <c r="CM152" s="63">
        <f>IF(SummaryTable[[#This Row],[OriginalBudget17]]=0, IF(SummaryTable[[#This Row],[DiffAmount17]]=0, ZeroBudgetNoSpending, ZeroBudgetWithSpending), SummaryTable[[#This Row],[DiffAmount17]]/SummaryTable[[#This Row],[OriginalBudget17]])</f>
        <v>0</v>
      </c>
      <c r="CN152" s="62">
        <f>IF(COUNTIFS(allFYsTable[Code], SummaryTable[[#This Row],[Code]], allFYsTable[year2], CN$3)=0, NotFound, SUMIFS(allFYsTable[OriginalBudget], allFYsTable[Code], SummaryTable[[#This Row],[Code]], allFYsTable[year2], CN$3))</f>
        <v>14276</v>
      </c>
      <c r="CO152" s="61">
        <f>SummaryTable[[#This Row],[OriginalBudget16]]-SummaryTable[[#This Row],[OriginalBudget15]]</f>
        <v>2864</v>
      </c>
      <c r="CP152" s="54">
        <f>SummaryTable[[#This Row],[BudgetIncreaseAmount16]]/SummaryTable[[#This Row],[OriginalBudget15]]</f>
        <v>0.25096389765159482</v>
      </c>
      <c r="CQ152" s="61">
        <f>IF(COUNTIFS(allFYsTable[Code], SummaryTable[[#This Row],[Code]], allFYsTable[year2], CN$3)=0, NotFound, SUMIFS(allFYsTable[RevisedBudget], allFYsTable[Code], SummaryTable[[#This Row],[Code]], allFYsTable[year2], CN$3))</f>
        <v>14276</v>
      </c>
      <c r="CR152" s="61">
        <f>IF(COUNTIFS(allFYsTable[Code], SummaryTable[[#This Row],[Code]], allFYsTable[year2], CN$3)=0, NotFound, SUMIFS(allFYsTable[Actual], allFYsTable[Code], SummaryTable[[#This Row],[Code]], allFYsTable[year2], CN$3))</f>
        <v>14276</v>
      </c>
      <c r="CS152" s="61">
        <f>IF(COUNTIFS(allFYsTable[Code], SummaryTable[[#This Row],[Code]], allFYsTable[year2], CN$3)=0, NotFound, SUMIFS(allFYsTable[DiffAmount], allFYsTable[Code], SummaryTable[[#This Row],[Code]], allFYsTable[year2], CN$3))</f>
        <v>0</v>
      </c>
      <c r="CT152" s="63">
        <f>IF(SummaryTable[[#This Row],[OriginalBudget16]]=0, IF(SummaryTable[[#This Row],[DiffAmount16]]=0, ZeroBudgetNoSpending, ZeroBudgetWithSpending), SummaryTable[[#This Row],[DiffAmount16]]/SummaryTable[[#This Row],[OriginalBudget16]])</f>
        <v>0</v>
      </c>
      <c r="CU152" s="62">
        <f>IF(COUNTIFS(allFYsTable[Code], SummaryTable[[#This Row],[Code]], allFYsTable[year2], CU$3)=0, NotFound, SUMIFS(allFYsTable[OriginalBudget], allFYsTable[Code], SummaryTable[[#This Row],[Code]], allFYsTable[year2], CU$3))</f>
        <v>11412</v>
      </c>
      <c r="CV152" s="61">
        <f>SummaryTable[[#This Row],[OriginalBudget15]]-SummaryTable[[#This Row],[OriginalBudget14]]</f>
        <v>-451</v>
      </c>
      <c r="CW152" s="54">
        <f>SummaryTable[[#This Row],[BudgetIncreaseAmount15]]/SummaryTable[[#This Row],[OriginalBudget14]]</f>
        <v>-3.801736491612577E-2</v>
      </c>
      <c r="CX152" s="61">
        <f>IF(COUNTIFS(allFYsTable[Code], SummaryTable[[#This Row],[Code]], allFYsTable[year2], CU$3)=0, NotFound, SUMIFS(allFYsTable[RevisedBudget], allFYsTable[Code], SummaryTable[[#This Row],[Code]], allFYsTable[year2], CU$3))</f>
        <v>11412</v>
      </c>
      <c r="CY152" s="61">
        <f>IF(COUNTIFS(allFYsTable[Code], SummaryTable[[#This Row],[Code]], allFYsTable[year2], CU$3)=0, NotFound, SUMIFS(allFYsTable[Actual], allFYsTable[Code], SummaryTable[[#This Row],[Code]], allFYsTable[year2], CU$3))</f>
        <v>11412</v>
      </c>
      <c r="CZ152" s="61">
        <f>IF(COUNTIFS(allFYsTable[Code], SummaryTable[[#This Row],[Code]], allFYsTable[year2], CU$3)=0, NotFound, SUMIFS(allFYsTable[DiffAmount], allFYsTable[Code], SummaryTable[[#This Row],[Code]], allFYsTable[year2], CU$3))</f>
        <v>0</v>
      </c>
      <c r="DA152" s="63">
        <f>IF(SummaryTable[[#This Row],[OriginalBudget15]]=0, IF(SummaryTable[[#This Row],[DiffAmount15]]=0, ZeroBudgetNoSpending, ZeroBudgetWithSpending), SummaryTable[[#This Row],[DiffAmount15]]/SummaryTable[[#This Row],[OriginalBudget15]])</f>
        <v>0</v>
      </c>
      <c r="DB152" s="62">
        <f>IF(COUNTIFS(allFYsTable[Code], SummaryTable[[#This Row],[Code]], allFYsTable[year2], DB$3)=0, NotFound, SUMIFS(allFYsTable[OriginalBudget], allFYsTable[Code], SummaryTable[[#This Row],[Code]], allFYsTable[year2], DB$3))</f>
        <v>11863</v>
      </c>
      <c r="DC152" s="61">
        <f>SummaryTable[[#This Row],[OriginalBudget14]]-SummaryTable[[#This Row],[OriginalBudget13]]</f>
        <v>3237</v>
      </c>
      <c r="DD152" s="54">
        <f>SummaryTable[[#This Row],[BudgetIncreaseAmount14]]/SummaryTable[[#This Row],[OriginalBudget13]]</f>
        <v>0.37526083932297705</v>
      </c>
      <c r="DE152" s="61">
        <f>IF(COUNTIFS(allFYsTable[Code], SummaryTable[[#This Row],[Code]], allFYsTable[year2], DB$3)=0, NotFound, SUMIFS(allFYsTable[RevisedBudget], allFYsTable[Code], SummaryTable[[#This Row],[Code]], allFYsTable[year2], DB$3))</f>
        <v>11863</v>
      </c>
      <c r="DF152" s="61">
        <f>IF(COUNTIFS(allFYsTable[Code], SummaryTable[[#This Row],[Code]], allFYsTable[year2], DB$3)=0, NotFound, SUMIFS(allFYsTable[Actual], allFYsTable[Code], SummaryTable[[#This Row],[Code]], allFYsTable[year2], DB$3))</f>
        <v>11863</v>
      </c>
      <c r="DG152" s="61">
        <f>IF(COUNTIFS(allFYsTable[Code], SummaryTable[[#This Row],[Code]], allFYsTable[year2], DB$3)=0, NotFound, SUMIFS(allFYsTable[DiffAmount], allFYsTable[Code], SummaryTable[[#This Row],[Code]], allFYsTable[year2], DB$3))</f>
        <v>0</v>
      </c>
      <c r="DH152" s="63">
        <f>IF(SummaryTable[[#This Row],[OriginalBudget14]]=0, IF(SummaryTable[[#This Row],[DiffAmount14]]=0, ZeroBudgetNoSpending, ZeroBudgetWithSpending), SummaryTable[[#This Row],[DiffAmount14]]/SummaryTable[[#This Row],[OriginalBudget14]])</f>
        <v>0</v>
      </c>
      <c r="DI152" s="62">
        <f>IF(COUNTIFS(allFYsTable[Code], SummaryTable[[#This Row],[Code]], allFYsTable[year2], DI$3)=0, NotFound, SUMIFS(allFYsTable[OriginalBudget], allFYsTable[Code], SummaryTable[[#This Row],[Code]], allFYsTable[year2], DI$3))</f>
        <v>8626</v>
      </c>
      <c r="DJ152" s="61">
        <f>SummaryTable[[#This Row],[OriginalBudget13]]-SummaryTable[[#This Row],[OriginalBudget12]]</f>
        <v>5</v>
      </c>
      <c r="DK152" s="54">
        <f>SummaryTable[[#This Row],[BudgetIncreaseAmount13]]/SummaryTable[[#This Row],[OriginalBudget12]]</f>
        <v>5.7997912075165292E-4</v>
      </c>
      <c r="DL152" s="61">
        <f>IF(COUNTIFS(allFYsTable[Code], SummaryTable[[#This Row],[Code]], allFYsTable[year2], DI$3)=0, NotFound, SUMIFS(allFYsTable[RevisedBudget], allFYsTable[Code], SummaryTable[[#This Row],[Code]], allFYsTable[year2], DI$3))</f>
        <v>8626</v>
      </c>
      <c r="DM152" s="61">
        <f>IF(COUNTIFS(allFYsTable[Code], SummaryTable[[#This Row],[Code]], allFYsTable[year2], DI$3)=0, NotFound, SUMIFS(allFYsTable[Actual], allFYsTable[Code], SummaryTable[[#This Row],[Code]], allFYsTable[year2], DI$3))</f>
        <v>8626</v>
      </c>
      <c r="DN152" s="61">
        <f>IF(COUNTIFS(allFYsTable[Code], SummaryTable[[#This Row],[Code]], allFYsTable[year2], DI$3)=0, NotFound, SUMIFS(allFYsTable[DiffAmount], allFYsTable[Code], SummaryTable[[#This Row],[Code]], allFYsTable[year2], DI$3))</f>
        <v>0</v>
      </c>
      <c r="DO152" s="63">
        <f>IF(SummaryTable[[#This Row],[OriginalBudget13]]=0, IF(SummaryTable[[#This Row],[DiffAmount13]]=0, ZeroBudgetNoSpending, ZeroBudgetWithSpending), SummaryTable[[#This Row],[DiffAmount13]]/SummaryTable[[#This Row],[OriginalBudget13]])</f>
        <v>0</v>
      </c>
      <c r="DP152" s="62">
        <f>IF(COUNTIFS(allFYsTable[Code], SummaryTable[[#This Row],[Code]], allFYsTable[year2], DP$3)=0, NotFound, SUMIFS(allFYsTable[OriginalBudget], allFYsTable[Code], SummaryTable[[#This Row],[Code]], allFYsTable[year2], DP$3))</f>
        <v>8621</v>
      </c>
      <c r="DQ152" s="61">
        <f>SummaryTable[[#This Row],[OriginalBudget12]]-SummaryTable[[#This Row],[OriginalBudget11]]</f>
        <v>8</v>
      </c>
      <c r="DR152" s="54">
        <f>SummaryTable[[#This Row],[BudgetIncreaseAmount12]]/SummaryTable[[#This Row],[OriginalBudget11]]</f>
        <v>9.288285150354116E-4</v>
      </c>
      <c r="DS152" s="61">
        <f>IF(COUNTIFS(allFYsTable[Code], SummaryTable[[#This Row],[Code]], allFYsTable[year2], DP$3)=0, NotFound, SUMIFS(allFYsTable[RevisedBudget], allFYsTable[Code], SummaryTable[[#This Row],[Code]], allFYsTable[year2], DP$3))</f>
        <v>8621</v>
      </c>
      <c r="DT152" s="61">
        <f>IF(COUNTIFS(allFYsTable[Code], SummaryTable[[#This Row],[Code]], allFYsTable[year2], DP$3)=0, NotFound, SUMIFS(allFYsTable[Actual], allFYsTable[Code], SummaryTable[[#This Row],[Code]], allFYsTable[year2], DP$3))</f>
        <v>8621</v>
      </c>
      <c r="DU152" s="61">
        <f>IF(COUNTIFS(allFYsTable[Code], SummaryTable[[#This Row],[Code]], allFYsTable[year2], DP$3)=0, NotFound, SUMIFS(allFYsTable[DiffAmount], allFYsTable[Code], SummaryTable[[#This Row],[Code]], allFYsTable[year2], DP$3))</f>
        <v>0</v>
      </c>
      <c r="DV152" s="63">
        <f>IF(SummaryTable[[#This Row],[OriginalBudget12]]=0, IF(SummaryTable[[#This Row],[DiffAmount12]]=0, ZeroBudgetNoSpending, ZeroBudgetWithSpending), SummaryTable[[#This Row],[DiffAmount12]]/SummaryTable[[#This Row],[OriginalBudget12]])</f>
        <v>0</v>
      </c>
      <c r="DW152" s="62">
        <f>IF(COUNTIFS(allFYsTable[Code], SummaryTable[[#This Row],[Code]], allFYsTable[year2], DW$3)=0, NotFound, SUMIFS(allFYsTable[OriginalBudget], allFYsTable[Code], SummaryTable[[#This Row],[Code]], allFYsTable[year2], DW$3))</f>
        <v>8613</v>
      </c>
      <c r="DX152" s="61">
        <f>SummaryTable[[#This Row],[OriginalBudget11]]-SummaryTable[[#This Row],[OriginalBudget10]]</f>
        <v>1</v>
      </c>
      <c r="DY152" s="54">
        <f>SummaryTable[[#This Row],[BudgetIncreaseAmount11]]/SummaryTable[[#This Row],[OriginalBudget10]]</f>
        <v>1.1611704598235021E-4</v>
      </c>
      <c r="DZ152" s="61">
        <f>IF(COUNTIFS(allFYsTable[Code], SummaryTable[[#This Row],[Code]], allFYsTable[year2], DW$3)=0, NotFound, SUMIFS(allFYsTable[RevisedBudget], allFYsTable[Code], SummaryTable[[#This Row],[Code]], allFYsTable[year2], DW$3))</f>
        <v>8613</v>
      </c>
      <c r="EA152" s="61">
        <f>IF(COUNTIFS(allFYsTable[Code], SummaryTable[[#This Row],[Code]], allFYsTable[year2], DW$3)=0, NotFound, SUMIFS(allFYsTable[Actual], allFYsTable[Code], SummaryTable[[#This Row],[Code]], allFYsTable[year2], DW$3))</f>
        <v>8613</v>
      </c>
      <c r="EB152" s="61">
        <f>IF(COUNTIFS(allFYsTable[Code], SummaryTable[[#This Row],[Code]], allFYsTable[year2], DW$3)=0, NotFound, SUMIFS(allFYsTable[DiffAmount], allFYsTable[Code], SummaryTable[[#This Row],[Code]], allFYsTable[year2], DW$3))</f>
        <v>0</v>
      </c>
      <c r="EC152" s="63">
        <f>IF(SummaryTable[[#This Row],[OriginalBudget11]]=0, IF(SummaryTable[[#This Row],[DiffAmount11]]=0, ZeroBudgetNoSpending, ZeroBudgetWithSpending), SummaryTable[[#This Row],[DiffAmount11]]/SummaryTable[[#This Row],[OriginalBudget11]])</f>
        <v>0</v>
      </c>
      <c r="ED152" s="62">
        <f>IF(COUNTIFS(allFYsTable[Code], SummaryTable[[#This Row],[Code]], allFYsTable[year2], ED$3)=0, NotFound, SUMIFS(allFYsTable[OriginalBudget], allFYsTable[Code], SummaryTable[[#This Row],[Code]], allFYsTable[year2], ED$3))</f>
        <v>8612</v>
      </c>
      <c r="EE152" s="61">
        <f>SummaryTable[[#This Row],[OriginalBudget10]]-SummaryTable[[#This Row],[OriginalBudget09]]</f>
        <v>-1</v>
      </c>
      <c r="EF152" s="54">
        <f>SummaryTable[[#This Row],[BudgetIncreaseAmount10]]/SummaryTable[[#This Row],[OriginalBudget09]]</f>
        <v>-1.1610356437942645E-4</v>
      </c>
      <c r="EG152" s="61">
        <f>IF(COUNTIFS(allFYsTable[Code], SummaryTable[[#This Row],[Code]], allFYsTable[year2], ED$3)=0, NotFound, SUMIFS(allFYsTable[RevisedBudget], allFYsTable[Code], SummaryTable[[#This Row],[Code]], allFYsTable[year2], ED$3))</f>
        <v>8612</v>
      </c>
      <c r="EH152" s="61">
        <f>IF(COUNTIFS(allFYsTable[Code], SummaryTable[[#This Row],[Code]], allFYsTable[year2], ED$3)=0, NotFound, SUMIFS(allFYsTable[Actual], allFYsTable[Code], SummaryTable[[#This Row],[Code]], allFYsTable[year2], ED$3))</f>
        <v>8612</v>
      </c>
      <c r="EI152" s="61">
        <f>IF(COUNTIFS(allFYsTable[Code], SummaryTable[[#This Row],[Code]], allFYsTable[year2], ED$3)=0, NotFound, SUMIFS(allFYsTable[DiffAmount], allFYsTable[Code], SummaryTable[[#This Row],[Code]], allFYsTable[year2], ED$3))</f>
        <v>0</v>
      </c>
      <c r="EJ152" s="63">
        <f>IF(SummaryTable[[#This Row],[OriginalBudget10]]=0, IF(SummaryTable[[#This Row],[DiffAmount10]]=0, ZeroBudgetNoSpending, ZeroBudgetWithSpending), SummaryTable[[#This Row],[DiffAmount10]]/SummaryTable[[#This Row],[OriginalBudget10]])</f>
        <v>0</v>
      </c>
      <c r="EK152" s="62">
        <f>IF(COUNTIFS(allFYsTable[Code], SummaryTable[[#This Row],[Code]], allFYsTable[year2], EK$3)=0, NotFound, SUMIFS(allFYsTable[OriginalBudget], allFYsTable[Code], SummaryTable[[#This Row],[Code]], allFYsTable[year2], EK$3))</f>
        <v>8613</v>
      </c>
      <c r="EL152" s="61">
        <f>SummaryTable[[#This Row],[OriginalBudget09]]-SummaryTable[[#This Row],[OriginalBudget08]]</f>
        <v>2178</v>
      </c>
      <c r="EM152" s="54">
        <f>SummaryTable[[#This Row],[BudgetIncreaseAmount09]]/SummaryTable[[#This Row],[OriginalBudget08]]</f>
        <v>0.33846153846153848</v>
      </c>
      <c r="EN152" s="61">
        <f>IF(COUNTIFS(allFYsTable[Code], SummaryTable[[#This Row],[Code]], allFYsTable[year2], EK$3)=0, NotFound, SUMIFS(allFYsTable[RevisedBudget], allFYsTable[Code], SummaryTable[[#This Row],[Code]], allFYsTable[year2], EK$3))</f>
        <v>8613</v>
      </c>
      <c r="EO152" s="61">
        <f>IF(COUNTIFS(allFYsTable[Code], SummaryTable[[#This Row],[Code]], allFYsTable[year2], EK$3)=0, NotFound, SUMIFS(allFYsTable[Actual], allFYsTable[Code], SummaryTable[[#This Row],[Code]], allFYsTable[year2], EK$3))</f>
        <v>8613</v>
      </c>
      <c r="EP152" s="61">
        <f>IF(COUNTIFS(allFYsTable[Code], SummaryTable[[#This Row],[Code]], allFYsTable[year2], EK$3)=0, NotFound, SUMIFS(allFYsTable[DiffAmount], allFYsTable[Code], SummaryTable[[#This Row],[Code]], allFYsTable[year2], EK$3))</f>
        <v>0</v>
      </c>
      <c r="EQ152" s="63">
        <f>IF(SummaryTable[[#This Row],[OriginalBudget09]]=0, IF(SummaryTable[[#This Row],[DiffAmount09]]=0, ZeroBudgetNoSpending, ZeroBudgetWithSpending), SummaryTable[[#This Row],[DiffAmount09]]/SummaryTable[[#This Row],[OriginalBudget09]])</f>
        <v>0</v>
      </c>
      <c r="ER152" s="62">
        <f>IF(COUNTIFS(allFYsTable[Code], SummaryTable[[#This Row],[Code]], allFYsTable[year2], ER$3)=0, NotFound, SUMIFS(allFYsTable[OriginalBudget], allFYsTable[Code], SummaryTable[[#This Row],[Code]], allFYsTable[year2], ER$3))</f>
        <v>6435</v>
      </c>
      <c r="ES152" s="61">
        <f>SummaryTable[[#This Row],[OriginalBudget08]]-SummaryTable[[#This Row],[OriginalBudget07]]</f>
        <v>4785</v>
      </c>
      <c r="ET152" s="54">
        <f>SummaryTable[[#This Row],[BudgetIncreaseAmount08]]/SummaryTable[[#This Row],[OriginalBudget07]]</f>
        <v>2.9</v>
      </c>
      <c r="EU152" s="61">
        <f>IF(COUNTIFS(allFYsTable[Code], SummaryTable[[#This Row],[Code]], allFYsTable[year2], ER$3)=0, NotFound, SUMIFS(allFYsTable[RevisedBudget], allFYsTable[Code], SummaryTable[[#This Row],[Code]], allFYsTable[year2], ER$3))</f>
        <v>4735</v>
      </c>
      <c r="EV152" s="61">
        <f>IF(COUNTIFS(allFYsTable[Code], SummaryTable[[#This Row],[Code]], allFYsTable[year2], ER$3)=0, NotFound, SUMIFS(allFYsTable[Actual], allFYsTable[Code], SummaryTable[[#This Row],[Code]], allFYsTable[year2], ER$3))</f>
        <v>4716</v>
      </c>
      <c r="EW152" s="61">
        <f>IF(COUNTIFS(allFYsTable[Code], SummaryTable[[#This Row],[Code]], allFYsTable[year2], ER$3)=0, NotFound, SUMIFS(allFYsTable[DiffAmount], allFYsTable[Code], SummaryTable[[#This Row],[Code]], allFYsTable[year2], ER$3))</f>
        <v>-1719</v>
      </c>
      <c r="EX152" s="63">
        <f>IF(SummaryTable[[#This Row],[OriginalBudget08]]=0, IF(SummaryTable[[#This Row],[DiffAmount08]]=0, ZeroBudgetNoSpending, ZeroBudgetWithSpending), SummaryTable[[#This Row],[DiffAmount08]]/SummaryTable[[#This Row],[OriginalBudget08]])</f>
        <v>-0.26713286713286716</v>
      </c>
      <c r="EY152" s="62">
        <f>IF(COUNTIFS(allFYsTable[Code], SummaryTable[[#This Row],[Code]], allFYsTable[year2], EY$3)=0, NotFound, SUMIFS(allFYsTable[OriginalBudget], allFYsTable[Code], SummaryTable[[#This Row],[Code]], allFYsTable[year2], EY$3))</f>
        <v>1650</v>
      </c>
      <c r="EZ152" s="61">
        <f>SummaryTable[[#This Row],[OriginalBudget07]]-SummaryTable[[#This Row],[OriginalBudget06]]</f>
        <v>-10558</v>
      </c>
      <c r="FA152" s="54">
        <f>SummaryTable[[#This Row],[BudgetIncreaseAmount07]]/SummaryTable[[#This Row],[OriginalBudget06]]</f>
        <v>-0.86484272608125823</v>
      </c>
      <c r="FB152" s="61">
        <f>IF(COUNTIFS(allFYsTable[Code], SummaryTable[[#This Row],[Code]], allFYsTable[year2], EY$3)=0, NotFound, SUMIFS(allFYsTable[RevisedBudget], allFYsTable[Code], SummaryTable[[#This Row],[Code]], allFYsTable[year2], EY$3))</f>
        <v>0</v>
      </c>
      <c r="FC152" s="61">
        <f>IF(COUNTIFS(allFYsTable[Code], SummaryTable[[#This Row],[Code]], allFYsTable[year2], EY$3)=0, NotFound, SUMIFS(allFYsTable[Actual], allFYsTable[Code], SummaryTable[[#This Row],[Code]], allFYsTable[year2], EY$3))</f>
        <v>0</v>
      </c>
      <c r="FD152" s="61">
        <f>IF(COUNTIFS(allFYsTable[Code], SummaryTable[[#This Row],[Code]], allFYsTable[year2], EY$3)=0, NotFound, SUMIFS(allFYsTable[DiffAmount], allFYsTable[Code], SummaryTable[[#This Row],[Code]], allFYsTable[year2], EY$3))</f>
        <v>-1650</v>
      </c>
      <c r="FE152" s="63">
        <f>IF(SummaryTable[[#This Row],[OriginalBudget07]]=0, IF(SummaryTable[[#This Row],[DiffAmount07]]=0, ZeroBudgetNoSpending, ZeroBudgetWithSpending), SummaryTable[[#This Row],[DiffAmount07]]/SummaryTable[[#This Row],[OriginalBudget07]])</f>
        <v>-1</v>
      </c>
      <c r="FF152" s="62">
        <f>IF(COUNTIFS(allFYsTable[Code], SummaryTable[[#This Row],[Code]], allFYsTable[year2], FF$3)=0, NotFound, SUMIFS(allFYsTable[OriginalBudget], allFYsTable[Code], SummaryTable[[#This Row],[Code]], allFYsTable[year2], FF$3))</f>
        <v>12208</v>
      </c>
      <c r="FI152" s="61">
        <f>IF(COUNTIFS(allFYsTable[Code], SummaryTable[[#This Row],[Code]], allFYsTable[year2], FF$3)=0, NotFound, SUMIFS(allFYsTable[RevisedBudget], allFYsTable[Code], SummaryTable[[#This Row],[Code]], allFYsTable[year2], FF$3))</f>
        <v>8</v>
      </c>
      <c r="FJ152" s="61">
        <f>IF(COUNTIFS(allFYsTable[Code], SummaryTable[[#This Row],[Code]], allFYsTable[year2], FF$3)=0, NotFound, SUMIFS(allFYsTable[Actual], allFYsTable[Code], SummaryTable[[#This Row],[Code]], allFYsTable[year2], FF$3))</f>
        <v>0</v>
      </c>
      <c r="FK152" s="61">
        <f>IF(COUNTIFS(allFYsTable[Code], SummaryTable[[#This Row],[Code]], allFYsTable[year2], FF$3)=0, NotFound, SUMIFS(allFYsTable[DiffAmount], allFYsTable[Code], SummaryTable[[#This Row],[Code]], allFYsTable[year2], FF$3))</f>
        <v>-12208</v>
      </c>
      <c r="FL152" s="63">
        <f>IF(SummaryTable[[#This Row],[OriginalBudget06]]=0, IF(SummaryTable[[#This Row],[DiffAmount06]]=0, ZeroBudgetNoSpending, ZeroBudgetWithSpending), SummaryTable[[#This Row],[DiffAmount06]]/SummaryTable[[#This Row],[OriginalBudget06]])</f>
        <v>-1</v>
      </c>
    </row>
    <row r="153" spans="1:168" x14ac:dyDescent="0.45">
      <c r="A153" t="s">
        <v>842</v>
      </c>
      <c r="B153">
        <f>_xlfn.MAXIFS(allFYsTable[year2], allFYsTable[Code], SummaryTable[[#This Row],[Code]])</f>
        <v>2016</v>
      </c>
      <c r="C153" t="str">
        <f>_xlfn.XLOOKUP(SummaryTable[[#This Row],[Code]], NameCodingTable[Code], NameCodingTable[Most Recent Category per allFYs])</f>
        <v>Human support services</v>
      </c>
      <c r="D153" t="str">
        <f>_xlfn.XLOOKUP(SummaryTable[[#This Row],[Code]], NameCodingTable[Code], NameCodingTable[Unit Display Name])</f>
        <v>DC   health benefit exchange subsidy</v>
      </c>
      <c r="E153" t="str">
        <f>_xlfn.XLOOKUP(SummaryTable[[#This Row],[Code]], NameCodingTable[Code], NameCodingTable[Type])</f>
        <v>untyped</v>
      </c>
      <c r="F15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v>
      </c>
      <c r="G15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53" s="54">
        <f>SummaryTable[[#This Row],['# Over]]/SummaryTable[[#This Row],[Count]]</f>
        <v>0</v>
      </c>
      <c r="I15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v>
      </c>
      <c r="J153" s="54">
        <f>SummaryTable[[#This Row],['# Under]]/SummaryTable[[#This Row],[Count]]</f>
        <v>1</v>
      </c>
      <c r="K15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53" s="54">
        <f>SummaryTable[[#This Row],['# Equal]]/SummaryTable[[#This Row],[Count]]</f>
        <v>0</v>
      </c>
      <c r="M153" s="61">
        <f>SUMIFS(allFYsTable[OriginalBudget],allFYsTable[Code],SummaryTable[[#This Row],[Code]])/SummaryTable[[#This Row],[Count]]</f>
        <v>29182.5</v>
      </c>
      <c r="N153" s="61">
        <f>SUMIFS(allFYsTable[Actual],allFYsTable[Code],SummaryTable[[#This Row],[Code]])/SummaryTable[[#This Row],[Count]]</f>
        <v>0</v>
      </c>
      <c r="O153" s="61">
        <f>SummaryTable[[#This Row],[AvgActAmt]]-SummaryTable[[#This Row],[AvgBudAmt]]</f>
        <v>-29182.5</v>
      </c>
      <c r="P153" s="54">
        <f>IF(SummaryTable[[#This Row],[AvgBudAmt]]=0, IF(SummaryTable[[#This Row],[AvgDiff'#]]=0, 0, NamedFields!$C$3), SummaryTable[[#This Row],[AvgDiff'#]]/SummaryTable[[#This Row],[AvgBudAmt]])</f>
        <v>-1</v>
      </c>
      <c r="Q153" s="61">
        <f>IFERROR(SUMIFS(allFYsTable[OriginalBudget],allFYsTable[Code],SummaryTable[[#This Row],[Code]],allFYsTable[DiffAmount], "&gt;0")/SummaryTable[[#This Row],['# Over]], 0)</f>
        <v>0</v>
      </c>
      <c r="R153" s="61">
        <f>IFERROR(SUMIFS(allFYsTable[Actual],allFYsTable[Code],SummaryTable[[#This Row],[Code]],allFYsTable[DiffAmount], "&gt;0")/SummaryTable[[#This Row],['# Over]], 0)</f>
        <v>0</v>
      </c>
      <c r="S153" s="61">
        <f>SummaryTable[[#This Row],[OverAvgAct]]-SummaryTable[[#This Row],[OverAvgBud]]</f>
        <v>0</v>
      </c>
      <c r="T153" s="54">
        <f>IF(SummaryTable[[#This Row],[OverAvgBud]]=0, IF(SummaryTable[[#This Row],[OverAvgDiff'#]]=0, ZeroBudgetNoSpending, ZeroBudgetWithSpending), SummaryTable[[#This Row],[OverAvgDiff'#]]/SummaryTable[[#This Row],[OverAvgBud]])</f>
        <v>0</v>
      </c>
      <c r="U153" s="61">
        <f>IFERROR(SUMIFS(allFYsTable[OriginalBudget],allFYsTable[Code],SummaryTable[[#This Row],[Code]],allFYsTable[DiffAmount], "&lt;0")/SummaryTable[[#This Row],['# Under]], 0)</f>
        <v>29182.5</v>
      </c>
      <c r="V153" s="61">
        <f>IFERROR( SUMIFS(allFYsTable[Actual],allFYsTable[Code],SummaryTable[[#This Row],[Code]],allFYsTable[DiffAmount], "&lt;0")/SummaryTable[[#This Row],['# Under]], 0)</f>
        <v>0</v>
      </c>
      <c r="W153" s="61">
        <f>SummaryTable[[#This Row],[UnderAvgAct]]-SummaryTable[[#This Row],[UnderAvgBud]]</f>
        <v>-29182.5</v>
      </c>
      <c r="X153" s="54">
        <f>IF(SummaryTable[[#This Row],[UnderAvgBud]]=0, IF(SummaryTable[[#This Row],[UnderAvgDiff'#]]=0, ZeroBudgetNoSpending, NamedFields!$C$3), SummaryTable[[#This Row],[UnderAvgDiff'#]]/SummaryTable[[#This Row],[UnderAvgBud]])</f>
        <v>-1</v>
      </c>
      <c r="Y15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5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3" s="54">
        <f>IF(SummaryTable[[#This Row],[IncreaseYears]]=0, ZeroBudgetNoSpending, SummaryTable[[#This Row],[OSinIncreaseYear'#]]/SummaryTable[[#This Row],[IncreaseYears]])</f>
        <v>0</v>
      </c>
      <c r="AB153" s="58" t="str">
        <f>SummaryTable[[#This Row],[Code]]</f>
        <v>HE0</v>
      </c>
      <c r="AC153" s="62" t="e">
        <f>IF(COUNTIFS(allFYsTable[Code], SummaryTable[[#This Row],[Code]], allFYsTable[year2], AC$3)=0, NotFound, SUMIFS(allFYsTable[OriginalBudget], allFYsTable[Code], SummaryTable[[#This Row],[Code]], allFYsTable[year2], AC$3))</f>
        <v>#N/A</v>
      </c>
      <c r="AD153" s="61" t="e">
        <f>SummaryTable[[#This Row],[OriginalBudget25]]-SummaryTable[[#This Row],[OriginalBudget24]]</f>
        <v>#N/A</v>
      </c>
      <c r="AE153" s="54" t="e">
        <f>SummaryTable[[#This Row],[BudgetIncreaseAmount25]]/SummaryTable[[#This Row],[OriginalBudget24]]</f>
        <v>#N/A</v>
      </c>
      <c r="AF153" s="61" t="e">
        <f>IF(COUNTIFS(allFYsTable[Code], SummaryTable[[#This Row],[Code]], allFYsTable[year2], AC$3)=0, NotFound, SUMIFS(allFYsTable[RevisedBudget], allFYsTable[Code], SummaryTable[[#This Row],[Code]], allFYsTable[year2], AC$3))</f>
        <v>#N/A</v>
      </c>
      <c r="AG153" s="61" t="e">
        <f>IF(COUNTIFS(allFYsTable[Code], SummaryTable[[#This Row],[Code]], allFYsTable[year2], AC$3)=0, NotFound, SUMIFS(allFYsTable[Actual], allFYsTable[Code], SummaryTable[[#This Row],[Code]], allFYsTable[year2], AC$3))</f>
        <v>#N/A</v>
      </c>
      <c r="AH153" s="61" t="e">
        <f>IF(COUNTIFS(allFYsTable[Code], SummaryTable[[#This Row],[Code]], allFYsTable[year2], AC$3)=0, NotFound, SUMIFS(allFYsTable[DiffAmount], allFYsTable[Code], SummaryTable[[#This Row],[Code]], allFYsTable[year2], AC$3))</f>
        <v>#N/A</v>
      </c>
      <c r="AI153" s="63" t="e">
        <f>IF(SummaryTable[[#This Row],[OriginalBudget25]]=0, IF(SummaryTable[[#This Row],[DiffAmount25]]=0, ZeroBudgetNoSpending, ZeroBudgetWithSpending), SummaryTable[[#This Row],[DiffAmount25]]/SummaryTable[[#This Row],[OriginalBudget25]])</f>
        <v>#N/A</v>
      </c>
      <c r="AJ153" s="62" t="e">
        <f>IF(COUNTIFS(allFYsTable[Code], SummaryTable[[#This Row],[Code]], allFYsTable[year2], AJ$3)=0, NotFound, SUMIFS(allFYsTable[OriginalBudget], allFYsTable[Code], SummaryTable[[#This Row],[Code]], allFYsTable[year2], AJ$3))</f>
        <v>#N/A</v>
      </c>
      <c r="AK153" s="61" t="e">
        <f>SummaryTable[[#This Row],[OriginalBudget24]]-SummaryTable[[#This Row],[OriginalBudget23]]</f>
        <v>#N/A</v>
      </c>
      <c r="AL153" s="54" t="e">
        <f>SummaryTable[[#This Row],[BudgetIncreaseAmount24]]/SummaryTable[[#This Row],[OriginalBudget23]]</f>
        <v>#N/A</v>
      </c>
      <c r="AM153" s="61" t="e">
        <f>IF(COUNTIFS(allFYsTable[Code], SummaryTable[[#This Row],[Code]], allFYsTable[year2], AK$3)=0, NotFound, SUMIFS(allFYsTable[RevisedBudget], allFYsTable[Code], SummaryTable[[#This Row],[Code]], allFYsTable[year2], AJ$3))</f>
        <v>#N/A</v>
      </c>
      <c r="AN153" s="61" t="e">
        <f>IF(COUNTIFS(allFYsTable[Code], SummaryTable[[#This Row],[Code]], allFYsTable[year2], AJ$3)=0, NotFound, SUMIFS(allFYsTable[Actual], allFYsTable[Code], SummaryTable[[#This Row],[Code]], allFYsTable[year2], AJ$3))</f>
        <v>#N/A</v>
      </c>
      <c r="AO153" s="61" t="e">
        <f>IF(COUNTIFS(allFYsTable[Code], SummaryTable[[#This Row],[Code]], allFYsTable[year2], AJ$3)=0, NotFound, SUMIFS(allFYsTable[DiffAmount], allFYsTable[Code], SummaryTable[[#This Row],[Code]], allFYsTable[year2], AJ$3))</f>
        <v>#N/A</v>
      </c>
      <c r="AP153" s="63" t="e">
        <f>IF(SummaryTable[[#This Row],[OriginalBudget24]]=0, IF(SummaryTable[[#This Row],[DiffAmount24]]=0, ZeroBudgetNoSpending, ZeroBudgetWithSpending), SummaryTable[[#This Row],[DiffAmount24]]/SummaryTable[[#This Row],[OriginalBudget24]])</f>
        <v>#N/A</v>
      </c>
      <c r="AQ153" s="62" t="e">
        <f>IF(COUNTIFS(allFYsTable[Code], SummaryTable[[#This Row],[Code]], allFYsTable[year2], AQ$3)=0, NotFound, SUMIFS(allFYsTable[OriginalBudget], allFYsTable[Code], SummaryTable[[#This Row],[Code]], allFYsTable[year2], AQ$3))</f>
        <v>#N/A</v>
      </c>
      <c r="AR153" s="61" t="e">
        <f>SummaryTable[[#This Row],[OriginalBudget23]]-SummaryTable[[#This Row],[OriginalBudget22]]</f>
        <v>#N/A</v>
      </c>
      <c r="AS153" s="54" t="e">
        <f>SummaryTable[[#This Row],[BudgetIncreaseAmount23]]/SummaryTable[[#This Row],[OriginalBudget22]]</f>
        <v>#N/A</v>
      </c>
      <c r="AT153" s="61" t="e">
        <f>IF(COUNTIFS(allFYsTable[Code], SummaryTable[[#This Row],[Code]], allFYsTable[year2], AQ$3)=0, NotFound, SUMIFS(allFYsTable[RevisedBudget], allFYsTable[Code], SummaryTable[[#This Row],[Code]], allFYsTable[year2], AQ$3))</f>
        <v>#N/A</v>
      </c>
      <c r="AU153" s="61" t="e">
        <f>IF(COUNTIFS(allFYsTable[Code], SummaryTable[[#This Row],[Code]], allFYsTable[year2], AQ$3)=0, NotFound, SUMIFS(allFYsTable[Actual], allFYsTable[Code], SummaryTable[[#This Row],[Code]], allFYsTable[year2], AQ$3))</f>
        <v>#N/A</v>
      </c>
      <c r="AV153" s="61" t="e">
        <f>IF(COUNTIFS(allFYsTable[Code], SummaryTable[[#This Row],[Code]], allFYsTable[year2], AQ$3)=0, NotFound, SUMIFS(allFYsTable[DiffAmount], allFYsTable[Code], SummaryTable[[#This Row],[Code]], allFYsTable[year2], AQ$3))</f>
        <v>#N/A</v>
      </c>
      <c r="AW153" s="63" t="e">
        <f>IF(SummaryTable[[#This Row],[OriginalBudget23]]=0, IF(SummaryTable[[#This Row],[DiffAmount23]]=0, ZeroBudgetNoSpending, ZeroBudgetWithSpending), SummaryTable[[#This Row],[DiffAmount23]]/SummaryTable[[#This Row],[OriginalBudget23]])</f>
        <v>#N/A</v>
      </c>
      <c r="AX153" s="62" t="e">
        <f>IF(COUNTIFS(allFYsTable[Code], SummaryTable[[#This Row],[Code]], allFYsTable[year2], AX$3)=0, NotFound, SUMIFS(allFYsTable[OriginalBudget], allFYsTable[Code], SummaryTable[[#This Row],[Code]], allFYsTable[year2], AX$3))</f>
        <v>#N/A</v>
      </c>
      <c r="AY153" s="61" t="e">
        <f>SummaryTable[[#This Row],[OriginalBudget22]]-SummaryTable[[#This Row],[OriginalBudget21]]</f>
        <v>#N/A</v>
      </c>
      <c r="AZ153" s="54" t="e">
        <f>SummaryTable[[#This Row],[BudgetIncreaseAmount22]]/SummaryTable[[#This Row],[OriginalBudget21]]</f>
        <v>#N/A</v>
      </c>
      <c r="BA153" s="61" t="e">
        <f>IF(COUNTIFS(allFYsTable[Code], SummaryTable[[#This Row],[Code]], allFYsTable[year2], AX$3)=0, NotFound, SUMIFS(allFYsTable[RevisedBudget], allFYsTable[Code], SummaryTable[[#This Row],[Code]], allFYsTable[year2], AX$3))</f>
        <v>#N/A</v>
      </c>
      <c r="BB153" s="61" t="e">
        <f>IF(COUNTIFS(allFYsTable[Code], SummaryTable[[#This Row],[Code]], allFYsTable[year2], AX$3)=0, NotFound, SUMIFS(allFYsTable[Actual], allFYsTable[Code], SummaryTable[[#This Row],[Code]], allFYsTable[year2], AX$3))</f>
        <v>#N/A</v>
      </c>
      <c r="BC153" s="61" t="e">
        <f>IF(COUNTIFS(allFYsTable[Code], SummaryTable[[#This Row],[Code]], allFYsTable[year2], AX$3)=0, NotFound, SUMIFS(allFYsTable[DiffAmount], allFYsTable[Code], SummaryTable[[#This Row],[Code]], allFYsTable[year2], AX$3))</f>
        <v>#N/A</v>
      </c>
      <c r="BD153" s="63" t="e">
        <f>IF(SummaryTable[[#This Row],[OriginalBudget22]]=0, IF(SummaryTable[[#This Row],[DiffAmount22]]=0, ZeroBudgetNoSpending, ZeroBudgetWithSpending), SummaryTable[[#This Row],[DiffAmount22]]/SummaryTable[[#This Row],[OriginalBudget22]])</f>
        <v>#N/A</v>
      </c>
      <c r="BE153" s="62" t="e">
        <f>IF(COUNTIFS(allFYsTable[Code], SummaryTable[[#This Row],[Code]], allFYsTable[year2], BE$3)=0, NotFound, SUMIFS(allFYsTable[OriginalBudget], allFYsTable[Code], SummaryTable[[#This Row],[Code]], allFYsTable[year2], BE$3))</f>
        <v>#N/A</v>
      </c>
      <c r="BF153" s="61" t="e">
        <f>SummaryTable[[#This Row],[OriginalBudget21]]-SummaryTable[[#This Row],[OriginalBudget20]]</f>
        <v>#N/A</v>
      </c>
      <c r="BG153" s="54" t="e">
        <f>SummaryTable[[#This Row],[BudgetIncreaseAmount21]]/SummaryTable[[#This Row],[OriginalBudget20]]</f>
        <v>#N/A</v>
      </c>
      <c r="BH153" s="61" t="e">
        <f>IF(COUNTIFS(allFYsTable[Code], SummaryTable[[#This Row],[Code]], allFYsTable[year2], BE$3)=0, NotFound, SUMIFS(allFYsTable[RevisedBudget], allFYsTable[Code], SummaryTable[[#This Row],[Code]], allFYsTable[year2], BE$3))</f>
        <v>#N/A</v>
      </c>
      <c r="BI153" s="61" t="e">
        <f>IF(COUNTIFS(allFYsTable[Code], SummaryTable[[#This Row],[Code]], allFYsTable[year2], BE$3)=0, NotFound, SUMIFS(allFYsTable[Actual], allFYsTable[Code], SummaryTable[[#This Row],[Code]], allFYsTable[year2], BE$3))</f>
        <v>#N/A</v>
      </c>
      <c r="BJ153" s="61" t="e">
        <f>IF(COUNTIFS(allFYsTable[Code], SummaryTable[[#This Row],[Code]], allFYsTable[year2], BE$3)=0, NotFound, SUMIFS(allFYsTable[DiffAmount], allFYsTable[Code], SummaryTable[[#This Row],[Code]], allFYsTable[year2], BE$3))</f>
        <v>#N/A</v>
      </c>
      <c r="BK153" s="63" t="e">
        <f>IF(SummaryTable[[#This Row],[OriginalBudget21]]=0, IF(SummaryTable[[#This Row],[DiffAmount21]]=0, ZeroBudgetNoSpending, ZeroBudgetWithSpending), SummaryTable[[#This Row],[DiffAmount21]]/SummaryTable[[#This Row],[OriginalBudget21]])</f>
        <v>#N/A</v>
      </c>
      <c r="BL153" s="62" t="e">
        <f>IF(COUNTIFS(allFYsTable[Code], SummaryTable[[#This Row],[Code]], allFYsTable[year2], BL$3)=0, NotFound, SUMIFS(allFYsTable[OriginalBudget], allFYsTable[Code], SummaryTable[[#This Row],[Code]], allFYsTable[year2], BL$3))</f>
        <v>#N/A</v>
      </c>
      <c r="BM153" s="61" t="e">
        <f>SummaryTable[[#This Row],[OriginalBudget20]]-SummaryTable[[#This Row],[OriginalBudget19]]</f>
        <v>#N/A</v>
      </c>
      <c r="BN153" s="54" t="e">
        <f>SummaryTable[[#This Row],[BudgetIncreaseAmount20]]/SummaryTable[[#This Row],[OriginalBudget19]]</f>
        <v>#N/A</v>
      </c>
      <c r="BO153" s="61" t="e">
        <f>IF(COUNTIFS(allFYsTable[Code], SummaryTable[[#This Row],[Code]], allFYsTable[year2], BL$3)=0, NotFound, SUMIFS(allFYsTable[RevisedBudget], allFYsTable[Code], SummaryTable[[#This Row],[Code]], allFYsTable[year2], BL$3))</f>
        <v>#N/A</v>
      </c>
      <c r="BP153" s="61" t="e">
        <f>IF(COUNTIFS(allFYsTable[Code], SummaryTable[[#This Row],[Code]], allFYsTable[year2], BL$3)=0, NotFound, SUMIFS(allFYsTable[Actual], allFYsTable[Code], SummaryTable[[#This Row],[Code]], allFYsTable[year2], BL$3))</f>
        <v>#N/A</v>
      </c>
      <c r="BQ153" s="61" t="e">
        <f>IF(COUNTIFS(allFYsTable[Code], SummaryTable[[#This Row],[Code]], allFYsTable[year2], BL$3)=0, NotFound, SUMIFS(allFYsTable[DiffAmount], allFYsTable[Code], SummaryTable[[#This Row],[Code]], allFYsTable[year2], BL$3))</f>
        <v>#N/A</v>
      </c>
      <c r="BR153" s="63" t="e">
        <f>IF(SummaryTable[[#This Row],[OriginalBudget20]]=0, IF(SummaryTable[[#This Row],[DiffAmount20]]=0, ZeroBudgetNoSpending, ZeroBudgetWithSpending), SummaryTable[[#This Row],[DiffAmount20]]/SummaryTable[[#This Row],[OriginalBudget20]])</f>
        <v>#N/A</v>
      </c>
      <c r="BS153" s="62" t="e">
        <f>IF(COUNTIFS(allFYsTable[Code], SummaryTable[[#This Row],[Code]], allFYsTable[year2], BS$3)=0, NotFound, SUMIFS(allFYsTable[OriginalBudget], allFYsTable[Code], SummaryTable[[#This Row],[Code]], allFYsTable[year2], BS$3))</f>
        <v>#N/A</v>
      </c>
      <c r="BT153" s="61" t="e">
        <f>SummaryTable[[#This Row],[OriginalBudget19]]-SummaryTable[[#This Row],[OriginalBudget18]]</f>
        <v>#N/A</v>
      </c>
      <c r="BU153" s="54" t="e">
        <f>SummaryTable[[#This Row],[BudgetIncreaseAmount19]]/SummaryTable[[#This Row],[OriginalBudget18]]</f>
        <v>#N/A</v>
      </c>
      <c r="BV153" s="61" t="e">
        <f>IF(COUNTIFS(allFYsTable[Code], SummaryTable[[#This Row],[Code]], allFYsTable[year2], BS$3)=0, NotFound, SUMIFS(allFYsTable[RevisedBudget], allFYsTable[Code], SummaryTable[[#This Row],[Code]], allFYsTable[year2], BS$3))</f>
        <v>#N/A</v>
      </c>
      <c r="BW153" s="61" t="e">
        <f>IF(COUNTIFS(allFYsTable[Code], SummaryTable[[#This Row],[Code]], allFYsTable[year2], BS$3)=0, NotFound, SUMIFS(allFYsTable[Actual], allFYsTable[Code], SummaryTable[[#This Row],[Code]], allFYsTable[year2], BS$3))</f>
        <v>#N/A</v>
      </c>
      <c r="BX153" s="61" t="e">
        <f>IF(COUNTIFS(allFYsTable[Code], SummaryTable[[#This Row],[Code]], allFYsTable[year2], BS$3)=0, NotFound, SUMIFS(allFYsTable[DiffAmount], allFYsTable[Code], SummaryTable[[#This Row],[Code]], allFYsTable[year2], BS$3))</f>
        <v>#N/A</v>
      </c>
      <c r="BY153" s="63" t="e">
        <f>IF(SummaryTable[[#This Row],[OriginalBudget19]]=0, IF(SummaryTable[[#This Row],[DiffAmount19]]=0, ZeroBudgetNoSpending, ZeroBudgetWithSpending), SummaryTable[[#This Row],[DiffAmount19]]/SummaryTable[[#This Row],[OriginalBudget19]])</f>
        <v>#N/A</v>
      </c>
      <c r="BZ153" s="62" t="e">
        <f>IF(COUNTIFS(allFYsTable[Code], SummaryTable[[#This Row],[Code]], allFYsTable[year2], BZ$3)=0, NotFound, SUMIFS(allFYsTable[OriginalBudget], allFYsTable[Code], SummaryTable[[#This Row],[Code]], allFYsTable[year2], BZ$3))</f>
        <v>#N/A</v>
      </c>
      <c r="CA153" s="61" t="e">
        <f>SummaryTable[[#This Row],[OriginalBudget18]]-SummaryTable[[#This Row],[OriginalBudget17]]</f>
        <v>#N/A</v>
      </c>
      <c r="CB153" s="54" t="e">
        <f>SummaryTable[[#This Row],[BudgetIncreaseAmount18]]/SummaryTable[[#This Row],[OriginalBudget17]]</f>
        <v>#N/A</v>
      </c>
      <c r="CC153" s="61" t="e">
        <f>IF(COUNTIFS(allFYsTable[Code], SummaryTable[[#This Row],[Code]], allFYsTable[year2], BZ$3)=0, NotFound, SUMIFS(allFYsTable[RevisedBudget], allFYsTable[Code], SummaryTable[[#This Row],[Code]], allFYsTable[year2], BZ$3))</f>
        <v>#N/A</v>
      </c>
      <c r="CD153" s="61" t="e">
        <f>IF(COUNTIFS(allFYsTable[Code], SummaryTable[[#This Row],[Code]], allFYsTable[year2], BZ$3)=0, NotFound, SUMIFS(allFYsTable[Actual], allFYsTable[Code], SummaryTable[[#This Row],[Code]], allFYsTable[year2], BZ$3))</f>
        <v>#N/A</v>
      </c>
      <c r="CE153" s="61" t="e">
        <f>IF(COUNTIFS(allFYsTable[Code], SummaryTable[[#This Row],[Code]], allFYsTable[year2], BZ$3)=0, NotFound, SUMIFS(allFYsTable[DiffAmount], allFYsTable[Code], SummaryTable[[#This Row],[Code]], allFYsTable[year2], BZ$3))</f>
        <v>#N/A</v>
      </c>
      <c r="CF153" s="63" t="e">
        <f>IF(SummaryTable[[#This Row],[OriginalBudget18]]=0, IF(SummaryTable[[#This Row],[DiffAmount18]]=0, ZeroBudgetNoSpending, ZeroBudgetWithSpending), SummaryTable[[#This Row],[DiffAmount18]]/SummaryTable[[#This Row],[OriginalBudget18]])</f>
        <v>#N/A</v>
      </c>
      <c r="CG153" s="62" t="e">
        <f>IF(COUNTIFS(allFYsTable[Code], SummaryTable[[#This Row],[Code]], allFYsTable[year2], CG$3)=0, NotFound, SUMIFS(allFYsTable[OriginalBudget], allFYsTable[Code], SummaryTable[[#This Row],[Code]], allFYsTable[year2], CG$3))</f>
        <v>#N/A</v>
      </c>
      <c r="CH153" s="61" t="e">
        <f>SummaryTable[[#This Row],[OriginalBudget17]]-SummaryTable[[#This Row],[OriginalBudget16]]</f>
        <v>#N/A</v>
      </c>
      <c r="CI153" s="54" t="e">
        <f>SummaryTable[[#This Row],[BudgetIncreaseAmount17]]/SummaryTable[[#This Row],[OriginalBudget16]]</f>
        <v>#N/A</v>
      </c>
      <c r="CJ153" s="61" t="e">
        <f>IF(COUNTIFS(allFYsTable[Code], SummaryTable[[#This Row],[Code]], allFYsTable[year2], CG$3)=0, NotFound, SUMIFS(allFYsTable[RevisedBudget], allFYsTable[Code], SummaryTable[[#This Row],[Code]], allFYsTable[year2], CG$3))</f>
        <v>#N/A</v>
      </c>
      <c r="CK153" s="61" t="e">
        <f>IF(COUNTIFS(allFYsTable[Code], SummaryTable[[#This Row],[Code]], allFYsTable[year2], CG$3)=0, NotFound, SUMIFS(allFYsTable[Actual], allFYsTable[Code], SummaryTable[[#This Row],[Code]], allFYsTable[year2], CG$3))</f>
        <v>#N/A</v>
      </c>
      <c r="CL153" s="61" t="e">
        <f>IF(COUNTIFS(allFYsTable[Code], SummaryTable[[#This Row],[Code]], allFYsTable[year2], CG$3)=0, NotFound, SUMIFS(allFYsTable[DiffAmount], allFYsTable[Code], SummaryTable[[#This Row],[Code]], allFYsTable[year2], CG$3))</f>
        <v>#N/A</v>
      </c>
      <c r="CM153" s="63" t="e">
        <f>IF(SummaryTable[[#This Row],[OriginalBudget17]]=0, IF(SummaryTable[[#This Row],[DiffAmount17]]=0, ZeroBudgetNoSpending, ZeroBudgetWithSpending), SummaryTable[[#This Row],[DiffAmount17]]/SummaryTable[[#This Row],[OriginalBudget17]])</f>
        <v>#N/A</v>
      </c>
      <c r="CN153" s="62">
        <f>IF(COUNTIFS(allFYsTable[Code], SummaryTable[[#This Row],[Code]], allFYsTable[year2], CN$3)=0, NotFound, SUMIFS(allFYsTable[OriginalBudget], allFYsTable[Code], SummaryTable[[#This Row],[Code]], allFYsTable[year2], CN$3))</f>
        <v>29614</v>
      </c>
      <c r="CO153" s="61">
        <f>SummaryTable[[#This Row],[OriginalBudget16]]-SummaryTable[[#This Row],[OriginalBudget15]]</f>
        <v>863</v>
      </c>
      <c r="CP153" s="54">
        <f>SummaryTable[[#This Row],[BudgetIncreaseAmount16]]/SummaryTable[[#This Row],[OriginalBudget15]]</f>
        <v>3.0016347257486697E-2</v>
      </c>
      <c r="CQ153" s="61">
        <f>IF(COUNTIFS(allFYsTable[Code], SummaryTable[[#This Row],[Code]], allFYsTable[year2], CN$3)=0, NotFound, SUMIFS(allFYsTable[RevisedBudget], allFYsTable[Code], SummaryTable[[#This Row],[Code]], allFYsTable[year2], CN$3))</f>
        <v>0</v>
      </c>
      <c r="CR153" s="61">
        <f>IF(COUNTIFS(allFYsTable[Code], SummaryTable[[#This Row],[Code]], allFYsTable[year2], CN$3)=0, NotFound, SUMIFS(allFYsTable[Actual], allFYsTable[Code], SummaryTable[[#This Row],[Code]], allFYsTable[year2], CN$3))</f>
        <v>0</v>
      </c>
      <c r="CS153" s="61">
        <f>IF(COUNTIFS(allFYsTable[Code], SummaryTable[[#This Row],[Code]], allFYsTable[year2], CN$3)=0, NotFound, SUMIFS(allFYsTable[DiffAmount], allFYsTable[Code], SummaryTable[[#This Row],[Code]], allFYsTable[year2], CN$3))</f>
        <v>-29614</v>
      </c>
      <c r="CT153" s="63">
        <f>IF(SummaryTable[[#This Row],[OriginalBudget16]]=0, IF(SummaryTable[[#This Row],[DiffAmount16]]=0, ZeroBudgetNoSpending, ZeroBudgetWithSpending), SummaryTable[[#This Row],[DiffAmount16]]/SummaryTable[[#This Row],[OriginalBudget16]])</f>
        <v>-1</v>
      </c>
      <c r="CU153" s="62">
        <f>IF(COUNTIFS(allFYsTable[Code], SummaryTable[[#This Row],[Code]], allFYsTable[year2], CU$3)=0, NotFound, SUMIFS(allFYsTable[OriginalBudget], allFYsTable[Code], SummaryTable[[#This Row],[Code]], allFYsTable[year2], CU$3))</f>
        <v>28751</v>
      </c>
      <c r="CV153" s="61" t="e">
        <f>SummaryTable[[#This Row],[OriginalBudget15]]-SummaryTable[[#This Row],[OriginalBudget14]]</f>
        <v>#N/A</v>
      </c>
      <c r="CW153" s="54" t="e">
        <f>SummaryTable[[#This Row],[BudgetIncreaseAmount15]]/SummaryTable[[#This Row],[OriginalBudget14]]</f>
        <v>#N/A</v>
      </c>
      <c r="CX153" s="61">
        <f>IF(COUNTIFS(allFYsTable[Code], SummaryTable[[#This Row],[Code]], allFYsTable[year2], CU$3)=0, NotFound, SUMIFS(allFYsTable[RevisedBudget], allFYsTable[Code], SummaryTable[[#This Row],[Code]], allFYsTable[year2], CU$3))</f>
        <v>0</v>
      </c>
      <c r="CY153" s="61">
        <f>IF(COUNTIFS(allFYsTable[Code], SummaryTable[[#This Row],[Code]], allFYsTable[year2], CU$3)=0, NotFound, SUMIFS(allFYsTable[Actual], allFYsTable[Code], SummaryTable[[#This Row],[Code]], allFYsTable[year2], CU$3))</f>
        <v>0</v>
      </c>
      <c r="CZ153" s="61">
        <f>IF(COUNTIFS(allFYsTable[Code], SummaryTable[[#This Row],[Code]], allFYsTable[year2], CU$3)=0, NotFound, SUMIFS(allFYsTable[DiffAmount], allFYsTable[Code], SummaryTable[[#This Row],[Code]], allFYsTable[year2], CU$3))</f>
        <v>-28751</v>
      </c>
      <c r="DA153" s="63">
        <f>IF(SummaryTable[[#This Row],[OriginalBudget15]]=0, IF(SummaryTable[[#This Row],[DiffAmount15]]=0, ZeroBudgetNoSpending, ZeroBudgetWithSpending), SummaryTable[[#This Row],[DiffAmount15]]/SummaryTable[[#This Row],[OriginalBudget15]])</f>
        <v>-1</v>
      </c>
      <c r="DB153" s="62" t="e">
        <f>IF(COUNTIFS(allFYsTable[Code], SummaryTable[[#This Row],[Code]], allFYsTable[year2], DB$3)=0, NotFound, SUMIFS(allFYsTable[OriginalBudget], allFYsTable[Code], SummaryTable[[#This Row],[Code]], allFYsTable[year2], DB$3))</f>
        <v>#N/A</v>
      </c>
      <c r="DC153" s="61" t="e">
        <f>SummaryTable[[#This Row],[OriginalBudget14]]-SummaryTable[[#This Row],[OriginalBudget13]]</f>
        <v>#N/A</v>
      </c>
      <c r="DD153" s="54" t="e">
        <f>SummaryTable[[#This Row],[BudgetIncreaseAmount14]]/SummaryTable[[#This Row],[OriginalBudget13]]</f>
        <v>#N/A</v>
      </c>
      <c r="DE153" s="61" t="e">
        <f>IF(COUNTIFS(allFYsTable[Code], SummaryTable[[#This Row],[Code]], allFYsTable[year2], DB$3)=0, NotFound, SUMIFS(allFYsTable[RevisedBudget], allFYsTable[Code], SummaryTable[[#This Row],[Code]], allFYsTable[year2], DB$3))</f>
        <v>#N/A</v>
      </c>
      <c r="DF153" s="61" t="e">
        <f>IF(COUNTIFS(allFYsTable[Code], SummaryTable[[#This Row],[Code]], allFYsTable[year2], DB$3)=0, NotFound, SUMIFS(allFYsTable[Actual], allFYsTable[Code], SummaryTable[[#This Row],[Code]], allFYsTable[year2], DB$3))</f>
        <v>#N/A</v>
      </c>
      <c r="DG153" s="61" t="e">
        <f>IF(COUNTIFS(allFYsTable[Code], SummaryTable[[#This Row],[Code]], allFYsTable[year2], DB$3)=0, NotFound, SUMIFS(allFYsTable[DiffAmount], allFYsTable[Code], SummaryTable[[#This Row],[Code]], allFYsTable[year2], DB$3))</f>
        <v>#N/A</v>
      </c>
      <c r="DH153" s="63" t="e">
        <f>IF(SummaryTable[[#This Row],[OriginalBudget14]]=0, IF(SummaryTable[[#This Row],[DiffAmount14]]=0, ZeroBudgetNoSpending, ZeroBudgetWithSpending), SummaryTable[[#This Row],[DiffAmount14]]/SummaryTable[[#This Row],[OriginalBudget14]])</f>
        <v>#N/A</v>
      </c>
      <c r="DI153" s="62" t="e">
        <f>IF(COUNTIFS(allFYsTable[Code], SummaryTable[[#This Row],[Code]], allFYsTable[year2], DI$3)=0, NotFound, SUMIFS(allFYsTable[OriginalBudget], allFYsTable[Code], SummaryTable[[#This Row],[Code]], allFYsTable[year2], DI$3))</f>
        <v>#N/A</v>
      </c>
      <c r="DJ153" s="61" t="e">
        <f>SummaryTable[[#This Row],[OriginalBudget13]]-SummaryTable[[#This Row],[OriginalBudget12]]</f>
        <v>#N/A</v>
      </c>
      <c r="DK153" s="54" t="e">
        <f>SummaryTable[[#This Row],[BudgetIncreaseAmount13]]/SummaryTable[[#This Row],[OriginalBudget12]]</f>
        <v>#N/A</v>
      </c>
      <c r="DL153" s="61" t="e">
        <f>IF(COUNTIFS(allFYsTable[Code], SummaryTable[[#This Row],[Code]], allFYsTable[year2], DI$3)=0, NotFound, SUMIFS(allFYsTable[RevisedBudget], allFYsTable[Code], SummaryTable[[#This Row],[Code]], allFYsTable[year2], DI$3))</f>
        <v>#N/A</v>
      </c>
      <c r="DM153" s="61" t="e">
        <f>IF(COUNTIFS(allFYsTable[Code], SummaryTable[[#This Row],[Code]], allFYsTable[year2], DI$3)=0, NotFound, SUMIFS(allFYsTable[Actual], allFYsTable[Code], SummaryTable[[#This Row],[Code]], allFYsTable[year2], DI$3))</f>
        <v>#N/A</v>
      </c>
      <c r="DN153" s="61" t="e">
        <f>IF(COUNTIFS(allFYsTable[Code], SummaryTable[[#This Row],[Code]], allFYsTable[year2], DI$3)=0, NotFound, SUMIFS(allFYsTable[DiffAmount], allFYsTable[Code], SummaryTable[[#This Row],[Code]], allFYsTable[year2], DI$3))</f>
        <v>#N/A</v>
      </c>
      <c r="DO153" s="63" t="e">
        <f>IF(SummaryTable[[#This Row],[OriginalBudget13]]=0, IF(SummaryTable[[#This Row],[DiffAmount13]]=0, ZeroBudgetNoSpending, ZeroBudgetWithSpending), SummaryTable[[#This Row],[DiffAmount13]]/SummaryTable[[#This Row],[OriginalBudget13]])</f>
        <v>#N/A</v>
      </c>
      <c r="DP153" s="62" t="e">
        <f>IF(COUNTIFS(allFYsTable[Code], SummaryTable[[#This Row],[Code]], allFYsTable[year2], DP$3)=0, NotFound, SUMIFS(allFYsTable[OriginalBudget], allFYsTable[Code], SummaryTable[[#This Row],[Code]], allFYsTable[year2], DP$3))</f>
        <v>#N/A</v>
      </c>
      <c r="DQ153" s="61" t="e">
        <f>SummaryTable[[#This Row],[OriginalBudget12]]-SummaryTable[[#This Row],[OriginalBudget11]]</f>
        <v>#N/A</v>
      </c>
      <c r="DR153" s="54" t="e">
        <f>SummaryTable[[#This Row],[BudgetIncreaseAmount12]]/SummaryTable[[#This Row],[OriginalBudget11]]</f>
        <v>#N/A</v>
      </c>
      <c r="DS153" s="61" t="e">
        <f>IF(COUNTIFS(allFYsTable[Code], SummaryTable[[#This Row],[Code]], allFYsTable[year2], DP$3)=0, NotFound, SUMIFS(allFYsTable[RevisedBudget], allFYsTable[Code], SummaryTable[[#This Row],[Code]], allFYsTable[year2], DP$3))</f>
        <v>#N/A</v>
      </c>
      <c r="DT153" s="61" t="e">
        <f>IF(COUNTIFS(allFYsTable[Code], SummaryTable[[#This Row],[Code]], allFYsTable[year2], DP$3)=0, NotFound, SUMIFS(allFYsTable[Actual], allFYsTable[Code], SummaryTable[[#This Row],[Code]], allFYsTable[year2], DP$3))</f>
        <v>#N/A</v>
      </c>
      <c r="DU153" s="61" t="e">
        <f>IF(COUNTIFS(allFYsTable[Code], SummaryTable[[#This Row],[Code]], allFYsTable[year2], DP$3)=0, NotFound, SUMIFS(allFYsTable[DiffAmount], allFYsTable[Code], SummaryTable[[#This Row],[Code]], allFYsTable[year2], DP$3))</f>
        <v>#N/A</v>
      </c>
      <c r="DV153" s="63" t="e">
        <f>IF(SummaryTable[[#This Row],[OriginalBudget12]]=0, IF(SummaryTable[[#This Row],[DiffAmount12]]=0, ZeroBudgetNoSpending, ZeroBudgetWithSpending), SummaryTable[[#This Row],[DiffAmount12]]/SummaryTable[[#This Row],[OriginalBudget12]])</f>
        <v>#N/A</v>
      </c>
      <c r="DW153" s="62" t="e">
        <f>IF(COUNTIFS(allFYsTable[Code], SummaryTable[[#This Row],[Code]], allFYsTable[year2], DW$3)=0, NotFound, SUMIFS(allFYsTable[OriginalBudget], allFYsTable[Code], SummaryTable[[#This Row],[Code]], allFYsTable[year2], DW$3))</f>
        <v>#N/A</v>
      </c>
      <c r="DX153" s="61" t="e">
        <f>SummaryTable[[#This Row],[OriginalBudget11]]-SummaryTable[[#This Row],[OriginalBudget10]]</f>
        <v>#N/A</v>
      </c>
      <c r="DY153" s="54" t="e">
        <f>SummaryTable[[#This Row],[BudgetIncreaseAmount11]]/SummaryTable[[#This Row],[OriginalBudget10]]</f>
        <v>#N/A</v>
      </c>
      <c r="DZ153" s="61" t="e">
        <f>IF(COUNTIFS(allFYsTable[Code], SummaryTable[[#This Row],[Code]], allFYsTable[year2], DW$3)=0, NotFound, SUMIFS(allFYsTable[RevisedBudget], allFYsTable[Code], SummaryTable[[#This Row],[Code]], allFYsTable[year2], DW$3))</f>
        <v>#N/A</v>
      </c>
      <c r="EA153" s="61" t="e">
        <f>IF(COUNTIFS(allFYsTable[Code], SummaryTable[[#This Row],[Code]], allFYsTable[year2], DW$3)=0, NotFound, SUMIFS(allFYsTable[Actual], allFYsTable[Code], SummaryTable[[#This Row],[Code]], allFYsTable[year2], DW$3))</f>
        <v>#N/A</v>
      </c>
      <c r="EB153" s="61" t="e">
        <f>IF(COUNTIFS(allFYsTable[Code], SummaryTable[[#This Row],[Code]], allFYsTable[year2], DW$3)=0, NotFound, SUMIFS(allFYsTable[DiffAmount], allFYsTable[Code], SummaryTable[[#This Row],[Code]], allFYsTable[year2], DW$3))</f>
        <v>#N/A</v>
      </c>
      <c r="EC153" s="63" t="e">
        <f>IF(SummaryTable[[#This Row],[OriginalBudget11]]=0, IF(SummaryTable[[#This Row],[DiffAmount11]]=0, ZeroBudgetNoSpending, ZeroBudgetWithSpending), SummaryTable[[#This Row],[DiffAmount11]]/SummaryTable[[#This Row],[OriginalBudget11]])</f>
        <v>#N/A</v>
      </c>
      <c r="ED153" s="62" t="e">
        <f>IF(COUNTIFS(allFYsTable[Code], SummaryTable[[#This Row],[Code]], allFYsTable[year2], ED$3)=0, NotFound, SUMIFS(allFYsTable[OriginalBudget], allFYsTable[Code], SummaryTable[[#This Row],[Code]], allFYsTable[year2], ED$3))</f>
        <v>#N/A</v>
      </c>
      <c r="EE153" s="61" t="e">
        <f>SummaryTable[[#This Row],[OriginalBudget10]]-SummaryTable[[#This Row],[OriginalBudget09]]</f>
        <v>#N/A</v>
      </c>
      <c r="EF153" s="54" t="e">
        <f>SummaryTable[[#This Row],[BudgetIncreaseAmount10]]/SummaryTable[[#This Row],[OriginalBudget09]]</f>
        <v>#N/A</v>
      </c>
      <c r="EG153" s="61" t="e">
        <f>IF(COUNTIFS(allFYsTable[Code], SummaryTable[[#This Row],[Code]], allFYsTable[year2], ED$3)=0, NotFound, SUMIFS(allFYsTable[RevisedBudget], allFYsTable[Code], SummaryTable[[#This Row],[Code]], allFYsTable[year2], ED$3))</f>
        <v>#N/A</v>
      </c>
      <c r="EH153" s="61" t="e">
        <f>IF(COUNTIFS(allFYsTable[Code], SummaryTable[[#This Row],[Code]], allFYsTable[year2], ED$3)=0, NotFound, SUMIFS(allFYsTable[Actual], allFYsTable[Code], SummaryTable[[#This Row],[Code]], allFYsTable[year2], ED$3))</f>
        <v>#N/A</v>
      </c>
      <c r="EI153" s="61" t="e">
        <f>IF(COUNTIFS(allFYsTable[Code], SummaryTable[[#This Row],[Code]], allFYsTable[year2], ED$3)=0, NotFound, SUMIFS(allFYsTable[DiffAmount], allFYsTable[Code], SummaryTable[[#This Row],[Code]], allFYsTable[year2], ED$3))</f>
        <v>#N/A</v>
      </c>
      <c r="EJ153" s="63" t="e">
        <f>IF(SummaryTable[[#This Row],[OriginalBudget10]]=0, IF(SummaryTable[[#This Row],[DiffAmount10]]=0, ZeroBudgetNoSpending, ZeroBudgetWithSpending), SummaryTable[[#This Row],[DiffAmount10]]/SummaryTable[[#This Row],[OriginalBudget10]])</f>
        <v>#N/A</v>
      </c>
      <c r="EK153" s="62" t="e">
        <f>IF(COUNTIFS(allFYsTable[Code], SummaryTable[[#This Row],[Code]], allFYsTable[year2], EK$3)=0, NotFound, SUMIFS(allFYsTable[OriginalBudget], allFYsTable[Code], SummaryTable[[#This Row],[Code]], allFYsTable[year2], EK$3))</f>
        <v>#N/A</v>
      </c>
      <c r="EL153" s="61" t="e">
        <f>SummaryTable[[#This Row],[OriginalBudget09]]-SummaryTable[[#This Row],[OriginalBudget08]]</f>
        <v>#N/A</v>
      </c>
      <c r="EM153" s="54" t="e">
        <f>SummaryTable[[#This Row],[BudgetIncreaseAmount09]]/SummaryTable[[#This Row],[OriginalBudget08]]</f>
        <v>#N/A</v>
      </c>
      <c r="EN153" s="61" t="e">
        <f>IF(COUNTIFS(allFYsTable[Code], SummaryTable[[#This Row],[Code]], allFYsTable[year2], EK$3)=0, NotFound, SUMIFS(allFYsTable[RevisedBudget], allFYsTable[Code], SummaryTable[[#This Row],[Code]], allFYsTable[year2], EK$3))</f>
        <v>#N/A</v>
      </c>
      <c r="EO153" s="61" t="e">
        <f>IF(COUNTIFS(allFYsTable[Code], SummaryTable[[#This Row],[Code]], allFYsTable[year2], EK$3)=0, NotFound, SUMIFS(allFYsTable[Actual], allFYsTable[Code], SummaryTable[[#This Row],[Code]], allFYsTable[year2], EK$3))</f>
        <v>#N/A</v>
      </c>
      <c r="EP153" s="61" t="e">
        <f>IF(COUNTIFS(allFYsTable[Code], SummaryTable[[#This Row],[Code]], allFYsTable[year2], EK$3)=0, NotFound, SUMIFS(allFYsTable[DiffAmount], allFYsTable[Code], SummaryTable[[#This Row],[Code]], allFYsTable[year2], EK$3))</f>
        <v>#N/A</v>
      </c>
      <c r="EQ153" s="63" t="e">
        <f>IF(SummaryTable[[#This Row],[OriginalBudget09]]=0, IF(SummaryTable[[#This Row],[DiffAmount09]]=0, ZeroBudgetNoSpending, ZeroBudgetWithSpending), SummaryTable[[#This Row],[DiffAmount09]]/SummaryTable[[#This Row],[OriginalBudget09]])</f>
        <v>#N/A</v>
      </c>
      <c r="ER153" s="62" t="e">
        <f>IF(COUNTIFS(allFYsTable[Code], SummaryTable[[#This Row],[Code]], allFYsTable[year2], ER$3)=0, NotFound, SUMIFS(allFYsTable[OriginalBudget], allFYsTable[Code], SummaryTable[[#This Row],[Code]], allFYsTable[year2], ER$3))</f>
        <v>#N/A</v>
      </c>
      <c r="ES153" s="61" t="e">
        <f>SummaryTable[[#This Row],[OriginalBudget08]]-SummaryTable[[#This Row],[OriginalBudget07]]</f>
        <v>#N/A</v>
      </c>
      <c r="ET153" s="54" t="e">
        <f>SummaryTable[[#This Row],[BudgetIncreaseAmount08]]/SummaryTable[[#This Row],[OriginalBudget07]]</f>
        <v>#N/A</v>
      </c>
      <c r="EU153" s="61" t="e">
        <f>IF(COUNTIFS(allFYsTable[Code], SummaryTable[[#This Row],[Code]], allFYsTable[year2], ER$3)=0, NotFound, SUMIFS(allFYsTable[RevisedBudget], allFYsTable[Code], SummaryTable[[#This Row],[Code]], allFYsTable[year2], ER$3))</f>
        <v>#N/A</v>
      </c>
      <c r="EV153" s="61" t="e">
        <f>IF(COUNTIFS(allFYsTable[Code], SummaryTable[[#This Row],[Code]], allFYsTable[year2], ER$3)=0, NotFound, SUMIFS(allFYsTable[Actual], allFYsTable[Code], SummaryTable[[#This Row],[Code]], allFYsTable[year2], ER$3))</f>
        <v>#N/A</v>
      </c>
      <c r="EW153" s="61" t="e">
        <f>IF(COUNTIFS(allFYsTable[Code], SummaryTable[[#This Row],[Code]], allFYsTable[year2], ER$3)=0, NotFound, SUMIFS(allFYsTable[DiffAmount], allFYsTable[Code], SummaryTable[[#This Row],[Code]], allFYsTable[year2], ER$3))</f>
        <v>#N/A</v>
      </c>
      <c r="EX153" s="63" t="e">
        <f>IF(SummaryTable[[#This Row],[OriginalBudget08]]=0, IF(SummaryTable[[#This Row],[DiffAmount08]]=0, ZeroBudgetNoSpending, ZeroBudgetWithSpending), SummaryTable[[#This Row],[DiffAmount08]]/SummaryTable[[#This Row],[OriginalBudget08]])</f>
        <v>#N/A</v>
      </c>
      <c r="EY153" s="62" t="e">
        <f>IF(COUNTIFS(allFYsTable[Code], SummaryTable[[#This Row],[Code]], allFYsTable[year2], EY$3)=0, NotFound, SUMIFS(allFYsTable[OriginalBudget], allFYsTable[Code], SummaryTable[[#This Row],[Code]], allFYsTable[year2], EY$3))</f>
        <v>#N/A</v>
      </c>
      <c r="EZ153" s="61" t="e">
        <f>SummaryTable[[#This Row],[OriginalBudget07]]-SummaryTable[[#This Row],[OriginalBudget06]]</f>
        <v>#N/A</v>
      </c>
      <c r="FA153" s="54" t="e">
        <f>SummaryTable[[#This Row],[BudgetIncreaseAmount07]]/SummaryTable[[#This Row],[OriginalBudget06]]</f>
        <v>#N/A</v>
      </c>
      <c r="FB153" s="61" t="e">
        <f>IF(COUNTIFS(allFYsTable[Code], SummaryTable[[#This Row],[Code]], allFYsTable[year2], EY$3)=0, NotFound, SUMIFS(allFYsTable[RevisedBudget], allFYsTable[Code], SummaryTable[[#This Row],[Code]], allFYsTable[year2], EY$3))</f>
        <v>#N/A</v>
      </c>
      <c r="FC153" s="61" t="e">
        <f>IF(COUNTIFS(allFYsTable[Code], SummaryTable[[#This Row],[Code]], allFYsTable[year2], EY$3)=0, NotFound, SUMIFS(allFYsTable[Actual], allFYsTable[Code], SummaryTable[[#This Row],[Code]], allFYsTable[year2], EY$3))</f>
        <v>#N/A</v>
      </c>
      <c r="FD153" s="61" t="e">
        <f>IF(COUNTIFS(allFYsTable[Code], SummaryTable[[#This Row],[Code]], allFYsTable[year2], EY$3)=0, NotFound, SUMIFS(allFYsTable[DiffAmount], allFYsTable[Code], SummaryTable[[#This Row],[Code]], allFYsTable[year2], EY$3))</f>
        <v>#N/A</v>
      </c>
      <c r="FE153" s="63" t="e">
        <f>IF(SummaryTable[[#This Row],[OriginalBudget07]]=0, IF(SummaryTable[[#This Row],[DiffAmount07]]=0, ZeroBudgetNoSpending, ZeroBudgetWithSpending), SummaryTable[[#This Row],[DiffAmount07]]/SummaryTable[[#This Row],[OriginalBudget07]])</f>
        <v>#N/A</v>
      </c>
      <c r="FF153" s="62" t="e">
        <f>IF(COUNTIFS(allFYsTable[Code], SummaryTable[[#This Row],[Code]], allFYsTable[year2], FF$3)=0, NotFound, SUMIFS(allFYsTable[OriginalBudget], allFYsTable[Code], SummaryTable[[#This Row],[Code]], allFYsTable[year2], FF$3))</f>
        <v>#N/A</v>
      </c>
      <c r="FI153" s="61" t="e">
        <f>IF(COUNTIFS(allFYsTable[Code], SummaryTable[[#This Row],[Code]], allFYsTable[year2], FF$3)=0, NotFound, SUMIFS(allFYsTable[RevisedBudget], allFYsTable[Code], SummaryTable[[#This Row],[Code]], allFYsTable[year2], FF$3))</f>
        <v>#N/A</v>
      </c>
      <c r="FJ153" s="61" t="e">
        <f>IF(COUNTIFS(allFYsTable[Code], SummaryTable[[#This Row],[Code]], allFYsTable[year2], FF$3)=0, NotFound, SUMIFS(allFYsTable[Actual], allFYsTable[Code], SummaryTable[[#This Row],[Code]], allFYsTable[year2], FF$3))</f>
        <v>#N/A</v>
      </c>
      <c r="FK153" s="61" t="e">
        <f>IF(COUNTIFS(allFYsTable[Code], SummaryTable[[#This Row],[Code]], allFYsTable[year2], FF$3)=0, NotFound, SUMIFS(allFYsTable[DiffAmount], allFYsTable[Code], SummaryTable[[#This Row],[Code]], allFYsTable[year2], FF$3))</f>
        <v>#N/A</v>
      </c>
      <c r="FL153" s="63" t="e">
        <f>IF(SummaryTable[[#This Row],[OriginalBudget06]]=0, IF(SummaryTable[[#This Row],[DiffAmount06]]=0, ZeroBudgetNoSpending, ZeroBudgetWithSpending), SummaryTable[[#This Row],[DiffAmount06]]/SummaryTable[[#This Row],[OriginalBudget06]])</f>
        <v>#N/A</v>
      </c>
    </row>
    <row r="154" spans="1:168" x14ac:dyDescent="0.45">
      <c r="A154" t="s">
        <v>831</v>
      </c>
      <c r="B154">
        <f>_xlfn.MAXIFS(allFYsTable[year2], allFYsTable[Code], SummaryTable[[#This Row],[Code]])</f>
        <v>2015</v>
      </c>
      <c r="C154" t="str">
        <f>_xlfn.XLOOKUP(SummaryTable[[#This Row],[Code]], NameCodingTable[Code], NameCodingTable[Most Recent Category per allFYs])</f>
        <v>Other</v>
      </c>
      <c r="D154" t="str">
        <f>_xlfn.XLOOKUP(SummaryTable[[#This Row],[Code]], NameCodingTable[Code], NameCodingTable[Unit Display Name])</f>
        <v>Certificates of participation</v>
      </c>
      <c r="E154" t="str">
        <f>_xlfn.XLOOKUP(SummaryTable[[#This Row],[Code]], NameCodingTable[Code], NameCodingTable[Type])</f>
        <v>untyped</v>
      </c>
      <c r="F15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10</v>
      </c>
      <c r="G15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54" s="54">
        <f>SummaryTable[[#This Row],['# Over]]/SummaryTable[[#This Row],[Count]]</f>
        <v>0</v>
      </c>
      <c r="I15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10</v>
      </c>
      <c r="J154" s="54">
        <f>SummaryTable[[#This Row],['# Under]]/SummaryTable[[#This Row],[Count]]</f>
        <v>1</v>
      </c>
      <c r="K15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54" s="54">
        <f>SummaryTable[[#This Row],['# Equal]]/SummaryTable[[#This Row],[Count]]</f>
        <v>0</v>
      </c>
      <c r="M154" s="61">
        <f>SUMIFS(allFYsTable[OriginalBudget],allFYsTable[Code],SummaryTable[[#This Row],[Code]])/SummaryTable[[#This Row],[Count]]</f>
        <v>29625.1</v>
      </c>
      <c r="N154" s="61">
        <f>SUMIFS(allFYsTable[Actual],allFYsTable[Code],SummaryTable[[#This Row],[Code]])/SummaryTable[[#This Row],[Count]]</f>
        <v>26640.9</v>
      </c>
      <c r="O154" s="61">
        <f>SummaryTable[[#This Row],[AvgActAmt]]-SummaryTable[[#This Row],[AvgBudAmt]]</f>
        <v>-2984.1999999999971</v>
      </c>
      <c r="P154" s="54">
        <f>IF(SummaryTable[[#This Row],[AvgBudAmt]]=0, IF(SummaryTable[[#This Row],[AvgDiff'#]]=0, 0, NamedFields!$C$3), SummaryTable[[#This Row],[AvgDiff'#]]/SummaryTable[[#This Row],[AvgBudAmt]])</f>
        <v>-0.10073214942734361</v>
      </c>
      <c r="Q154" s="61">
        <f>IFERROR(SUMIFS(allFYsTable[OriginalBudget],allFYsTable[Code],SummaryTable[[#This Row],[Code]],allFYsTable[DiffAmount], "&gt;0")/SummaryTable[[#This Row],['# Over]], 0)</f>
        <v>0</v>
      </c>
      <c r="R154" s="61">
        <f>IFERROR(SUMIFS(allFYsTable[Actual],allFYsTable[Code],SummaryTable[[#This Row],[Code]],allFYsTable[DiffAmount], "&gt;0")/SummaryTable[[#This Row],['# Over]], 0)</f>
        <v>0</v>
      </c>
      <c r="S154" s="61">
        <f>SummaryTable[[#This Row],[OverAvgAct]]-SummaryTable[[#This Row],[OverAvgBud]]</f>
        <v>0</v>
      </c>
      <c r="T154" s="54">
        <f>IF(SummaryTable[[#This Row],[OverAvgBud]]=0, IF(SummaryTable[[#This Row],[OverAvgDiff'#]]=0, ZeroBudgetNoSpending, ZeroBudgetWithSpending), SummaryTable[[#This Row],[OverAvgDiff'#]]/SummaryTable[[#This Row],[OverAvgBud]])</f>
        <v>0</v>
      </c>
      <c r="U154" s="61">
        <f>IFERROR(SUMIFS(allFYsTable[OriginalBudget],allFYsTable[Code],SummaryTable[[#This Row],[Code]],allFYsTable[DiffAmount], "&lt;0")/SummaryTable[[#This Row],['# Under]], 0)</f>
        <v>29625.1</v>
      </c>
      <c r="V154" s="61">
        <f>IFERROR( SUMIFS(allFYsTable[Actual],allFYsTable[Code],SummaryTable[[#This Row],[Code]],allFYsTable[DiffAmount], "&lt;0")/SummaryTable[[#This Row],['# Under]], 0)</f>
        <v>26640.9</v>
      </c>
      <c r="W154" s="61">
        <f>SummaryTable[[#This Row],[UnderAvgAct]]-SummaryTable[[#This Row],[UnderAvgBud]]</f>
        <v>-2984.1999999999971</v>
      </c>
      <c r="X154" s="54">
        <f>IF(SummaryTable[[#This Row],[UnderAvgBud]]=0, IF(SummaryTable[[#This Row],[UnderAvgDiff'#]]=0, ZeroBudgetNoSpending, NamedFields!$C$3), SummaryTable[[#This Row],[UnderAvgDiff'#]]/SummaryTable[[#This Row],[UnderAvgBud]])</f>
        <v>-0.10073214942734361</v>
      </c>
      <c r="Y15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5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4" s="54">
        <f>IF(SummaryTable[[#This Row],[IncreaseYears]]=0, ZeroBudgetNoSpending, SummaryTable[[#This Row],[OSinIncreaseYear'#]]/SummaryTable[[#This Row],[IncreaseYears]])</f>
        <v>0</v>
      </c>
      <c r="AB154" s="58" t="str">
        <f>SummaryTable[[#This Row],[Code]]</f>
        <v>CP0</v>
      </c>
      <c r="AC154" s="62" t="e">
        <f>IF(COUNTIFS(allFYsTable[Code], SummaryTable[[#This Row],[Code]], allFYsTable[year2], AC$3)=0, NotFound, SUMIFS(allFYsTable[OriginalBudget], allFYsTable[Code], SummaryTable[[#This Row],[Code]], allFYsTable[year2], AC$3))</f>
        <v>#N/A</v>
      </c>
      <c r="AD154" s="61" t="e">
        <f>SummaryTable[[#This Row],[OriginalBudget25]]-SummaryTable[[#This Row],[OriginalBudget24]]</f>
        <v>#N/A</v>
      </c>
      <c r="AE154" s="54" t="e">
        <f>SummaryTable[[#This Row],[BudgetIncreaseAmount25]]/SummaryTable[[#This Row],[OriginalBudget24]]</f>
        <v>#N/A</v>
      </c>
      <c r="AF154" s="61" t="e">
        <f>IF(COUNTIFS(allFYsTable[Code], SummaryTable[[#This Row],[Code]], allFYsTable[year2], AC$3)=0, NotFound, SUMIFS(allFYsTable[RevisedBudget], allFYsTable[Code], SummaryTable[[#This Row],[Code]], allFYsTable[year2], AC$3))</f>
        <v>#N/A</v>
      </c>
      <c r="AG154" s="61" t="e">
        <f>IF(COUNTIFS(allFYsTable[Code], SummaryTable[[#This Row],[Code]], allFYsTable[year2], AC$3)=0, NotFound, SUMIFS(allFYsTable[Actual], allFYsTable[Code], SummaryTable[[#This Row],[Code]], allFYsTable[year2], AC$3))</f>
        <v>#N/A</v>
      </c>
      <c r="AH154" s="61" t="e">
        <f>IF(COUNTIFS(allFYsTable[Code], SummaryTable[[#This Row],[Code]], allFYsTable[year2], AC$3)=0, NotFound, SUMIFS(allFYsTable[DiffAmount], allFYsTable[Code], SummaryTable[[#This Row],[Code]], allFYsTable[year2], AC$3))</f>
        <v>#N/A</v>
      </c>
      <c r="AI154" s="63" t="e">
        <f>IF(SummaryTable[[#This Row],[OriginalBudget25]]=0, IF(SummaryTable[[#This Row],[DiffAmount25]]=0, ZeroBudgetNoSpending, ZeroBudgetWithSpending), SummaryTable[[#This Row],[DiffAmount25]]/SummaryTable[[#This Row],[OriginalBudget25]])</f>
        <v>#N/A</v>
      </c>
      <c r="AJ154" s="62" t="e">
        <f>IF(COUNTIFS(allFYsTable[Code], SummaryTable[[#This Row],[Code]], allFYsTable[year2], AJ$3)=0, NotFound, SUMIFS(allFYsTable[OriginalBudget], allFYsTable[Code], SummaryTable[[#This Row],[Code]], allFYsTable[year2], AJ$3))</f>
        <v>#N/A</v>
      </c>
      <c r="AK154" s="61" t="e">
        <f>SummaryTable[[#This Row],[OriginalBudget24]]-SummaryTable[[#This Row],[OriginalBudget23]]</f>
        <v>#N/A</v>
      </c>
      <c r="AL154" s="54" t="e">
        <f>SummaryTable[[#This Row],[BudgetIncreaseAmount24]]/SummaryTable[[#This Row],[OriginalBudget23]]</f>
        <v>#N/A</v>
      </c>
      <c r="AM154" s="61" t="e">
        <f>IF(COUNTIFS(allFYsTable[Code], SummaryTable[[#This Row],[Code]], allFYsTable[year2], AK$3)=0, NotFound, SUMIFS(allFYsTable[RevisedBudget], allFYsTable[Code], SummaryTable[[#This Row],[Code]], allFYsTable[year2], AJ$3))</f>
        <v>#N/A</v>
      </c>
      <c r="AN154" s="61" t="e">
        <f>IF(COUNTIFS(allFYsTable[Code], SummaryTable[[#This Row],[Code]], allFYsTable[year2], AJ$3)=0, NotFound, SUMIFS(allFYsTable[Actual], allFYsTable[Code], SummaryTable[[#This Row],[Code]], allFYsTable[year2], AJ$3))</f>
        <v>#N/A</v>
      </c>
      <c r="AO154" s="61" t="e">
        <f>IF(COUNTIFS(allFYsTable[Code], SummaryTable[[#This Row],[Code]], allFYsTable[year2], AJ$3)=0, NotFound, SUMIFS(allFYsTable[DiffAmount], allFYsTable[Code], SummaryTable[[#This Row],[Code]], allFYsTable[year2], AJ$3))</f>
        <v>#N/A</v>
      </c>
      <c r="AP154" s="63" t="e">
        <f>IF(SummaryTable[[#This Row],[OriginalBudget24]]=0, IF(SummaryTable[[#This Row],[DiffAmount24]]=0, ZeroBudgetNoSpending, ZeroBudgetWithSpending), SummaryTable[[#This Row],[DiffAmount24]]/SummaryTable[[#This Row],[OriginalBudget24]])</f>
        <v>#N/A</v>
      </c>
      <c r="AQ154" s="62" t="e">
        <f>IF(COUNTIFS(allFYsTable[Code], SummaryTable[[#This Row],[Code]], allFYsTable[year2], AQ$3)=0, NotFound, SUMIFS(allFYsTable[OriginalBudget], allFYsTable[Code], SummaryTable[[#This Row],[Code]], allFYsTable[year2], AQ$3))</f>
        <v>#N/A</v>
      </c>
      <c r="AR154" s="61" t="e">
        <f>SummaryTable[[#This Row],[OriginalBudget23]]-SummaryTable[[#This Row],[OriginalBudget22]]</f>
        <v>#N/A</v>
      </c>
      <c r="AS154" s="54" t="e">
        <f>SummaryTable[[#This Row],[BudgetIncreaseAmount23]]/SummaryTable[[#This Row],[OriginalBudget22]]</f>
        <v>#N/A</v>
      </c>
      <c r="AT154" s="61" t="e">
        <f>IF(COUNTIFS(allFYsTable[Code], SummaryTable[[#This Row],[Code]], allFYsTable[year2], AQ$3)=0, NotFound, SUMIFS(allFYsTable[RevisedBudget], allFYsTable[Code], SummaryTable[[#This Row],[Code]], allFYsTable[year2], AQ$3))</f>
        <v>#N/A</v>
      </c>
      <c r="AU154" s="61" t="e">
        <f>IF(COUNTIFS(allFYsTable[Code], SummaryTable[[#This Row],[Code]], allFYsTable[year2], AQ$3)=0, NotFound, SUMIFS(allFYsTable[Actual], allFYsTable[Code], SummaryTable[[#This Row],[Code]], allFYsTable[year2], AQ$3))</f>
        <v>#N/A</v>
      </c>
      <c r="AV154" s="61" t="e">
        <f>IF(COUNTIFS(allFYsTable[Code], SummaryTable[[#This Row],[Code]], allFYsTable[year2], AQ$3)=0, NotFound, SUMIFS(allFYsTable[DiffAmount], allFYsTable[Code], SummaryTable[[#This Row],[Code]], allFYsTable[year2], AQ$3))</f>
        <v>#N/A</v>
      </c>
      <c r="AW154" s="63" t="e">
        <f>IF(SummaryTable[[#This Row],[OriginalBudget23]]=0, IF(SummaryTable[[#This Row],[DiffAmount23]]=0, ZeroBudgetNoSpending, ZeroBudgetWithSpending), SummaryTable[[#This Row],[DiffAmount23]]/SummaryTable[[#This Row],[OriginalBudget23]])</f>
        <v>#N/A</v>
      </c>
      <c r="AX154" s="62" t="e">
        <f>IF(COUNTIFS(allFYsTable[Code], SummaryTable[[#This Row],[Code]], allFYsTable[year2], AX$3)=0, NotFound, SUMIFS(allFYsTable[OriginalBudget], allFYsTable[Code], SummaryTable[[#This Row],[Code]], allFYsTable[year2], AX$3))</f>
        <v>#N/A</v>
      </c>
      <c r="AY154" s="61" t="e">
        <f>SummaryTable[[#This Row],[OriginalBudget22]]-SummaryTable[[#This Row],[OriginalBudget21]]</f>
        <v>#N/A</v>
      </c>
      <c r="AZ154" s="54" t="e">
        <f>SummaryTable[[#This Row],[BudgetIncreaseAmount22]]/SummaryTable[[#This Row],[OriginalBudget21]]</f>
        <v>#N/A</v>
      </c>
      <c r="BA154" s="61" t="e">
        <f>IF(COUNTIFS(allFYsTable[Code], SummaryTable[[#This Row],[Code]], allFYsTable[year2], AX$3)=0, NotFound, SUMIFS(allFYsTable[RevisedBudget], allFYsTable[Code], SummaryTable[[#This Row],[Code]], allFYsTable[year2], AX$3))</f>
        <v>#N/A</v>
      </c>
      <c r="BB154" s="61" t="e">
        <f>IF(COUNTIFS(allFYsTable[Code], SummaryTable[[#This Row],[Code]], allFYsTable[year2], AX$3)=0, NotFound, SUMIFS(allFYsTable[Actual], allFYsTable[Code], SummaryTable[[#This Row],[Code]], allFYsTable[year2], AX$3))</f>
        <v>#N/A</v>
      </c>
      <c r="BC154" s="61" t="e">
        <f>IF(COUNTIFS(allFYsTable[Code], SummaryTable[[#This Row],[Code]], allFYsTable[year2], AX$3)=0, NotFound, SUMIFS(allFYsTable[DiffAmount], allFYsTable[Code], SummaryTable[[#This Row],[Code]], allFYsTable[year2], AX$3))</f>
        <v>#N/A</v>
      </c>
      <c r="BD154" s="63" t="e">
        <f>IF(SummaryTable[[#This Row],[OriginalBudget22]]=0, IF(SummaryTable[[#This Row],[DiffAmount22]]=0, ZeroBudgetNoSpending, ZeroBudgetWithSpending), SummaryTable[[#This Row],[DiffAmount22]]/SummaryTable[[#This Row],[OriginalBudget22]])</f>
        <v>#N/A</v>
      </c>
      <c r="BE154" s="62" t="e">
        <f>IF(COUNTIFS(allFYsTable[Code], SummaryTable[[#This Row],[Code]], allFYsTable[year2], BE$3)=0, NotFound, SUMIFS(allFYsTable[OriginalBudget], allFYsTable[Code], SummaryTable[[#This Row],[Code]], allFYsTable[year2], BE$3))</f>
        <v>#N/A</v>
      </c>
      <c r="BF154" s="61" t="e">
        <f>SummaryTable[[#This Row],[OriginalBudget21]]-SummaryTable[[#This Row],[OriginalBudget20]]</f>
        <v>#N/A</v>
      </c>
      <c r="BG154" s="54" t="e">
        <f>SummaryTable[[#This Row],[BudgetIncreaseAmount21]]/SummaryTable[[#This Row],[OriginalBudget20]]</f>
        <v>#N/A</v>
      </c>
      <c r="BH154" s="61" t="e">
        <f>IF(COUNTIFS(allFYsTable[Code], SummaryTable[[#This Row],[Code]], allFYsTable[year2], BE$3)=0, NotFound, SUMIFS(allFYsTable[RevisedBudget], allFYsTable[Code], SummaryTable[[#This Row],[Code]], allFYsTable[year2], BE$3))</f>
        <v>#N/A</v>
      </c>
      <c r="BI154" s="61" t="e">
        <f>IF(COUNTIFS(allFYsTable[Code], SummaryTable[[#This Row],[Code]], allFYsTable[year2], BE$3)=0, NotFound, SUMIFS(allFYsTable[Actual], allFYsTable[Code], SummaryTable[[#This Row],[Code]], allFYsTable[year2], BE$3))</f>
        <v>#N/A</v>
      </c>
      <c r="BJ154" s="61" t="e">
        <f>IF(COUNTIFS(allFYsTable[Code], SummaryTable[[#This Row],[Code]], allFYsTable[year2], BE$3)=0, NotFound, SUMIFS(allFYsTable[DiffAmount], allFYsTable[Code], SummaryTable[[#This Row],[Code]], allFYsTable[year2], BE$3))</f>
        <v>#N/A</v>
      </c>
      <c r="BK154" s="63" t="e">
        <f>IF(SummaryTable[[#This Row],[OriginalBudget21]]=0, IF(SummaryTable[[#This Row],[DiffAmount21]]=0, ZeroBudgetNoSpending, ZeroBudgetWithSpending), SummaryTable[[#This Row],[DiffAmount21]]/SummaryTable[[#This Row],[OriginalBudget21]])</f>
        <v>#N/A</v>
      </c>
      <c r="BL154" s="62" t="e">
        <f>IF(COUNTIFS(allFYsTable[Code], SummaryTable[[#This Row],[Code]], allFYsTable[year2], BL$3)=0, NotFound, SUMIFS(allFYsTable[OriginalBudget], allFYsTable[Code], SummaryTable[[#This Row],[Code]], allFYsTable[year2], BL$3))</f>
        <v>#N/A</v>
      </c>
      <c r="BM154" s="61" t="e">
        <f>SummaryTable[[#This Row],[OriginalBudget20]]-SummaryTable[[#This Row],[OriginalBudget19]]</f>
        <v>#N/A</v>
      </c>
      <c r="BN154" s="54" t="e">
        <f>SummaryTable[[#This Row],[BudgetIncreaseAmount20]]/SummaryTable[[#This Row],[OriginalBudget19]]</f>
        <v>#N/A</v>
      </c>
      <c r="BO154" s="61" t="e">
        <f>IF(COUNTIFS(allFYsTable[Code], SummaryTable[[#This Row],[Code]], allFYsTable[year2], BL$3)=0, NotFound, SUMIFS(allFYsTable[RevisedBudget], allFYsTable[Code], SummaryTable[[#This Row],[Code]], allFYsTable[year2], BL$3))</f>
        <v>#N/A</v>
      </c>
      <c r="BP154" s="61" t="e">
        <f>IF(COUNTIFS(allFYsTable[Code], SummaryTable[[#This Row],[Code]], allFYsTable[year2], BL$3)=0, NotFound, SUMIFS(allFYsTable[Actual], allFYsTable[Code], SummaryTable[[#This Row],[Code]], allFYsTable[year2], BL$3))</f>
        <v>#N/A</v>
      </c>
      <c r="BQ154" s="61" t="e">
        <f>IF(COUNTIFS(allFYsTable[Code], SummaryTable[[#This Row],[Code]], allFYsTable[year2], BL$3)=0, NotFound, SUMIFS(allFYsTable[DiffAmount], allFYsTable[Code], SummaryTable[[#This Row],[Code]], allFYsTable[year2], BL$3))</f>
        <v>#N/A</v>
      </c>
      <c r="BR154" s="63" t="e">
        <f>IF(SummaryTable[[#This Row],[OriginalBudget20]]=0, IF(SummaryTable[[#This Row],[DiffAmount20]]=0, ZeroBudgetNoSpending, ZeroBudgetWithSpending), SummaryTable[[#This Row],[DiffAmount20]]/SummaryTable[[#This Row],[OriginalBudget20]])</f>
        <v>#N/A</v>
      </c>
      <c r="BS154" s="62" t="e">
        <f>IF(COUNTIFS(allFYsTable[Code], SummaryTable[[#This Row],[Code]], allFYsTable[year2], BS$3)=0, NotFound, SUMIFS(allFYsTable[OriginalBudget], allFYsTable[Code], SummaryTable[[#This Row],[Code]], allFYsTable[year2], BS$3))</f>
        <v>#N/A</v>
      </c>
      <c r="BT154" s="61" t="e">
        <f>SummaryTable[[#This Row],[OriginalBudget19]]-SummaryTable[[#This Row],[OriginalBudget18]]</f>
        <v>#N/A</v>
      </c>
      <c r="BU154" s="54" t="e">
        <f>SummaryTable[[#This Row],[BudgetIncreaseAmount19]]/SummaryTable[[#This Row],[OriginalBudget18]]</f>
        <v>#N/A</v>
      </c>
      <c r="BV154" s="61" t="e">
        <f>IF(COUNTIFS(allFYsTable[Code], SummaryTable[[#This Row],[Code]], allFYsTable[year2], BS$3)=0, NotFound, SUMIFS(allFYsTable[RevisedBudget], allFYsTable[Code], SummaryTable[[#This Row],[Code]], allFYsTable[year2], BS$3))</f>
        <v>#N/A</v>
      </c>
      <c r="BW154" s="61" t="e">
        <f>IF(COUNTIFS(allFYsTable[Code], SummaryTable[[#This Row],[Code]], allFYsTable[year2], BS$3)=0, NotFound, SUMIFS(allFYsTable[Actual], allFYsTable[Code], SummaryTable[[#This Row],[Code]], allFYsTable[year2], BS$3))</f>
        <v>#N/A</v>
      </c>
      <c r="BX154" s="61" t="e">
        <f>IF(COUNTIFS(allFYsTable[Code], SummaryTable[[#This Row],[Code]], allFYsTable[year2], BS$3)=0, NotFound, SUMIFS(allFYsTable[DiffAmount], allFYsTable[Code], SummaryTable[[#This Row],[Code]], allFYsTable[year2], BS$3))</f>
        <v>#N/A</v>
      </c>
      <c r="BY154" s="63" t="e">
        <f>IF(SummaryTable[[#This Row],[OriginalBudget19]]=0, IF(SummaryTable[[#This Row],[DiffAmount19]]=0, ZeroBudgetNoSpending, ZeroBudgetWithSpending), SummaryTable[[#This Row],[DiffAmount19]]/SummaryTable[[#This Row],[OriginalBudget19]])</f>
        <v>#N/A</v>
      </c>
      <c r="BZ154" s="62" t="e">
        <f>IF(COUNTIFS(allFYsTable[Code], SummaryTable[[#This Row],[Code]], allFYsTable[year2], BZ$3)=0, NotFound, SUMIFS(allFYsTable[OriginalBudget], allFYsTable[Code], SummaryTable[[#This Row],[Code]], allFYsTable[year2], BZ$3))</f>
        <v>#N/A</v>
      </c>
      <c r="CA154" s="61" t="e">
        <f>SummaryTable[[#This Row],[OriginalBudget18]]-SummaryTable[[#This Row],[OriginalBudget17]]</f>
        <v>#N/A</v>
      </c>
      <c r="CB154" s="54" t="e">
        <f>SummaryTable[[#This Row],[BudgetIncreaseAmount18]]/SummaryTable[[#This Row],[OriginalBudget17]]</f>
        <v>#N/A</v>
      </c>
      <c r="CC154" s="61" t="e">
        <f>IF(COUNTIFS(allFYsTable[Code], SummaryTable[[#This Row],[Code]], allFYsTable[year2], BZ$3)=0, NotFound, SUMIFS(allFYsTable[RevisedBudget], allFYsTable[Code], SummaryTable[[#This Row],[Code]], allFYsTable[year2], BZ$3))</f>
        <v>#N/A</v>
      </c>
      <c r="CD154" s="61" t="e">
        <f>IF(COUNTIFS(allFYsTable[Code], SummaryTable[[#This Row],[Code]], allFYsTable[year2], BZ$3)=0, NotFound, SUMIFS(allFYsTable[Actual], allFYsTable[Code], SummaryTable[[#This Row],[Code]], allFYsTable[year2], BZ$3))</f>
        <v>#N/A</v>
      </c>
      <c r="CE154" s="61" t="e">
        <f>IF(COUNTIFS(allFYsTable[Code], SummaryTable[[#This Row],[Code]], allFYsTable[year2], BZ$3)=0, NotFound, SUMIFS(allFYsTable[DiffAmount], allFYsTable[Code], SummaryTable[[#This Row],[Code]], allFYsTable[year2], BZ$3))</f>
        <v>#N/A</v>
      </c>
      <c r="CF154" s="63" t="e">
        <f>IF(SummaryTable[[#This Row],[OriginalBudget18]]=0, IF(SummaryTable[[#This Row],[DiffAmount18]]=0, ZeroBudgetNoSpending, ZeroBudgetWithSpending), SummaryTable[[#This Row],[DiffAmount18]]/SummaryTable[[#This Row],[OriginalBudget18]])</f>
        <v>#N/A</v>
      </c>
      <c r="CG154" s="62" t="e">
        <f>IF(COUNTIFS(allFYsTable[Code], SummaryTable[[#This Row],[Code]], allFYsTable[year2], CG$3)=0, NotFound, SUMIFS(allFYsTable[OriginalBudget], allFYsTable[Code], SummaryTable[[#This Row],[Code]], allFYsTable[year2], CG$3))</f>
        <v>#N/A</v>
      </c>
      <c r="CH154" s="61" t="e">
        <f>SummaryTable[[#This Row],[OriginalBudget17]]-SummaryTable[[#This Row],[OriginalBudget16]]</f>
        <v>#N/A</v>
      </c>
      <c r="CI154" s="54" t="e">
        <f>SummaryTable[[#This Row],[BudgetIncreaseAmount17]]/SummaryTable[[#This Row],[OriginalBudget16]]</f>
        <v>#N/A</v>
      </c>
      <c r="CJ154" s="61" t="e">
        <f>IF(COUNTIFS(allFYsTable[Code], SummaryTable[[#This Row],[Code]], allFYsTable[year2], CG$3)=0, NotFound, SUMIFS(allFYsTable[RevisedBudget], allFYsTable[Code], SummaryTable[[#This Row],[Code]], allFYsTable[year2], CG$3))</f>
        <v>#N/A</v>
      </c>
      <c r="CK154" s="61" t="e">
        <f>IF(COUNTIFS(allFYsTable[Code], SummaryTable[[#This Row],[Code]], allFYsTable[year2], CG$3)=0, NotFound, SUMIFS(allFYsTable[Actual], allFYsTable[Code], SummaryTable[[#This Row],[Code]], allFYsTable[year2], CG$3))</f>
        <v>#N/A</v>
      </c>
      <c r="CL154" s="61" t="e">
        <f>IF(COUNTIFS(allFYsTable[Code], SummaryTable[[#This Row],[Code]], allFYsTable[year2], CG$3)=0, NotFound, SUMIFS(allFYsTable[DiffAmount], allFYsTable[Code], SummaryTable[[#This Row],[Code]], allFYsTable[year2], CG$3))</f>
        <v>#N/A</v>
      </c>
      <c r="CM154" s="63" t="e">
        <f>IF(SummaryTable[[#This Row],[OriginalBudget17]]=0, IF(SummaryTable[[#This Row],[DiffAmount17]]=0, ZeroBudgetNoSpending, ZeroBudgetWithSpending), SummaryTable[[#This Row],[DiffAmount17]]/SummaryTable[[#This Row],[OriginalBudget17]])</f>
        <v>#N/A</v>
      </c>
      <c r="CN154" s="62" t="e">
        <f>IF(COUNTIFS(allFYsTable[Code], SummaryTable[[#This Row],[Code]], allFYsTable[year2], CN$3)=0, NotFound, SUMIFS(allFYsTable[OriginalBudget], allFYsTable[Code], SummaryTable[[#This Row],[Code]], allFYsTable[year2], CN$3))</f>
        <v>#N/A</v>
      </c>
      <c r="CO154" s="61" t="e">
        <f>SummaryTable[[#This Row],[OriginalBudget16]]-SummaryTable[[#This Row],[OriginalBudget15]]</f>
        <v>#N/A</v>
      </c>
      <c r="CP154" s="54" t="e">
        <f>SummaryTable[[#This Row],[BudgetIncreaseAmount16]]/SummaryTable[[#This Row],[OriginalBudget15]]</f>
        <v>#N/A</v>
      </c>
      <c r="CQ154" s="61" t="e">
        <f>IF(COUNTIFS(allFYsTable[Code], SummaryTable[[#This Row],[Code]], allFYsTable[year2], CN$3)=0, NotFound, SUMIFS(allFYsTable[RevisedBudget], allFYsTable[Code], SummaryTable[[#This Row],[Code]], allFYsTable[year2], CN$3))</f>
        <v>#N/A</v>
      </c>
      <c r="CR154" s="61" t="e">
        <f>IF(COUNTIFS(allFYsTable[Code], SummaryTable[[#This Row],[Code]], allFYsTable[year2], CN$3)=0, NotFound, SUMIFS(allFYsTable[Actual], allFYsTable[Code], SummaryTable[[#This Row],[Code]], allFYsTable[year2], CN$3))</f>
        <v>#N/A</v>
      </c>
      <c r="CS154" s="61" t="e">
        <f>IF(COUNTIFS(allFYsTable[Code], SummaryTable[[#This Row],[Code]], allFYsTable[year2], CN$3)=0, NotFound, SUMIFS(allFYsTable[DiffAmount], allFYsTable[Code], SummaryTable[[#This Row],[Code]], allFYsTable[year2], CN$3))</f>
        <v>#N/A</v>
      </c>
      <c r="CT154" s="63" t="e">
        <f>IF(SummaryTable[[#This Row],[OriginalBudget16]]=0, IF(SummaryTable[[#This Row],[DiffAmount16]]=0, ZeroBudgetNoSpending, ZeroBudgetWithSpending), SummaryTable[[#This Row],[DiffAmount16]]/SummaryTable[[#This Row],[OriginalBudget16]])</f>
        <v>#N/A</v>
      </c>
      <c r="CU154" s="62">
        <f>IF(COUNTIFS(allFYsTable[Code], SummaryTable[[#This Row],[Code]], allFYsTable[year2], CU$3)=0, NotFound, SUMIFS(allFYsTable[OriginalBudget], allFYsTable[Code], SummaryTable[[#This Row],[Code]], allFYsTable[year2], CU$3))</f>
        <v>22670</v>
      </c>
      <c r="CV154" s="61">
        <f>SummaryTable[[#This Row],[OriginalBudget15]]-SummaryTable[[#This Row],[OriginalBudget14]]</f>
        <v>-1949</v>
      </c>
      <c r="CW154" s="54">
        <f>SummaryTable[[#This Row],[BudgetIncreaseAmount15]]/SummaryTable[[#This Row],[OriginalBudget14]]</f>
        <v>-7.9166497420691331E-2</v>
      </c>
      <c r="CX154" s="61">
        <f>IF(COUNTIFS(allFYsTable[Code], SummaryTable[[#This Row],[Code]], allFYsTable[year2], CU$3)=0, NotFound, SUMIFS(allFYsTable[RevisedBudget], allFYsTable[Code], SummaryTable[[#This Row],[Code]], allFYsTable[year2], CU$3))</f>
        <v>0</v>
      </c>
      <c r="CY154" s="61">
        <f>IF(COUNTIFS(allFYsTable[Code], SummaryTable[[#This Row],[Code]], allFYsTable[year2], CU$3)=0, NotFound, SUMIFS(allFYsTable[Actual], allFYsTable[Code], SummaryTable[[#This Row],[Code]], allFYsTable[year2], CU$3))</f>
        <v>0</v>
      </c>
      <c r="CZ154" s="61">
        <f>IF(COUNTIFS(allFYsTable[Code], SummaryTable[[#This Row],[Code]], allFYsTable[year2], CU$3)=0, NotFound, SUMIFS(allFYsTable[DiffAmount], allFYsTable[Code], SummaryTable[[#This Row],[Code]], allFYsTable[year2], CU$3))</f>
        <v>-22670</v>
      </c>
      <c r="DA154" s="63">
        <f>IF(SummaryTable[[#This Row],[OriginalBudget15]]=0, IF(SummaryTable[[#This Row],[DiffAmount15]]=0, ZeroBudgetNoSpending, ZeroBudgetWithSpending), SummaryTable[[#This Row],[DiffAmount15]]/SummaryTable[[#This Row],[OriginalBudget15]])</f>
        <v>-1</v>
      </c>
      <c r="DB154" s="62">
        <f>IF(COUNTIFS(allFYsTable[Code], SummaryTable[[#This Row],[Code]], allFYsTable[year2], DB$3)=0, NotFound, SUMIFS(allFYsTable[OriginalBudget], allFYsTable[Code], SummaryTable[[#This Row],[Code]], allFYsTable[year2], DB$3))</f>
        <v>24619</v>
      </c>
      <c r="DC154" s="61">
        <f>SummaryTable[[#This Row],[OriginalBudget14]]-SummaryTable[[#This Row],[OriginalBudget13]]</f>
        <v>-7923</v>
      </c>
      <c r="DD154" s="54">
        <f>SummaryTable[[#This Row],[BudgetIncreaseAmount14]]/SummaryTable[[#This Row],[OriginalBudget13]]</f>
        <v>-0.2434699772601561</v>
      </c>
      <c r="DE154" s="61">
        <f>IF(COUNTIFS(allFYsTable[Code], SummaryTable[[#This Row],[Code]], allFYsTable[year2], DB$3)=0, NotFound, SUMIFS(allFYsTable[RevisedBudget], allFYsTable[Code], SummaryTable[[#This Row],[Code]], allFYsTable[year2], DB$3))</f>
        <v>24619</v>
      </c>
      <c r="DF154" s="61">
        <f>IF(COUNTIFS(allFYsTable[Code], SummaryTable[[#This Row],[Code]], allFYsTable[year2], DB$3)=0, NotFound, SUMIFS(allFYsTable[Actual], allFYsTable[Code], SummaryTable[[#This Row],[Code]], allFYsTable[year2], DB$3))</f>
        <v>22623</v>
      </c>
      <c r="DG154" s="61">
        <f>IF(COUNTIFS(allFYsTable[Code], SummaryTable[[#This Row],[Code]], allFYsTable[year2], DB$3)=0, NotFound, SUMIFS(allFYsTable[DiffAmount], allFYsTable[Code], SummaryTable[[#This Row],[Code]], allFYsTable[year2], DB$3))</f>
        <v>-1996</v>
      </c>
      <c r="DH154" s="63">
        <f>IF(SummaryTable[[#This Row],[OriginalBudget14]]=0, IF(SummaryTable[[#This Row],[DiffAmount14]]=0, ZeroBudgetNoSpending, ZeroBudgetWithSpending), SummaryTable[[#This Row],[DiffAmount14]]/SummaryTable[[#This Row],[OriginalBudget14]])</f>
        <v>-8.1075592022421705E-2</v>
      </c>
      <c r="DI154" s="62">
        <f>IF(COUNTIFS(allFYsTable[Code], SummaryTable[[#This Row],[Code]], allFYsTable[year2], DI$3)=0, NotFound, SUMIFS(allFYsTable[OriginalBudget], allFYsTable[Code], SummaryTable[[#This Row],[Code]], allFYsTable[year2], DI$3))</f>
        <v>32542</v>
      </c>
      <c r="DJ154" s="61">
        <f>SummaryTable[[#This Row],[OriginalBudget13]]-SummaryTable[[#This Row],[OriginalBudget12]]</f>
        <v>8</v>
      </c>
      <c r="DK154" s="54">
        <f>SummaryTable[[#This Row],[BudgetIncreaseAmount13]]/SummaryTable[[#This Row],[OriginalBudget12]]</f>
        <v>2.4589660047949838E-4</v>
      </c>
      <c r="DL154" s="61">
        <f>IF(COUNTIFS(allFYsTable[Code], SummaryTable[[#This Row],[Code]], allFYsTable[year2], DI$3)=0, NotFound, SUMIFS(allFYsTable[RevisedBudget], allFYsTable[Code], SummaryTable[[#This Row],[Code]], allFYsTable[year2], DI$3))</f>
        <v>32542</v>
      </c>
      <c r="DM154" s="61">
        <f>IF(COUNTIFS(allFYsTable[Code], SummaryTable[[#This Row],[Code]], allFYsTable[year2], DI$3)=0, NotFound, SUMIFS(allFYsTable[Actual], allFYsTable[Code], SummaryTable[[#This Row],[Code]], allFYsTable[year2], DI$3))</f>
        <v>31825</v>
      </c>
      <c r="DN154" s="61">
        <f>IF(COUNTIFS(allFYsTable[Code], SummaryTable[[#This Row],[Code]], allFYsTable[year2], DI$3)=0, NotFound, SUMIFS(allFYsTable[DiffAmount], allFYsTable[Code], SummaryTable[[#This Row],[Code]], allFYsTable[year2], DI$3))</f>
        <v>-717</v>
      </c>
      <c r="DO154" s="63">
        <f>IF(SummaryTable[[#This Row],[OriginalBudget13]]=0, IF(SummaryTable[[#This Row],[DiffAmount13]]=0, ZeroBudgetNoSpending, ZeroBudgetWithSpending), SummaryTable[[#This Row],[DiffAmount13]]/SummaryTable[[#This Row],[OriginalBudget13]])</f>
        <v>-2.2033064962202691E-2</v>
      </c>
      <c r="DP154" s="62">
        <f>IF(COUNTIFS(allFYsTable[Code], SummaryTable[[#This Row],[Code]], allFYsTable[year2], DP$3)=0, NotFound, SUMIFS(allFYsTable[OriginalBudget], allFYsTable[Code], SummaryTable[[#This Row],[Code]], allFYsTable[year2], DP$3))</f>
        <v>32534</v>
      </c>
      <c r="DQ154" s="61">
        <f>SummaryTable[[#This Row],[OriginalBudget12]]-SummaryTable[[#This Row],[OriginalBudget11]]</f>
        <v>-511</v>
      </c>
      <c r="DR154" s="54">
        <f>SummaryTable[[#This Row],[BudgetIncreaseAmount12]]/SummaryTable[[#This Row],[OriginalBudget11]]</f>
        <v>-1.5463761537297624E-2</v>
      </c>
      <c r="DS154" s="61">
        <f>IF(COUNTIFS(allFYsTable[Code], SummaryTable[[#This Row],[Code]], allFYsTable[year2], DP$3)=0, NotFound, SUMIFS(allFYsTable[RevisedBudget], allFYsTable[Code], SummaryTable[[#This Row],[Code]], allFYsTable[year2], DP$3))</f>
        <v>32278</v>
      </c>
      <c r="DT154" s="61">
        <f>IF(COUNTIFS(allFYsTable[Code], SummaryTable[[#This Row],[Code]], allFYsTable[year2], DP$3)=0, NotFound, SUMIFS(allFYsTable[Actual], allFYsTable[Code], SummaryTable[[#This Row],[Code]], allFYsTable[year2], DP$3))</f>
        <v>32233</v>
      </c>
      <c r="DU154" s="61">
        <f>IF(COUNTIFS(allFYsTable[Code], SummaryTable[[#This Row],[Code]], allFYsTable[year2], DP$3)=0, NotFound, SUMIFS(allFYsTable[DiffAmount], allFYsTable[Code], SummaryTable[[#This Row],[Code]], allFYsTable[year2], DP$3))</f>
        <v>-301</v>
      </c>
      <c r="DV154" s="63">
        <f>IF(SummaryTable[[#This Row],[OriginalBudget12]]=0, IF(SummaryTable[[#This Row],[DiffAmount12]]=0, ZeroBudgetNoSpending, ZeroBudgetWithSpending), SummaryTable[[#This Row],[DiffAmount12]]/SummaryTable[[#This Row],[OriginalBudget12]])</f>
        <v>-9.2518595930411261E-3</v>
      </c>
      <c r="DW154" s="62">
        <f>IF(COUNTIFS(allFYsTable[Code], SummaryTable[[#This Row],[Code]], allFYsTable[year2], DW$3)=0, NotFound, SUMIFS(allFYsTable[OriginalBudget], allFYsTable[Code], SummaryTable[[#This Row],[Code]], allFYsTable[year2], DW$3))</f>
        <v>33045</v>
      </c>
      <c r="DX154" s="61">
        <f>SummaryTable[[#This Row],[OriginalBudget11]]-SummaryTable[[#This Row],[OriginalBudget10]]</f>
        <v>760</v>
      </c>
      <c r="DY154" s="54">
        <f>SummaryTable[[#This Row],[BudgetIncreaseAmount11]]/SummaryTable[[#This Row],[OriginalBudget10]]</f>
        <v>2.3540343812916215E-2</v>
      </c>
      <c r="DZ154" s="61">
        <f>IF(COUNTIFS(allFYsTable[Code], SummaryTable[[#This Row],[Code]], allFYsTable[year2], DW$3)=0, NotFound, SUMIFS(allFYsTable[RevisedBudget], allFYsTable[Code], SummaryTable[[#This Row],[Code]], allFYsTable[year2], DW$3))</f>
        <v>33045</v>
      </c>
      <c r="EA154" s="61">
        <f>IF(COUNTIFS(allFYsTable[Code], SummaryTable[[#This Row],[Code]], allFYsTable[year2], DW$3)=0, NotFound, SUMIFS(allFYsTable[Actual], allFYsTable[Code], SummaryTable[[#This Row],[Code]], allFYsTable[year2], DW$3))</f>
        <v>32244</v>
      </c>
      <c r="EB154" s="61">
        <f>IF(COUNTIFS(allFYsTable[Code], SummaryTable[[#This Row],[Code]], allFYsTable[year2], DW$3)=0, NotFound, SUMIFS(allFYsTable[DiffAmount], allFYsTable[Code], SummaryTable[[#This Row],[Code]], allFYsTable[year2], DW$3))</f>
        <v>-801</v>
      </c>
      <c r="EC154" s="63">
        <f>IF(SummaryTable[[#This Row],[OriginalBudget11]]=0, IF(SummaryTable[[#This Row],[DiffAmount11]]=0, ZeroBudgetNoSpending, ZeroBudgetWithSpending), SummaryTable[[#This Row],[DiffAmount11]]/SummaryTable[[#This Row],[OriginalBudget11]])</f>
        <v>-2.4239673172945984E-2</v>
      </c>
      <c r="ED154" s="62">
        <f>IF(COUNTIFS(allFYsTable[Code], SummaryTable[[#This Row],[Code]], allFYsTable[year2], ED$3)=0, NotFound, SUMIFS(allFYsTable[OriginalBudget], allFYsTable[Code], SummaryTable[[#This Row],[Code]], allFYsTable[year2], ED$3))</f>
        <v>32285</v>
      </c>
      <c r="EE154" s="61">
        <f>SummaryTable[[#This Row],[OriginalBudget10]]-SummaryTable[[#This Row],[OriginalBudget09]]</f>
        <v>-506</v>
      </c>
      <c r="EF154" s="54">
        <f>SummaryTable[[#This Row],[BudgetIncreaseAmount10]]/SummaryTable[[#This Row],[OriginalBudget09]]</f>
        <v>-1.5431063401543106E-2</v>
      </c>
      <c r="EG154" s="61">
        <f>IF(COUNTIFS(allFYsTable[Code], SummaryTable[[#This Row],[Code]], allFYsTable[year2], ED$3)=0, NotFound, SUMIFS(allFYsTable[RevisedBudget], allFYsTable[Code], SummaryTable[[#This Row],[Code]], allFYsTable[year2], ED$3))</f>
        <v>32285</v>
      </c>
      <c r="EH154" s="61">
        <f>IF(COUNTIFS(allFYsTable[Code], SummaryTable[[#This Row],[Code]], allFYsTable[year2], ED$3)=0, NotFound, SUMIFS(allFYsTable[Actual], allFYsTable[Code], SummaryTable[[#This Row],[Code]], allFYsTable[year2], ED$3))</f>
        <v>32257</v>
      </c>
      <c r="EI154" s="61">
        <f>IF(COUNTIFS(allFYsTable[Code], SummaryTable[[#This Row],[Code]], allFYsTable[year2], ED$3)=0, NotFound, SUMIFS(allFYsTable[DiffAmount], allFYsTable[Code], SummaryTable[[#This Row],[Code]], allFYsTable[year2], ED$3))</f>
        <v>-28</v>
      </c>
      <c r="EJ154" s="63">
        <f>IF(SummaryTable[[#This Row],[OriginalBudget10]]=0, IF(SummaryTable[[#This Row],[DiffAmount10]]=0, ZeroBudgetNoSpending, ZeroBudgetWithSpending), SummaryTable[[#This Row],[DiffAmount10]]/SummaryTable[[#This Row],[OriginalBudget10]])</f>
        <v>-8.6727582468638681E-4</v>
      </c>
      <c r="EK154" s="62">
        <f>IF(COUNTIFS(allFYsTable[Code], SummaryTable[[#This Row],[Code]], allFYsTable[year2], EK$3)=0, NotFound, SUMIFS(allFYsTable[OriginalBudget], allFYsTable[Code], SummaryTable[[#This Row],[Code]], allFYsTable[year2], EK$3))</f>
        <v>32791</v>
      </c>
      <c r="EL154" s="61">
        <f>SummaryTable[[#This Row],[OriginalBudget09]]-SummaryTable[[#This Row],[OriginalBudget08]]</f>
        <v>503</v>
      </c>
      <c r="EM154" s="54">
        <f>SummaryTable[[#This Row],[BudgetIncreaseAmount09]]/SummaryTable[[#This Row],[OriginalBudget08]]</f>
        <v>1.5578543111992072E-2</v>
      </c>
      <c r="EN154" s="61">
        <f>IF(COUNTIFS(allFYsTable[Code], SummaryTable[[#This Row],[Code]], allFYsTable[year2], EK$3)=0, NotFound, SUMIFS(allFYsTable[RevisedBudget], allFYsTable[Code], SummaryTable[[#This Row],[Code]], allFYsTable[year2], EK$3))</f>
        <v>32541</v>
      </c>
      <c r="EO154" s="61">
        <f>IF(COUNTIFS(allFYsTable[Code], SummaryTable[[#This Row],[Code]], allFYsTable[year2], EK$3)=0, NotFound, SUMIFS(allFYsTable[Actual], allFYsTable[Code], SummaryTable[[#This Row],[Code]], allFYsTable[year2], EK$3))</f>
        <v>32270</v>
      </c>
      <c r="EP154" s="61">
        <f>IF(COUNTIFS(allFYsTable[Code], SummaryTable[[#This Row],[Code]], allFYsTable[year2], EK$3)=0, NotFound, SUMIFS(allFYsTable[DiffAmount], allFYsTable[Code], SummaryTable[[#This Row],[Code]], allFYsTable[year2], EK$3))</f>
        <v>-521</v>
      </c>
      <c r="EQ154" s="63">
        <f>IF(SummaryTable[[#This Row],[OriginalBudget09]]=0, IF(SummaryTable[[#This Row],[DiffAmount09]]=0, ZeroBudgetNoSpending, ZeroBudgetWithSpending), SummaryTable[[#This Row],[DiffAmount09]]/SummaryTable[[#This Row],[OriginalBudget09]])</f>
        <v>-1.5888505992497942E-2</v>
      </c>
      <c r="ER154" s="62">
        <f>IF(COUNTIFS(allFYsTable[Code], SummaryTable[[#This Row],[Code]], allFYsTable[year2], ER$3)=0, NotFound, SUMIFS(allFYsTable[OriginalBudget], allFYsTable[Code], SummaryTable[[#This Row],[Code]], allFYsTable[year2], ER$3))</f>
        <v>32288</v>
      </c>
      <c r="ES154" s="61">
        <f>SummaryTable[[#This Row],[OriginalBudget08]]-SummaryTable[[#This Row],[OriginalBudget07]]</f>
        <v>1063</v>
      </c>
      <c r="ET154" s="54">
        <f>SummaryTable[[#This Row],[BudgetIncreaseAmount08]]/SummaryTable[[#This Row],[OriginalBudget07]]</f>
        <v>3.4043234587670133E-2</v>
      </c>
      <c r="EU154" s="61">
        <f>IF(COUNTIFS(allFYsTable[Code], SummaryTable[[#This Row],[Code]], allFYsTable[year2], ER$3)=0, NotFound, SUMIFS(allFYsTable[RevisedBudget], allFYsTable[Code], SummaryTable[[#This Row],[Code]], allFYsTable[year2], ER$3))</f>
        <v>32288</v>
      </c>
      <c r="EV154" s="61">
        <f>IF(COUNTIFS(allFYsTable[Code], SummaryTable[[#This Row],[Code]], allFYsTable[year2], ER$3)=0, NotFound, SUMIFS(allFYsTable[Actual], allFYsTable[Code], SummaryTable[[#This Row],[Code]], allFYsTable[year2], ER$3))</f>
        <v>30664</v>
      </c>
      <c r="EW154" s="61">
        <f>IF(COUNTIFS(allFYsTable[Code], SummaryTable[[#This Row],[Code]], allFYsTable[year2], ER$3)=0, NotFound, SUMIFS(allFYsTable[DiffAmount], allFYsTable[Code], SummaryTable[[#This Row],[Code]], allFYsTable[year2], ER$3))</f>
        <v>-1624</v>
      </c>
      <c r="EX154" s="63">
        <f>IF(SummaryTable[[#This Row],[OriginalBudget08]]=0, IF(SummaryTable[[#This Row],[DiffAmount08]]=0, ZeroBudgetNoSpending, ZeroBudgetWithSpending), SummaryTable[[#This Row],[DiffAmount08]]/SummaryTable[[#This Row],[OriginalBudget08]])</f>
        <v>-5.0297324083250744E-2</v>
      </c>
      <c r="EY154" s="62">
        <f>IF(COUNTIFS(allFYsTable[Code], SummaryTable[[#This Row],[Code]], allFYsTable[year2], EY$3)=0, NotFound, SUMIFS(allFYsTable[OriginalBudget], allFYsTable[Code], SummaryTable[[#This Row],[Code]], allFYsTable[year2], EY$3))</f>
        <v>31225</v>
      </c>
      <c r="EZ154" s="61">
        <f>SummaryTable[[#This Row],[OriginalBudget07]]-SummaryTable[[#This Row],[OriginalBudget06]]</f>
        <v>20225</v>
      </c>
      <c r="FA154" s="54">
        <f>SummaryTable[[#This Row],[BudgetIncreaseAmount07]]/SummaryTable[[#This Row],[OriginalBudget06]]</f>
        <v>1.8386363636363636</v>
      </c>
      <c r="FB154" s="61">
        <f>IF(COUNTIFS(allFYsTable[Code], SummaryTable[[#This Row],[Code]], allFYsTable[year2], EY$3)=0, NotFound, SUMIFS(allFYsTable[RevisedBudget], allFYsTable[Code], SummaryTable[[#This Row],[Code]], allFYsTable[year2], EY$3))</f>
        <v>30575</v>
      </c>
      <c r="FC154" s="61">
        <f>IF(COUNTIFS(allFYsTable[Code], SummaryTable[[#This Row],[Code]], allFYsTable[year2], EY$3)=0, NotFound, SUMIFS(allFYsTable[Actual], allFYsTable[Code], SummaryTable[[#This Row],[Code]], allFYsTable[year2], EY$3))</f>
        <v>30448</v>
      </c>
      <c r="FD154" s="61">
        <f>IF(COUNTIFS(allFYsTable[Code], SummaryTable[[#This Row],[Code]], allFYsTable[year2], EY$3)=0, NotFound, SUMIFS(allFYsTable[DiffAmount], allFYsTable[Code], SummaryTable[[#This Row],[Code]], allFYsTable[year2], EY$3))</f>
        <v>-777</v>
      </c>
      <c r="FE154" s="63">
        <f>IF(SummaryTable[[#This Row],[OriginalBudget07]]=0, IF(SummaryTable[[#This Row],[DiffAmount07]]=0, ZeroBudgetNoSpending, ZeroBudgetWithSpending), SummaryTable[[#This Row],[DiffAmount07]]/SummaryTable[[#This Row],[OriginalBudget07]])</f>
        <v>-2.4883907125700561E-2</v>
      </c>
      <c r="FF154" s="62">
        <f>IF(COUNTIFS(allFYsTable[Code], SummaryTable[[#This Row],[Code]], allFYsTable[year2], FF$3)=0, NotFound, SUMIFS(allFYsTable[OriginalBudget], allFYsTable[Code], SummaryTable[[#This Row],[Code]], allFYsTable[year2], FF$3))</f>
        <v>11000</v>
      </c>
      <c r="FI154" s="61">
        <f>IF(COUNTIFS(allFYsTable[Code], SummaryTable[[#This Row],[Code]], allFYsTable[year2], FF$3)=0, NotFound, SUMIFS(allFYsTable[RevisedBudget], allFYsTable[Code], SummaryTable[[#This Row],[Code]], allFYsTable[year2], FF$3))</f>
        <v>11000</v>
      </c>
      <c r="FJ154" s="61">
        <f>IF(COUNTIFS(allFYsTable[Code], SummaryTable[[#This Row],[Code]], allFYsTable[year2], FF$3)=0, NotFound, SUMIFS(allFYsTable[Actual], allFYsTable[Code], SummaryTable[[#This Row],[Code]], allFYsTable[year2], FF$3))</f>
        <v>10941</v>
      </c>
      <c r="FK154" s="61">
        <f>IF(COUNTIFS(allFYsTable[Code], SummaryTable[[#This Row],[Code]], allFYsTable[year2], FF$3)=0, NotFound, SUMIFS(allFYsTable[DiffAmount], allFYsTable[Code], SummaryTable[[#This Row],[Code]], allFYsTable[year2], FF$3))</f>
        <v>-59</v>
      </c>
      <c r="FL154" s="63">
        <f>IF(SummaryTable[[#This Row],[OriginalBudget06]]=0, IF(SummaryTable[[#This Row],[DiffAmount06]]=0, ZeroBudgetNoSpending, ZeroBudgetWithSpending), SummaryTable[[#This Row],[DiffAmount06]]/SummaryTable[[#This Row],[OriginalBudget06]])</f>
        <v>-5.3636363636363638E-3</v>
      </c>
    </row>
    <row r="155" spans="1:168" x14ac:dyDescent="0.45">
      <c r="A155" t="s">
        <v>844</v>
      </c>
      <c r="B155">
        <f>_xlfn.MAXIFS(allFYsTable[year2], allFYsTable[Code], SummaryTable[[#This Row],[Code]])</f>
        <v>2015</v>
      </c>
      <c r="C155" t="str">
        <f>_xlfn.XLOOKUP(SummaryTable[[#This Row],[Code]], NameCodingTable[Code], NameCodingTable[Most Recent Category per allFYs])</f>
        <v>Other</v>
      </c>
      <c r="D155" t="str">
        <f>_xlfn.XLOOKUP(SummaryTable[[#This Row],[Code]], NameCodingTable[Code], NameCodingTable[Unit Display Name])</f>
        <v>TIF and PILOT transfer</v>
      </c>
      <c r="E155" t="str">
        <f>_xlfn.XLOOKUP(SummaryTable[[#This Row],[Code]], NameCodingTable[Code], NameCodingTable[Type])</f>
        <v>untyped</v>
      </c>
      <c r="F15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5</v>
      </c>
      <c r="G15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55" s="54">
        <f>SummaryTable[[#This Row],['# Over]]/SummaryTable[[#This Row],[Count]]</f>
        <v>0.2</v>
      </c>
      <c r="I15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3</v>
      </c>
      <c r="J155" s="54">
        <f>SummaryTable[[#This Row],['# Under]]/SummaryTable[[#This Row],[Count]]</f>
        <v>0.6</v>
      </c>
      <c r="K15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55" s="54">
        <f>SummaryTable[[#This Row],['# Equal]]/SummaryTable[[#This Row],[Count]]</f>
        <v>0.2</v>
      </c>
      <c r="M155" s="61">
        <f>SUMIFS(allFYsTable[OriginalBudget],allFYsTable[Code],SummaryTable[[#This Row],[Code]])/SummaryTable[[#This Row],[Count]]</f>
        <v>34552.400000000001</v>
      </c>
      <c r="N155" s="61">
        <f>SUMIFS(allFYsTable[Actual],allFYsTable[Code],SummaryTable[[#This Row],[Code]])/SummaryTable[[#This Row],[Count]]</f>
        <v>31903</v>
      </c>
      <c r="O155" s="61">
        <f>SummaryTable[[#This Row],[AvgActAmt]]-SummaryTable[[#This Row],[AvgBudAmt]]</f>
        <v>-2649.4000000000015</v>
      </c>
      <c r="P155" s="54">
        <f>IF(SummaryTable[[#This Row],[AvgBudAmt]]=0, IF(SummaryTable[[#This Row],[AvgDiff'#]]=0, 0, NamedFields!$C$3), SummaryTable[[#This Row],[AvgDiff'#]]/SummaryTable[[#This Row],[AvgBudAmt]])</f>
        <v>-7.6677741632998037E-2</v>
      </c>
      <c r="Q155" s="61">
        <f>IFERROR(SUMIFS(allFYsTable[OriginalBudget],allFYsTable[Code],SummaryTable[[#This Row],[Code]],allFYsTable[DiffAmount], "&gt;0")/SummaryTable[[#This Row],['# Over]], 0)</f>
        <v>0</v>
      </c>
      <c r="R155" s="61">
        <f>IFERROR(SUMIFS(allFYsTable[Actual],allFYsTable[Code],SummaryTable[[#This Row],[Code]],allFYsTable[DiffAmount], "&gt;0")/SummaryTable[[#This Row],['# Over]], 0)</f>
        <v>12627</v>
      </c>
      <c r="S155" s="61">
        <f>SummaryTable[[#This Row],[OverAvgAct]]-SummaryTable[[#This Row],[OverAvgBud]]</f>
        <v>12627</v>
      </c>
      <c r="T155" s="54">
        <f>IF(SummaryTable[[#This Row],[OverAvgBud]]=0, IF(SummaryTable[[#This Row],[OverAvgDiff'#]]=0, ZeroBudgetNoSpending, ZeroBudgetWithSpending), SummaryTable[[#This Row],[OverAvgDiff'#]]/SummaryTable[[#This Row],[OverAvgBud]])</f>
        <v>99.99</v>
      </c>
      <c r="U155" s="61">
        <f>IFERROR(SUMIFS(allFYsTable[OriginalBudget],allFYsTable[Code],SummaryTable[[#This Row],[Code]],allFYsTable[DiffAmount], "&lt;0")/SummaryTable[[#This Row],['# Under]], 0)</f>
        <v>57587.333333333336</v>
      </c>
      <c r="V155" s="61">
        <f>IFERROR( SUMIFS(allFYsTable[Actual],allFYsTable[Code],SummaryTable[[#This Row],[Code]],allFYsTable[DiffAmount], "&lt;0")/SummaryTable[[#This Row],['# Under]], 0)</f>
        <v>48962.666666666664</v>
      </c>
      <c r="W155" s="61">
        <f>SummaryTable[[#This Row],[UnderAvgAct]]-SummaryTable[[#This Row],[UnderAvgBud]]</f>
        <v>-8624.6666666666715</v>
      </c>
      <c r="X155" s="54">
        <f>IF(SummaryTable[[#This Row],[UnderAvgBud]]=0, IF(SummaryTable[[#This Row],[UnderAvgDiff'#]]=0, ZeroBudgetNoSpending, NamedFields!$C$3), SummaryTable[[#This Row],[UnderAvgDiff'#]]/SummaryTable[[#This Row],[UnderAvgBud]])</f>
        <v>-0.14976673110985061</v>
      </c>
      <c r="Y15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5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5" s="54">
        <f>IF(SummaryTable[[#This Row],[IncreaseYears]]=0, ZeroBudgetNoSpending, SummaryTable[[#This Row],[OSinIncreaseYear'#]]/SummaryTable[[#This Row],[IncreaseYears]])</f>
        <v>0</v>
      </c>
      <c r="AB155" s="58" t="str">
        <f>SummaryTable[[#This Row],[Code]]</f>
        <v>TZ0</v>
      </c>
      <c r="AC155" s="62" t="e">
        <f>IF(COUNTIFS(allFYsTable[Code], SummaryTable[[#This Row],[Code]], allFYsTable[year2], AC$3)=0, NotFound, SUMIFS(allFYsTable[OriginalBudget], allFYsTable[Code], SummaryTable[[#This Row],[Code]], allFYsTable[year2], AC$3))</f>
        <v>#N/A</v>
      </c>
      <c r="AD155" s="61" t="e">
        <f>SummaryTable[[#This Row],[OriginalBudget25]]-SummaryTable[[#This Row],[OriginalBudget24]]</f>
        <v>#N/A</v>
      </c>
      <c r="AE155" s="54" t="e">
        <f>SummaryTable[[#This Row],[BudgetIncreaseAmount25]]/SummaryTable[[#This Row],[OriginalBudget24]]</f>
        <v>#N/A</v>
      </c>
      <c r="AF155" s="61" t="e">
        <f>IF(COUNTIFS(allFYsTable[Code], SummaryTable[[#This Row],[Code]], allFYsTable[year2], AC$3)=0, NotFound, SUMIFS(allFYsTable[RevisedBudget], allFYsTable[Code], SummaryTable[[#This Row],[Code]], allFYsTable[year2], AC$3))</f>
        <v>#N/A</v>
      </c>
      <c r="AG155" s="61" t="e">
        <f>IF(COUNTIFS(allFYsTable[Code], SummaryTable[[#This Row],[Code]], allFYsTable[year2], AC$3)=0, NotFound, SUMIFS(allFYsTable[Actual], allFYsTable[Code], SummaryTable[[#This Row],[Code]], allFYsTable[year2], AC$3))</f>
        <v>#N/A</v>
      </c>
      <c r="AH155" s="61" t="e">
        <f>IF(COUNTIFS(allFYsTable[Code], SummaryTable[[#This Row],[Code]], allFYsTable[year2], AC$3)=0, NotFound, SUMIFS(allFYsTable[DiffAmount], allFYsTable[Code], SummaryTable[[#This Row],[Code]], allFYsTable[year2], AC$3))</f>
        <v>#N/A</v>
      </c>
      <c r="AI155" s="63" t="e">
        <f>IF(SummaryTable[[#This Row],[OriginalBudget25]]=0, IF(SummaryTable[[#This Row],[DiffAmount25]]=0, ZeroBudgetNoSpending, ZeroBudgetWithSpending), SummaryTable[[#This Row],[DiffAmount25]]/SummaryTable[[#This Row],[OriginalBudget25]])</f>
        <v>#N/A</v>
      </c>
      <c r="AJ155" s="62" t="e">
        <f>IF(COUNTIFS(allFYsTable[Code], SummaryTable[[#This Row],[Code]], allFYsTable[year2], AJ$3)=0, NotFound, SUMIFS(allFYsTable[OriginalBudget], allFYsTable[Code], SummaryTable[[#This Row],[Code]], allFYsTable[year2], AJ$3))</f>
        <v>#N/A</v>
      </c>
      <c r="AK155" s="61" t="e">
        <f>SummaryTable[[#This Row],[OriginalBudget24]]-SummaryTable[[#This Row],[OriginalBudget23]]</f>
        <v>#N/A</v>
      </c>
      <c r="AL155" s="54" t="e">
        <f>SummaryTable[[#This Row],[BudgetIncreaseAmount24]]/SummaryTable[[#This Row],[OriginalBudget23]]</f>
        <v>#N/A</v>
      </c>
      <c r="AM155" s="61" t="e">
        <f>IF(COUNTIFS(allFYsTable[Code], SummaryTable[[#This Row],[Code]], allFYsTable[year2], AK$3)=0, NotFound, SUMIFS(allFYsTable[RevisedBudget], allFYsTable[Code], SummaryTable[[#This Row],[Code]], allFYsTable[year2], AJ$3))</f>
        <v>#N/A</v>
      </c>
      <c r="AN155" s="61" t="e">
        <f>IF(COUNTIFS(allFYsTable[Code], SummaryTable[[#This Row],[Code]], allFYsTable[year2], AJ$3)=0, NotFound, SUMIFS(allFYsTable[Actual], allFYsTable[Code], SummaryTable[[#This Row],[Code]], allFYsTable[year2], AJ$3))</f>
        <v>#N/A</v>
      </c>
      <c r="AO155" s="61" t="e">
        <f>IF(COUNTIFS(allFYsTable[Code], SummaryTable[[#This Row],[Code]], allFYsTable[year2], AJ$3)=0, NotFound, SUMIFS(allFYsTable[DiffAmount], allFYsTable[Code], SummaryTable[[#This Row],[Code]], allFYsTable[year2], AJ$3))</f>
        <v>#N/A</v>
      </c>
      <c r="AP155" s="63" t="e">
        <f>IF(SummaryTable[[#This Row],[OriginalBudget24]]=0, IF(SummaryTable[[#This Row],[DiffAmount24]]=0, ZeroBudgetNoSpending, ZeroBudgetWithSpending), SummaryTable[[#This Row],[DiffAmount24]]/SummaryTable[[#This Row],[OriginalBudget24]])</f>
        <v>#N/A</v>
      </c>
      <c r="AQ155" s="62" t="e">
        <f>IF(COUNTIFS(allFYsTable[Code], SummaryTable[[#This Row],[Code]], allFYsTable[year2], AQ$3)=0, NotFound, SUMIFS(allFYsTable[OriginalBudget], allFYsTable[Code], SummaryTable[[#This Row],[Code]], allFYsTable[year2], AQ$3))</f>
        <v>#N/A</v>
      </c>
      <c r="AR155" s="61" t="e">
        <f>SummaryTable[[#This Row],[OriginalBudget23]]-SummaryTable[[#This Row],[OriginalBudget22]]</f>
        <v>#N/A</v>
      </c>
      <c r="AS155" s="54" t="e">
        <f>SummaryTable[[#This Row],[BudgetIncreaseAmount23]]/SummaryTable[[#This Row],[OriginalBudget22]]</f>
        <v>#N/A</v>
      </c>
      <c r="AT155" s="61" t="e">
        <f>IF(COUNTIFS(allFYsTable[Code], SummaryTable[[#This Row],[Code]], allFYsTable[year2], AQ$3)=0, NotFound, SUMIFS(allFYsTable[RevisedBudget], allFYsTable[Code], SummaryTable[[#This Row],[Code]], allFYsTable[year2], AQ$3))</f>
        <v>#N/A</v>
      </c>
      <c r="AU155" s="61" t="e">
        <f>IF(COUNTIFS(allFYsTable[Code], SummaryTable[[#This Row],[Code]], allFYsTable[year2], AQ$3)=0, NotFound, SUMIFS(allFYsTable[Actual], allFYsTable[Code], SummaryTable[[#This Row],[Code]], allFYsTable[year2], AQ$3))</f>
        <v>#N/A</v>
      </c>
      <c r="AV155" s="61" t="e">
        <f>IF(COUNTIFS(allFYsTable[Code], SummaryTable[[#This Row],[Code]], allFYsTable[year2], AQ$3)=0, NotFound, SUMIFS(allFYsTable[DiffAmount], allFYsTable[Code], SummaryTable[[#This Row],[Code]], allFYsTable[year2], AQ$3))</f>
        <v>#N/A</v>
      </c>
      <c r="AW155" s="63" t="e">
        <f>IF(SummaryTable[[#This Row],[OriginalBudget23]]=0, IF(SummaryTable[[#This Row],[DiffAmount23]]=0, ZeroBudgetNoSpending, ZeroBudgetWithSpending), SummaryTable[[#This Row],[DiffAmount23]]/SummaryTable[[#This Row],[OriginalBudget23]])</f>
        <v>#N/A</v>
      </c>
      <c r="AX155" s="62" t="e">
        <f>IF(COUNTIFS(allFYsTable[Code], SummaryTable[[#This Row],[Code]], allFYsTable[year2], AX$3)=0, NotFound, SUMIFS(allFYsTable[OriginalBudget], allFYsTable[Code], SummaryTable[[#This Row],[Code]], allFYsTable[year2], AX$3))</f>
        <v>#N/A</v>
      </c>
      <c r="AY155" s="61" t="e">
        <f>SummaryTable[[#This Row],[OriginalBudget22]]-SummaryTable[[#This Row],[OriginalBudget21]]</f>
        <v>#N/A</v>
      </c>
      <c r="AZ155" s="54" t="e">
        <f>SummaryTable[[#This Row],[BudgetIncreaseAmount22]]/SummaryTable[[#This Row],[OriginalBudget21]]</f>
        <v>#N/A</v>
      </c>
      <c r="BA155" s="61" t="e">
        <f>IF(COUNTIFS(allFYsTable[Code], SummaryTable[[#This Row],[Code]], allFYsTable[year2], AX$3)=0, NotFound, SUMIFS(allFYsTable[RevisedBudget], allFYsTable[Code], SummaryTable[[#This Row],[Code]], allFYsTable[year2], AX$3))</f>
        <v>#N/A</v>
      </c>
      <c r="BB155" s="61" t="e">
        <f>IF(COUNTIFS(allFYsTable[Code], SummaryTable[[#This Row],[Code]], allFYsTable[year2], AX$3)=0, NotFound, SUMIFS(allFYsTable[Actual], allFYsTable[Code], SummaryTable[[#This Row],[Code]], allFYsTable[year2], AX$3))</f>
        <v>#N/A</v>
      </c>
      <c r="BC155" s="61" t="e">
        <f>IF(COUNTIFS(allFYsTable[Code], SummaryTable[[#This Row],[Code]], allFYsTable[year2], AX$3)=0, NotFound, SUMIFS(allFYsTable[DiffAmount], allFYsTable[Code], SummaryTable[[#This Row],[Code]], allFYsTable[year2], AX$3))</f>
        <v>#N/A</v>
      </c>
      <c r="BD155" s="63" t="e">
        <f>IF(SummaryTable[[#This Row],[OriginalBudget22]]=0, IF(SummaryTable[[#This Row],[DiffAmount22]]=0, ZeroBudgetNoSpending, ZeroBudgetWithSpending), SummaryTable[[#This Row],[DiffAmount22]]/SummaryTable[[#This Row],[OriginalBudget22]])</f>
        <v>#N/A</v>
      </c>
      <c r="BE155" s="62" t="e">
        <f>IF(COUNTIFS(allFYsTable[Code], SummaryTable[[#This Row],[Code]], allFYsTable[year2], BE$3)=0, NotFound, SUMIFS(allFYsTable[OriginalBudget], allFYsTable[Code], SummaryTable[[#This Row],[Code]], allFYsTable[year2], BE$3))</f>
        <v>#N/A</v>
      </c>
      <c r="BF155" s="61" t="e">
        <f>SummaryTable[[#This Row],[OriginalBudget21]]-SummaryTable[[#This Row],[OriginalBudget20]]</f>
        <v>#N/A</v>
      </c>
      <c r="BG155" s="54" t="e">
        <f>SummaryTable[[#This Row],[BudgetIncreaseAmount21]]/SummaryTable[[#This Row],[OriginalBudget20]]</f>
        <v>#N/A</v>
      </c>
      <c r="BH155" s="61" t="e">
        <f>IF(COUNTIFS(allFYsTable[Code], SummaryTable[[#This Row],[Code]], allFYsTable[year2], BE$3)=0, NotFound, SUMIFS(allFYsTable[RevisedBudget], allFYsTable[Code], SummaryTable[[#This Row],[Code]], allFYsTable[year2], BE$3))</f>
        <v>#N/A</v>
      </c>
      <c r="BI155" s="61" t="e">
        <f>IF(COUNTIFS(allFYsTable[Code], SummaryTable[[#This Row],[Code]], allFYsTable[year2], BE$3)=0, NotFound, SUMIFS(allFYsTable[Actual], allFYsTable[Code], SummaryTable[[#This Row],[Code]], allFYsTable[year2], BE$3))</f>
        <v>#N/A</v>
      </c>
      <c r="BJ155" s="61" t="e">
        <f>IF(COUNTIFS(allFYsTable[Code], SummaryTable[[#This Row],[Code]], allFYsTable[year2], BE$3)=0, NotFound, SUMIFS(allFYsTable[DiffAmount], allFYsTable[Code], SummaryTable[[#This Row],[Code]], allFYsTable[year2], BE$3))</f>
        <v>#N/A</v>
      </c>
      <c r="BK155" s="63" t="e">
        <f>IF(SummaryTable[[#This Row],[OriginalBudget21]]=0, IF(SummaryTable[[#This Row],[DiffAmount21]]=0, ZeroBudgetNoSpending, ZeroBudgetWithSpending), SummaryTable[[#This Row],[DiffAmount21]]/SummaryTable[[#This Row],[OriginalBudget21]])</f>
        <v>#N/A</v>
      </c>
      <c r="BL155" s="62" t="e">
        <f>IF(COUNTIFS(allFYsTable[Code], SummaryTable[[#This Row],[Code]], allFYsTable[year2], BL$3)=0, NotFound, SUMIFS(allFYsTable[OriginalBudget], allFYsTable[Code], SummaryTable[[#This Row],[Code]], allFYsTable[year2], BL$3))</f>
        <v>#N/A</v>
      </c>
      <c r="BM155" s="61" t="e">
        <f>SummaryTable[[#This Row],[OriginalBudget20]]-SummaryTable[[#This Row],[OriginalBudget19]]</f>
        <v>#N/A</v>
      </c>
      <c r="BN155" s="54" t="e">
        <f>SummaryTable[[#This Row],[BudgetIncreaseAmount20]]/SummaryTable[[#This Row],[OriginalBudget19]]</f>
        <v>#N/A</v>
      </c>
      <c r="BO155" s="61" t="e">
        <f>IF(COUNTIFS(allFYsTable[Code], SummaryTable[[#This Row],[Code]], allFYsTable[year2], BL$3)=0, NotFound, SUMIFS(allFYsTable[RevisedBudget], allFYsTable[Code], SummaryTable[[#This Row],[Code]], allFYsTable[year2], BL$3))</f>
        <v>#N/A</v>
      </c>
      <c r="BP155" s="61" t="e">
        <f>IF(COUNTIFS(allFYsTable[Code], SummaryTable[[#This Row],[Code]], allFYsTable[year2], BL$3)=0, NotFound, SUMIFS(allFYsTable[Actual], allFYsTable[Code], SummaryTable[[#This Row],[Code]], allFYsTable[year2], BL$3))</f>
        <v>#N/A</v>
      </c>
      <c r="BQ155" s="61" t="e">
        <f>IF(COUNTIFS(allFYsTable[Code], SummaryTable[[#This Row],[Code]], allFYsTable[year2], BL$3)=0, NotFound, SUMIFS(allFYsTable[DiffAmount], allFYsTable[Code], SummaryTable[[#This Row],[Code]], allFYsTable[year2], BL$3))</f>
        <v>#N/A</v>
      </c>
      <c r="BR155" s="63" t="e">
        <f>IF(SummaryTable[[#This Row],[OriginalBudget20]]=0, IF(SummaryTable[[#This Row],[DiffAmount20]]=0, ZeroBudgetNoSpending, ZeroBudgetWithSpending), SummaryTable[[#This Row],[DiffAmount20]]/SummaryTable[[#This Row],[OriginalBudget20]])</f>
        <v>#N/A</v>
      </c>
      <c r="BS155" s="62" t="e">
        <f>IF(COUNTIFS(allFYsTable[Code], SummaryTable[[#This Row],[Code]], allFYsTable[year2], BS$3)=0, NotFound, SUMIFS(allFYsTable[OriginalBudget], allFYsTable[Code], SummaryTable[[#This Row],[Code]], allFYsTable[year2], BS$3))</f>
        <v>#N/A</v>
      </c>
      <c r="BT155" s="61" t="e">
        <f>SummaryTable[[#This Row],[OriginalBudget19]]-SummaryTable[[#This Row],[OriginalBudget18]]</f>
        <v>#N/A</v>
      </c>
      <c r="BU155" s="54" t="e">
        <f>SummaryTable[[#This Row],[BudgetIncreaseAmount19]]/SummaryTable[[#This Row],[OriginalBudget18]]</f>
        <v>#N/A</v>
      </c>
      <c r="BV155" s="61" t="e">
        <f>IF(COUNTIFS(allFYsTable[Code], SummaryTable[[#This Row],[Code]], allFYsTable[year2], BS$3)=0, NotFound, SUMIFS(allFYsTable[RevisedBudget], allFYsTable[Code], SummaryTable[[#This Row],[Code]], allFYsTable[year2], BS$3))</f>
        <v>#N/A</v>
      </c>
      <c r="BW155" s="61" t="e">
        <f>IF(COUNTIFS(allFYsTable[Code], SummaryTable[[#This Row],[Code]], allFYsTable[year2], BS$3)=0, NotFound, SUMIFS(allFYsTable[Actual], allFYsTable[Code], SummaryTable[[#This Row],[Code]], allFYsTable[year2], BS$3))</f>
        <v>#N/A</v>
      </c>
      <c r="BX155" s="61" t="e">
        <f>IF(COUNTIFS(allFYsTable[Code], SummaryTable[[#This Row],[Code]], allFYsTable[year2], BS$3)=0, NotFound, SUMIFS(allFYsTable[DiffAmount], allFYsTable[Code], SummaryTable[[#This Row],[Code]], allFYsTable[year2], BS$3))</f>
        <v>#N/A</v>
      </c>
      <c r="BY155" s="63" t="e">
        <f>IF(SummaryTable[[#This Row],[OriginalBudget19]]=0, IF(SummaryTable[[#This Row],[DiffAmount19]]=0, ZeroBudgetNoSpending, ZeroBudgetWithSpending), SummaryTable[[#This Row],[DiffAmount19]]/SummaryTable[[#This Row],[OriginalBudget19]])</f>
        <v>#N/A</v>
      </c>
      <c r="BZ155" s="62" t="e">
        <f>IF(COUNTIFS(allFYsTable[Code], SummaryTable[[#This Row],[Code]], allFYsTable[year2], BZ$3)=0, NotFound, SUMIFS(allFYsTable[OriginalBudget], allFYsTable[Code], SummaryTable[[#This Row],[Code]], allFYsTable[year2], BZ$3))</f>
        <v>#N/A</v>
      </c>
      <c r="CA155" s="61" t="e">
        <f>SummaryTable[[#This Row],[OriginalBudget18]]-SummaryTable[[#This Row],[OriginalBudget17]]</f>
        <v>#N/A</v>
      </c>
      <c r="CB155" s="54" t="e">
        <f>SummaryTable[[#This Row],[BudgetIncreaseAmount18]]/SummaryTable[[#This Row],[OriginalBudget17]]</f>
        <v>#N/A</v>
      </c>
      <c r="CC155" s="61" t="e">
        <f>IF(COUNTIFS(allFYsTable[Code], SummaryTable[[#This Row],[Code]], allFYsTable[year2], BZ$3)=0, NotFound, SUMIFS(allFYsTable[RevisedBudget], allFYsTable[Code], SummaryTable[[#This Row],[Code]], allFYsTable[year2], BZ$3))</f>
        <v>#N/A</v>
      </c>
      <c r="CD155" s="61" t="e">
        <f>IF(COUNTIFS(allFYsTable[Code], SummaryTable[[#This Row],[Code]], allFYsTable[year2], BZ$3)=0, NotFound, SUMIFS(allFYsTable[Actual], allFYsTable[Code], SummaryTable[[#This Row],[Code]], allFYsTable[year2], BZ$3))</f>
        <v>#N/A</v>
      </c>
      <c r="CE155" s="61" t="e">
        <f>IF(COUNTIFS(allFYsTable[Code], SummaryTable[[#This Row],[Code]], allFYsTable[year2], BZ$3)=0, NotFound, SUMIFS(allFYsTable[DiffAmount], allFYsTable[Code], SummaryTable[[#This Row],[Code]], allFYsTable[year2], BZ$3))</f>
        <v>#N/A</v>
      </c>
      <c r="CF155" s="63" t="e">
        <f>IF(SummaryTable[[#This Row],[OriginalBudget18]]=0, IF(SummaryTable[[#This Row],[DiffAmount18]]=0, ZeroBudgetNoSpending, ZeroBudgetWithSpending), SummaryTable[[#This Row],[DiffAmount18]]/SummaryTable[[#This Row],[OriginalBudget18]])</f>
        <v>#N/A</v>
      </c>
      <c r="CG155" s="62" t="e">
        <f>IF(COUNTIFS(allFYsTable[Code], SummaryTable[[#This Row],[Code]], allFYsTable[year2], CG$3)=0, NotFound, SUMIFS(allFYsTable[OriginalBudget], allFYsTable[Code], SummaryTable[[#This Row],[Code]], allFYsTable[year2], CG$3))</f>
        <v>#N/A</v>
      </c>
      <c r="CH155" s="61" t="e">
        <f>SummaryTable[[#This Row],[OriginalBudget17]]-SummaryTable[[#This Row],[OriginalBudget16]]</f>
        <v>#N/A</v>
      </c>
      <c r="CI155" s="54" t="e">
        <f>SummaryTable[[#This Row],[BudgetIncreaseAmount17]]/SummaryTable[[#This Row],[OriginalBudget16]]</f>
        <v>#N/A</v>
      </c>
      <c r="CJ155" s="61" t="e">
        <f>IF(COUNTIFS(allFYsTable[Code], SummaryTable[[#This Row],[Code]], allFYsTable[year2], CG$3)=0, NotFound, SUMIFS(allFYsTable[RevisedBudget], allFYsTable[Code], SummaryTable[[#This Row],[Code]], allFYsTable[year2], CG$3))</f>
        <v>#N/A</v>
      </c>
      <c r="CK155" s="61" t="e">
        <f>IF(COUNTIFS(allFYsTable[Code], SummaryTable[[#This Row],[Code]], allFYsTable[year2], CG$3)=0, NotFound, SUMIFS(allFYsTable[Actual], allFYsTable[Code], SummaryTable[[#This Row],[Code]], allFYsTable[year2], CG$3))</f>
        <v>#N/A</v>
      </c>
      <c r="CL155" s="61" t="e">
        <f>IF(COUNTIFS(allFYsTable[Code], SummaryTable[[#This Row],[Code]], allFYsTable[year2], CG$3)=0, NotFound, SUMIFS(allFYsTable[DiffAmount], allFYsTable[Code], SummaryTable[[#This Row],[Code]], allFYsTable[year2], CG$3))</f>
        <v>#N/A</v>
      </c>
      <c r="CM155" s="63" t="e">
        <f>IF(SummaryTable[[#This Row],[OriginalBudget17]]=0, IF(SummaryTable[[#This Row],[DiffAmount17]]=0, ZeroBudgetNoSpending, ZeroBudgetWithSpending), SummaryTable[[#This Row],[DiffAmount17]]/SummaryTable[[#This Row],[OriginalBudget17]])</f>
        <v>#N/A</v>
      </c>
      <c r="CN155" s="62" t="e">
        <f>IF(COUNTIFS(allFYsTable[Code], SummaryTable[[#This Row],[Code]], allFYsTable[year2], CN$3)=0, NotFound, SUMIFS(allFYsTable[OriginalBudget], allFYsTable[Code], SummaryTable[[#This Row],[Code]], allFYsTable[year2], CN$3))</f>
        <v>#N/A</v>
      </c>
      <c r="CO155" s="61" t="e">
        <f>SummaryTable[[#This Row],[OriginalBudget16]]-SummaryTable[[#This Row],[OriginalBudget15]]</f>
        <v>#N/A</v>
      </c>
      <c r="CP155" s="54" t="e">
        <f>SummaryTable[[#This Row],[BudgetIncreaseAmount16]]/SummaryTable[[#This Row],[OriginalBudget15]]</f>
        <v>#N/A</v>
      </c>
      <c r="CQ155" s="61" t="e">
        <f>IF(COUNTIFS(allFYsTable[Code], SummaryTable[[#This Row],[Code]], allFYsTable[year2], CN$3)=0, NotFound, SUMIFS(allFYsTable[RevisedBudget], allFYsTable[Code], SummaryTable[[#This Row],[Code]], allFYsTable[year2], CN$3))</f>
        <v>#N/A</v>
      </c>
      <c r="CR155" s="61" t="e">
        <f>IF(COUNTIFS(allFYsTable[Code], SummaryTable[[#This Row],[Code]], allFYsTable[year2], CN$3)=0, NotFound, SUMIFS(allFYsTable[Actual], allFYsTable[Code], SummaryTable[[#This Row],[Code]], allFYsTable[year2], CN$3))</f>
        <v>#N/A</v>
      </c>
      <c r="CS155" s="61" t="e">
        <f>IF(COUNTIFS(allFYsTable[Code], SummaryTable[[#This Row],[Code]], allFYsTable[year2], CN$3)=0, NotFound, SUMIFS(allFYsTable[DiffAmount], allFYsTable[Code], SummaryTable[[#This Row],[Code]], allFYsTable[year2], CN$3))</f>
        <v>#N/A</v>
      </c>
      <c r="CT155" s="63" t="e">
        <f>IF(SummaryTable[[#This Row],[OriginalBudget16]]=0, IF(SummaryTable[[#This Row],[DiffAmount16]]=0, ZeroBudgetNoSpending, ZeroBudgetWithSpending), SummaryTable[[#This Row],[DiffAmount16]]/SummaryTable[[#This Row],[OriginalBudget16]])</f>
        <v>#N/A</v>
      </c>
      <c r="CU155" s="62">
        <f>IF(COUNTIFS(allFYsTable[Code], SummaryTable[[#This Row],[Code]], allFYsTable[year2], CU$3)=0, NotFound, SUMIFS(allFYsTable[OriginalBudget], allFYsTable[Code], SummaryTable[[#This Row],[Code]], allFYsTable[year2], CU$3))</f>
        <v>0</v>
      </c>
      <c r="CV155" s="61">
        <f>SummaryTable[[#This Row],[OriginalBudget15]]-SummaryTable[[#This Row],[OriginalBudget14]]</f>
        <v>0</v>
      </c>
      <c r="CW155" s="54" t="e">
        <f>SummaryTable[[#This Row],[BudgetIncreaseAmount15]]/SummaryTable[[#This Row],[OriginalBudget14]]</f>
        <v>#DIV/0!</v>
      </c>
      <c r="CX155" s="61">
        <f>IF(COUNTIFS(allFYsTable[Code], SummaryTable[[#This Row],[Code]], allFYsTable[year2], CU$3)=0, NotFound, SUMIFS(allFYsTable[RevisedBudget], allFYsTable[Code], SummaryTable[[#This Row],[Code]], allFYsTable[year2], CU$3))</f>
        <v>9907</v>
      </c>
      <c r="CY155" s="61">
        <f>IF(COUNTIFS(allFYsTable[Code], SummaryTable[[#This Row],[Code]], allFYsTable[year2], CU$3)=0, NotFound, SUMIFS(allFYsTable[Actual], allFYsTable[Code], SummaryTable[[#This Row],[Code]], allFYsTable[year2], CU$3))</f>
        <v>0</v>
      </c>
      <c r="CZ155" s="61">
        <f>IF(COUNTIFS(allFYsTable[Code], SummaryTable[[#This Row],[Code]], allFYsTable[year2], CU$3)=0, NotFound, SUMIFS(allFYsTable[DiffAmount], allFYsTable[Code], SummaryTable[[#This Row],[Code]], allFYsTable[year2], CU$3))</f>
        <v>0</v>
      </c>
      <c r="DA155" s="63">
        <f>IF(SummaryTable[[#This Row],[OriginalBudget15]]=0, IF(SummaryTable[[#This Row],[DiffAmount15]]=0, ZeroBudgetNoSpending, ZeroBudgetWithSpending), SummaryTable[[#This Row],[DiffAmount15]]/SummaryTable[[#This Row],[OriginalBudget15]])</f>
        <v>0</v>
      </c>
      <c r="DB155" s="62">
        <f>IF(COUNTIFS(allFYsTable[Code], SummaryTable[[#This Row],[Code]], allFYsTable[year2], DB$3)=0, NotFound, SUMIFS(allFYsTable[OriginalBudget], allFYsTable[Code], SummaryTable[[#This Row],[Code]], allFYsTable[year2], DB$3))</f>
        <v>0</v>
      </c>
      <c r="DC155" s="61" t="e">
        <f>SummaryTable[[#This Row],[OriginalBudget14]]-SummaryTable[[#This Row],[OriginalBudget13]]</f>
        <v>#N/A</v>
      </c>
      <c r="DD155" s="54" t="e">
        <f>SummaryTable[[#This Row],[BudgetIncreaseAmount14]]/SummaryTable[[#This Row],[OriginalBudget13]]</f>
        <v>#N/A</v>
      </c>
      <c r="DE155" s="61">
        <f>IF(COUNTIFS(allFYsTable[Code], SummaryTable[[#This Row],[Code]], allFYsTable[year2], DB$3)=0, NotFound, SUMIFS(allFYsTable[RevisedBudget], allFYsTable[Code], SummaryTable[[#This Row],[Code]], allFYsTable[year2], DB$3))</f>
        <v>15127</v>
      </c>
      <c r="DF155" s="61">
        <f>IF(COUNTIFS(allFYsTable[Code], SummaryTable[[#This Row],[Code]], allFYsTable[year2], DB$3)=0, NotFound, SUMIFS(allFYsTable[Actual], allFYsTable[Code], SummaryTable[[#This Row],[Code]], allFYsTable[year2], DB$3))</f>
        <v>12627</v>
      </c>
      <c r="DG155" s="61">
        <f>IF(COUNTIFS(allFYsTable[Code], SummaryTable[[#This Row],[Code]], allFYsTable[year2], DB$3)=0, NotFound, SUMIFS(allFYsTable[DiffAmount], allFYsTable[Code], SummaryTable[[#This Row],[Code]], allFYsTable[year2], DB$3))</f>
        <v>12627</v>
      </c>
      <c r="DH155" s="63">
        <f>IF(SummaryTable[[#This Row],[OriginalBudget14]]=0, IF(SummaryTable[[#This Row],[DiffAmount14]]=0, ZeroBudgetNoSpending, ZeroBudgetWithSpending), SummaryTable[[#This Row],[DiffAmount14]]/SummaryTable[[#This Row],[OriginalBudget14]])</f>
        <v>99.99</v>
      </c>
      <c r="DI155" s="62" t="e">
        <f>IF(COUNTIFS(allFYsTable[Code], SummaryTable[[#This Row],[Code]], allFYsTable[year2], DI$3)=0, NotFound, SUMIFS(allFYsTable[OriginalBudget], allFYsTable[Code], SummaryTable[[#This Row],[Code]], allFYsTable[year2], DI$3))</f>
        <v>#N/A</v>
      </c>
      <c r="DJ155" s="61" t="e">
        <f>SummaryTable[[#This Row],[OriginalBudget13]]-SummaryTable[[#This Row],[OriginalBudget12]]</f>
        <v>#N/A</v>
      </c>
      <c r="DK155" s="54" t="e">
        <f>SummaryTable[[#This Row],[BudgetIncreaseAmount13]]/SummaryTable[[#This Row],[OriginalBudget12]]</f>
        <v>#N/A</v>
      </c>
      <c r="DL155" s="61" t="e">
        <f>IF(COUNTIFS(allFYsTable[Code], SummaryTable[[#This Row],[Code]], allFYsTable[year2], DI$3)=0, NotFound, SUMIFS(allFYsTable[RevisedBudget], allFYsTable[Code], SummaryTable[[#This Row],[Code]], allFYsTable[year2], DI$3))</f>
        <v>#N/A</v>
      </c>
      <c r="DM155" s="61" t="e">
        <f>IF(COUNTIFS(allFYsTable[Code], SummaryTable[[#This Row],[Code]], allFYsTable[year2], DI$3)=0, NotFound, SUMIFS(allFYsTable[Actual], allFYsTable[Code], SummaryTable[[#This Row],[Code]], allFYsTable[year2], DI$3))</f>
        <v>#N/A</v>
      </c>
      <c r="DN155" s="61" t="e">
        <f>IF(COUNTIFS(allFYsTable[Code], SummaryTable[[#This Row],[Code]], allFYsTable[year2], DI$3)=0, NotFound, SUMIFS(allFYsTable[DiffAmount], allFYsTable[Code], SummaryTable[[#This Row],[Code]], allFYsTable[year2], DI$3))</f>
        <v>#N/A</v>
      </c>
      <c r="DO155" s="63" t="e">
        <f>IF(SummaryTable[[#This Row],[OriginalBudget13]]=0, IF(SummaryTable[[#This Row],[DiffAmount13]]=0, ZeroBudgetNoSpending, ZeroBudgetWithSpending), SummaryTable[[#This Row],[DiffAmount13]]/SummaryTable[[#This Row],[OriginalBudget13]])</f>
        <v>#N/A</v>
      </c>
      <c r="DP155" s="62">
        <f>IF(COUNTIFS(allFYsTable[Code], SummaryTable[[#This Row],[Code]], allFYsTable[year2], DP$3)=0, NotFound, SUMIFS(allFYsTable[OriginalBudget], allFYsTable[Code], SummaryTable[[#This Row],[Code]], allFYsTable[year2], DP$3))</f>
        <v>65466</v>
      </c>
      <c r="DQ155" s="61">
        <f>SummaryTable[[#This Row],[OriginalBudget12]]-SummaryTable[[#This Row],[OriginalBudget11]]</f>
        <v>4162</v>
      </c>
      <c r="DR155" s="54">
        <f>SummaryTable[[#This Row],[BudgetIncreaseAmount12]]/SummaryTable[[#This Row],[OriginalBudget11]]</f>
        <v>6.7891165339945186E-2</v>
      </c>
      <c r="DS155" s="61">
        <f>IF(COUNTIFS(allFYsTable[Code], SummaryTable[[#This Row],[Code]], allFYsTable[year2], DP$3)=0, NotFound, SUMIFS(allFYsTable[RevisedBudget], allFYsTable[Code], SummaryTable[[#This Row],[Code]], allFYsTable[year2], DP$3))</f>
        <v>54494</v>
      </c>
      <c r="DT155" s="61">
        <f>IF(COUNTIFS(allFYsTable[Code], SummaryTable[[#This Row],[Code]], allFYsTable[year2], DP$3)=0, NotFound, SUMIFS(allFYsTable[Actual], allFYsTable[Code], SummaryTable[[#This Row],[Code]], allFYsTable[year2], DP$3))</f>
        <v>54494</v>
      </c>
      <c r="DU155" s="61">
        <f>IF(COUNTIFS(allFYsTable[Code], SummaryTable[[#This Row],[Code]], allFYsTable[year2], DP$3)=0, NotFound, SUMIFS(allFYsTable[DiffAmount], allFYsTable[Code], SummaryTable[[#This Row],[Code]], allFYsTable[year2], DP$3))</f>
        <v>-10972</v>
      </c>
      <c r="DV155" s="63">
        <f>IF(SummaryTable[[#This Row],[OriginalBudget12]]=0, IF(SummaryTable[[#This Row],[DiffAmount12]]=0, ZeroBudgetNoSpending, ZeroBudgetWithSpending), SummaryTable[[#This Row],[DiffAmount12]]/SummaryTable[[#This Row],[OriginalBudget12]])</f>
        <v>-0.16759844804936913</v>
      </c>
      <c r="DW155" s="62">
        <f>IF(COUNTIFS(allFYsTable[Code], SummaryTable[[#This Row],[Code]], allFYsTable[year2], DW$3)=0, NotFound, SUMIFS(allFYsTable[OriginalBudget], allFYsTable[Code], SummaryTable[[#This Row],[Code]], allFYsTable[year2], DW$3))</f>
        <v>61304</v>
      </c>
      <c r="DX155" s="61">
        <f>SummaryTable[[#This Row],[OriginalBudget11]]-SummaryTable[[#This Row],[OriginalBudget10]]</f>
        <v>15312</v>
      </c>
      <c r="DY155" s="54">
        <f>SummaryTable[[#This Row],[BudgetIncreaseAmount11]]/SummaryTable[[#This Row],[OriginalBudget10]]</f>
        <v>0.33292746564619935</v>
      </c>
      <c r="DZ155" s="61">
        <f>IF(COUNTIFS(allFYsTable[Code], SummaryTable[[#This Row],[Code]], allFYsTable[year2], DW$3)=0, NotFound, SUMIFS(allFYsTable[RevisedBudget], allFYsTable[Code], SummaryTable[[#This Row],[Code]], allFYsTable[year2], DW$3))</f>
        <v>58254</v>
      </c>
      <c r="EA155" s="61">
        <f>IF(COUNTIFS(allFYsTable[Code], SummaryTable[[#This Row],[Code]], allFYsTable[year2], DW$3)=0, NotFound, SUMIFS(allFYsTable[Actual], allFYsTable[Code], SummaryTable[[#This Row],[Code]], allFYsTable[year2], DW$3))</f>
        <v>58254</v>
      </c>
      <c r="EB155" s="61">
        <f>IF(COUNTIFS(allFYsTable[Code], SummaryTable[[#This Row],[Code]], allFYsTable[year2], DW$3)=0, NotFound, SUMIFS(allFYsTable[DiffAmount], allFYsTable[Code], SummaryTable[[#This Row],[Code]], allFYsTable[year2], DW$3))</f>
        <v>-3050</v>
      </c>
      <c r="EC155" s="63">
        <f>IF(SummaryTable[[#This Row],[OriginalBudget11]]=0, IF(SummaryTable[[#This Row],[DiffAmount11]]=0, ZeroBudgetNoSpending, ZeroBudgetWithSpending), SummaryTable[[#This Row],[DiffAmount11]]/SummaryTable[[#This Row],[OriginalBudget11]])</f>
        <v>-4.9752055330810389E-2</v>
      </c>
      <c r="ED155" s="62">
        <f>IF(COUNTIFS(allFYsTable[Code], SummaryTable[[#This Row],[Code]], allFYsTable[year2], ED$3)=0, NotFound, SUMIFS(allFYsTable[OriginalBudget], allFYsTable[Code], SummaryTable[[#This Row],[Code]], allFYsTable[year2], ED$3))</f>
        <v>45992</v>
      </c>
      <c r="EE155" s="61" t="e">
        <f>SummaryTable[[#This Row],[OriginalBudget10]]-SummaryTable[[#This Row],[OriginalBudget09]]</f>
        <v>#N/A</v>
      </c>
      <c r="EF155" s="54" t="e">
        <f>SummaryTable[[#This Row],[BudgetIncreaseAmount10]]/SummaryTable[[#This Row],[OriginalBudget09]]</f>
        <v>#N/A</v>
      </c>
      <c r="EG155" s="61">
        <f>IF(COUNTIFS(allFYsTable[Code], SummaryTable[[#This Row],[Code]], allFYsTable[year2], ED$3)=0, NotFound, SUMIFS(allFYsTable[RevisedBudget], allFYsTable[Code], SummaryTable[[#This Row],[Code]], allFYsTable[year2], ED$3))</f>
        <v>45992</v>
      </c>
      <c r="EH155" s="61">
        <f>IF(COUNTIFS(allFYsTable[Code], SummaryTable[[#This Row],[Code]], allFYsTable[year2], ED$3)=0, NotFound, SUMIFS(allFYsTable[Actual], allFYsTable[Code], SummaryTable[[#This Row],[Code]], allFYsTable[year2], ED$3))</f>
        <v>34140</v>
      </c>
      <c r="EI155" s="61">
        <f>IF(COUNTIFS(allFYsTable[Code], SummaryTable[[#This Row],[Code]], allFYsTable[year2], ED$3)=0, NotFound, SUMIFS(allFYsTable[DiffAmount], allFYsTable[Code], SummaryTable[[#This Row],[Code]], allFYsTable[year2], ED$3))</f>
        <v>-11852</v>
      </c>
      <c r="EJ155" s="63">
        <f>IF(SummaryTable[[#This Row],[OriginalBudget10]]=0, IF(SummaryTable[[#This Row],[DiffAmount10]]=0, ZeroBudgetNoSpending, ZeroBudgetWithSpending), SummaryTable[[#This Row],[DiffAmount10]]/SummaryTable[[#This Row],[OriginalBudget10]])</f>
        <v>-0.25769699078100539</v>
      </c>
      <c r="EK155" s="62" t="e">
        <f>IF(COUNTIFS(allFYsTable[Code], SummaryTable[[#This Row],[Code]], allFYsTable[year2], EK$3)=0, NotFound, SUMIFS(allFYsTable[OriginalBudget], allFYsTable[Code], SummaryTable[[#This Row],[Code]], allFYsTable[year2], EK$3))</f>
        <v>#N/A</v>
      </c>
      <c r="EL155" s="61" t="e">
        <f>SummaryTable[[#This Row],[OriginalBudget09]]-SummaryTable[[#This Row],[OriginalBudget08]]</f>
        <v>#N/A</v>
      </c>
      <c r="EM155" s="54" t="e">
        <f>SummaryTable[[#This Row],[BudgetIncreaseAmount09]]/SummaryTable[[#This Row],[OriginalBudget08]]</f>
        <v>#N/A</v>
      </c>
      <c r="EN155" s="61" t="e">
        <f>IF(COUNTIFS(allFYsTable[Code], SummaryTable[[#This Row],[Code]], allFYsTable[year2], EK$3)=0, NotFound, SUMIFS(allFYsTable[RevisedBudget], allFYsTable[Code], SummaryTable[[#This Row],[Code]], allFYsTable[year2], EK$3))</f>
        <v>#N/A</v>
      </c>
      <c r="EO155" s="61" t="e">
        <f>IF(COUNTIFS(allFYsTable[Code], SummaryTable[[#This Row],[Code]], allFYsTable[year2], EK$3)=0, NotFound, SUMIFS(allFYsTable[Actual], allFYsTable[Code], SummaryTable[[#This Row],[Code]], allFYsTable[year2], EK$3))</f>
        <v>#N/A</v>
      </c>
      <c r="EP155" s="61" t="e">
        <f>IF(COUNTIFS(allFYsTable[Code], SummaryTable[[#This Row],[Code]], allFYsTable[year2], EK$3)=0, NotFound, SUMIFS(allFYsTable[DiffAmount], allFYsTable[Code], SummaryTable[[#This Row],[Code]], allFYsTable[year2], EK$3))</f>
        <v>#N/A</v>
      </c>
      <c r="EQ155" s="63" t="e">
        <f>IF(SummaryTable[[#This Row],[OriginalBudget09]]=0, IF(SummaryTable[[#This Row],[DiffAmount09]]=0, ZeroBudgetNoSpending, ZeroBudgetWithSpending), SummaryTable[[#This Row],[DiffAmount09]]/SummaryTable[[#This Row],[OriginalBudget09]])</f>
        <v>#N/A</v>
      </c>
      <c r="ER155" s="62" t="e">
        <f>IF(COUNTIFS(allFYsTable[Code], SummaryTable[[#This Row],[Code]], allFYsTable[year2], ER$3)=0, NotFound, SUMIFS(allFYsTable[OriginalBudget], allFYsTable[Code], SummaryTable[[#This Row],[Code]], allFYsTable[year2], ER$3))</f>
        <v>#N/A</v>
      </c>
      <c r="ES155" s="61" t="e">
        <f>SummaryTable[[#This Row],[OriginalBudget08]]-SummaryTable[[#This Row],[OriginalBudget07]]</f>
        <v>#N/A</v>
      </c>
      <c r="ET155" s="54" t="e">
        <f>SummaryTable[[#This Row],[BudgetIncreaseAmount08]]/SummaryTable[[#This Row],[OriginalBudget07]]</f>
        <v>#N/A</v>
      </c>
      <c r="EU155" s="61" t="e">
        <f>IF(COUNTIFS(allFYsTable[Code], SummaryTable[[#This Row],[Code]], allFYsTable[year2], ER$3)=0, NotFound, SUMIFS(allFYsTable[RevisedBudget], allFYsTable[Code], SummaryTable[[#This Row],[Code]], allFYsTable[year2], ER$3))</f>
        <v>#N/A</v>
      </c>
      <c r="EV155" s="61" t="e">
        <f>IF(COUNTIFS(allFYsTable[Code], SummaryTable[[#This Row],[Code]], allFYsTable[year2], ER$3)=0, NotFound, SUMIFS(allFYsTable[Actual], allFYsTable[Code], SummaryTable[[#This Row],[Code]], allFYsTable[year2], ER$3))</f>
        <v>#N/A</v>
      </c>
      <c r="EW155" s="61" t="e">
        <f>IF(COUNTIFS(allFYsTable[Code], SummaryTable[[#This Row],[Code]], allFYsTable[year2], ER$3)=0, NotFound, SUMIFS(allFYsTable[DiffAmount], allFYsTable[Code], SummaryTable[[#This Row],[Code]], allFYsTable[year2], ER$3))</f>
        <v>#N/A</v>
      </c>
      <c r="EX155" s="63" t="e">
        <f>IF(SummaryTable[[#This Row],[OriginalBudget08]]=0, IF(SummaryTable[[#This Row],[DiffAmount08]]=0, ZeroBudgetNoSpending, ZeroBudgetWithSpending), SummaryTable[[#This Row],[DiffAmount08]]/SummaryTable[[#This Row],[OriginalBudget08]])</f>
        <v>#N/A</v>
      </c>
      <c r="EY155" s="62" t="e">
        <f>IF(COUNTIFS(allFYsTable[Code], SummaryTable[[#This Row],[Code]], allFYsTable[year2], EY$3)=0, NotFound, SUMIFS(allFYsTable[OriginalBudget], allFYsTable[Code], SummaryTable[[#This Row],[Code]], allFYsTable[year2], EY$3))</f>
        <v>#N/A</v>
      </c>
      <c r="EZ155" s="61" t="e">
        <f>SummaryTable[[#This Row],[OriginalBudget07]]-SummaryTable[[#This Row],[OriginalBudget06]]</f>
        <v>#N/A</v>
      </c>
      <c r="FA155" s="54" t="e">
        <f>SummaryTable[[#This Row],[BudgetIncreaseAmount07]]/SummaryTable[[#This Row],[OriginalBudget06]]</f>
        <v>#N/A</v>
      </c>
      <c r="FB155" s="61" t="e">
        <f>IF(COUNTIFS(allFYsTable[Code], SummaryTable[[#This Row],[Code]], allFYsTable[year2], EY$3)=0, NotFound, SUMIFS(allFYsTable[RevisedBudget], allFYsTable[Code], SummaryTable[[#This Row],[Code]], allFYsTable[year2], EY$3))</f>
        <v>#N/A</v>
      </c>
      <c r="FC155" s="61" t="e">
        <f>IF(COUNTIFS(allFYsTable[Code], SummaryTable[[#This Row],[Code]], allFYsTable[year2], EY$3)=0, NotFound, SUMIFS(allFYsTable[Actual], allFYsTable[Code], SummaryTable[[#This Row],[Code]], allFYsTable[year2], EY$3))</f>
        <v>#N/A</v>
      </c>
      <c r="FD155" s="61" t="e">
        <f>IF(COUNTIFS(allFYsTable[Code], SummaryTable[[#This Row],[Code]], allFYsTable[year2], EY$3)=0, NotFound, SUMIFS(allFYsTable[DiffAmount], allFYsTable[Code], SummaryTable[[#This Row],[Code]], allFYsTable[year2], EY$3))</f>
        <v>#N/A</v>
      </c>
      <c r="FE155" s="63" t="e">
        <f>IF(SummaryTable[[#This Row],[OriginalBudget07]]=0, IF(SummaryTable[[#This Row],[DiffAmount07]]=0, ZeroBudgetNoSpending, ZeroBudgetWithSpending), SummaryTable[[#This Row],[DiffAmount07]]/SummaryTable[[#This Row],[OriginalBudget07]])</f>
        <v>#N/A</v>
      </c>
      <c r="FF155" s="62" t="e">
        <f>IF(COUNTIFS(allFYsTable[Code], SummaryTable[[#This Row],[Code]], allFYsTable[year2], FF$3)=0, NotFound, SUMIFS(allFYsTable[OriginalBudget], allFYsTable[Code], SummaryTable[[#This Row],[Code]], allFYsTable[year2], FF$3))</f>
        <v>#N/A</v>
      </c>
      <c r="FI155" s="61" t="e">
        <f>IF(COUNTIFS(allFYsTable[Code], SummaryTable[[#This Row],[Code]], allFYsTable[year2], FF$3)=0, NotFound, SUMIFS(allFYsTable[RevisedBudget], allFYsTable[Code], SummaryTable[[#This Row],[Code]], allFYsTable[year2], FF$3))</f>
        <v>#N/A</v>
      </c>
      <c r="FJ155" s="61" t="e">
        <f>IF(COUNTIFS(allFYsTable[Code], SummaryTable[[#This Row],[Code]], allFYsTable[year2], FF$3)=0, NotFound, SUMIFS(allFYsTable[Actual], allFYsTable[Code], SummaryTable[[#This Row],[Code]], allFYsTable[year2], FF$3))</f>
        <v>#N/A</v>
      </c>
      <c r="FK155" s="61" t="e">
        <f>IF(COUNTIFS(allFYsTable[Code], SummaryTable[[#This Row],[Code]], allFYsTable[year2], FF$3)=0, NotFound, SUMIFS(allFYsTable[DiffAmount], allFYsTable[Code], SummaryTable[[#This Row],[Code]], allFYsTable[year2], FF$3))</f>
        <v>#N/A</v>
      </c>
      <c r="FL155" s="63" t="e">
        <f>IF(SummaryTable[[#This Row],[OriginalBudget06]]=0, IF(SummaryTable[[#This Row],[DiffAmount06]]=0, ZeroBudgetNoSpending, ZeroBudgetWithSpending), SummaryTable[[#This Row],[DiffAmount06]]/SummaryTable[[#This Row],[OriginalBudget06]])</f>
        <v>#N/A</v>
      </c>
    </row>
    <row r="156" spans="1:168" x14ac:dyDescent="0.45">
      <c r="A156" t="s">
        <v>825</v>
      </c>
      <c r="B156">
        <f>_xlfn.MAXIFS(allFYsTable[year2], allFYsTable[Code], SummaryTable[[#This Row],[Code]])</f>
        <v>2014</v>
      </c>
      <c r="C156" t="str">
        <f>_xlfn.XLOOKUP(SummaryTable[[#This Row],[Code]], NameCodingTable[Code], NameCodingTable[Most Recent Category per allFYs])</f>
        <v>Other</v>
      </c>
      <c r="D156" t="str">
        <f>_xlfn.XLOOKUP(SummaryTable[[#This Row],[Code]], NameCodingTable[Code], NameCodingTable[Unit Display Name])</f>
        <v>DC retirement board</v>
      </c>
      <c r="E156" t="str">
        <f>_xlfn.XLOOKUP(SummaryTable[[#This Row],[Code]], NameCodingTable[Code], NameCodingTable[Type])</f>
        <v>untyped</v>
      </c>
      <c r="F15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8</v>
      </c>
      <c r="G15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56" s="54">
        <f>SummaryTable[[#This Row],['# Over]]/SummaryTable[[#This Row],[Count]]</f>
        <v>0</v>
      </c>
      <c r="I15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56" s="54">
        <f>SummaryTable[[#This Row],['# Under]]/SummaryTable[[#This Row],[Count]]</f>
        <v>0</v>
      </c>
      <c r="K15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8</v>
      </c>
      <c r="L156" s="54">
        <f>SummaryTable[[#This Row],['# Equal]]/SummaryTable[[#This Row],[Count]]</f>
        <v>1</v>
      </c>
      <c r="M156" s="61">
        <f>SUMIFS(allFYsTable[OriginalBudget],allFYsTable[Code],SummaryTable[[#This Row],[Code]])/SummaryTable[[#This Row],[Count]]</f>
        <v>0</v>
      </c>
      <c r="N156" s="61">
        <f>SUMIFS(allFYsTable[Actual],allFYsTable[Code],SummaryTable[[#This Row],[Code]])/SummaryTable[[#This Row],[Count]]</f>
        <v>0</v>
      </c>
      <c r="O156" s="61">
        <f>SummaryTable[[#This Row],[AvgActAmt]]-SummaryTable[[#This Row],[AvgBudAmt]]</f>
        <v>0</v>
      </c>
      <c r="P156" s="54">
        <f>IF(SummaryTable[[#This Row],[AvgBudAmt]]=0, IF(SummaryTable[[#This Row],[AvgDiff'#]]=0, 0, NamedFields!$C$3), SummaryTable[[#This Row],[AvgDiff'#]]/SummaryTable[[#This Row],[AvgBudAmt]])</f>
        <v>0</v>
      </c>
      <c r="Q156" s="61">
        <f>IFERROR(SUMIFS(allFYsTable[OriginalBudget],allFYsTable[Code],SummaryTable[[#This Row],[Code]],allFYsTable[DiffAmount], "&gt;0")/SummaryTable[[#This Row],['# Over]], 0)</f>
        <v>0</v>
      </c>
      <c r="R156" s="61">
        <f>IFERROR(SUMIFS(allFYsTable[Actual],allFYsTable[Code],SummaryTable[[#This Row],[Code]],allFYsTable[DiffAmount], "&gt;0")/SummaryTable[[#This Row],['# Over]], 0)</f>
        <v>0</v>
      </c>
      <c r="S156" s="61">
        <f>SummaryTable[[#This Row],[OverAvgAct]]-SummaryTable[[#This Row],[OverAvgBud]]</f>
        <v>0</v>
      </c>
      <c r="T156" s="54">
        <f>IF(SummaryTable[[#This Row],[OverAvgBud]]=0, IF(SummaryTable[[#This Row],[OverAvgDiff'#]]=0, ZeroBudgetNoSpending, ZeroBudgetWithSpending), SummaryTable[[#This Row],[OverAvgDiff'#]]/SummaryTable[[#This Row],[OverAvgBud]])</f>
        <v>0</v>
      </c>
      <c r="U156" s="61">
        <f>IFERROR(SUMIFS(allFYsTable[OriginalBudget],allFYsTable[Code],SummaryTable[[#This Row],[Code]],allFYsTable[DiffAmount], "&lt;0")/SummaryTable[[#This Row],['# Under]], 0)</f>
        <v>0</v>
      </c>
      <c r="V156" s="61">
        <f>IFERROR( SUMIFS(allFYsTable[Actual],allFYsTable[Code],SummaryTable[[#This Row],[Code]],allFYsTable[DiffAmount], "&lt;0")/SummaryTable[[#This Row],['# Under]], 0)</f>
        <v>0</v>
      </c>
      <c r="W156" s="61">
        <f>SummaryTable[[#This Row],[UnderAvgAct]]-SummaryTable[[#This Row],[UnderAvgBud]]</f>
        <v>0</v>
      </c>
      <c r="X156" s="54">
        <f>IF(SummaryTable[[#This Row],[UnderAvgBud]]=0, IF(SummaryTable[[#This Row],[UnderAvgDiff'#]]=0, ZeroBudgetNoSpending, NamedFields!$C$3), SummaryTable[[#This Row],[UnderAvgDiff'#]]/SummaryTable[[#This Row],[UnderAvgBud]])</f>
        <v>0</v>
      </c>
      <c r="Y15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5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6" s="54">
        <f>IF(SummaryTable[[#This Row],[IncreaseYears]]=0, ZeroBudgetNoSpending, SummaryTable[[#This Row],[OSinIncreaseYear'#]]/SummaryTable[[#This Row],[IncreaseYears]])</f>
        <v>0</v>
      </c>
      <c r="AB156" s="58" t="str">
        <f>SummaryTable[[#This Row],[Code]]</f>
        <v>DY0</v>
      </c>
      <c r="AC156" s="62" t="e">
        <f>IF(COUNTIFS(allFYsTable[Code], SummaryTable[[#This Row],[Code]], allFYsTable[year2], AC$3)=0, NotFound, SUMIFS(allFYsTable[OriginalBudget], allFYsTable[Code], SummaryTable[[#This Row],[Code]], allFYsTable[year2], AC$3))</f>
        <v>#N/A</v>
      </c>
      <c r="AD156" s="61" t="e">
        <f>SummaryTable[[#This Row],[OriginalBudget25]]-SummaryTable[[#This Row],[OriginalBudget24]]</f>
        <v>#N/A</v>
      </c>
      <c r="AE156" s="54" t="e">
        <f>SummaryTable[[#This Row],[BudgetIncreaseAmount25]]/SummaryTable[[#This Row],[OriginalBudget24]]</f>
        <v>#N/A</v>
      </c>
      <c r="AF156" s="61" t="e">
        <f>IF(COUNTIFS(allFYsTable[Code], SummaryTable[[#This Row],[Code]], allFYsTable[year2], AC$3)=0, NotFound, SUMIFS(allFYsTable[RevisedBudget], allFYsTable[Code], SummaryTable[[#This Row],[Code]], allFYsTable[year2], AC$3))</f>
        <v>#N/A</v>
      </c>
      <c r="AG156" s="61" t="e">
        <f>IF(COUNTIFS(allFYsTable[Code], SummaryTable[[#This Row],[Code]], allFYsTable[year2], AC$3)=0, NotFound, SUMIFS(allFYsTable[Actual], allFYsTable[Code], SummaryTable[[#This Row],[Code]], allFYsTable[year2], AC$3))</f>
        <v>#N/A</v>
      </c>
      <c r="AH156" s="61" t="e">
        <f>IF(COUNTIFS(allFYsTable[Code], SummaryTable[[#This Row],[Code]], allFYsTable[year2], AC$3)=0, NotFound, SUMIFS(allFYsTable[DiffAmount], allFYsTable[Code], SummaryTable[[#This Row],[Code]], allFYsTable[year2], AC$3))</f>
        <v>#N/A</v>
      </c>
      <c r="AI156" s="63" t="e">
        <f>IF(SummaryTable[[#This Row],[OriginalBudget25]]=0, IF(SummaryTable[[#This Row],[DiffAmount25]]=0, ZeroBudgetNoSpending, ZeroBudgetWithSpending), SummaryTable[[#This Row],[DiffAmount25]]/SummaryTable[[#This Row],[OriginalBudget25]])</f>
        <v>#N/A</v>
      </c>
      <c r="AJ156" s="62" t="e">
        <f>IF(COUNTIFS(allFYsTable[Code], SummaryTable[[#This Row],[Code]], allFYsTable[year2], AJ$3)=0, NotFound, SUMIFS(allFYsTable[OriginalBudget], allFYsTable[Code], SummaryTable[[#This Row],[Code]], allFYsTable[year2], AJ$3))</f>
        <v>#N/A</v>
      </c>
      <c r="AK156" s="61" t="e">
        <f>SummaryTable[[#This Row],[OriginalBudget24]]-SummaryTable[[#This Row],[OriginalBudget23]]</f>
        <v>#N/A</v>
      </c>
      <c r="AL156" s="54" t="e">
        <f>SummaryTable[[#This Row],[BudgetIncreaseAmount24]]/SummaryTable[[#This Row],[OriginalBudget23]]</f>
        <v>#N/A</v>
      </c>
      <c r="AM156" s="61" t="e">
        <f>IF(COUNTIFS(allFYsTable[Code], SummaryTable[[#This Row],[Code]], allFYsTable[year2], AK$3)=0, NotFound, SUMIFS(allFYsTable[RevisedBudget], allFYsTable[Code], SummaryTable[[#This Row],[Code]], allFYsTable[year2], AJ$3))</f>
        <v>#N/A</v>
      </c>
      <c r="AN156" s="61" t="e">
        <f>IF(COUNTIFS(allFYsTable[Code], SummaryTable[[#This Row],[Code]], allFYsTable[year2], AJ$3)=0, NotFound, SUMIFS(allFYsTable[Actual], allFYsTable[Code], SummaryTable[[#This Row],[Code]], allFYsTable[year2], AJ$3))</f>
        <v>#N/A</v>
      </c>
      <c r="AO156" s="61" t="e">
        <f>IF(COUNTIFS(allFYsTable[Code], SummaryTable[[#This Row],[Code]], allFYsTable[year2], AJ$3)=0, NotFound, SUMIFS(allFYsTable[DiffAmount], allFYsTable[Code], SummaryTable[[#This Row],[Code]], allFYsTable[year2], AJ$3))</f>
        <v>#N/A</v>
      </c>
      <c r="AP156" s="63" t="e">
        <f>IF(SummaryTable[[#This Row],[OriginalBudget24]]=0, IF(SummaryTable[[#This Row],[DiffAmount24]]=0, ZeroBudgetNoSpending, ZeroBudgetWithSpending), SummaryTable[[#This Row],[DiffAmount24]]/SummaryTable[[#This Row],[OriginalBudget24]])</f>
        <v>#N/A</v>
      </c>
      <c r="AQ156" s="62" t="e">
        <f>IF(COUNTIFS(allFYsTable[Code], SummaryTable[[#This Row],[Code]], allFYsTable[year2], AQ$3)=0, NotFound, SUMIFS(allFYsTable[OriginalBudget], allFYsTable[Code], SummaryTable[[#This Row],[Code]], allFYsTable[year2], AQ$3))</f>
        <v>#N/A</v>
      </c>
      <c r="AR156" s="61" t="e">
        <f>SummaryTable[[#This Row],[OriginalBudget23]]-SummaryTable[[#This Row],[OriginalBudget22]]</f>
        <v>#N/A</v>
      </c>
      <c r="AS156" s="54" t="e">
        <f>SummaryTable[[#This Row],[BudgetIncreaseAmount23]]/SummaryTable[[#This Row],[OriginalBudget22]]</f>
        <v>#N/A</v>
      </c>
      <c r="AT156" s="61" t="e">
        <f>IF(COUNTIFS(allFYsTable[Code], SummaryTable[[#This Row],[Code]], allFYsTable[year2], AQ$3)=0, NotFound, SUMIFS(allFYsTable[RevisedBudget], allFYsTable[Code], SummaryTable[[#This Row],[Code]], allFYsTable[year2], AQ$3))</f>
        <v>#N/A</v>
      </c>
      <c r="AU156" s="61" t="e">
        <f>IF(COUNTIFS(allFYsTable[Code], SummaryTable[[#This Row],[Code]], allFYsTable[year2], AQ$3)=0, NotFound, SUMIFS(allFYsTable[Actual], allFYsTable[Code], SummaryTable[[#This Row],[Code]], allFYsTable[year2], AQ$3))</f>
        <v>#N/A</v>
      </c>
      <c r="AV156" s="61" t="e">
        <f>IF(COUNTIFS(allFYsTable[Code], SummaryTable[[#This Row],[Code]], allFYsTable[year2], AQ$3)=0, NotFound, SUMIFS(allFYsTable[DiffAmount], allFYsTable[Code], SummaryTable[[#This Row],[Code]], allFYsTable[year2], AQ$3))</f>
        <v>#N/A</v>
      </c>
      <c r="AW156" s="63" t="e">
        <f>IF(SummaryTable[[#This Row],[OriginalBudget23]]=0, IF(SummaryTable[[#This Row],[DiffAmount23]]=0, ZeroBudgetNoSpending, ZeroBudgetWithSpending), SummaryTable[[#This Row],[DiffAmount23]]/SummaryTable[[#This Row],[OriginalBudget23]])</f>
        <v>#N/A</v>
      </c>
      <c r="AX156" s="62" t="e">
        <f>IF(COUNTIFS(allFYsTable[Code], SummaryTable[[#This Row],[Code]], allFYsTable[year2], AX$3)=0, NotFound, SUMIFS(allFYsTable[OriginalBudget], allFYsTable[Code], SummaryTable[[#This Row],[Code]], allFYsTable[year2], AX$3))</f>
        <v>#N/A</v>
      </c>
      <c r="AY156" s="61" t="e">
        <f>SummaryTable[[#This Row],[OriginalBudget22]]-SummaryTable[[#This Row],[OriginalBudget21]]</f>
        <v>#N/A</v>
      </c>
      <c r="AZ156" s="54" t="e">
        <f>SummaryTable[[#This Row],[BudgetIncreaseAmount22]]/SummaryTable[[#This Row],[OriginalBudget21]]</f>
        <v>#N/A</v>
      </c>
      <c r="BA156" s="61" t="e">
        <f>IF(COUNTIFS(allFYsTable[Code], SummaryTable[[#This Row],[Code]], allFYsTable[year2], AX$3)=0, NotFound, SUMIFS(allFYsTable[RevisedBudget], allFYsTable[Code], SummaryTable[[#This Row],[Code]], allFYsTable[year2], AX$3))</f>
        <v>#N/A</v>
      </c>
      <c r="BB156" s="61" t="e">
        <f>IF(COUNTIFS(allFYsTable[Code], SummaryTable[[#This Row],[Code]], allFYsTable[year2], AX$3)=0, NotFound, SUMIFS(allFYsTable[Actual], allFYsTable[Code], SummaryTable[[#This Row],[Code]], allFYsTable[year2], AX$3))</f>
        <v>#N/A</v>
      </c>
      <c r="BC156" s="61" t="e">
        <f>IF(COUNTIFS(allFYsTable[Code], SummaryTable[[#This Row],[Code]], allFYsTable[year2], AX$3)=0, NotFound, SUMIFS(allFYsTable[DiffAmount], allFYsTable[Code], SummaryTable[[#This Row],[Code]], allFYsTable[year2], AX$3))</f>
        <v>#N/A</v>
      </c>
      <c r="BD156" s="63" t="e">
        <f>IF(SummaryTable[[#This Row],[OriginalBudget22]]=0, IF(SummaryTable[[#This Row],[DiffAmount22]]=0, ZeroBudgetNoSpending, ZeroBudgetWithSpending), SummaryTable[[#This Row],[DiffAmount22]]/SummaryTable[[#This Row],[OriginalBudget22]])</f>
        <v>#N/A</v>
      </c>
      <c r="BE156" s="62" t="e">
        <f>IF(COUNTIFS(allFYsTable[Code], SummaryTable[[#This Row],[Code]], allFYsTable[year2], BE$3)=0, NotFound, SUMIFS(allFYsTable[OriginalBudget], allFYsTable[Code], SummaryTable[[#This Row],[Code]], allFYsTable[year2], BE$3))</f>
        <v>#N/A</v>
      </c>
      <c r="BF156" s="61" t="e">
        <f>SummaryTable[[#This Row],[OriginalBudget21]]-SummaryTable[[#This Row],[OriginalBudget20]]</f>
        <v>#N/A</v>
      </c>
      <c r="BG156" s="54" t="e">
        <f>SummaryTable[[#This Row],[BudgetIncreaseAmount21]]/SummaryTable[[#This Row],[OriginalBudget20]]</f>
        <v>#N/A</v>
      </c>
      <c r="BH156" s="61" t="e">
        <f>IF(COUNTIFS(allFYsTable[Code], SummaryTable[[#This Row],[Code]], allFYsTable[year2], BE$3)=0, NotFound, SUMIFS(allFYsTable[RevisedBudget], allFYsTable[Code], SummaryTable[[#This Row],[Code]], allFYsTable[year2], BE$3))</f>
        <v>#N/A</v>
      </c>
      <c r="BI156" s="61" t="e">
        <f>IF(COUNTIFS(allFYsTable[Code], SummaryTable[[#This Row],[Code]], allFYsTable[year2], BE$3)=0, NotFound, SUMIFS(allFYsTable[Actual], allFYsTable[Code], SummaryTable[[#This Row],[Code]], allFYsTable[year2], BE$3))</f>
        <v>#N/A</v>
      </c>
      <c r="BJ156" s="61" t="e">
        <f>IF(COUNTIFS(allFYsTable[Code], SummaryTable[[#This Row],[Code]], allFYsTable[year2], BE$3)=0, NotFound, SUMIFS(allFYsTable[DiffAmount], allFYsTable[Code], SummaryTable[[#This Row],[Code]], allFYsTable[year2], BE$3))</f>
        <v>#N/A</v>
      </c>
      <c r="BK156" s="63" t="e">
        <f>IF(SummaryTable[[#This Row],[OriginalBudget21]]=0, IF(SummaryTable[[#This Row],[DiffAmount21]]=0, ZeroBudgetNoSpending, ZeroBudgetWithSpending), SummaryTable[[#This Row],[DiffAmount21]]/SummaryTable[[#This Row],[OriginalBudget21]])</f>
        <v>#N/A</v>
      </c>
      <c r="BL156" s="62" t="e">
        <f>IF(COUNTIFS(allFYsTable[Code], SummaryTable[[#This Row],[Code]], allFYsTable[year2], BL$3)=0, NotFound, SUMIFS(allFYsTable[OriginalBudget], allFYsTable[Code], SummaryTable[[#This Row],[Code]], allFYsTable[year2], BL$3))</f>
        <v>#N/A</v>
      </c>
      <c r="BM156" s="61" t="e">
        <f>SummaryTable[[#This Row],[OriginalBudget20]]-SummaryTable[[#This Row],[OriginalBudget19]]</f>
        <v>#N/A</v>
      </c>
      <c r="BN156" s="54" t="e">
        <f>SummaryTable[[#This Row],[BudgetIncreaseAmount20]]/SummaryTable[[#This Row],[OriginalBudget19]]</f>
        <v>#N/A</v>
      </c>
      <c r="BO156" s="61" t="e">
        <f>IF(COUNTIFS(allFYsTable[Code], SummaryTable[[#This Row],[Code]], allFYsTable[year2], BL$3)=0, NotFound, SUMIFS(allFYsTable[RevisedBudget], allFYsTable[Code], SummaryTable[[#This Row],[Code]], allFYsTable[year2], BL$3))</f>
        <v>#N/A</v>
      </c>
      <c r="BP156" s="61" t="e">
        <f>IF(COUNTIFS(allFYsTable[Code], SummaryTable[[#This Row],[Code]], allFYsTable[year2], BL$3)=0, NotFound, SUMIFS(allFYsTable[Actual], allFYsTable[Code], SummaryTable[[#This Row],[Code]], allFYsTable[year2], BL$3))</f>
        <v>#N/A</v>
      </c>
      <c r="BQ156" s="61" t="e">
        <f>IF(COUNTIFS(allFYsTable[Code], SummaryTable[[#This Row],[Code]], allFYsTable[year2], BL$3)=0, NotFound, SUMIFS(allFYsTable[DiffAmount], allFYsTable[Code], SummaryTable[[#This Row],[Code]], allFYsTable[year2], BL$3))</f>
        <v>#N/A</v>
      </c>
      <c r="BR156" s="63" t="e">
        <f>IF(SummaryTable[[#This Row],[OriginalBudget20]]=0, IF(SummaryTable[[#This Row],[DiffAmount20]]=0, ZeroBudgetNoSpending, ZeroBudgetWithSpending), SummaryTable[[#This Row],[DiffAmount20]]/SummaryTable[[#This Row],[OriginalBudget20]])</f>
        <v>#N/A</v>
      </c>
      <c r="BS156" s="62" t="e">
        <f>IF(COUNTIFS(allFYsTable[Code], SummaryTable[[#This Row],[Code]], allFYsTable[year2], BS$3)=0, NotFound, SUMIFS(allFYsTable[OriginalBudget], allFYsTable[Code], SummaryTable[[#This Row],[Code]], allFYsTable[year2], BS$3))</f>
        <v>#N/A</v>
      </c>
      <c r="BT156" s="61" t="e">
        <f>SummaryTable[[#This Row],[OriginalBudget19]]-SummaryTable[[#This Row],[OriginalBudget18]]</f>
        <v>#N/A</v>
      </c>
      <c r="BU156" s="54" t="e">
        <f>SummaryTable[[#This Row],[BudgetIncreaseAmount19]]/SummaryTable[[#This Row],[OriginalBudget18]]</f>
        <v>#N/A</v>
      </c>
      <c r="BV156" s="61" t="e">
        <f>IF(COUNTIFS(allFYsTable[Code], SummaryTable[[#This Row],[Code]], allFYsTable[year2], BS$3)=0, NotFound, SUMIFS(allFYsTable[RevisedBudget], allFYsTable[Code], SummaryTable[[#This Row],[Code]], allFYsTable[year2], BS$3))</f>
        <v>#N/A</v>
      </c>
      <c r="BW156" s="61" t="e">
        <f>IF(COUNTIFS(allFYsTable[Code], SummaryTable[[#This Row],[Code]], allFYsTable[year2], BS$3)=0, NotFound, SUMIFS(allFYsTable[Actual], allFYsTable[Code], SummaryTable[[#This Row],[Code]], allFYsTable[year2], BS$3))</f>
        <v>#N/A</v>
      </c>
      <c r="BX156" s="61" t="e">
        <f>IF(COUNTIFS(allFYsTable[Code], SummaryTable[[#This Row],[Code]], allFYsTable[year2], BS$3)=0, NotFound, SUMIFS(allFYsTable[DiffAmount], allFYsTable[Code], SummaryTable[[#This Row],[Code]], allFYsTable[year2], BS$3))</f>
        <v>#N/A</v>
      </c>
      <c r="BY156" s="63" t="e">
        <f>IF(SummaryTable[[#This Row],[OriginalBudget19]]=0, IF(SummaryTable[[#This Row],[DiffAmount19]]=0, ZeroBudgetNoSpending, ZeroBudgetWithSpending), SummaryTable[[#This Row],[DiffAmount19]]/SummaryTable[[#This Row],[OriginalBudget19]])</f>
        <v>#N/A</v>
      </c>
      <c r="BZ156" s="62" t="e">
        <f>IF(COUNTIFS(allFYsTable[Code], SummaryTable[[#This Row],[Code]], allFYsTable[year2], BZ$3)=0, NotFound, SUMIFS(allFYsTable[OriginalBudget], allFYsTable[Code], SummaryTable[[#This Row],[Code]], allFYsTable[year2], BZ$3))</f>
        <v>#N/A</v>
      </c>
      <c r="CA156" s="61" t="e">
        <f>SummaryTable[[#This Row],[OriginalBudget18]]-SummaryTable[[#This Row],[OriginalBudget17]]</f>
        <v>#N/A</v>
      </c>
      <c r="CB156" s="54" t="e">
        <f>SummaryTable[[#This Row],[BudgetIncreaseAmount18]]/SummaryTable[[#This Row],[OriginalBudget17]]</f>
        <v>#N/A</v>
      </c>
      <c r="CC156" s="61" t="e">
        <f>IF(COUNTIFS(allFYsTable[Code], SummaryTable[[#This Row],[Code]], allFYsTable[year2], BZ$3)=0, NotFound, SUMIFS(allFYsTable[RevisedBudget], allFYsTable[Code], SummaryTable[[#This Row],[Code]], allFYsTable[year2], BZ$3))</f>
        <v>#N/A</v>
      </c>
      <c r="CD156" s="61" t="e">
        <f>IF(COUNTIFS(allFYsTable[Code], SummaryTable[[#This Row],[Code]], allFYsTable[year2], BZ$3)=0, NotFound, SUMIFS(allFYsTable[Actual], allFYsTable[Code], SummaryTable[[#This Row],[Code]], allFYsTable[year2], BZ$3))</f>
        <v>#N/A</v>
      </c>
      <c r="CE156" s="61" t="e">
        <f>IF(COUNTIFS(allFYsTable[Code], SummaryTable[[#This Row],[Code]], allFYsTable[year2], BZ$3)=0, NotFound, SUMIFS(allFYsTable[DiffAmount], allFYsTable[Code], SummaryTable[[#This Row],[Code]], allFYsTable[year2], BZ$3))</f>
        <v>#N/A</v>
      </c>
      <c r="CF156" s="63" t="e">
        <f>IF(SummaryTable[[#This Row],[OriginalBudget18]]=0, IF(SummaryTable[[#This Row],[DiffAmount18]]=0, ZeroBudgetNoSpending, ZeroBudgetWithSpending), SummaryTable[[#This Row],[DiffAmount18]]/SummaryTable[[#This Row],[OriginalBudget18]])</f>
        <v>#N/A</v>
      </c>
      <c r="CG156" s="62" t="e">
        <f>IF(COUNTIFS(allFYsTable[Code], SummaryTable[[#This Row],[Code]], allFYsTable[year2], CG$3)=0, NotFound, SUMIFS(allFYsTable[OriginalBudget], allFYsTable[Code], SummaryTable[[#This Row],[Code]], allFYsTable[year2], CG$3))</f>
        <v>#N/A</v>
      </c>
      <c r="CH156" s="61" t="e">
        <f>SummaryTable[[#This Row],[OriginalBudget17]]-SummaryTable[[#This Row],[OriginalBudget16]]</f>
        <v>#N/A</v>
      </c>
      <c r="CI156" s="54" t="e">
        <f>SummaryTable[[#This Row],[BudgetIncreaseAmount17]]/SummaryTable[[#This Row],[OriginalBudget16]]</f>
        <v>#N/A</v>
      </c>
      <c r="CJ156" s="61" t="e">
        <f>IF(COUNTIFS(allFYsTable[Code], SummaryTable[[#This Row],[Code]], allFYsTable[year2], CG$3)=0, NotFound, SUMIFS(allFYsTable[RevisedBudget], allFYsTable[Code], SummaryTable[[#This Row],[Code]], allFYsTable[year2], CG$3))</f>
        <v>#N/A</v>
      </c>
      <c r="CK156" s="61" t="e">
        <f>IF(COUNTIFS(allFYsTable[Code], SummaryTable[[#This Row],[Code]], allFYsTable[year2], CG$3)=0, NotFound, SUMIFS(allFYsTable[Actual], allFYsTable[Code], SummaryTable[[#This Row],[Code]], allFYsTable[year2], CG$3))</f>
        <v>#N/A</v>
      </c>
      <c r="CL156" s="61" t="e">
        <f>IF(COUNTIFS(allFYsTable[Code], SummaryTable[[#This Row],[Code]], allFYsTable[year2], CG$3)=0, NotFound, SUMIFS(allFYsTable[DiffAmount], allFYsTable[Code], SummaryTable[[#This Row],[Code]], allFYsTable[year2], CG$3))</f>
        <v>#N/A</v>
      </c>
      <c r="CM156" s="63" t="e">
        <f>IF(SummaryTable[[#This Row],[OriginalBudget17]]=0, IF(SummaryTable[[#This Row],[DiffAmount17]]=0, ZeroBudgetNoSpending, ZeroBudgetWithSpending), SummaryTable[[#This Row],[DiffAmount17]]/SummaryTable[[#This Row],[OriginalBudget17]])</f>
        <v>#N/A</v>
      </c>
      <c r="CN156" s="62" t="e">
        <f>IF(COUNTIFS(allFYsTable[Code], SummaryTable[[#This Row],[Code]], allFYsTable[year2], CN$3)=0, NotFound, SUMIFS(allFYsTable[OriginalBudget], allFYsTable[Code], SummaryTable[[#This Row],[Code]], allFYsTable[year2], CN$3))</f>
        <v>#N/A</v>
      </c>
      <c r="CO156" s="61" t="e">
        <f>SummaryTable[[#This Row],[OriginalBudget16]]-SummaryTable[[#This Row],[OriginalBudget15]]</f>
        <v>#N/A</v>
      </c>
      <c r="CP156" s="54" t="e">
        <f>SummaryTable[[#This Row],[BudgetIncreaseAmount16]]/SummaryTable[[#This Row],[OriginalBudget15]]</f>
        <v>#N/A</v>
      </c>
      <c r="CQ156" s="61" t="e">
        <f>IF(COUNTIFS(allFYsTable[Code], SummaryTable[[#This Row],[Code]], allFYsTable[year2], CN$3)=0, NotFound, SUMIFS(allFYsTable[RevisedBudget], allFYsTable[Code], SummaryTable[[#This Row],[Code]], allFYsTable[year2], CN$3))</f>
        <v>#N/A</v>
      </c>
      <c r="CR156" s="61" t="e">
        <f>IF(COUNTIFS(allFYsTable[Code], SummaryTable[[#This Row],[Code]], allFYsTable[year2], CN$3)=0, NotFound, SUMIFS(allFYsTable[Actual], allFYsTable[Code], SummaryTable[[#This Row],[Code]], allFYsTable[year2], CN$3))</f>
        <v>#N/A</v>
      </c>
      <c r="CS156" s="61" t="e">
        <f>IF(COUNTIFS(allFYsTable[Code], SummaryTable[[#This Row],[Code]], allFYsTable[year2], CN$3)=0, NotFound, SUMIFS(allFYsTable[DiffAmount], allFYsTable[Code], SummaryTable[[#This Row],[Code]], allFYsTable[year2], CN$3))</f>
        <v>#N/A</v>
      </c>
      <c r="CT156" s="63" t="e">
        <f>IF(SummaryTable[[#This Row],[OriginalBudget16]]=0, IF(SummaryTable[[#This Row],[DiffAmount16]]=0, ZeroBudgetNoSpending, ZeroBudgetWithSpending), SummaryTable[[#This Row],[DiffAmount16]]/SummaryTable[[#This Row],[OriginalBudget16]])</f>
        <v>#N/A</v>
      </c>
      <c r="CU156" s="62" t="e">
        <f>IF(COUNTIFS(allFYsTable[Code], SummaryTable[[#This Row],[Code]], allFYsTable[year2], CU$3)=0, NotFound, SUMIFS(allFYsTable[OriginalBudget], allFYsTable[Code], SummaryTable[[#This Row],[Code]], allFYsTable[year2], CU$3))</f>
        <v>#N/A</v>
      </c>
      <c r="CV156" s="61" t="e">
        <f>SummaryTable[[#This Row],[OriginalBudget15]]-SummaryTable[[#This Row],[OriginalBudget14]]</f>
        <v>#N/A</v>
      </c>
      <c r="CW156" s="54" t="e">
        <f>SummaryTable[[#This Row],[BudgetIncreaseAmount15]]/SummaryTable[[#This Row],[OriginalBudget14]]</f>
        <v>#N/A</v>
      </c>
      <c r="CX156" s="61" t="e">
        <f>IF(COUNTIFS(allFYsTable[Code], SummaryTable[[#This Row],[Code]], allFYsTable[year2], CU$3)=0, NotFound, SUMIFS(allFYsTable[RevisedBudget], allFYsTable[Code], SummaryTable[[#This Row],[Code]], allFYsTable[year2], CU$3))</f>
        <v>#N/A</v>
      </c>
      <c r="CY156" s="61" t="e">
        <f>IF(COUNTIFS(allFYsTable[Code], SummaryTable[[#This Row],[Code]], allFYsTable[year2], CU$3)=0, NotFound, SUMIFS(allFYsTable[Actual], allFYsTable[Code], SummaryTable[[#This Row],[Code]], allFYsTable[year2], CU$3))</f>
        <v>#N/A</v>
      </c>
      <c r="CZ156" s="61" t="e">
        <f>IF(COUNTIFS(allFYsTable[Code], SummaryTable[[#This Row],[Code]], allFYsTable[year2], CU$3)=0, NotFound, SUMIFS(allFYsTable[DiffAmount], allFYsTable[Code], SummaryTable[[#This Row],[Code]], allFYsTable[year2], CU$3))</f>
        <v>#N/A</v>
      </c>
      <c r="DA156" s="63" t="e">
        <f>IF(SummaryTable[[#This Row],[OriginalBudget15]]=0, IF(SummaryTable[[#This Row],[DiffAmount15]]=0, ZeroBudgetNoSpending, ZeroBudgetWithSpending), SummaryTable[[#This Row],[DiffAmount15]]/SummaryTable[[#This Row],[OriginalBudget15]])</f>
        <v>#N/A</v>
      </c>
      <c r="DB156" s="62">
        <f>IF(COUNTIFS(allFYsTable[Code], SummaryTable[[#This Row],[Code]], allFYsTable[year2], DB$3)=0, NotFound, SUMIFS(allFYsTable[OriginalBudget], allFYsTable[Code], SummaryTable[[#This Row],[Code]], allFYsTable[year2], DB$3))</f>
        <v>0</v>
      </c>
      <c r="DC156" s="61" t="e">
        <f>SummaryTable[[#This Row],[OriginalBudget14]]-SummaryTable[[#This Row],[OriginalBudget13]]</f>
        <v>#N/A</v>
      </c>
      <c r="DD156" s="54" t="e">
        <f>SummaryTable[[#This Row],[BudgetIncreaseAmount14]]/SummaryTable[[#This Row],[OriginalBudget13]]</f>
        <v>#N/A</v>
      </c>
      <c r="DE156" s="61">
        <f>IF(COUNTIFS(allFYsTable[Code], SummaryTable[[#This Row],[Code]], allFYsTable[year2], DB$3)=0, NotFound, SUMIFS(allFYsTable[RevisedBudget], allFYsTable[Code], SummaryTable[[#This Row],[Code]], allFYsTable[year2], DB$3))</f>
        <v>0</v>
      </c>
      <c r="DF156" s="61">
        <f>IF(COUNTIFS(allFYsTable[Code], SummaryTable[[#This Row],[Code]], allFYsTable[year2], DB$3)=0, NotFound, SUMIFS(allFYsTable[Actual], allFYsTable[Code], SummaryTable[[#This Row],[Code]], allFYsTable[year2], DB$3))</f>
        <v>0</v>
      </c>
      <c r="DG156" s="61">
        <f>IF(COUNTIFS(allFYsTable[Code], SummaryTable[[#This Row],[Code]], allFYsTable[year2], DB$3)=0, NotFound, SUMIFS(allFYsTable[DiffAmount], allFYsTable[Code], SummaryTable[[#This Row],[Code]], allFYsTable[year2], DB$3))</f>
        <v>0</v>
      </c>
      <c r="DH156" s="63">
        <f>IF(SummaryTable[[#This Row],[OriginalBudget14]]=0, IF(SummaryTable[[#This Row],[DiffAmount14]]=0, ZeroBudgetNoSpending, ZeroBudgetWithSpending), SummaryTable[[#This Row],[DiffAmount14]]/SummaryTable[[#This Row],[OriginalBudget14]])</f>
        <v>0</v>
      </c>
      <c r="DI156" s="62" t="e">
        <f>IF(COUNTIFS(allFYsTable[Code], SummaryTable[[#This Row],[Code]], allFYsTable[year2], DI$3)=0, NotFound, SUMIFS(allFYsTable[OriginalBudget], allFYsTable[Code], SummaryTable[[#This Row],[Code]], allFYsTable[year2], DI$3))</f>
        <v>#N/A</v>
      </c>
      <c r="DJ156" s="61" t="e">
        <f>SummaryTable[[#This Row],[OriginalBudget13]]-SummaryTable[[#This Row],[OriginalBudget12]]</f>
        <v>#N/A</v>
      </c>
      <c r="DK156" s="54" t="e">
        <f>SummaryTable[[#This Row],[BudgetIncreaseAmount13]]/SummaryTable[[#This Row],[OriginalBudget12]]</f>
        <v>#N/A</v>
      </c>
      <c r="DL156" s="61" t="e">
        <f>IF(COUNTIFS(allFYsTable[Code], SummaryTable[[#This Row],[Code]], allFYsTable[year2], DI$3)=0, NotFound, SUMIFS(allFYsTable[RevisedBudget], allFYsTable[Code], SummaryTable[[#This Row],[Code]], allFYsTable[year2], DI$3))</f>
        <v>#N/A</v>
      </c>
      <c r="DM156" s="61" t="e">
        <f>IF(COUNTIFS(allFYsTable[Code], SummaryTable[[#This Row],[Code]], allFYsTable[year2], DI$3)=0, NotFound, SUMIFS(allFYsTable[Actual], allFYsTable[Code], SummaryTable[[#This Row],[Code]], allFYsTable[year2], DI$3))</f>
        <v>#N/A</v>
      </c>
      <c r="DN156" s="61" t="e">
        <f>IF(COUNTIFS(allFYsTable[Code], SummaryTable[[#This Row],[Code]], allFYsTable[year2], DI$3)=0, NotFound, SUMIFS(allFYsTable[DiffAmount], allFYsTable[Code], SummaryTable[[#This Row],[Code]], allFYsTable[year2], DI$3))</f>
        <v>#N/A</v>
      </c>
      <c r="DO156" s="63" t="e">
        <f>IF(SummaryTable[[#This Row],[OriginalBudget13]]=0, IF(SummaryTable[[#This Row],[DiffAmount13]]=0, ZeroBudgetNoSpending, ZeroBudgetWithSpending), SummaryTable[[#This Row],[DiffAmount13]]/SummaryTable[[#This Row],[OriginalBudget13]])</f>
        <v>#N/A</v>
      </c>
      <c r="DP156" s="62">
        <f>IF(COUNTIFS(allFYsTable[Code], SummaryTable[[#This Row],[Code]], allFYsTable[year2], DP$3)=0, NotFound, SUMIFS(allFYsTable[OriginalBudget], allFYsTable[Code], SummaryTable[[#This Row],[Code]], allFYsTable[year2], DP$3))</f>
        <v>0</v>
      </c>
      <c r="DQ156" s="61">
        <f>SummaryTable[[#This Row],[OriginalBudget12]]-SummaryTable[[#This Row],[OriginalBudget11]]</f>
        <v>0</v>
      </c>
      <c r="DR156" s="54" t="e">
        <f>SummaryTable[[#This Row],[BudgetIncreaseAmount12]]/SummaryTable[[#This Row],[OriginalBudget11]]</f>
        <v>#DIV/0!</v>
      </c>
      <c r="DS156" s="61">
        <f>IF(COUNTIFS(allFYsTable[Code], SummaryTable[[#This Row],[Code]], allFYsTable[year2], DP$3)=0, NotFound, SUMIFS(allFYsTable[RevisedBudget], allFYsTable[Code], SummaryTable[[#This Row],[Code]], allFYsTable[year2], DP$3))</f>
        <v>0</v>
      </c>
      <c r="DT156" s="61">
        <f>IF(COUNTIFS(allFYsTable[Code], SummaryTable[[#This Row],[Code]], allFYsTable[year2], DP$3)=0, NotFound, SUMIFS(allFYsTable[Actual], allFYsTable[Code], SummaryTable[[#This Row],[Code]], allFYsTable[year2], DP$3))</f>
        <v>0</v>
      </c>
      <c r="DU156" s="61">
        <f>IF(COUNTIFS(allFYsTable[Code], SummaryTable[[#This Row],[Code]], allFYsTable[year2], DP$3)=0, NotFound, SUMIFS(allFYsTable[DiffAmount], allFYsTable[Code], SummaryTable[[#This Row],[Code]], allFYsTable[year2], DP$3))</f>
        <v>0</v>
      </c>
      <c r="DV156" s="63">
        <f>IF(SummaryTable[[#This Row],[OriginalBudget12]]=0, IF(SummaryTable[[#This Row],[DiffAmount12]]=0, ZeroBudgetNoSpending, ZeroBudgetWithSpending), SummaryTable[[#This Row],[DiffAmount12]]/SummaryTable[[#This Row],[OriginalBudget12]])</f>
        <v>0</v>
      </c>
      <c r="DW156" s="62">
        <f>IF(COUNTIFS(allFYsTable[Code], SummaryTable[[#This Row],[Code]], allFYsTable[year2], DW$3)=0, NotFound, SUMIFS(allFYsTable[OriginalBudget], allFYsTable[Code], SummaryTable[[#This Row],[Code]], allFYsTable[year2], DW$3))</f>
        <v>0</v>
      </c>
      <c r="DX156" s="61">
        <f>SummaryTable[[#This Row],[OriginalBudget11]]-SummaryTable[[#This Row],[OriginalBudget10]]</f>
        <v>0</v>
      </c>
      <c r="DY156" s="54" t="e">
        <f>SummaryTable[[#This Row],[BudgetIncreaseAmount11]]/SummaryTable[[#This Row],[OriginalBudget10]]</f>
        <v>#DIV/0!</v>
      </c>
      <c r="DZ156" s="61">
        <f>IF(COUNTIFS(allFYsTable[Code], SummaryTable[[#This Row],[Code]], allFYsTable[year2], DW$3)=0, NotFound, SUMIFS(allFYsTable[RevisedBudget], allFYsTable[Code], SummaryTable[[#This Row],[Code]], allFYsTable[year2], DW$3))</f>
        <v>0</v>
      </c>
      <c r="EA156" s="61">
        <f>IF(COUNTIFS(allFYsTable[Code], SummaryTable[[#This Row],[Code]], allFYsTable[year2], DW$3)=0, NotFound, SUMIFS(allFYsTable[Actual], allFYsTable[Code], SummaryTable[[#This Row],[Code]], allFYsTable[year2], DW$3))</f>
        <v>0</v>
      </c>
      <c r="EB156" s="61">
        <f>IF(COUNTIFS(allFYsTable[Code], SummaryTable[[#This Row],[Code]], allFYsTable[year2], DW$3)=0, NotFound, SUMIFS(allFYsTable[DiffAmount], allFYsTable[Code], SummaryTable[[#This Row],[Code]], allFYsTable[year2], DW$3))</f>
        <v>0</v>
      </c>
      <c r="EC156" s="63">
        <f>IF(SummaryTable[[#This Row],[OriginalBudget11]]=0, IF(SummaryTable[[#This Row],[DiffAmount11]]=0, ZeroBudgetNoSpending, ZeroBudgetWithSpending), SummaryTable[[#This Row],[DiffAmount11]]/SummaryTable[[#This Row],[OriginalBudget11]])</f>
        <v>0</v>
      </c>
      <c r="ED156" s="62">
        <f>IF(COUNTIFS(allFYsTable[Code], SummaryTable[[#This Row],[Code]], allFYsTable[year2], ED$3)=0, NotFound, SUMIFS(allFYsTable[OriginalBudget], allFYsTable[Code], SummaryTable[[#This Row],[Code]], allFYsTable[year2], ED$3))</f>
        <v>0</v>
      </c>
      <c r="EE156" s="61">
        <f>SummaryTable[[#This Row],[OriginalBudget10]]-SummaryTable[[#This Row],[OriginalBudget09]]</f>
        <v>0</v>
      </c>
      <c r="EF156" s="54" t="e">
        <f>SummaryTable[[#This Row],[BudgetIncreaseAmount10]]/SummaryTable[[#This Row],[OriginalBudget09]]</f>
        <v>#DIV/0!</v>
      </c>
      <c r="EG156" s="61">
        <f>IF(COUNTIFS(allFYsTable[Code], SummaryTable[[#This Row],[Code]], allFYsTable[year2], ED$3)=0, NotFound, SUMIFS(allFYsTable[RevisedBudget], allFYsTable[Code], SummaryTable[[#This Row],[Code]], allFYsTable[year2], ED$3))</f>
        <v>0</v>
      </c>
      <c r="EH156" s="61">
        <f>IF(COUNTIFS(allFYsTable[Code], SummaryTable[[#This Row],[Code]], allFYsTable[year2], ED$3)=0, NotFound, SUMIFS(allFYsTable[Actual], allFYsTable[Code], SummaryTable[[#This Row],[Code]], allFYsTable[year2], ED$3))</f>
        <v>0</v>
      </c>
      <c r="EI156" s="61">
        <f>IF(COUNTIFS(allFYsTable[Code], SummaryTable[[#This Row],[Code]], allFYsTable[year2], ED$3)=0, NotFound, SUMIFS(allFYsTable[DiffAmount], allFYsTable[Code], SummaryTable[[#This Row],[Code]], allFYsTable[year2], ED$3))</f>
        <v>0</v>
      </c>
      <c r="EJ156" s="63">
        <f>IF(SummaryTable[[#This Row],[OriginalBudget10]]=0, IF(SummaryTable[[#This Row],[DiffAmount10]]=0, ZeroBudgetNoSpending, ZeroBudgetWithSpending), SummaryTable[[#This Row],[DiffAmount10]]/SummaryTable[[#This Row],[OriginalBudget10]])</f>
        <v>0</v>
      </c>
      <c r="EK156" s="62">
        <f>IF(COUNTIFS(allFYsTable[Code], SummaryTable[[#This Row],[Code]], allFYsTable[year2], EK$3)=0, NotFound, SUMIFS(allFYsTable[OriginalBudget], allFYsTable[Code], SummaryTable[[#This Row],[Code]], allFYsTable[year2], EK$3))</f>
        <v>0</v>
      </c>
      <c r="EL156" s="61">
        <f>SummaryTable[[#This Row],[OriginalBudget09]]-SummaryTable[[#This Row],[OriginalBudget08]]</f>
        <v>0</v>
      </c>
      <c r="EM156" s="54" t="e">
        <f>SummaryTable[[#This Row],[BudgetIncreaseAmount09]]/SummaryTable[[#This Row],[OriginalBudget08]]</f>
        <v>#DIV/0!</v>
      </c>
      <c r="EN156" s="61">
        <f>IF(COUNTIFS(allFYsTable[Code], SummaryTable[[#This Row],[Code]], allFYsTable[year2], EK$3)=0, NotFound, SUMIFS(allFYsTable[RevisedBudget], allFYsTable[Code], SummaryTable[[#This Row],[Code]], allFYsTable[year2], EK$3))</f>
        <v>0</v>
      </c>
      <c r="EO156" s="61">
        <f>IF(COUNTIFS(allFYsTable[Code], SummaryTable[[#This Row],[Code]], allFYsTable[year2], EK$3)=0, NotFound, SUMIFS(allFYsTable[Actual], allFYsTable[Code], SummaryTable[[#This Row],[Code]], allFYsTable[year2], EK$3))</f>
        <v>0</v>
      </c>
      <c r="EP156" s="61">
        <f>IF(COUNTIFS(allFYsTable[Code], SummaryTable[[#This Row],[Code]], allFYsTable[year2], EK$3)=0, NotFound, SUMIFS(allFYsTable[DiffAmount], allFYsTable[Code], SummaryTable[[#This Row],[Code]], allFYsTable[year2], EK$3))</f>
        <v>0</v>
      </c>
      <c r="EQ156" s="63">
        <f>IF(SummaryTable[[#This Row],[OriginalBudget09]]=0, IF(SummaryTable[[#This Row],[DiffAmount09]]=0, ZeroBudgetNoSpending, ZeroBudgetWithSpending), SummaryTable[[#This Row],[DiffAmount09]]/SummaryTable[[#This Row],[OriginalBudget09]])</f>
        <v>0</v>
      </c>
      <c r="ER156" s="62">
        <f>IF(COUNTIFS(allFYsTable[Code], SummaryTable[[#This Row],[Code]], allFYsTable[year2], ER$3)=0, NotFound, SUMIFS(allFYsTable[OriginalBudget], allFYsTable[Code], SummaryTable[[#This Row],[Code]], allFYsTable[year2], ER$3))</f>
        <v>0</v>
      </c>
      <c r="ES156" s="61">
        <f>SummaryTable[[#This Row],[OriginalBudget08]]-SummaryTable[[#This Row],[OriginalBudget07]]</f>
        <v>0</v>
      </c>
      <c r="ET156" s="54" t="e">
        <f>SummaryTable[[#This Row],[BudgetIncreaseAmount08]]/SummaryTable[[#This Row],[OriginalBudget07]]</f>
        <v>#DIV/0!</v>
      </c>
      <c r="EU156" s="61">
        <f>IF(COUNTIFS(allFYsTable[Code], SummaryTable[[#This Row],[Code]], allFYsTable[year2], ER$3)=0, NotFound, SUMIFS(allFYsTable[RevisedBudget], allFYsTable[Code], SummaryTable[[#This Row],[Code]], allFYsTable[year2], ER$3))</f>
        <v>0</v>
      </c>
      <c r="EV156" s="61">
        <f>IF(COUNTIFS(allFYsTable[Code], SummaryTable[[#This Row],[Code]], allFYsTable[year2], ER$3)=0, NotFound, SUMIFS(allFYsTable[Actual], allFYsTable[Code], SummaryTable[[#This Row],[Code]], allFYsTable[year2], ER$3))</f>
        <v>0</v>
      </c>
      <c r="EW156" s="61">
        <f>IF(COUNTIFS(allFYsTable[Code], SummaryTable[[#This Row],[Code]], allFYsTable[year2], ER$3)=0, NotFound, SUMIFS(allFYsTable[DiffAmount], allFYsTable[Code], SummaryTable[[#This Row],[Code]], allFYsTable[year2], ER$3))</f>
        <v>0</v>
      </c>
      <c r="EX156" s="63">
        <f>IF(SummaryTable[[#This Row],[OriginalBudget08]]=0, IF(SummaryTable[[#This Row],[DiffAmount08]]=0, ZeroBudgetNoSpending, ZeroBudgetWithSpending), SummaryTable[[#This Row],[DiffAmount08]]/SummaryTable[[#This Row],[OriginalBudget08]])</f>
        <v>0</v>
      </c>
      <c r="EY156" s="62">
        <f>IF(COUNTIFS(allFYsTable[Code], SummaryTable[[#This Row],[Code]], allFYsTable[year2], EY$3)=0, NotFound, SUMIFS(allFYsTable[OriginalBudget], allFYsTable[Code], SummaryTable[[#This Row],[Code]], allFYsTable[year2], EY$3))</f>
        <v>0</v>
      </c>
      <c r="EZ156" s="61">
        <f>SummaryTable[[#This Row],[OriginalBudget07]]-SummaryTable[[#This Row],[OriginalBudget06]]</f>
        <v>0</v>
      </c>
      <c r="FA156" s="54" t="e">
        <f>SummaryTable[[#This Row],[BudgetIncreaseAmount07]]/SummaryTable[[#This Row],[OriginalBudget06]]</f>
        <v>#DIV/0!</v>
      </c>
      <c r="FB156" s="61">
        <f>IF(COUNTIFS(allFYsTable[Code], SummaryTable[[#This Row],[Code]], allFYsTable[year2], EY$3)=0, NotFound, SUMIFS(allFYsTable[RevisedBudget], allFYsTable[Code], SummaryTable[[#This Row],[Code]], allFYsTable[year2], EY$3))</f>
        <v>0</v>
      </c>
      <c r="FC156" s="61">
        <f>IF(COUNTIFS(allFYsTable[Code], SummaryTable[[#This Row],[Code]], allFYsTable[year2], EY$3)=0, NotFound, SUMIFS(allFYsTable[Actual], allFYsTable[Code], SummaryTable[[#This Row],[Code]], allFYsTable[year2], EY$3))</f>
        <v>0</v>
      </c>
      <c r="FD156" s="61">
        <f>IF(COUNTIFS(allFYsTable[Code], SummaryTable[[#This Row],[Code]], allFYsTable[year2], EY$3)=0, NotFound, SUMIFS(allFYsTable[DiffAmount], allFYsTable[Code], SummaryTable[[#This Row],[Code]], allFYsTable[year2], EY$3))</f>
        <v>0</v>
      </c>
      <c r="FE156" s="63">
        <f>IF(SummaryTable[[#This Row],[OriginalBudget07]]=0, IF(SummaryTable[[#This Row],[DiffAmount07]]=0, ZeroBudgetNoSpending, ZeroBudgetWithSpending), SummaryTable[[#This Row],[DiffAmount07]]/SummaryTable[[#This Row],[OriginalBudget07]])</f>
        <v>0</v>
      </c>
      <c r="FF156" s="62">
        <f>IF(COUNTIFS(allFYsTable[Code], SummaryTable[[#This Row],[Code]], allFYsTable[year2], FF$3)=0, NotFound, SUMIFS(allFYsTable[OriginalBudget], allFYsTable[Code], SummaryTable[[#This Row],[Code]], allFYsTable[year2], FF$3))</f>
        <v>0</v>
      </c>
      <c r="FI156" s="61">
        <f>IF(COUNTIFS(allFYsTable[Code], SummaryTable[[#This Row],[Code]], allFYsTable[year2], FF$3)=0, NotFound, SUMIFS(allFYsTable[RevisedBudget], allFYsTable[Code], SummaryTable[[#This Row],[Code]], allFYsTable[year2], FF$3))</f>
        <v>0</v>
      </c>
      <c r="FJ156" s="61">
        <f>IF(COUNTIFS(allFYsTable[Code], SummaryTable[[#This Row],[Code]], allFYsTable[year2], FF$3)=0, NotFound, SUMIFS(allFYsTable[Actual], allFYsTable[Code], SummaryTable[[#This Row],[Code]], allFYsTable[year2], FF$3))</f>
        <v>0</v>
      </c>
      <c r="FK156" s="61">
        <f>IF(COUNTIFS(allFYsTable[Code], SummaryTable[[#This Row],[Code]], allFYsTable[year2], FF$3)=0, NotFound, SUMIFS(allFYsTable[DiffAmount], allFYsTable[Code], SummaryTable[[#This Row],[Code]], allFYsTable[year2], FF$3))</f>
        <v>0</v>
      </c>
      <c r="FL156" s="63">
        <f>IF(SummaryTable[[#This Row],[OriginalBudget06]]=0, IF(SummaryTable[[#This Row],[DiffAmount06]]=0, ZeroBudgetNoSpending, ZeroBudgetWithSpending), SummaryTable[[#This Row],[DiffAmount06]]/SummaryTable[[#This Row],[OriginalBudget06]])</f>
        <v>0</v>
      </c>
    </row>
    <row r="157" spans="1:168" x14ac:dyDescent="0.45">
      <c r="A157" t="s">
        <v>824</v>
      </c>
      <c r="B157">
        <f>_xlfn.MAXIFS(allFYsTable[year2], allFYsTable[Code], SummaryTable[[#This Row],[Code]])</f>
        <v>2014</v>
      </c>
      <c r="C157" t="str">
        <f>_xlfn.XLOOKUP(SummaryTable[[#This Row],[Code]], NameCodingTable[Code], NameCodingTable[Most Recent Category per allFYs])</f>
        <v>Other</v>
      </c>
      <c r="D157" t="str">
        <f>_xlfn.XLOOKUP(SummaryTable[[#This Row],[Code]], NameCodingTable[Code], NameCodingTable[Unit Display Name])</f>
        <v>Housing finance agency</v>
      </c>
      <c r="E157" t="str">
        <f>_xlfn.XLOOKUP(SummaryTable[[#This Row],[Code]], NameCodingTable[Code], NameCodingTable[Type])</f>
        <v>untyped</v>
      </c>
      <c r="F15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9</v>
      </c>
      <c r="G15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57" s="54">
        <f>SummaryTable[[#This Row],['# Over]]/SummaryTable[[#This Row],[Count]]</f>
        <v>0</v>
      </c>
      <c r="I15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57" s="54">
        <f>SummaryTable[[#This Row],['# Under]]/SummaryTable[[#This Row],[Count]]</f>
        <v>0</v>
      </c>
      <c r="K15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9</v>
      </c>
      <c r="L157" s="54">
        <f>SummaryTable[[#This Row],['# Equal]]/SummaryTable[[#This Row],[Count]]</f>
        <v>1</v>
      </c>
      <c r="M157" s="61">
        <f>SUMIFS(allFYsTable[OriginalBudget],allFYsTable[Code],SummaryTable[[#This Row],[Code]])/SummaryTable[[#This Row],[Count]]</f>
        <v>0</v>
      </c>
      <c r="N157" s="61">
        <f>SUMIFS(allFYsTable[Actual],allFYsTable[Code],SummaryTable[[#This Row],[Code]])/SummaryTable[[#This Row],[Count]]</f>
        <v>0</v>
      </c>
      <c r="O157" s="61">
        <f>SummaryTable[[#This Row],[AvgActAmt]]-SummaryTable[[#This Row],[AvgBudAmt]]</f>
        <v>0</v>
      </c>
      <c r="P157" s="54">
        <f>IF(SummaryTable[[#This Row],[AvgBudAmt]]=0, IF(SummaryTable[[#This Row],[AvgDiff'#]]=0, 0, NamedFields!$C$3), SummaryTable[[#This Row],[AvgDiff'#]]/SummaryTable[[#This Row],[AvgBudAmt]])</f>
        <v>0</v>
      </c>
      <c r="Q157" s="61">
        <f>IFERROR(SUMIFS(allFYsTable[OriginalBudget],allFYsTable[Code],SummaryTable[[#This Row],[Code]],allFYsTable[DiffAmount], "&gt;0")/SummaryTable[[#This Row],['# Over]], 0)</f>
        <v>0</v>
      </c>
      <c r="R157" s="61">
        <f>IFERROR(SUMIFS(allFYsTable[Actual],allFYsTable[Code],SummaryTable[[#This Row],[Code]],allFYsTable[DiffAmount], "&gt;0")/SummaryTable[[#This Row],['# Over]], 0)</f>
        <v>0</v>
      </c>
      <c r="S157" s="61">
        <f>SummaryTable[[#This Row],[OverAvgAct]]-SummaryTable[[#This Row],[OverAvgBud]]</f>
        <v>0</v>
      </c>
      <c r="T157" s="54">
        <f>IF(SummaryTable[[#This Row],[OverAvgBud]]=0, IF(SummaryTable[[#This Row],[OverAvgDiff'#]]=0, ZeroBudgetNoSpending, ZeroBudgetWithSpending), SummaryTable[[#This Row],[OverAvgDiff'#]]/SummaryTable[[#This Row],[OverAvgBud]])</f>
        <v>0</v>
      </c>
      <c r="U157" s="61">
        <f>IFERROR(SUMIFS(allFYsTable[OriginalBudget],allFYsTable[Code],SummaryTable[[#This Row],[Code]],allFYsTable[DiffAmount], "&lt;0")/SummaryTable[[#This Row],['# Under]], 0)</f>
        <v>0</v>
      </c>
      <c r="V157" s="61">
        <f>IFERROR( SUMIFS(allFYsTable[Actual],allFYsTable[Code],SummaryTable[[#This Row],[Code]],allFYsTable[DiffAmount], "&lt;0")/SummaryTable[[#This Row],['# Under]], 0)</f>
        <v>0</v>
      </c>
      <c r="W157" s="61">
        <f>SummaryTable[[#This Row],[UnderAvgAct]]-SummaryTable[[#This Row],[UnderAvgBud]]</f>
        <v>0</v>
      </c>
      <c r="X157" s="54">
        <f>IF(SummaryTable[[#This Row],[UnderAvgBud]]=0, IF(SummaryTable[[#This Row],[UnderAvgDiff'#]]=0, ZeroBudgetNoSpending, NamedFields!$C$3), SummaryTable[[#This Row],[UnderAvgDiff'#]]/SummaryTable[[#This Row],[UnderAvgBud]])</f>
        <v>0</v>
      </c>
      <c r="Y15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5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7" s="54">
        <f>IF(SummaryTable[[#This Row],[IncreaseYears]]=0, ZeroBudgetNoSpending, SummaryTable[[#This Row],[OSinIncreaseYear'#]]/SummaryTable[[#This Row],[IncreaseYears]])</f>
        <v>0</v>
      </c>
      <c r="AB157" s="58" t="str">
        <f>SummaryTable[[#This Row],[Code]]</f>
        <v>HF0</v>
      </c>
      <c r="AC157" s="62" t="e">
        <f>IF(COUNTIFS(allFYsTable[Code], SummaryTable[[#This Row],[Code]], allFYsTable[year2], AC$3)=0, NotFound, SUMIFS(allFYsTable[OriginalBudget], allFYsTable[Code], SummaryTable[[#This Row],[Code]], allFYsTable[year2], AC$3))</f>
        <v>#N/A</v>
      </c>
      <c r="AD157" s="61" t="e">
        <f>SummaryTable[[#This Row],[OriginalBudget25]]-SummaryTable[[#This Row],[OriginalBudget24]]</f>
        <v>#N/A</v>
      </c>
      <c r="AE157" s="54" t="e">
        <f>SummaryTable[[#This Row],[BudgetIncreaseAmount25]]/SummaryTable[[#This Row],[OriginalBudget24]]</f>
        <v>#N/A</v>
      </c>
      <c r="AF157" s="61" t="e">
        <f>IF(COUNTIFS(allFYsTable[Code], SummaryTable[[#This Row],[Code]], allFYsTable[year2], AC$3)=0, NotFound, SUMIFS(allFYsTable[RevisedBudget], allFYsTable[Code], SummaryTable[[#This Row],[Code]], allFYsTable[year2], AC$3))</f>
        <v>#N/A</v>
      </c>
      <c r="AG157" s="61" t="e">
        <f>IF(COUNTIFS(allFYsTable[Code], SummaryTable[[#This Row],[Code]], allFYsTable[year2], AC$3)=0, NotFound, SUMIFS(allFYsTable[Actual], allFYsTable[Code], SummaryTable[[#This Row],[Code]], allFYsTable[year2], AC$3))</f>
        <v>#N/A</v>
      </c>
      <c r="AH157" s="61" t="e">
        <f>IF(COUNTIFS(allFYsTable[Code], SummaryTable[[#This Row],[Code]], allFYsTable[year2], AC$3)=0, NotFound, SUMIFS(allFYsTable[DiffAmount], allFYsTable[Code], SummaryTable[[#This Row],[Code]], allFYsTable[year2], AC$3))</f>
        <v>#N/A</v>
      </c>
      <c r="AI157" s="63" t="e">
        <f>IF(SummaryTable[[#This Row],[OriginalBudget25]]=0, IF(SummaryTable[[#This Row],[DiffAmount25]]=0, ZeroBudgetNoSpending, ZeroBudgetWithSpending), SummaryTable[[#This Row],[DiffAmount25]]/SummaryTable[[#This Row],[OriginalBudget25]])</f>
        <v>#N/A</v>
      </c>
      <c r="AJ157" s="62" t="e">
        <f>IF(COUNTIFS(allFYsTable[Code], SummaryTable[[#This Row],[Code]], allFYsTable[year2], AJ$3)=0, NotFound, SUMIFS(allFYsTable[OriginalBudget], allFYsTable[Code], SummaryTable[[#This Row],[Code]], allFYsTable[year2], AJ$3))</f>
        <v>#N/A</v>
      </c>
      <c r="AK157" s="61" t="e">
        <f>SummaryTable[[#This Row],[OriginalBudget24]]-SummaryTable[[#This Row],[OriginalBudget23]]</f>
        <v>#N/A</v>
      </c>
      <c r="AL157" s="54" t="e">
        <f>SummaryTable[[#This Row],[BudgetIncreaseAmount24]]/SummaryTable[[#This Row],[OriginalBudget23]]</f>
        <v>#N/A</v>
      </c>
      <c r="AM157" s="61" t="e">
        <f>IF(COUNTIFS(allFYsTable[Code], SummaryTable[[#This Row],[Code]], allFYsTable[year2], AK$3)=0, NotFound, SUMIFS(allFYsTable[RevisedBudget], allFYsTable[Code], SummaryTable[[#This Row],[Code]], allFYsTable[year2], AJ$3))</f>
        <v>#N/A</v>
      </c>
      <c r="AN157" s="61" t="e">
        <f>IF(COUNTIFS(allFYsTable[Code], SummaryTable[[#This Row],[Code]], allFYsTable[year2], AJ$3)=0, NotFound, SUMIFS(allFYsTable[Actual], allFYsTable[Code], SummaryTable[[#This Row],[Code]], allFYsTable[year2], AJ$3))</f>
        <v>#N/A</v>
      </c>
      <c r="AO157" s="61" t="e">
        <f>IF(COUNTIFS(allFYsTable[Code], SummaryTable[[#This Row],[Code]], allFYsTable[year2], AJ$3)=0, NotFound, SUMIFS(allFYsTable[DiffAmount], allFYsTable[Code], SummaryTable[[#This Row],[Code]], allFYsTable[year2], AJ$3))</f>
        <v>#N/A</v>
      </c>
      <c r="AP157" s="63" t="e">
        <f>IF(SummaryTable[[#This Row],[OriginalBudget24]]=0, IF(SummaryTable[[#This Row],[DiffAmount24]]=0, ZeroBudgetNoSpending, ZeroBudgetWithSpending), SummaryTable[[#This Row],[DiffAmount24]]/SummaryTable[[#This Row],[OriginalBudget24]])</f>
        <v>#N/A</v>
      </c>
      <c r="AQ157" s="62" t="e">
        <f>IF(COUNTIFS(allFYsTable[Code], SummaryTable[[#This Row],[Code]], allFYsTable[year2], AQ$3)=0, NotFound, SUMIFS(allFYsTable[OriginalBudget], allFYsTable[Code], SummaryTable[[#This Row],[Code]], allFYsTable[year2], AQ$3))</f>
        <v>#N/A</v>
      </c>
      <c r="AR157" s="61" t="e">
        <f>SummaryTable[[#This Row],[OriginalBudget23]]-SummaryTable[[#This Row],[OriginalBudget22]]</f>
        <v>#N/A</v>
      </c>
      <c r="AS157" s="54" t="e">
        <f>SummaryTable[[#This Row],[BudgetIncreaseAmount23]]/SummaryTable[[#This Row],[OriginalBudget22]]</f>
        <v>#N/A</v>
      </c>
      <c r="AT157" s="61" t="e">
        <f>IF(COUNTIFS(allFYsTable[Code], SummaryTable[[#This Row],[Code]], allFYsTable[year2], AQ$3)=0, NotFound, SUMIFS(allFYsTable[RevisedBudget], allFYsTable[Code], SummaryTable[[#This Row],[Code]], allFYsTable[year2], AQ$3))</f>
        <v>#N/A</v>
      </c>
      <c r="AU157" s="61" t="e">
        <f>IF(COUNTIFS(allFYsTable[Code], SummaryTable[[#This Row],[Code]], allFYsTable[year2], AQ$3)=0, NotFound, SUMIFS(allFYsTable[Actual], allFYsTable[Code], SummaryTable[[#This Row],[Code]], allFYsTable[year2], AQ$3))</f>
        <v>#N/A</v>
      </c>
      <c r="AV157" s="61" t="e">
        <f>IF(COUNTIFS(allFYsTable[Code], SummaryTable[[#This Row],[Code]], allFYsTable[year2], AQ$3)=0, NotFound, SUMIFS(allFYsTable[DiffAmount], allFYsTable[Code], SummaryTable[[#This Row],[Code]], allFYsTable[year2], AQ$3))</f>
        <v>#N/A</v>
      </c>
      <c r="AW157" s="63" t="e">
        <f>IF(SummaryTable[[#This Row],[OriginalBudget23]]=0, IF(SummaryTable[[#This Row],[DiffAmount23]]=0, ZeroBudgetNoSpending, ZeroBudgetWithSpending), SummaryTable[[#This Row],[DiffAmount23]]/SummaryTable[[#This Row],[OriginalBudget23]])</f>
        <v>#N/A</v>
      </c>
      <c r="AX157" s="62" t="e">
        <f>IF(COUNTIFS(allFYsTable[Code], SummaryTable[[#This Row],[Code]], allFYsTable[year2], AX$3)=0, NotFound, SUMIFS(allFYsTable[OriginalBudget], allFYsTable[Code], SummaryTable[[#This Row],[Code]], allFYsTable[year2], AX$3))</f>
        <v>#N/A</v>
      </c>
      <c r="AY157" s="61" t="e">
        <f>SummaryTable[[#This Row],[OriginalBudget22]]-SummaryTable[[#This Row],[OriginalBudget21]]</f>
        <v>#N/A</v>
      </c>
      <c r="AZ157" s="54" t="e">
        <f>SummaryTable[[#This Row],[BudgetIncreaseAmount22]]/SummaryTable[[#This Row],[OriginalBudget21]]</f>
        <v>#N/A</v>
      </c>
      <c r="BA157" s="61" t="e">
        <f>IF(COUNTIFS(allFYsTable[Code], SummaryTable[[#This Row],[Code]], allFYsTable[year2], AX$3)=0, NotFound, SUMIFS(allFYsTable[RevisedBudget], allFYsTable[Code], SummaryTable[[#This Row],[Code]], allFYsTable[year2], AX$3))</f>
        <v>#N/A</v>
      </c>
      <c r="BB157" s="61" t="e">
        <f>IF(COUNTIFS(allFYsTable[Code], SummaryTable[[#This Row],[Code]], allFYsTable[year2], AX$3)=0, NotFound, SUMIFS(allFYsTable[Actual], allFYsTable[Code], SummaryTable[[#This Row],[Code]], allFYsTable[year2], AX$3))</f>
        <v>#N/A</v>
      </c>
      <c r="BC157" s="61" t="e">
        <f>IF(COUNTIFS(allFYsTable[Code], SummaryTable[[#This Row],[Code]], allFYsTable[year2], AX$3)=0, NotFound, SUMIFS(allFYsTable[DiffAmount], allFYsTable[Code], SummaryTable[[#This Row],[Code]], allFYsTable[year2], AX$3))</f>
        <v>#N/A</v>
      </c>
      <c r="BD157" s="63" t="e">
        <f>IF(SummaryTable[[#This Row],[OriginalBudget22]]=0, IF(SummaryTable[[#This Row],[DiffAmount22]]=0, ZeroBudgetNoSpending, ZeroBudgetWithSpending), SummaryTable[[#This Row],[DiffAmount22]]/SummaryTable[[#This Row],[OriginalBudget22]])</f>
        <v>#N/A</v>
      </c>
      <c r="BE157" s="62" t="e">
        <f>IF(COUNTIFS(allFYsTable[Code], SummaryTable[[#This Row],[Code]], allFYsTable[year2], BE$3)=0, NotFound, SUMIFS(allFYsTable[OriginalBudget], allFYsTable[Code], SummaryTable[[#This Row],[Code]], allFYsTable[year2], BE$3))</f>
        <v>#N/A</v>
      </c>
      <c r="BF157" s="61" t="e">
        <f>SummaryTable[[#This Row],[OriginalBudget21]]-SummaryTable[[#This Row],[OriginalBudget20]]</f>
        <v>#N/A</v>
      </c>
      <c r="BG157" s="54" t="e">
        <f>SummaryTable[[#This Row],[BudgetIncreaseAmount21]]/SummaryTable[[#This Row],[OriginalBudget20]]</f>
        <v>#N/A</v>
      </c>
      <c r="BH157" s="61" t="e">
        <f>IF(COUNTIFS(allFYsTable[Code], SummaryTable[[#This Row],[Code]], allFYsTable[year2], BE$3)=0, NotFound, SUMIFS(allFYsTable[RevisedBudget], allFYsTable[Code], SummaryTable[[#This Row],[Code]], allFYsTable[year2], BE$3))</f>
        <v>#N/A</v>
      </c>
      <c r="BI157" s="61" t="e">
        <f>IF(COUNTIFS(allFYsTable[Code], SummaryTable[[#This Row],[Code]], allFYsTable[year2], BE$3)=0, NotFound, SUMIFS(allFYsTable[Actual], allFYsTable[Code], SummaryTable[[#This Row],[Code]], allFYsTable[year2], BE$3))</f>
        <v>#N/A</v>
      </c>
      <c r="BJ157" s="61" t="e">
        <f>IF(COUNTIFS(allFYsTable[Code], SummaryTable[[#This Row],[Code]], allFYsTable[year2], BE$3)=0, NotFound, SUMIFS(allFYsTable[DiffAmount], allFYsTable[Code], SummaryTable[[#This Row],[Code]], allFYsTable[year2], BE$3))</f>
        <v>#N/A</v>
      </c>
      <c r="BK157" s="63" t="e">
        <f>IF(SummaryTable[[#This Row],[OriginalBudget21]]=0, IF(SummaryTable[[#This Row],[DiffAmount21]]=0, ZeroBudgetNoSpending, ZeroBudgetWithSpending), SummaryTable[[#This Row],[DiffAmount21]]/SummaryTable[[#This Row],[OriginalBudget21]])</f>
        <v>#N/A</v>
      </c>
      <c r="BL157" s="62" t="e">
        <f>IF(COUNTIFS(allFYsTable[Code], SummaryTable[[#This Row],[Code]], allFYsTable[year2], BL$3)=0, NotFound, SUMIFS(allFYsTable[OriginalBudget], allFYsTable[Code], SummaryTable[[#This Row],[Code]], allFYsTable[year2], BL$3))</f>
        <v>#N/A</v>
      </c>
      <c r="BM157" s="61" t="e">
        <f>SummaryTable[[#This Row],[OriginalBudget20]]-SummaryTable[[#This Row],[OriginalBudget19]]</f>
        <v>#N/A</v>
      </c>
      <c r="BN157" s="54" t="e">
        <f>SummaryTable[[#This Row],[BudgetIncreaseAmount20]]/SummaryTable[[#This Row],[OriginalBudget19]]</f>
        <v>#N/A</v>
      </c>
      <c r="BO157" s="61" t="e">
        <f>IF(COUNTIFS(allFYsTable[Code], SummaryTable[[#This Row],[Code]], allFYsTable[year2], BL$3)=0, NotFound, SUMIFS(allFYsTable[RevisedBudget], allFYsTable[Code], SummaryTable[[#This Row],[Code]], allFYsTable[year2], BL$3))</f>
        <v>#N/A</v>
      </c>
      <c r="BP157" s="61" t="e">
        <f>IF(COUNTIFS(allFYsTable[Code], SummaryTable[[#This Row],[Code]], allFYsTable[year2], BL$3)=0, NotFound, SUMIFS(allFYsTable[Actual], allFYsTable[Code], SummaryTable[[#This Row],[Code]], allFYsTable[year2], BL$3))</f>
        <v>#N/A</v>
      </c>
      <c r="BQ157" s="61" t="e">
        <f>IF(COUNTIFS(allFYsTable[Code], SummaryTable[[#This Row],[Code]], allFYsTable[year2], BL$3)=0, NotFound, SUMIFS(allFYsTable[DiffAmount], allFYsTable[Code], SummaryTable[[#This Row],[Code]], allFYsTable[year2], BL$3))</f>
        <v>#N/A</v>
      </c>
      <c r="BR157" s="63" t="e">
        <f>IF(SummaryTable[[#This Row],[OriginalBudget20]]=0, IF(SummaryTable[[#This Row],[DiffAmount20]]=0, ZeroBudgetNoSpending, ZeroBudgetWithSpending), SummaryTable[[#This Row],[DiffAmount20]]/SummaryTable[[#This Row],[OriginalBudget20]])</f>
        <v>#N/A</v>
      </c>
      <c r="BS157" s="62" t="e">
        <f>IF(COUNTIFS(allFYsTable[Code], SummaryTable[[#This Row],[Code]], allFYsTable[year2], BS$3)=0, NotFound, SUMIFS(allFYsTable[OriginalBudget], allFYsTable[Code], SummaryTable[[#This Row],[Code]], allFYsTable[year2], BS$3))</f>
        <v>#N/A</v>
      </c>
      <c r="BT157" s="61" t="e">
        <f>SummaryTable[[#This Row],[OriginalBudget19]]-SummaryTable[[#This Row],[OriginalBudget18]]</f>
        <v>#N/A</v>
      </c>
      <c r="BU157" s="54" t="e">
        <f>SummaryTable[[#This Row],[BudgetIncreaseAmount19]]/SummaryTable[[#This Row],[OriginalBudget18]]</f>
        <v>#N/A</v>
      </c>
      <c r="BV157" s="61" t="e">
        <f>IF(COUNTIFS(allFYsTable[Code], SummaryTable[[#This Row],[Code]], allFYsTable[year2], BS$3)=0, NotFound, SUMIFS(allFYsTable[RevisedBudget], allFYsTable[Code], SummaryTable[[#This Row],[Code]], allFYsTable[year2], BS$3))</f>
        <v>#N/A</v>
      </c>
      <c r="BW157" s="61" t="e">
        <f>IF(COUNTIFS(allFYsTable[Code], SummaryTable[[#This Row],[Code]], allFYsTable[year2], BS$3)=0, NotFound, SUMIFS(allFYsTable[Actual], allFYsTable[Code], SummaryTable[[#This Row],[Code]], allFYsTable[year2], BS$3))</f>
        <v>#N/A</v>
      </c>
      <c r="BX157" s="61" t="e">
        <f>IF(COUNTIFS(allFYsTable[Code], SummaryTable[[#This Row],[Code]], allFYsTable[year2], BS$3)=0, NotFound, SUMIFS(allFYsTable[DiffAmount], allFYsTable[Code], SummaryTable[[#This Row],[Code]], allFYsTable[year2], BS$3))</f>
        <v>#N/A</v>
      </c>
      <c r="BY157" s="63" t="e">
        <f>IF(SummaryTable[[#This Row],[OriginalBudget19]]=0, IF(SummaryTable[[#This Row],[DiffAmount19]]=0, ZeroBudgetNoSpending, ZeroBudgetWithSpending), SummaryTable[[#This Row],[DiffAmount19]]/SummaryTable[[#This Row],[OriginalBudget19]])</f>
        <v>#N/A</v>
      </c>
      <c r="BZ157" s="62" t="e">
        <f>IF(COUNTIFS(allFYsTable[Code], SummaryTable[[#This Row],[Code]], allFYsTable[year2], BZ$3)=0, NotFound, SUMIFS(allFYsTable[OriginalBudget], allFYsTable[Code], SummaryTable[[#This Row],[Code]], allFYsTable[year2], BZ$3))</f>
        <v>#N/A</v>
      </c>
      <c r="CA157" s="61" t="e">
        <f>SummaryTable[[#This Row],[OriginalBudget18]]-SummaryTable[[#This Row],[OriginalBudget17]]</f>
        <v>#N/A</v>
      </c>
      <c r="CB157" s="54" t="e">
        <f>SummaryTable[[#This Row],[BudgetIncreaseAmount18]]/SummaryTable[[#This Row],[OriginalBudget17]]</f>
        <v>#N/A</v>
      </c>
      <c r="CC157" s="61" t="e">
        <f>IF(COUNTIFS(allFYsTable[Code], SummaryTable[[#This Row],[Code]], allFYsTable[year2], BZ$3)=0, NotFound, SUMIFS(allFYsTable[RevisedBudget], allFYsTable[Code], SummaryTable[[#This Row],[Code]], allFYsTable[year2], BZ$3))</f>
        <v>#N/A</v>
      </c>
      <c r="CD157" s="61" t="e">
        <f>IF(COUNTIFS(allFYsTable[Code], SummaryTable[[#This Row],[Code]], allFYsTable[year2], BZ$3)=0, NotFound, SUMIFS(allFYsTable[Actual], allFYsTable[Code], SummaryTable[[#This Row],[Code]], allFYsTable[year2], BZ$3))</f>
        <v>#N/A</v>
      </c>
      <c r="CE157" s="61" t="e">
        <f>IF(COUNTIFS(allFYsTable[Code], SummaryTable[[#This Row],[Code]], allFYsTable[year2], BZ$3)=0, NotFound, SUMIFS(allFYsTable[DiffAmount], allFYsTable[Code], SummaryTable[[#This Row],[Code]], allFYsTable[year2], BZ$3))</f>
        <v>#N/A</v>
      </c>
      <c r="CF157" s="63" t="e">
        <f>IF(SummaryTable[[#This Row],[OriginalBudget18]]=0, IF(SummaryTable[[#This Row],[DiffAmount18]]=0, ZeroBudgetNoSpending, ZeroBudgetWithSpending), SummaryTable[[#This Row],[DiffAmount18]]/SummaryTable[[#This Row],[OriginalBudget18]])</f>
        <v>#N/A</v>
      </c>
      <c r="CG157" s="62" t="e">
        <f>IF(COUNTIFS(allFYsTable[Code], SummaryTable[[#This Row],[Code]], allFYsTable[year2], CG$3)=0, NotFound, SUMIFS(allFYsTable[OriginalBudget], allFYsTable[Code], SummaryTable[[#This Row],[Code]], allFYsTable[year2], CG$3))</f>
        <v>#N/A</v>
      </c>
      <c r="CH157" s="61" t="e">
        <f>SummaryTable[[#This Row],[OriginalBudget17]]-SummaryTable[[#This Row],[OriginalBudget16]]</f>
        <v>#N/A</v>
      </c>
      <c r="CI157" s="54" t="e">
        <f>SummaryTable[[#This Row],[BudgetIncreaseAmount17]]/SummaryTable[[#This Row],[OriginalBudget16]]</f>
        <v>#N/A</v>
      </c>
      <c r="CJ157" s="61" t="e">
        <f>IF(COUNTIFS(allFYsTable[Code], SummaryTable[[#This Row],[Code]], allFYsTable[year2], CG$3)=0, NotFound, SUMIFS(allFYsTable[RevisedBudget], allFYsTable[Code], SummaryTable[[#This Row],[Code]], allFYsTable[year2], CG$3))</f>
        <v>#N/A</v>
      </c>
      <c r="CK157" s="61" t="e">
        <f>IF(COUNTIFS(allFYsTable[Code], SummaryTable[[#This Row],[Code]], allFYsTable[year2], CG$3)=0, NotFound, SUMIFS(allFYsTable[Actual], allFYsTable[Code], SummaryTable[[#This Row],[Code]], allFYsTable[year2], CG$3))</f>
        <v>#N/A</v>
      </c>
      <c r="CL157" s="61" t="e">
        <f>IF(COUNTIFS(allFYsTable[Code], SummaryTable[[#This Row],[Code]], allFYsTable[year2], CG$3)=0, NotFound, SUMIFS(allFYsTable[DiffAmount], allFYsTable[Code], SummaryTable[[#This Row],[Code]], allFYsTable[year2], CG$3))</f>
        <v>#N/A</v>
      </c>
      <c r="CM157" s="63" t="e">
        <f>IF(SummaryTable[[#This Row],[OriginalBudget17]]=0, IF(SummaryTable[[#This Row],[DiffAmount17]]=0, ZeroBudgetNoSpending, ZeroBudgetWithSpending), SummaryTable[[#This Row],[DiffAmount17]]/SummaryTable[[#This Row],[OriginalBudget17]])</f>
        <v>#N/A</v>
      </c>
      <c r="CN157" s="62" t="e">
        <f>IF(COUNTIFS(allFYsTable[Code], SummaryTable[[#This Row],[Code]], allFYsTable[year2], CN$3)=0, NotFound, SUMIFS(allFYsTable[OriginalBudget], allFYsTable[Code], SummaryTable[[#This Row],[Code]], allFYsTable[year2], CN$3))</f>
        <v>#N/A</v>
      </c>
      <c r="CO157" s="61" t="e">
        <f>SummaryTable[[#This Row],[OriginalBudget16]]-SummaryTable[[#This Row],[OriginalBudget15]]</f>
        <v>#N/A</v>
      </c>
      <c r="CP157" s="54" t="e">
        <f>SummaryTable[[#This Row],[BudgetIncreaseAmount16]]/SummaryTable[[#This Row],[OriginalBudget15]]</f>
        <v>#N/A</v>
      </c>
      <c r="CQ157" s="61" t="e">
        <f>IF(COUNTIFS(allFYsTable[Code], SummaryTable[[#This Row],[Code]], allFYsTable[year2], CN$3)=0, NotFound, SUMIFS(allFYsTable[RevisedBudget], allFYsTable[Code], SummaryTable[[#This Row],[Code]], allFYsTable[year2], CN$3))</f>
        <v>#N/A</v>
      </c>
      <c r="CR157" s="61" t="e">
        <f>IF(COUNTIFS(allFYsTable[Code], SummaryTable[[#This Row],[Code]], allFYsTable[year2], CN$3)=0, NotFound, SUMIFS(allFYsTable[Actual], allFYsTable[Code], SummaryTable[[#This Row],[Code]], allFYsTable[year2], CN$3))</f>
        <v>#N/A</v>
      </c>
      <c r="CS157" s="61" t="e">
        <f>IF(COUNTIFS(allFYsTable[Code], SummaryTable[[#This Row],[Code]], allFYsTable[year2], CN$3)=0, NotFound, SUMIFS(allFYsTable[DiffAmount], allFYsTable[Code], SummaryTable[[#This Row],[Code]], allFYsTable[year2], CN$3))</f>
        <v>#N/A</v>
      </c>
      <c r="CT157" s="63" t="e">
        <f>IF(SummaryTable[[#This Row],[OriginalBudget16]]=0, IF(SummaryTable[[#This Row],[DiffAmount16]]=0, ZeroBudgetNoSpending, ZeroBudgetWithSpending), SummaryTable[[#This Row],[DiffAmount16]]/SummaryTable[[#This Row],[OriginalBudget16]])</f>
        <v>#N/A</v>
      </c>
      <c r="CU157" s="62" t="e">
        <f>IF(COUNTIFS(allFYsTable[Code], SummaryTable[[#This Row],[Code]], allFYsTable[year2], CU$3)=0, NotFound, SUMIFS(allFYsTable[OriginalBudget], allFYsTable[Code], SummaryTable[[#This Row],[Code]], allFYsTable[year2], CU$3))</f>
        <v>#N/A</v>
      </c>
      <c r="CV157" s="61" t="e">
        <f>SummaryTable[[#This Row],[OriginalBudget15]]-SummaryTable[[#This Row],[OriginalBudget14]]</f>
        <v>#N/A</v>
      </c>
      <c r="CW157" s="54" t="e">
        <f>SummaryTable[[#This Row],[BudgetIncreaseAmount15]]/SummaryTable[[#This Row],[OriginalBudget14]]</f>
        <v>#N/A</v>
      </c>
      <c r="CX157" s="61" t="e">
        <f>IF(COUNTIFS(allFYsTable[Code], SummaryTable[[#This Row],[Code]], allFYsTable[year2], CU$3)=0, NotFound, SUMIFS(allFYsTable[RevisedBudget], allFYsTable[Code], SummaryTable[[#This Row],[Code]], allFYsTable[year2], CU$3))</f>
        <v>#N/A</v>
      </c>
      <c r="CY157" s="61" t="e">
        <f>IF(COUNTIFS(allFYsTable[Code], SummaryTable[[#This Row],[Code]], allFYsTable[year2], CU$3)=0, NotFound, SUMIFS(allFYsTable[Actual], allFYsTable[Code], SummaryTable[[#This Row],[Code]], allFYsTable[year2], CU$3))</f>
        <v>#N/A</v>
      </c>
      <c r="CZ157" s="61" t="e">
        <f>IF(COUNTIFS(allFYsTable[Code], SummaryTable[[#This Row],[Code]], allFYsTable[year2], CU$3)=0, NotFound, SUMIFS(allFYsTable[DiffAmount], allFYsTable[Code], SummaryTable[[#This Row],[Code]], allFYsTable[year2], CU$3))</f>
        <v>#N/A</v>
      </c>
      <c r="DA157" s="63" t="e">
        <f>IF(SummaryTable[[#This Row],[OriginalBudget15]]=0, IF(SummaryTable[[#This Row],[DiffAmount15]]=0, ZeroBudgetNoSpending, ZeroBudgetWithSpending), SummaryTable[[#This Row],[DiffAmount15]]/SummaryTable[[#This Row],[OriginalBudget15]])</f>
        <v>#N/A</v>
      </c>
      <c r="DB157" s="62">
        <f>IF(COUNTIFS(allFYsTable[Code], SummaryTable[[#This Row],[Code]], allFYsTable[year2], DB$3)=0, NotFound, SUMIFS(allFYsTable[OriginalBudget], allFYsTable[Code], SummaryTable[[#This Row],[Code]], allFYsTable[year2], DB$3))</f>
        <v>0</v>
      </c>
      <c r="DC157" s="61">
        <f>SummaryTable[[#This Row],[OriginalBudget14]]-SummaryTable[[#This Row],[OriginalBudget13]]</f>
        <v>0</v>
      </c>
      <c r="DD157" s="54" t="e">
        <f>SummaryTable[[#This Row],[BudgetIncreaseAmount14]]/SummaryTable[[#This Row],[OriginalBudget13]]</f>
        <v>#DIV/0!</v>
      </c>
      <c r="DE157" s="61">
        <f>IF(COUNTIFS(allFYsTable[Code], SummaryTable[[#This Row],[Code]], allFYsTable[year2], DB$3)=0, NotFound, SUMIFS(allFYsTable[RevisedBudget], allFYsTable[Code], SummaryTable[[#This Row],[Code]], allFYsTable[year2], DB$3))</f>
        <v>0</v>
      </c>
      <c r="DF157" s="61">
        <f>IF(COUNTIFS(allFYsTable[Code], SummaryTable[[#This Row],[Code]], allFYsTable[year2], DB$3)=0, NotFound, SUMIFS(allFYsTable[Actual], allFYsTable[Code], SummaryTable[[#This Row],[Code]], allFYsTable[year2], DB$3))</f>
        <v>0</v>
      </c>
      <c r="DG157" s="61">
        <f>IF(COUNTIFS(allFYsTable[Code], SummaryTable[[#This Row],[Code]], allFYsTable[year2], DB$3)=0, NotFound, SUMIFS(allFYsTable[DiffAmount], allFYsTable[Code], SummaryTable[[#This Row],[Code]], allFYsTable[year2], DB$3))</f>
        <v>0</v>
      </c>
      <c r="DH157" s="63">
        <f>IF(SummaryTable[[#This Row],[OriginalBudget14]]=0, IF(SummaryTable[[#This Row],[DiffAmount14]]=0, ZeroBudgetNoSpending, ZeroBudgetWithSpending), SummaryTable[[#This Row],[DiffAmount14]]/SummaryTable[[#This Row],[OriginalBudget14]])</f>
        <v>0</v>
      </c>
      <c r="DI157" s="62">
        <f>IF(COUNTIFS(allFYsTable[Code], SummaryTable[[#This Row],[Code]], allFYsTable[year2], DI$3)=0, NotFound, SUMIFS(allFYsTable[OriginalBudget], allFYsTable[Code], SummaryTable[[#This Row],[Code]], allFYsTable[year2], DI$3))</f>
        <v>0</v>
      </c>
      <c r="DJ157" s="61">
        <f>SummaryTable[[#This Row],[OriginalBudget13]]-SummaryTable[[#This Row],[OriginalBudget12]]</f>
        <v>0</v>
      </c>
      <c r="DK157" s="54" t="e">
        <f>SummaryTable[[#This Row],[BudgetIncreaseAmount13]]/SummaryTable[[#This Row],[OriginalBudget12]]</f>
        <v>#DIV/0!</v>
      </c>
      <c r="DL157" s="61">
        <f>IF(COUNTIFS(allFYsTable[Code], SummaryTable[[#This Row],[Code]], allFYsTable[year2], DI$3)=0, NotFound, SUMIFS(allFYsTable[RevisedBudget], allFYsTable[Code], SummaryTable[[#This Row],[Code]], allFYsTable[year2], DI$3))</f>
        <v>0</v>
      </c>
      <c r="DM157" s="61">
        <f>IF(COUNTIFS(allFYsTable[Code], SummaryTable[[#This Row],[Code]], allFYsTable[year2], DI$3)=0, NotFound, SUMIFS(allFYsTable[Actual], allFYsTable[Code], SummaryTable[[#This Row],[Code]], allFYsTable[year2], DI$3))</f>
        <v>0</v>
      </c>
      <c r="DN157" s="61">
        <f>IF(COUNTIFS(allFYsTable[Code], SummaryTable[[#This Row],[Code]], allFYsTable[year2], DI$3)=0, NotFound, SUMIFS(allFYsTable[DiffAmount], allFYsTable[Code], SummaryTable[[#This Row],[Code]], allFYsTable[year2], DI$3))</f>
        <v>0</v>
      </c>
      <c r="DO157" s="63">
        <f>IF(SummaryTable[[#This Row],[OriginalBudget13]]=0, IF(SummaryTable[[#This Row],[DiffAmount13]]=0, ZeroBudgetNoSpending, ZeroBudgetWithSpending), SummaryTable[[#This Row],[DiffAmount13]]/SummaryTable[[#This Row],[OriginalBudget13]])</f>
        <v>0</v>
      </c>
      <c r="DP157" s="62">
        <f>IF(COUNTIFS(allFYsTable[Code], SummaryTable[[#This Row],[Code]], allFYsTable[year2], DP$3)=0, NotFound, SUMIFS(allFYsTable[OriginalBudget], allFYsTable[Code], SummaryTable[[#This Row],[Code]], allFYsTable[year2], DP$3))</f>
        <v>0</v>
      </c>
      <c r="DQ157" s="61">
        <f>SummaryTable[[#This Row],[OriginalBudget12]]-SummaryTable[[#This Row],[OriginalBudget11]]</f>
        <v>0</v>
      </c>
      <c r="DR157" s="54" t="e">
        <f>SummaryTable[[#This Row],[BudgetIncreaseAmount12]]/SummaryTable[[#This Row],[OriginalBudget11]]</f>
        <v>#DIV/0!</v>
      </c>
      <c r="DS157" s="61">
        <f>IF(COUNTIFS(allFYsTable[Code], SummaryTable[[#This Row],[Code]], allFYsTable[year2], DP$3)=0, NotFound, SUMIFS(allFYsTable[RevisedBudget], allFYsTable[Code], SummaryTable[[#This Row],[Code]], allFYsTable[year2], DP$3))</f>
        <v>0</v>
      </c>
      <c r="DT157" s="61">
        <f>IF(COUNTIFS(allFYsTable[Code], SummaryTable[[#This Row],[Code]], allFYsTable[year2], DP$3)=0, NotFound, SUMIFS(allFYsTable[Actual], allFYsTable[Code], SummaryTable[[#This Row],[Code]], allFYsTable[year2], DP$3))</f>
        <v>0</v>
      </c>
      <c r="DU157" s="61">
        <f>IF(COUNTIFS(allFYsTable[Code], SummaryTable[[#This Row],[Code]], allFYsTable[year2], DP$3)=0, NotFound, SUMIFS(allFYsTable[DiffAmount], allFYsTable[Code], SummaryTable[[#This Row],[Code]], allFYsTable[year2], DP$3))</f>
        <v>0</v>
      </c>
      <c r="DV157" s="63">
        <f>IF(SummaryTable[[#This Row],[OriginalBudget12]]=0, IF(SummaryTable[[#This Row],[DiffAmount12]]=0, ZeroBudgetNoSpending, ZeroBudgetWithSpending), SummaryTable[[#This Row],[DiffAmount12]]/SummaryTable[[#This Row],[OriginalBudget12]])</f>
        <v>0</v>
      </c>
      <c r="DW157" s="62">
        <f>IF(COUNTIFS(allFYsTable[Code], SummaryTable[[#This Row],[Code]], allFYsTable[year2], DW$3)=0, NotFound, SUMIFS(allFYsTable[OriginalBudget], allFYsTable[Code], SummaryTable[[#This Row],[Code]], allFYsTable[year2], DW$3))</f>
        <v>0</v>
      </c>
      <c r="DX157" s="61">
        <f>SummaryTable[[#This Row],[OriginalBudget11]]-SummaryTable[[#This Row],[OriginalBudget10]]</f>
        <v>0</v>
      </c>
      <c r="DY157" s="54" t="e">
        <f>SummaryTable[[#This Row],[BudgetIncreaseAmount11]]/SummaryTable[[#This Row],[OriginalBudget10]]</f>
        <v>#DIV/0!</v>
      </c>
      <c r="DZ157" s="61">
        <f>IF(COUNTIFS(allFYsTable[Code], SummaryTable[[#This Row],[Code]], allFYsTable[year2], DW$3)=0, NotFound, SUMIFS(allFYsTable[RevisedBudget], allFYsTable[Code], SummaryTable[[#This Row],[Code]], allFYsTable[year2], DW$3))</f>
        <v>0</v>
      </c>
      <c r="EA157" s="61">
        <f>IF(COUNTIFS(allFYsTable[Code], SummaryTable[[#This Row],[Code]], allFYsTable[year2], DW$3)=0, NotFound, SUMIFS(allFYsTable[Actual], allFYsTable[Code], SummaryTable[[#This Row],[Code]], allFYsTable[year2], DW$3))</f>
        <v>0</v>
      </c>
      <c r="EB157" s="61">
        <f>IF(COUNTIFS(allFYsTable[Code], SummaryTable[[#This Row],[Code]], allFYsTable[year2], DW$3)=0, NotFound, SUMIFS(allFYsTable[DiffAmount], allFYsTable[Code], SummaryTable[[#This Row],[Code]], allFYsTable[year2], DW$3))</f>
        <v>0</v>
      </c>
      <c r="EC157" s="63">
        <f>IF(SummaryTable[[#This Row],[OriginalBudget11]]=0, IF(SummaryTable[[#This Row],[DiffAmount11]]=0, ZeroBudgetNoSpending, ZeroBudgetWithSpending), SummaryTable[[#This Row],[DiffAmount11]]/SummaryTable[[#This Row],[OriginalBudget11]])</f>
        <v>0</v>
      </c>
      <c r="ED157" s="62">
        <f>IF(COUNTIFS(allFYsTable[Code], SummaryTable[[#This Row],[Code]], allFYsTable[year2], ED$3)=0, NotFound, SUMIFS(allFYsTable[OriginalBudget], allFYsTable[Code], SummaryTable[[#This Row],[Code]], allFYsTable[year2], ED$3))</f>
        <v>0</v>
      </c>
      <c r="EE157" s="61">
        <f>SummaryTable[[#This Row],[OriginalBudget10]]-SummaryTable[[#This Row],[OriginalBudget09]]</f>
        <v>0</v>
      </c>
      <c r="EF157" s="54" t="e">
        <f>SummaryTable[[#This Row],[BudgetIncreaseAmount10]]/SummaryTable[[#This Row],[OriginalBudget09]]</f>
        <v>#DIV/0!</v>
      </c>
      <c r="EG157" s="61">
        <f>IF(COUNTIFS(allFYsTable[Code], SummaryTable[[#This Row],[Code]], allFYsTable[year2], ED$3)=0, NotFound, SUMIFS(allFYsTable[RevisedBudget], allFYsTable[Code], SummaryTable[[#This Row],[Code]], allFYsTable[year2], ED$3))</f>
        <v>0</v>
      </c>
      <c r="EH157" s="61">
        <f>IF(COUNTIFS(allFYsTable[Code], SummaryTable[[#This Row],[Code]], allFYsTable[year2], ED$3)=0, NotFound, SUMIFS(allFYsTable[Actual], allFYsTable[Code], SummaryTable[[#This Row],[Code]], allFYsTable[year2], ED$3))</f>
        <v>0</v>
      </c>
      <c r="EI157" s="61">
        <f>IF(COUNTIFS(allFYsTable[Code], SummaryTable[[#This Row],[Code]], allFYsTable[year2], ED$3)=0, NotFound, SUMIFS(allFYsTable[DiffAmount], allFYsTable[Code], SummaryTable[[#This Row],[Code]], allFYsTable[year2], ED$3))</f>
        <v>0</v>
      </c>
      <c r="EJ157" s="63">
        <f>IF(SummaryTable[[#This Row],[OriginalBudget10]]=0, IF(SummaryTable[[#This Row],[DiffAmount10]]=0, ZeroBudgetNoSpending, ZeroBudgetWithSpending), SummaryTable[[#This Row],[DiffAmount10]]/SummaryTable[[#This Row],[OriginalBudget10]])</f>
        <v>0</v>
      </c>
      <c r="EK157" s="62">
        <f>IF(COUNTIFS(allFYsTable[Code], SummaryTable[[#This Row],[Code]], allFYsTable[year2], EK$3)=0, NotFound, SUMIFS(allFYsTable[OriginalBudget], allFYsTable[Code], SummaryTable[[#This Row],[Code]], allFYsTable[year2], EK$3))</f>
        <v>0</v>
      </c>
      <c r="EL157" s="61">
        <f>SummaryTable[[#This Row],[OriginalBudget09]]-SummaryTable[[#This Row],[OriginalBudget08]]</f>
        <v>0</v>
      </c>
      <c r="EM157" s="54" t="e">
        <f>SummaryTable[[#This Row],[BudgetIncreaseAmount09]]/SummaryTable[[#This Row],[OriginalBudget08]]</f>
        <v>#DIV/0!</v>
      </c>
      <c r="EN157" s="61">
        <f>IF(COUNTIFS(allFYsTable[Code], SummaryTable[[#This Row],[Code]], allFYsTable[year2], EK$3)=0, NotFound, SUMIFS(allFYsTable[RevisedBudget], allFYsTable[Code], SummaryTable[[#This Row],[Code]], allFYsTable[year2], EK$3))</f>
        <v>0</v>
      </c>
      <c r="EO157" s="61">
        <f>IF(COUNTIFS(allFYsTable[Code], SummaryTable[[#This Row],[Code]], allFYsTable[year2], EK$3)=0, NotFound, SUMIFS(allFYsTable[Actual], allFYsTable[Code], SummaryTable[[#This Row],[Code]], allFYsTable[year2], EK$3))</f>
        <v>0</v>
      </c>
      <c r="EP157" s="61">
        <f>IF(COUNTIFS(allFYsTable[Code], SummaryTable[[#This Row],[Code]], allFYsTable[year2], EK$3)=0, NotFound, SUMIFS(allFYsTable[DiffAmount], allFYsTable[Code], SummaryTable[[#This Row],[Code]], allFYsTable[year2], EK$3))</f>
        <v>0</v>
      </c>
      <c r="EQ157" s="63">
        <f>IF(SummaryTable[[#This Row],[OriginalBudget09]]=0, IF(SummaryTable[[#This Row],[DiffAmount09]]=0, ZeroBudgetNoSpending, ZeroBudgetWithSpending), SummaryTable[[#This Row],[DiffAmount09]]/SummaryTable[[#This Row],[OriginalBudget09]])</f>
        <v>0</v>
      </c>
      <c r="ER157" s="62">
        <f>IF(COUNTIFS(allFYsTable[Code], SummaryTable[[#This Row],[Code]], allFYsTable[year2], ER$3)=0, NotFound, SUMIFS(allFYsTable[OriginalBudget], allFYsTable[Code], SummaryTable[[#This Row],[Code]], allFYsTable[year2], ER$3))</f>
        <v>0</v>
      </c>
      <c r="ES157" s="61">
        <f>SummaryTable[[#This Row],[OriginalBudget08]]-SummaryTable[[#This Row],[OriginalBudget07]]</f>
        <v>0</v>
      </c>
      <c r="ET157" s="54" t="e">
        <f>SummaryTable[[#This Row],[BudgetIncreaseAmount08]]/SummaryTable[[#This Row],[OriginalBudget07]]</f>
        <v>#DIV/0!</v>
      </c>
      <c r="EU157" s="61">
        <f>IF(COUNTIFS(allFYsTable[Code], SummaryTable[[#This Row],[Code]], allFYsTable[year2], ER$3)=0, NotFound, SUMIFS(allFYsTable[RevisedBudget], allFYsTable[Code], SummaryTable[[#This Row],[Code]], allFYsTable[year2], ER$3))</f>
        <v>0</v>
      </c>
      <c r="EV157" s="61">
        <f>IF(COUNTIFS(allFYsTable[Code], SummaryTable[[#This Row],[Code]], allFYsTable[year2], ER$3)=0, NotFound, SUMIFS(allFYsTable[Actual], allFYsTable[Code], SummaryTable[[#This Row],[Code]], allFYsTable[year2], ER$3))</f>
        <v>0</v>
      </c>
      <c r="EW157" s="61">
        <f>IF(COUNTIFS(allFYsTable[Code], SummaryTable[[#This Row],[Code]], allFYsTable[year2], ER$3)=0, NotFound, SUMIFS(allFYsTable[DiffAmount], allFYsTable[Code], SummaryTable[[#This Row],[Code]], allFYsTable[year2], ER$3))</f>
        <v>0</v>
      </c>
      <c r="EX157" s="63">
        <f>IF(SummaryTable[[#This Row],[OriginalBudget08]]=0, IF(SummaryTable[[#This Row],[DiffAmount08]]=0, ZeroBudgetNoSpending, ZeroBudgetWithSpending), SummaryTable[[#This Row],[DiffAmount08]]/SummaryTable[[#This Row],[OriginalBudget08]])</f>
        <v>0</v>
      </c>
      <c r="EY157" s="62">
        <f>IF(COUNTIFS(allFYsTable[Code], SummaryTable[[#This Row],[Code]], allFYsTable[year2], EY$3)=0, NotFound, SUMIFS(allFYsTable[OriginalBudget], allFYsTable[Code], SummaryTable[[#This Row],[Code]], allFYsTable[year2], EY$3))</f>
        <v>0</v>
      </c>
      <c r="EZ157" s="61">
        <f>SummaryTable[[#This Row],[OriginalBudget07]]-SummaryTable[[#This Row],[OriginalBudget06]]</f>
        <v>0</v>
      </c>
      <c r="FA157" s="54" t="e">
        <f>SummaryTable[[#This Row],[BudgetIncreaseAmount07]]/SummaryTable[[#This Row],[OriginalBudget06]]</f>
        <v>#DIV/0!</v>
      </c>
      <c r="FB157" s="61">
        <f>IF(COUNTIFS(allFYsTable[Code], SummaryTable[[#This Row],[Code]], allFYsTable[year2], EY$3)=0, NotFound, SUMIFS(allFYsTable[RevisedBudget], allFYsTable[Code], SummaryTable[[#This Row],[Code]], allFYsTable[year2], EY$3))</f>
        <v>0</v>
      </c>
      <c r="FC157" s="61">
        <f>IF(COUNTIFS(allFYsTable[Code], SummaryTable[[#This Row],[Code]], allFYsTable[year2], EY$3)=0, NotFound, SUMIFS(allFYsTable[Actual], allFYsTable[Code], SummaryTable[[#This Row],[Code]], allFYsTable[year2], EY$3))</f>
        <v>0</v>
      </c>
      <c r="FD157" s="61">
        <f>IF(COUNTIFS(allFYsTable[Code], SummaryTable[[#This Row],[Code]], allFYsTable[year2], EY$3)=0, NotFound, SUMIFS(allFYsTable[DiffAmount], allFYsTable[Code], SummaryTable[[#This Row],[Code]], allFYsTable[year2], EY$3))</f>
        <v>0</v>
      </c>
      <c r="FE157" s="63">
        <f>IF(SummaryTable[[#This Row],[OriginalBudget07]]=0, IF(SummaryTable[[#This Row],[DiffAmount07]]=0, ZeroBudgetNoSpending, ZeroBudgetWithSpending), SummaryTable[[#This Row],[DiffAmount07]]/SummaryTable[[#This Row],[OriginalBudget07]])</f>
        <v>0</v>
      </c>
      <c r="FF157" s="62">
        <f>IF(COUNTIFS(allFYsTable[Code], SummaryTable[[#This Row],[Code]], allFYsTable[year2], FF$3)=0, NotFound, SUMIFS(allFYsTable[OriginalBudget], allFYsTable[Code], SummaryTable[[#This Row],[Code]], allFYsTable[year2], FF$3))</f>
        <v>0</v>
      </c>
      <c r="FI157" s="61">
        <f>IF(COUNTIFS(allFYsTable[Code], SummaryTable[[#This Row],[Code]], allFYsTable[year2], FF$3)=0, NotFound, SUMIFS(allFYsTable[RevisedBudget], allFYsTable[Code], SummaryTable[[#This Row],[Code]], allFYsTable[year2], FF$3))</f>
        <v>0</v>
      </c>
      <c r="FJ157" s="61">
        <f>IF(COUNTIFS(allFYsTable[Code], SummaryTable[[#This Row],[Code]], allFYsTable[year2], FF$3)=0, NotFound, SUMIFS(allFYsTable[Actual], allFYsTable[Code], SummaryTable[[#This Row],[Code]], allFYsTable[year2], FF$3))</f>
        <v>0</v>
      </c>
      <c r="FK157" s="61">
        <f>IF(COUNTIFS(allFYsTable[Code], SummaryTable[[#This Row],[Code]], allFYsTable[year2], FF$3)=0, NotFound, SUMIFS(allFYsTable[DiffAmount], allFYsTable[Code], SummaryTable[[#This Row],[Code]], allFYsTable[year2], FF$3))</f>
        <v>0</v>
      </c>
      <c r="FL157" s="63">
        <f>IF(SummaryTable[[#This Row],[OriginalBudget06]]=0, IF(SummaryTable[[#This Row],[DiffAmount06]]=0, ZeroBudgetNoSpending, ZeroBudgetWithSpending), SummaryTable[[#This Row],[DiffAmount06]]/SummaryTable[[#This Row],[OriginalBudget06]])</f>
        <v>0</v>
      </c>
    </row>
    <row r="158" spans="1:168" x14ac:dyDescent="0.45">
      <c r="A158" t="s">
        <v>877</v>
      </c>
      <c r="B158">
        <f>_xlfn.MAXIFS(allFYsTable[year2], allFYsTable[Code], SummaryTable[[#This Row],[Code]])</f>
        <v>2014</v>
      </c>
      <c r="C158" t="str">
        <f>_xlfn.XLOOKUP(SummaryTable[[#This Row],[Code]], NameCodingTable[Code], NameCodingTable[Most Recent Category per allFYs])</f>
        <v>Economic development ond regulation:</v>
      </c>
      <c r="D158" t="str">
        <f>_xlfn.XLOOKUP(SummaryTable[[#This Row],[Code]], NameCodingTable[Code], NameCodingTable[Unit Display Name])</f>
        <v>Insurance regulations</v>
      </c>
      <c r="E158" t="str">
        <f>_xlfn.XLOOKUP(SummaryTable[[#This Row],[Code]], NameCodingTable[Code], NameCodingTable[Type])</f>
        <v>untyped</v>
      </c>
      <c r="F15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6</v>
      </c>
      <c r="G15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58" s="54">
        <f>SummaryTable[[#This Row],['# Over]]/SummaryTable[[#This Row],[Count]]</f>
        <v>0</v>
      </c>
      <c r="I15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58" s="54">
        <f>SummaryTable[[#This Row],['# Under]]/SummaryTable[[#This Row],[Count]]</f>
        <v>0</v>
      </c>
      <c r="K15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6</v>
      </c>
      <c r="L158" s="54">
        <f>SummaryTable[[#This Row],['# Equal]]/SummaryTable[[#This Row],[Count]]</f>
        <v>1</v>
      </c>
      <c r="M158" s="61">
        <f>SUMIFS(allFYsTable[OriginalBudget],allFYsTable[Code],SummaryTable[[#This Row],[Code]])/SummaryTable[[#This Row],[Count]]</f>
        <v>0</v>
      </c>
      <c r="N158" s="61">
        <f>SUMIFS(allFYsTable[Actual],allFYsTable[Code],SummaryTable[[#This Row],[Code]])/SummaryTable[[#This Row],[Count]]</f>
        <v>0</v>
      </c>
      <c r="O158" s="61">
        <f>SummaryTable[[#This Row],[AvgActAmt]]-SummaryTable[[#This Row],[AvgBudAmt]]</f>
        <v>0</v>
      </c>
      <c r="P158" s="54">
        <f>IF(SummaryTable[[#This Row],[AvgBudAmt]]=0, IF(SummaryTable[[#This Row],[AvgDiff'#]]=0, 0, NamedFields!$C$3), SummaryTable[[#This Row],[AvgDiff'#]]/SummaryTable[[#This Row],[AvgBudAmt]])</f>
        <v>0</v>
      </c>
      <c r="Q158" s="61">
        <f>IFERROR(SUMIFS(allFYsTable[OriginalBudget],allFYsTable[Code],SummaryTable[[#This Row],[Code]],allFYsTable[DiffAmount], "&gt;0")/SummaryTable[[#This Row],['# Over]], 0)</f>
        <v>0</v>
      </c>
      <c r="R158" s="61">
        <f>IFERROR(SUMIFS(allFYsTable[Actual],allFYsTable[Code],SummaryTable[[#This Row],[Code]],allFYsTable[DiffAmount], "&gt;0")/SummaryTable[[#This Row],['# Over]], 0)</f>
        <v>0</v>
      </c>
      <c r="S158" s="61">
        <f>SummaryTable[[#This Row],[OverAvgAct]]-SummaryTable[[#This Row],[OverAvgBud]]</f>
        <v>0</v>
      </c>
      <c r="T158" s="54">
        <f>IF(SummaryTable[[#This Row],[OverAvgBud]]=0, IF(SummaryTable[[#This Row],[OverAvgDiff'#]]=0, ZeroBudgetNoSpending, ZeroBudgetWithSpending), SummaryTable[[#This Row],[OverAvgDiff'#]]/SummaryTable[[#This Row],[OverAvgBud]])</f>
        <v>0</v>
      </c>
      <c r="U158" s="61">
        <f>IFERROR(SUMIFS(allFYsTable[OriginalBudget],allFYsTable[Code],SummaryTable[[#This Row],[Code]],allFYsTable[DiffAmount], "&lt;0")/SummaryTable[[#This Row],['# Under]], 0)</f>
        <v>0</v>
      </c>
      <c r="V158" s="61">
        <f>IFERROR( SUMIFS(allFYsTable[Actual],allFYsTable[Code],SummaryTable[[#This Row],[Code]],allFYsTable[DiffAmount], "&lt;0")/SummaryTable[[#This Row],['# Under]], 0)</f>
        <v>0</v>
      </c>
      <c r="W158" s="61">
        <f>SummaryTable[[#This Row],[UnderAvgAct]]-SummaryTable[[#This Row],[UnderAvgBud]]</f>
        <v>0</v>
      </c>
      <c r="X158" s="54">
        <f>IF(SummaryTable[[#This Row],[UnderAvgBud]]=0, IF(SummaryTable[[#This Row],[UnderAvgDiff'#]]=0, ZeroBudgetNoSpending, NamedFields!$C$3), SummaryTable[[#This Row],[UnderAvgDiff'#]]/SummaryTable[[#This Row],[UnderAvgBud]])</f>
        <v>0</v>
      </c>
      <c r="Y15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5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8" s="54">
        <f>IF(SummaryTable[[#This Row],[IncreaseYears]]=0, ZeroBudgetNoSpending, SummaryTable[[#This Row],[OSinIncreaseYear'#]]/SummaryTable[[#This Row],[IncreaseYears]])</f>
        <v>0</v>
      </c>
      <c r="AB158" s="58" t="str">
        <f>SummaryTable[[#This Row],[Code]]</f>
        <v>XIR</v>
      </c>
      <c r="AC158" s="62" t="e">
        <f>IF(COUNTIFS(allFYsTable[Code], SummaryTable[[#This Row],[Code]], allFYsTable[year2], AC$3)=0, NotFound, SUMIFS(allFYsTable[OriginalBudget], allFYsTable[Code], SummaryTable[[#This Row],[Code]], allFYsTable[year2], AC$3))</f>
        <v>#N/A</v>
      </c>
      <c r="AD158" s="61" t="e">
        <f>SummaryTable[[#This Row],[OriginalBudget25]]-SummaryTable[[#This Row],[OriginalBudget24]]</f>
        <v>#N/A</v>
      </c>
      <c r="AE158" s="54" t="e">
        <f>SummaryTable[[#This Row],[BudgetIncreaseAmount25]]/SummaryTable[[#This Row],[OriginalBudget24]]</f>
        <v>#N/A</v>
      </c>
      <c r="AF158" s="61" t="e">
        <f>IF(COUNTIFS(allFYsTable[Code], SummaryTable[[#This Row],[Code]], allFYsTable[year2], AC$3)=0, NotFound, SUMIFS(allFYsTable[RevisedBudget], allFYsTable[Code], SummaryTable[[#This Row],[Code]], allFYsTable[year2], AC$3))</f>
        <v>#N/A</v>
      </c>
      <c r="AG158" s="61" t="e">
        <f>IF(COUNTIFS(allFYsTable[Code], SummaryTable[[#This Row],[Code]], allFYsTable[year2], AC$3)=0, NotFound, SUMIFS(allFYsTable[Actual], allFYsTable[Code], SummaryTable[[#This Row],[Code]], allFYsTable[year2], AC$3))</f>
        <v>#N/A</v>
      </c>
      <c r="AH158" s="61" t="e">
        <f>IF(COUNTIFS(allFYsTable[Code], SummaryTable[[#This Row],[Code]], allFYsTable[year2], AC$3)=0, NotFound, SUMIFS(allFYsTable[DiffAmount], allFYsTable[Code], SummaryTable[[#This Row],[Code]], allFYsTable[year2], AC$3))</f>
        <v>#N/A</v>
      </c>
      <c r="AI158" s="63" t="e">
        <f>IF(SummaryTable[[#This Row],[OriginalBudget25]]=0, IF(SummaryTable[[#This Row],[DiffAmount25]]=0, ZeroBudgetNoSpending, ZeroBudgetWithSpending), SummaryTable[[#This Row],[DiffAmount25]]/SummaryTable[[#This Row],[OriginalBudget25]])</f>
        <v>#N/A</v>
      </c>
      <c r="AJ158" s="62" t="e">
        <f>IF(COUNTIFS(allFYsTable[Code], SummaryTable[[#This Row],[Code]], allFYsTable[year2], AJ$3)=0, NotFound, SUMIFS(allFYsTable[OriginalBudget], allFYsTable[Code], SummaryTable[[#This Row],[Code]], allFYsTable[year2], AJ$3))</f>
        <v>#N/A</v>
      </c>
      <c r="AK158" s="61" t="e">
        <f>SummaryTable[[#This Row],[OriginalBudget24]]-SummaryTable[[#This Row],[OriginalBudget23]]</f>
        <v>#N/A</v>
      </c>
      <c r="AL158" s="54" t="e">
        <f>SummaryTable[[#This Row],[BudgetIncreaseAmount24]]/SummaryTable[[#This Row],[OriginalBudget23]]</f>
        <v>#N/A</v>
      </c>
      <c r="AM158" s="61" t="e">
        <f>IF(COUNTIFS(allFYsTable[Code], SummaryTable[[#This Row],[Code]], allFYsTable[year2], AK$3)=0, NotFound, SUMIFS(allFYsTable[RevisedBudget], allFYsTable[Code], SummaryTable[[#This Row],[Code]], allFYsTable[year2], AJ$3))</f>
        <v>#N/A</v>
      </c>
      <c r="AN158" s="61" t="e">
        <f>IF(COUNTIFS(allFYsTable[Code], SummaryTable[[#This Row],[Code]], allFYsTable[year2], AJ$3)=0, NotFound, SUMIFS(allFYsTable[Actual], allFYsTable[Code], SummaryTable[[#This Row],[Code]], allFYsTable[year2], AJ$3))</f>
        <v>#N/A</v>
      </c>
      <c r="AO158" s="61" t="e">
        <f>IF(COUNTIFS(allFYsTable[Code], SummaryTable[[#This Row],[Code]], allFYsTable[year2], AJ$3)=0, NotFound, SUMIFS(allFYsTable[DiffAmount], allFYsTable[Code], SummaryTable[[#This Row],[Code]], allFYsTable[year2], AJ$3))</f>
        <v>#N/A</v>
      </c>
      <c r="AP158" s="63" t="e">
        <f>IF(SummaryTable[[#This Row],[OriginalBudget24]]=0, IF(SummaryTable[[#This Row],[DiffAmount24]]=0, ZeroBudgetNoSpending, ZeroBudgetWithSpending), SummaryTable[[#This Row],[DiffAmount24]]/SummaryTable[[#This Row],[OriginalBudget24]])</f>
        <v>#N/A</v>
      </c>
      <c r="AQ158" s="62" t="e">
        <f>IF(COUNTIFS(allFYsTable[Code], SummaryTable[[#This Row],[Code]], allFYsTable[year2], AQ$3)=0, NotFound, SUMIFS(allFYsTable[OriginalBudget], allFYsTable[Code], SummaryTable[[#This Row],[Code]], allFYsTable[year2], AQ$3))</f>
        <v>#N/A</v>
      </c>
      <c r="AR158" s="61" t="e">
        <f>SummaryTable[[#This Row],[OriginalBudget23]]-SummaryTable[[#This Row],[OriginalBudget22]]</f>
        <v>#N/A</v>
      </c>
      <c r="AS158" s="54" t="e">
        <f>SummaryTable[[#This Row],[BudgetIncreaseAmount23]]/SummaryTable[[#This Row],[OriginalBudget22]]</f>
        <v>#N/A</v>
      </c>
      <c r="AT158" s="61" t="e">
        <f>IF(COUNTIFS(allFYsTable[Code], SummaryTable[[#This Row],[Code]], allFYsTable[year2], AQ$3)=0, NotFound, SUMIFS(allFYsTable[RevisedBudget], allFYsTable[Code], SummaryTable[[#This Row],[Code]], allFYsTable[year2], AQ$3))</f>
        <v>#N/A</v>
      </c>
      <c r="AU158" s="61" t="e">
        <f>IF(COUNTIFS(allFYsTable[Code], SummaryTable[[#This Row],[Code]], allFYsTable[year2], AQ$3)=0, NotFound, SUMIFS(allFYsTable[Actual], allFYsTable[Code], SummaryTable[[#This Row],[Code]], allFYsTable[year2], AQ$3))</f>
        <v>#N/A</v>
      </c>
      <c r="AV158" s="61" t="e">
        <f>IF(COUNTIFS(allFYsTable[Code], SummaryTable[[#This Row],[Code]], allFYsTable[year2], AQ$3)=0, NotFound, SUMIFS(allFYsTable[DiffAmount], allFYsTable[Code], SummaryTable[[#This Row],[Code]], allFYsTable[year2], AQ$3))</f>
        <v>#N/A</v>
      </c>
      <c r="AW158" s="63" t="e">
        <f>IF(SummaryTable[[#This Row],[OriginalBudget23]]=0, IF(SummaryTable[[#This Row],[DiffAmount23]]=0, ZeroBudgetNoSpending, ZeroBudgetWithSpending), SummaryTable[[#This Row],[DiffAmount23]]/SummaryTable[[#This Row],[OriginalBudget23]])</f>
        <v>#N/A</v>
      </c>
      <c r="AX158" s="62" t="e">
        <f>IF(COUNTIFS(allFYsTable[Code], SummaryTable[[#This Row],[Code]], allFYsTable[year2], AX$3)=0, NotFound, SUMIFS(allFYsTable[OriginalBudget], allFYsTable[Code], SummaryTable[[#This Row],[Code]], allFYsTable[year2], AX$3))</f>
        <v>#N/A</v>
      </c>
      <c r="AY158" s="61" t="e">
        <f>SummaryTable[[#This Row],[OriginalBudget22]]-SummaryTable[[#This Row],[OriginalBudget21]]</f>
        <v>#N/A</v>
      </c>
      <c r="AZ158" s="54" t="e">
        <f>SummaryTable[[#This Row],[BudgetIncreaseAmount22]]/SummaryTable[[#This Row],[OriginalBudget21]]</f>
        <v>#N/A</v>
      </c>
      <c r="BA158" s="61" t="e">
        <f>IF(COUNTIFS(allFYsTable[Code], SummaryTable[[#This Row],[Code]], allFYsTable[year2], AX$3)=0, NotFound, SUMIFS(allFYsTable[RevisedBudget], allFYsTable[Code], SummaryTable[[#This Row],[Code]], allFYsTable[year2], AX$3))</f>
        <v>#N/A</v>
      </c>
      <c r="BB158" s="61" t="e">
        <f>IF(COUNTIFS(allFYsTable[Code], SummaryTable[[#This Row],[Code]], allFYsTable[year2], AX$3)=0, NotFound, SUMIFS(allFYsTable[Actual], allFYsTable[Code], SummaryTable[[#This Row],[Code]], allFYsTable[year2], AX$3))</f>
        <v>#N/A</v>
      </c>
      <c r="BC158" s="61" t="e">
        <f>IF(COUNTIFS(allFYsTable[Code], SummaryTable[[#This Row],[Code]], allFYsTable[year2], AX$3)=0, NotFound, SUMIFS(allFYsTable[DiffAmount], allFYsTable[Code], SummaryTable[[#This Row],[Code]], allFYsTable[year2], AX$3))</f>
        <v>#N/A</v>
      </c>
      <c r="BD158" s="63" t="e">
        <f>IF(SummaryTable[[#This Row],[OriginalBudget22]]=0, IF(SummaryTable[[#This Row],[DiffAmount22]]=0, ZeroBudgetNoSpending, ZeroBudgetWithSpending), SummaryTable[[#This Row],[DiffAmount22]]/SummaryTable[[#This Row],[OriginalBudget22]])</f>
        <v>#N/A</v>
      </c>
      <c r="BE158" s="62" t="e">
        <f>IF(COUNTIFS(allFYsTable[Code], SummaryTable[[#This Row],[Code]], allFYsTable[year2], BE$3)=0, NotFound, SUMIFS(allFYsTable[OriginalBudget], allFYsTable[Code], SummaryTable[[#This Row],[Code]], allFYsTable[year2], BE$3))</f>
        <v>#N/A</v>
      </c>
      <c r="BF158" s="61" t="e">
        <f>SummaryTable[[#This Row],[OriginalBudget21]]-SummaryTable[[#This Row],[OriginalBudget20]]</f>
        <v>#N/A</v>
      </c>
      <c r="BG158" s="54" t="e">
        <f>SummaryTable[[#This Row],[BudgetIncreaseAmount21]]/SummaryTable[[#This Row],[OriginalBudget20]]</f>
        <v>#N/A</v>
      </c>
      <c r="BH158" s="61" t="e">
        <f>IF(COUNTIFS(allFYsTable[Code], SummaryTable[[#This Row],[Code]], allFYsTable[year2], BE$3)=0, NotFound, SUMIFS(allFYsTable[RevisedBudget], allFYsTable[Code], SummaryTable[[#This Row],[Code]], allFYsTable[year2], BE$3))</f>
        <v>#N/A</v>
      </c>
      <c r="BI158" s="61" t="e">
        <f>IF(COUNTIFS(allFYsTable[Code], SummaryTable[[#This Row],[Code]], allFYsTable[year2], BE$3)=0, NotFound, SUMIFS(allFYsTable[Actual], allFYsTable[Code], SummaryTable[[#This Row],[Code]], allFYsTable[year2], BE$3))</f>
        <v>#N/A</v>
      </c>
      <c r="BJ158" s="61" t="e">
        <f>IF(COUNTIFS(allFYsTable[Code], SummaryTable[[#This Row],[Code]], allFYsTable[year2], BE$3)=0, NotFound, SUMIFS(allFYsTable[DiffAmount], allFYsTable[Code], SummaryTable[[#This Row],[Code]], allFYsTable[year2], BE$3))</f>
        <v>#N/A</v>
      </c>
      <c r="BK158" s="63" t="e">
        <f>IF(SummaryTable[[#This Row],[OriginalBudget21]]=0, IF(SummaryTable[[#This Row],[DiffAmount21]]=0, ZeroBudgetNoSpending, ZeroBudgetWithSpending), SummaryTable[[#This Row],[DiffAmount21]]/SummaryTable[[#This Row],[OriginalBudget21]])</f>
        <v>#N/A</v>
      </c>
      <c r="BL158" s="62" t="e">
        <f>IF(COUNTIFS(allFYsTable[Code], SummaryTable[[#This Row],[Code]], allFYsTable[year2], BL$3)=0, NotFound, SUMIFS(allFYsTable[OriginalBudget], allFYsTable[Code], SummaryTable[[#This Row],[Code]], allFYsTable[year2], BL$3))</f>
        <v>#N/A</v>
      </c>
      <c r="BM158" s="61" t="e">
        <f>SummaryTable[[#This Row],[OriginalBudget20]]-SummaryTable[[#This Row],[OriginalBudget19]]</f>
        <v>#N/A</v>
      </c>
      <c r="BN158" s="54" t="e">
        <f>SummaryTable[[#This Row],[BudgetIncreaseAmount20]]/SummaryTable[[#This Row],[OriginalBudget19]]</f>
        <v>#N/A</v>
      </c>
      <c r="BO158" s="61" t="e">
        <f>IF(COUNTIFS(allFYsTable[Code], SummaryTable[[#This Row],[Code]], allFYsTable[year2], BL$3)=0, NotFound, SUMIFS(allFYsTable[RevisedBudget], allFYsTable[Code], SummaryTable[[#This Row],[Code]], allFYsTable[year2], BL$3))</f>
        <v>#N/A</v>
      </c>
      <c r="BP158" s="61" t="e">
        <f>IF(COUNTIFS(allFYsTable[Code], SummaryTable[[#This Row],[Code]], allFYsTable[year2], BL$3)=0, NotFound, SUMIFS(allFYsTable[Actual], allFYsTable[Code], SummaryTable[[#This Row],[Code]], allFYsTable[year2], BL$3))</f>
        <v>#N/A</v>
      </c>
      <c r="BQ158" s="61" t="e">
        <f>IF(COUNTIFS(allFYsTable[Code], SummaryTable[[#This Row],[Code]], allFYsTable[year2], BL$3)=0, NotFound, SUMIFS(allFYsTable[DiffAmount], allFYsTable[Code], SummaryTable[[#This Row],[Code]], allFYsTable[year2], BL$3))</f>
        <v>#N/A</v>
      </c>
      <c r="BR158" s="63" t="e">
        <f>IF(SummaryTable[[#This Row],[OriginalBudget20]]=0, IF(SummaryTable[[#This Row],[DiffAmount20]]=0, ZeroBudgetNoSpending, ZeroBudgetWithSpending), SummaryTable[[#This Row],[DiffAmount20]]/SummaryTable[[#This Row],[OriginalBudget20]])</f>
        <v>#N/A</v>
      </c>
      <c r="BS158" s="62" t="e">
        <f>IF(COUNTIFS(allFYsTable[Code], SummaryTable[[#This Row],[Code]], allFYsTable[year2], BS$3)=0, NotFound, SUMIFS(allFYsTable[OriginalBudget], allFYsTable[Code], SummaryTable[[#This Row],[Code]], allFYsTable[year2], BS$3))</f>
        <v>#N/A</v>
      </c>
      <c r="BT158" s="61" t="e">
        <f>SummaryTable[[#This Row],[OriginalBudget19]]-SummaryTable[[#This Row],[OriginalBudget18]]</f>
        <v>#N/A</v>
      </c>
      <c r="BU158" s="54" t="e">
        <f>SummaryTable[[#This Row],[BudgetIncreaseAmount19]]/SummaryTable[[#This Row],[OriginalBudget18]]</f>
        <v>#N/A</v>
      </c>
      <c r="BV158" s="61" t="e">
        <f>IF(COUNTIFS(allFYsTable[Code], SummaryTable[[#This Row],[Code]], allFYsTable[year2], BS$3)=0, NotFound, SUMIFS(allFYsTable[RevisedBudget], allFYsTable[Code], SummaryTable[[#This Row],[Code]], allFYsTable[year2], BS$3))</f>
        <v>#N/A</v>
      </c>
      <c r="BW158" s="61" t="e">
        <f>IF(COUNTIFS(allFYsTable[Code], SummaryTable[[#This Row],[Code]], allFYsTable[year2], BS$3)=0, NotFound, SUMIFS(allFYsTable[Actual], allFYsTable[Code], SummaryTable[[#This Row],[Code]], allFYsTable[year2], BS$3))</f>
        <v>#N/A</v>
      </c>
      <c r="BX158" s="61" t="e">
        <f>IF(COUNTIFS(allFYsTable[Code], SummaryTable[[#This Row],[Code]], allFYsTable[year2], BS$3)=0, NotFound, SUMIFS(allFYsTable[DiffAmount], allFYsTable[Code], SummaryTable[[#This Row],[Code]], allFYsTable[year2], BS$3))</f>
        <v>#N/A</v>
      </c>
      <c r="BY158" s="63" t="e">
        <f>IF(SummaryTable[[#This Row],[OriginalBudget19]]=0, IF(SummaryTable[[#This Row],[DiffAmount19]]=0, ZeroBudgetNoSpending, ZeroBudgetWithSpending), SummaryTable[[#This Row],[DiffAmount19]]/SummaryTable[[#This Row],[OriginalBudget19]])</f>
        <v>#N/A</v>
      </c>
      <c r="BZ158" s="62" t="e">
        <f>IF(COUNTIFS(allFYsTable[Code], SummaryTable[[#This Row],[Code]], allFYsTable[year2], BZ$3)=0, NotFound, SUMIFS(allFYsTable[OriginalBudget], allFYsTable[Code], SummaryTable[[#This Row],[Code]], allFYsTable[year2], BZ$3))</f>
        <v>#N/A</v>
      </c>
      <c r="CA158" s="61" t="e">
        <f>SummaryTable[[#This Row],[OriginalBudget18]]-SummaryTable[[#This Row],[OriginalBudget17]]</f>
        <v>#N/A</v>
      </c>
      <c r="CB158" s="54" t="e">
        <f>SummaryTable[[#This Row],[BudgetIncreaseAmount18]]/SummaryTable[[#This Row],[OriginalBudget17]]</f>
        <v>#N/A</v>
      </c>
      <c r="CC158" s="61" t="e">
        <f>IF(COUNTIFS(allFYsTable[Code], SummaryTable[[#This Row],[Code]], allFYsTable[year2], BZ$3)=0, NotFound, SUMIFS(allFYsTable[RevisedBudget], allFYsTable[Code], SummaryTable[[#This Row],[Code]], allFYsTable[year2], BZ$3))</f>
        <v>#N/A</v>
      </c>
      <c r="CD158" s="61" t="e">
        <f>IF(COUNTIFS(allFYsTable[Code], SummaryTable[[#This Row],[Code]], allFYsTable[year2], BZ$3)=0, NotFound, SUMIFS(allFYsTable[Actual], allFYsTable[Code], SummaryTable[[#This Row],[Code]], allFYsTable[year2], BZ$3))</f>
        <v>#N/A</v>
      </c>
      <c r="CE158" s="61" t="e">
        <f>IF(COUNTIFS(allFYsTable[Code], SummaryTable[[#This Row],[Code]], allFYsTable[year2], BZ$3)=0, NotFound, SUMIFS(allFYsTable[DiffAmount], allFYsTable[Code], SummaryTable[[#This Row],[Code]], allFYsTable[year2], BZ$3))</f>
        <v>#N/A</v>
      </c>
      <c r="CF158" s="63" t="e">
        <f>IF(SummaryTable[[#This Row],[OriginalBudget18]]=0, IF(SummaryTable[[#This Row],[DiffAmount18]]=0, ZeroBudgetNoSpending, ZeroBudgetWithSpending), SummaryTable[[#This Row],[DiffAmount18]]/SummaryTable[[#This Row],[OriginalBudget18]])</f>
        <v>#N/A</v>
      </c>
      <c r="CG158" s="62" t="e">
        <f>IF(COUNTIFS(allFYsTable[Code], SummaryTable[[#This Row],[Code]], allFYsTable[year2], CG$3)=0, NotFound, SUMIFS(allFYsTable[OriginalBudget], allFYsTable[Code], SummaryTable[[#This Row],[Code]], allFYsTable[year2], CG$3))</f>
        <v>#N/A</v>
      </c>
      <c r="CH158" s="61" t="e">
        <f>SummaryTable[[#This Row],[OriginalBudget17]]-SummaryTable[[#This Row],[OriginalBudget16]]</f>
        <v>#N/A</v>
      </c>
      <c r="CI158" s="54" t="e">
        <f>SummaryTable[[#This Row],[BudgetIncreaseAmount17]]/SummaryTable[[#This Row],[OriginalBudget16]]</f>
        <v>#N/A</v>
      </c>
      <c r="CJ158" s="61" t="e">
        <f>IF(COUNTIFS(allFYsTable[Code], SummaryTable[[#This Row],[Code]], allFYsTable[year2], CG$3)=0, NotFound, SUMIFS(allFYsTable[RevisedBudget], allFYsTable[Code], SummaryTable[[#This Row],[Code]], allFYsTable[year2], CG$3))</f>
        <v>#N/A</v>
      </c>
      <c r="CK158" s="61" t="e">
        <f>IF(COUNTIFS(allFYsTable[Code], SummaryTable[[#This Row],[Code]], allFYsTable[year2], CG$3)=0, NotFound, SUMIFS(allFYsTable[Actual], allFYsTable[Code], SummaryTable[[#This Row],[Code]], allFYsTable[year2], CG$3))</f>
        <v>#N/A</v>
      </c>
      <c r="CL158" s="61" t="e">
        <f>IF(COUNTIFS(allFYsTable[Code], SummaryTable[[#This Row],[Code]], allFYsTable[year2], CG$3)=0, NotFound, SUMIFS(allFYsTable[DiffAmount], allFYsTable[Code], SummaryTable[[#This Row],[Code]], allFYsTable[year2], CG$3))</f>
        <v>#N/A</v>
      </c>
      <c r="CM158" s="63" t="e">
        <f>IF(SummaryTable[[#This Row],[OriginalBudget17]]=0, IF(SummaryTable[[#This Row],[DiffAmount17]]=0, ZeroBudgetNoSpending, ZeroBudgetWithSpending), SummaryTable[[#This Row],[DiffAmount17]]/SummaryTable[[#This Row],[OriginalBudget17]])</f>
        <v>#N/A</v>
      </c>
      <c r="CN158" s="62" t="e">
        <f>IF(COUNTIFS(allFYsTable[Code], SummaryTable[[#This Row],[Code]], allFYsTable[year2], CN$3)=0, NotFound, SUMIFS(allFYsTable[OriginalBudget], allFYsTable[Code], SummaryTable[[#This Row],[Code]], allFYsTable[year2], CN$3))</f>
        <v>#N/A</v>
      </c>
      <c r="CO158" s="61" t="e">
        <f>SummaryTable[[#This Row],[OriginalBudget16]]-SummaryTable[[#This Row],[OriginalBudget15]]</f>
        <v>#N/A</v>
      </c>
      <c r="CP158" s="54" t="e">
        <f>SummaryTable[[#This Row],[BudgetIncreaseAmount16]]/SummaryTable[[#This Row],[OriginalBudget15]]</f>
        <v>#N/A</v>
      </c>
      <c r="CQ158" s="61" t="e">
        <f>IF(COUNTIFS(allFYsTable[Code], SummaryTable[[#This Row],[Code]], allFYsTable[year2], CN$3)=0, NotFound, SUMIFS(allFYsTable[RevisedBudget], allFYsTable[Code], SummaryTable[[#This Row],[Code]], allFYsTable[year2], CN$3))</f>
        <v>#N/A</v>
      </c>
      <c r="CR158" s="61" t="e">
        <f>IF(COUNTIFS(allFYsTable[Code], SummaryTable[[#This Row],[Code]], allFYsTable[year2], CN$3)=0, NotFound, SUMIFS(allFYsTable[Actual], allFYsTable[Code], SummaryTable[[#This Row],[Code]], allFYsTable[year2], CN$3))</f>
        <v>#N/A</v>
      </c>
      <c r="CS158" s="61" t="e">
        <f>IF(COUNTIFS(allFYsTable[Code], SummaryTable[[#This Row],[Code]], allFYsTable[year2], CN$3)=0, NotFound, SUMIFS(allFYsTable[DiffAmount], allFYsTable[Code], SummaryTable[[#This Row],[Code]], allFYsTable[year2], CN$3))</f>
        <v>#N/A</v>
      </c>
      <c r="CT158" s="63" t="e">
        <f>IF(SummaryTable[[#This Row],[OriginalBudget16]]=0, IF(SummaryTable[[#This Row],[DiffAmount16]]=0, ZeroBudgetNoSpending, ZeroBudgetWithSpending), SummaryTable[[#This Row],[DiffAmount16]]/SummaryTable[[#This Row],[OriginalBudget16]])</f>
        <v>#N/A</v>
      </c>
      <c r="CU158" s="62" t="e">
        <f>IF(COUNTIFS(allFYsTable[Code], SummaryTable[[#This Row],[Code]], allFYsTable[year2], CU$3)=0, NotFound, SUMIFS(allFYsTable[OriginalBudget], allFYsTable[Code], SummaryTable[[#This Row],[Code]], allFYsTable[year2], CU$3))</f>
        <v>#N/A</v>
      </c>
      <c r="CV158" s="61" t="e">
        <f>SummaryTable[[#This Row],[OriginalBudget15]]-SummaryTable[[#This Row],[OriginalBudget14]]</f>
        <v>#N/A</v>
      </c>
      <c r="CW158" s="54" t="e">
        <f>SummaryTable[[#This Row],[BudgetIncreaseAmount15]]/SummaryTable[[#This Row],[OriginalBudget14]]</f>
        <v>#N/A</v>
      </c>
      <c r="CX158" s="61" t="e">
        <f>IF(COUNTIFS(allFYsTable[Code], SummaryTable[[#This Row],[Code]], allFYsTable[year2], CU$3)=0, NotFound, SUMIFS(allFYsTable[RevisedBudget], allFYsTable[Code], SummaryTable[[#This Row],[Code]], allFYsTable[year2], CU$3))</f>
        <v>#N/A</v>
      </c>
      <c r="CY158" s="61" t="e">
        <f>IF(COUNTIFS(allFYsTable[Code], SummaryTable[[#This Row],[Code]], allFYsTable[year2], CU$3)=0, NotFound, SUMIFS(allFYsTable[Actual], allFYsTable[Code], SummaryTable[[#This Row],[Code]], allFYsTable[year2], CU$3))</f>
        <v>#N/A</v>
      </c>
      <c r="CZ158" s="61" t="e">
        <f>IF(COUNTIFS(allFYsTable[Code], SummaryTable[[#This Row],[Code]], allFYsTable[year2], CU$3)=0, NotFound, SUMIFS(allFYsTable[DiffAmount], allFYsTable[Code], SummaryTable[[#This Row],[Code]], allFYsTable[year2], CU$3))</f>
        <v>#N/A</v>
      </c>
      <c r="DA158" s="63" t="e">
        <f>IF(SummaryTable[[#This Row],[OriginalBudget15]]=0, IF(SummaryTable[[#This Row],[DiffAmount15]]=0, ZeroBudgetNoSpending, ZeroBudgetWithSpending), SummaryTable[[#This Row],[DiffAmount15]]/SummaryTable[[#This Row],[OriginalBudget15]])</f>
        <v>#N/A</v>
      </c>
      <c r="DB158" s="62">
        <f>IF(COUNTIFS(allFYsTable[Code], SummaryTable[[#This Row],[Code]], allFYsTable[year2], DB$3)=0, NotFound, SUMIFS(allFYsTable[OriginalBudget], allFYsTable[Code], SummaryTable[[#This Row],[Code]], allFYsTable[year2], DB$3))</f>
        <v>0</v>
      </c>
      <c r="DC158" s="61">
        <f>SummaryTable[[#This Row],[OriginalBudget14]]-SummaryTable[[#This Row],[OriginalBudget13]]</f>
        <v>0</v>
      </c>
      <c r="DD158" s="54" t="e">
        <f>SummaryTable[[#This Row],[BudgetIncreaseAmount14]]/SummaryTable[[#This Row],[OriginalBudget13]]</f>
        <v>#DIV/0!</v>
      </c>
      <c r="DE158" s="61">
        <f>IF(COUNTIFS(allFYsTable[Code], SummaryTable[[#This Row],[Code]], allFYsTable[year2], DB$3)=0, NotFound, SUMIFS(allFYsTable[RevisedBudget], allFYsTable[Code], SummaryTable[[#This Row],[Code]], allFYsTable[year2], DB$3))</f>
        <v>0</v>
      </c>
      <c r="DF158" s="61">
        <f>IF(COUNTIFS(allFYsTable[Code], SummaryTable[[#This Row],[Code]], allFYsTable[year2], DB$3)=0, NotFound, SUMIFS(allFYsTable[Actual], allFYsTable[Code], SummaryTable[[#This Row],[Code]], allFYsTable[year2], DB$3))</f>
        <v>0</v>
      </c>
      <c r="DG158" s="61">
        <f>IF(COUNTIFS(allFYsTable[Code], SummaryTable[[#This Row],[Code]], allFYsTable[year2], DB$3)=0, NotFound, SUMIFS(allFYsTable[DiffAmount], allFYsTable[Code], SummaryTable[[#This Row],[Code]], allFYsTable[year2], DB$3))</f>
        <v>0</v>
      </c>
      <c r="DH158" s="63">
        <f>IF(SummaryTable[[#This Row],[OriginalBudget14]]=0, IF(SummaryTable[[#This Row],[DiffAmount14]]=0, ZeroBudgetNoSpending, ZeroBudgetWithSpending), SummaryTable[[#This Row],[DiffAmount14]]/SummaryTable[[#This Row],[OriginalBudget14]])</f>
        <v>0</v>
      </c>
      <c r="DI158" s="62">
        <f>IF(COUNTIFS(allFYsTable[Code], SummaryTable[[#This Row],[Code]], allFYsTable[year2], DI$3)=0, NotFound, SUMIFS(allFYsTable[OriginalBudget], allFYsTable[Code], SummaryTable[[#This Row],[Code]], allFYsTable[year2], DI$3))</f>
        <v>0</v>
      </c>
      <c r="DJ158" s="61">
        <f>SummaryTable[[#This Row],[OriginalBudget13]]-SummaryTable[[#This Row],[OriginalBudget12]]</f>
        <v>0</v>
      </c>
      <c r="DK158" s="54" t="e">
        <f>SummaryTable[[#This Row],[BudgetIncreaseAmount13]]/SummaryTable[[#This Row],[OriginalBudget12]]</f>
        <v>#DIV/0!</v>
      </c>
      <c r="DL158" s="61">
        <f>IF(COUNTIFS(allFYsTable[Code], SummaryTable[[#This Row],[Code]], allFYsTable[year2], DI$3)=0, NotFound, SUMIFS(allFYsTable[RevisedBudget], allFYsTable[Code], SummaryTable[[#This Row],[Code]], allFYsTable[year2], DI$3))</f>
        <v>0</v>
      </c>
      <c r="DM158" s="61">
        <f>IF(COUNTIFS(allFYsTable[Code], SummaryTable[[#This Row],[Code]], allFYsTable[year2], DI$3)=0, NotFound, SUMIFS(allFYsTable[Actual], allFYsTable[Code], SummaryTable[[#This Row],[Code]], allFYsTable[year2], DI$3))</f>
        <v>0</v>
      </c>
      <c r="DN158" s="61">
        <f>IF(COUNTIFS(allFYsTable[Code], SummaryTable[[#This Row],[Code]], allFYsTable[year2], DI$3)=0, NotFound, SUMIFS(allFYsTable[DiffAmount], allFYsTable[Code], SummaryTable[[#This Row],[Code]], allFYsTable[year2], DI$3))</f>
        <v>0</v>
      </c>
      <c r="DO158" s="63">
        <f>IF(SummaryTable[[#This Row],[OriginalBudget13]]=0, IF(SummaryTable[[#This Row],[DiffAmount13]]=0, ZeroBudgetNoSpending, ZeroBudgetWithSpending), SummaryTable[[#This Row],[DiffAmount13]]/SummaryTable[[#This Row],[OriginalBudget13]])</f>
        <v>0</v>
      </c>
      <c r="DP158" s="62">
        <f>IF(COUNTIFS(allFYsTable[Code], SummaryTable[[#This Row],[Code]], allFYsTable[year2], DP$3)=0, NotFound, SUMIFS(allFYsTable[OriginalBudget], allFYsTable[Code], SummaryTable[[#This Row],[Code]], allFYsTable[year2], DP$3))</f>
        <v>0</v>
      </c>
      <c r="DQ158" s="61">
        <f>SummaryTable[[#This Row],[OriginalBudget12]]-SummaryTable[[#This Row],[OriginalBudget11]]</f>
        <v>0</v>
      </c>
      <c r="DR158" s="54" t="e">
        <f>SummaryTable[[#This Row],[BudgetIncreaseAmount12]]/SummaryTable[[#This Row],[OriginalBudget11]]</f>
        <v>#DIV/0!</v>
      </c>
      <c r="DS158" s="61">
        <f>IF(COUNTIFS(allFYsTable[Code], SummaryTable[[#This Row],[Code]], allFYsTable[year2], DP$3)=0, NotFound, SUMIFS(allFYsTable[RevisedBudget], allFYsTable[Code], SummaryTable[[#This Row],[Code]], allFYsTable[year2], DP$3))</f>
        <v>0</v>
      </c>
      <c r="DT158" s="61">
        <f>IF(COUNTIFS(allFYsTable[Code], SummaryTable[[#This Row],[Code]], allFYsTable[year2], DP$3)=0, NotFound, SUMIFS(allFYsTable[Actual], allFYsTable[Code], SummaryTable[[#This Row],[Code]], allFYsTable[year2], DP$3))</f>
        <v>0</v>
      </c>
      <c r="DU158" s="61">
        <f>IF(COUNTIFS(allFYsTable[Code], SummaryTable[[#This Row],[Code]], allFYsTable[year2], DP$3)=0, NotFound, SUMIFS(allFYsTable[DiffAmount], allFYsTable[Code], SummaryTable[[#This Row],[Code]], allFYsTable[year2], DP$3))</f>
        <v>0</v>
      </c>
      <c r="DV158" s="63">
        <f>IF(SummaryTable[[#This Row],[OriginalBudget12]]=0, IF(SummaryTable[[#This Row],[DiffAmount12]]=0, ZeroBudgetNoSpending, ZeroBudgetWithSpending), SummaryTable[[#This Row],[DiffAmount12]]/SummaryTable[[#This Row],[OriginalBudget12]])</f>
        <v>0</v>
      </c>
      <c r="DW158" s="62">
        <f>IF(COUNTIFS(allFYsTable[Code], SummaryTable[[#This Row],[Code]], allFYsTable[year2], DW$3)=0, NotFound, SUMIFS(allFYsTable[OriginalBudget], allFYsTable[Code], SummaryTable[[#This Row],[Code]], allFYsTable[year2], DW$3))</f>
        <v>0</v>
      </c>
      <c r="DX158" s="61">
        <f>SummaryTable[[#This Row],[OriginalBudget11]]-SummaryTable[[#This Row],[OriginalBudget10]]</f>
        <v>0</v>
      </c>
      <c r="DY158" s="54" t="e">
        <f>SummaryTable[[#This Row],[BudgetIncreaseAmount11]]/SummaryTable[[#This Row],[OriginalBudget10]]</f>
        <v>#DIV/0!</v>
      </c>
      <c r="DZ158" s="61">
        <f>IF(COUNTIFS(allFYsTable[Code], SummaryTable[[#This Row],[Code]], allFYsTable[year2], DW$3)=0, NotFound, SUMIFS(allFYsTable[RevisedBudget], allFYsTable[Code], SummaryTable[[#This Row],[Code]], allFYsTable[year2], DW$3))</f>
        <v>0</v>
      </c>
      <c r="EA158" s="61">
        <f>IF(COUNTIFS(allFYsTable[Code], SummaryTable[[#This Row],[Code]], allFYsTable[year2], DW$3)=0, NotFound, SUMIFS(allFYsTable[Actual], allFYsTable[Code], SummaryTable[[#This Row],[Code]], allFYsTable[year2], DW$3))</f>
        <v>0</v>
      </c>
      <c r="EB158" s="61">
        <f>IF(COUNTIFS(allFYsTable[Code], SummaryTable[[#This Row],[Code]], allFYsTable[year2], DW$3)=0, NotFound, SUMIFS(allFYsTable[DiffAmount], allFYsTable[Code], SummaryTable[[#This Row],[Code]], allFYsTable[year2], DW$3))</f>
        <v>0</v>
      </c>
      <c r="EC158" s="63">
        <f>IF(SummaryTable[[#This Row],[OriginalBudget11]]=0, IF(SummaryTable[[#This Row],[DiffAmount11]]=0, ZeroBudgetNoSpending, ZeroBudgetWithSpending), SummaryTable[[#This Row],[DiffAmount11]]/SummaryTable[[#This Row],[OriginalBudget11]])</f>
        <v>0</v>
      </c>
      <c r="ED158" s="62">
        <f>IF(COUNTIFS(allFYsTable[Code], SummaryTable[[#This Row],[Code]], allFYsTable[year2], ED$3)=0, NotFound, SUMIFS(allFYsTable[OriginalBudget], allFYsTable[Code], SummaryTable[[#This Row],[Code]], allFYsTable[year2], ED$3))</f>
        <v>0</v>
      </c>
      <c r="EE158" s="61">
        <f>SummaryTable[[#This Row],[OriginalBudget10]]-SummaryTable[[#This Row],[OriginalBudget09]]</f>
        <v>0</v>
      </c>
      <c r="EF158" s="54" t="e">
        <f>SummaryTable[[#This Row],[BudgetIncreaseAmount10]]/SummaryTable[[#This Row],[OriginalBudget09]]</f>
        <v>#DIV/0!</v>
      </c>
      <c r="EG158" s="61">
        <f>IF(COUNTIFS(allFYsTable[Code], SummaryTable[[#This Row],[Code]], allFYsTable[year2], ED$3)=0, NotFound, SUMIFS(allFYsTable[RevisedBudget], allFYsTable[Code], SummaryTable[[#This Row],[Code]], allFYsTable[year2], ED$3))</f>
        <v>0</v>
      </c>
      <c r="EH158" s="61">
        <f>IF(COUNTIFS(allFYsTable[Code], SummaryTable[[#This Row],[Code]], allFYsTable[year2], ED$3)=0, NotFound, SUMIFS(allFYsTable[Actual], allFYsTable[Code], SummaryTable[[#This Row],[Code]], allFYsTable[year2], ED$3))</f>
        <v>0</v>
      </c>
      <c r="EI158" s="61">
        <f>IF(COUNTIFS(allFYsTable[Code], SummaryTable[[#This Row],[Code]], allFYsTable[year2], ED$3)=0, NotFound, SUMIFS(allFYsTable[DiffAmount], allFYsTable[Code], SummaryTable[[#This Row],[Code]], allFYsTable[year2], ED$3))</f>
        <v>0</v>
      </c>
      <c r="EJ158" s="63">
        <f>IF(SummaryTable[[#This Row],[OriginalBudget10]]=0, IF(SummaryTable[[#This Row],[DiffAmount10]]=0, ZeroBudgetNoSpending, ZeroBudgetWithSpending), SummaryTable[[#This Row],[DiffAmount10]]/SummaryTable[[#This Row],[OriginalBudget10]])</f>
        <v>0</v>
      </c>
      <c r="EK158" s="62">
        <f>IF(COUNTIFS(allFYsTable[Code], SummaryTable[[#This Row],[Code]], allFYsTable[year2], EK$3)=0, NotFound, SUMIFS(allFYsTable[OriginalBudget], allFYsTable[Code], SummaryTable[[#This Row],[Code]], allFYsTable[year2], EK$3))</f>
        <v>0</v>
      </c>
      <c r="EL158" s="61" t="e">
        <f>SummaryTable[[#This Row],[OriginalBudget09]]-SummaryTable[[#This Row],[OriginalBudget08]]</f>
        <v>#N/A</v>
      </c>
      <c r="EM158" s="54" t="e">
        <f>SummaryTable[[#This Row],[BudgetIncreaseAmount09]]/SummaryTable[[#This Row],[OriginalBudget08]]</f>
        <v>#N/A</v>
      </c>
      <c r="EN158" s="61">
        <f>IF(COUNTIFS(allFYsTable[Code], SummaryTable[[#This Row],[Code]], allFYsTable[year2], EK$3)=0, NotFound, SUMIFS(allFYsTable[RevisedBudget], allFYsTable[Code], SummaryTable[[#This Row],[Code]], allFYsTable[year2], EK$3))</f>
        <v>0</v>
      </c>
      <c r="EO158" s="61">
        <f>IF(COUNTIFS(allFYsTable[Code], SummaryTable[[#This Row],[Code]], allFYsTable[year2], EK$3)=0, NotFound, SUMIFS(allFYsTable[Actual], allFYsTable[Code], SummaryTable[[#This Row],[Code]], allFYsTable[year2], EK$3))</f>
        <v>0</v>
      </c>
      <c r="EP158" s="61">
        <f>IF(COUNTIFS(allFYsTable[Code], SummaryTable[[#This Row],[Code]], allFYsTable[year2], EK$3)=0, NotFound, SUMIFS(allFYsTable[DiffAmount], allFYsTable[Code], SummaryTable[[#This Row],[Code]], allFYsTable[year2], EK$3))</f>
        <v>0</v>
      </c>
      <c r="EQ158" s="63">
        <f>IF(SummaryTable[[#This Row],[OriginalBudget09]]=0, IF(SummaryTable[[#This Row],[DiffAmount09]]=0, ZeroBudgetNoSpending, ZeroBudgetWithSpending), SummaryTable[[#This Row],[DiffAmount09]]/SummaryTable[[#This Row],[OriginalBudget09]])</f>
        <v>0</v>
      </c>
      <c r="ER158" s="62" t="e">
        <f>IF(COUNTIFS(allFYsTable[Code], SummaryTable[[#This Row],[Code]], allFYsTable[year2], ER$3)=0, NotFound, SUMIFS(allFYsTable[OriginalBudget], allFYsTable[Code], SummaryTable[[#This Row],[Code]], allFYsTable[year2], ER$3))</f>
        <v>#N/A</v>
      </c>
      <c r="ES158" s="61" t="e">
        <f>SummaryTable[[#This Row],[OriginalBudget08]]-SummaryTable[[#This Row],[OriginalBudget07]]</f>
        <v>#N/A</v>
      </c>
      <c r="ET158" s="54" t="e">
        <f>SummaryTable[[#This Row],[BudgetIncreaseAmount08]]/SummaryTable[[#This Row],[OriginalBudget07]]</f>
        <v>#N/A</v>
      </c>
      <c r="EU158" s="61" t="e">
        <f>IF(COUNTIFS(allFYsTable[Code], SummaryTable[[#This Row],[Code]], allFYsTable[year2], ER$3)=0, NotFound, SUMIFS(allFYsTable[RevisedBudget], allFYsTable[Code], SummaryTable[[#This Row],[Code]], allFYsTable[year2], ER$3))</f>
        <v>#N/A</v>
      </c>
      <c r="EV158" s="61" t="e">
        <f>IF(COUNTIFS(allFYsTable[Code], SummaryTable[[#This Row],[Code]], allFYsTable[year2], ER$3)=0, NotFound, SUMIFS(allFYsTable[Actual], allFYsTable[Code], SummaryTable[[#This Row],[Code]], allFYsTable[year2], ER$3))</f>
        <v>#N/A</v>
      </c>
      <c r="EW158" s="61" t="e">
        <f>IF(COUNTIFS(allFYsTable[Code], SummaryTable[[#This Row],[Code]], allFYsTable[year2], ER$3)=0, NotFound, SUMIFS(allFYsTable[DiffAmount], allFYsTable[Code], SummaryTable[[#This Row],[Code]], allFYsTable[year2], ER$3))</f>
        <v>#N/A</v>
      </c>
      <c r="EX158" s="63" t="e">
        <f>IF(SummaryTable[[#This Row],[OriginalBudget08]]=0, IF(SummaryTable[[#This Row],[DiffAmount08]]=0, ZeroBudgetNoSpending, ZeroBudgetWithSpending), SummaryTable[[#This Row],[DiffAmount08]]/SummaryTable[[#This Row],[OriginalBudget08]])</f>
        <v>#N/A</v>
      </c>
      <c r="EY158" s="62" t="e">
        <f>IF(COUNTIFS(allFYsTable[Code], SummaryTable[[#This Row],[Code]], allFYsTable[year2], EY$3)=0, NotFound, SUMIFS(allFYsTable[OriginalBudget], allFYsTable[Code], SummaryTable[[#This Row],[Code]], allFYsTable[year2], EY$3))</f>
        <v>#N/A</v>
      </c>
      <c r="EZ158" s="61" t="e">
        <f>SummaryTable[[#This Row],[OriginalBudget07]]-SummaryTable[[#This Row],[OriginalBudget06]]</f>
        <v>#N/A</v>
      </c>
      <c r="FA158" s="54" t="e">
        <f>SummaryTable[[#This Row],[BudgetIncreaseAmount07]]/SummaryTable[[#This Row],[OriginalBudget06]]</f>
        <v>#N/A</v>
      </c>
      <c r="FB158" s="61" t="e">
        <f>IF(COUNTIFS(allFYsTable[Code], SummaryTable[[#This Row],[Code]], allFYsTable[year2], EY$3)=0, NotFound, SUMIFS(allFYsTable[RevisedBudget], allFYsTable[Code], SummaryTable[[#This Row],[Code]], allFYsTable[year2], EY$3))</f>
        <v>#N/A</v>
      </c>
      <c r="FC158" s="61" t="e">
        <f>IF(COUNTIFS(allFYsTable[Code], SummaryTable[[#This Row],[Code]], allFYsTable[year2], EY$3)=0, NotFound, SUMIFS(allFYsTable[Actual], allFYsTable[Code], SummaryTable[[#This Row],[Code]], allFYsTable[year2], EY$3))</f>
        <v>#N/A</v>
      </c>
      <c r="FD158" s="61" t="e">
        <f>IF(COUNTIFS(allFYsTable[Code], SummaryTable[[#This Row],[Code]], allFYsTable[year2], EY$3)=0, NotFound, SUMIFS(allFYsTable[DiffAmount], allFYsTable[Code], SummaryTable[[#This Row],[Code]], allFYsTable[year2], EY$3))</f>
        <v>#N/A</v>
      </c>
      <c r="FE158" s="63" t="e">
        <f>IF(SummaryTable[[#This Row],[OriginalBudget07]]=0, IF(SummaryTable[[#This Row],[DiffAmount07]]=0, ZeroBudgetNoSpending, ZeroBudgetWithSpending), SummaryTable[[#This Row],[DiffAmount07]]/SummaryTable[[#This Row],[OriginalBudget07]])</f>
        <v>#N/A</v>
      </c>
      <c r="FF158" s="62" t="e">
        <f>IF(COUNTIFS(allFYsTable[Code], SummaryTable[[#This Row],[Code]], allFYsTable[year2], FF$3)=0, NotFound, SUMIFS(allFYsTable[OriginalBudget], allFYsTable[Code], SummaryTable[[#This Row],[Code]], allFYsTable[year2], FF$3))</f>
        <v>#N/A</v>
      </c>
      <c r="FI158" s="61" t="e">
        <f>IF(COUNTIFS(allFYsTable[Code], SummaryTable[[#This Row],[Code]], allFYsTable[year2], FF$3)=0, NotFound, SUMIFS(allFYsTable[RevisedBudget], allFYsTable[Code], SummaryTable[[#This Row],[Code]], allFYsTable[year2], FF$3))</f>
        <v>#N/A</v>
      </c>
      <c r="FJ158" s="61" t="e">
        <f>IF(COUNTIFS(allFYsTable[Code], SummaryTable[[#This Row],[Code]], allFYsTable[year2], FF$3)=0, NotFound, SUMIFS(allFYsTable[Actual], allFYsTable[Code], SummaryTable[[#This Row],[Code]], allFYsTable[year2], FF$3))</f>
        <v>#N/A</v>
      </c>
      <c r="FK158" s="61" t="e">
        <f>IF(COUNTIFS(allFYsTable[Code], SummaryTable[[#This Row],[Code]], allFYsTable[year2], FF$3)=0, NotFound, SUMIFS(allFYsTable[DiffAmount], allFYsTable[Code], SummaryTable[[#This Row],[Code]], allFYsTable[year2], FF$3))</f>
        <v>#N/A</v>
      </c>
      <c r="FL158" s="63" t="e">
        <f>IF(SummaryTable[[#This Row],[OriginalBudget06]]=0, IF(SummaryTable[[#This Row],[DiffAmount06]]=0, ZeroBudgetNoSpending, ZeroBudgetWithSpending), SummaryTable[[#This Row],[DiffAmount06]]/SummaryTable[[#This Row],[OriginalBudget06]])</f>
        <v>#N/A</v>
      </c>
    </row>
    <row r="159" spans="1:168" x14ac:dyDescent="0.45">
      <c r="A159" t="s">
        <v>878</v>
      </c>
      <c r="B159">
        <f>_xlfn.MAXIFS(allFYsTable[year2], allFYsTable[Code], SummaryTable[[#This Row],[Code]])</f>
        <v>2014</v>
      </c>
      <c r="C159" t="str">
        <f>_xlfn.XLOOKUP(SummaryTable[[#This Row],[Code]], NameCodingTable[Code], NameCodingTable[Most Recent Category per allFYs])</f>
        <v>Governmental direction and support</v>
      </c>
      <c r="D159" t="str">
        <f>_xlfn.XLOOKUP(SummaryTable[[#This Row],[Code]], NameCodingTable[Code], NameCodingTable[Unit Display Name])</f>
        <v>The innovation fund</v>
      </c>
      <c r="E159" t="str">
        <f>_xlfn.XLOOKUP(SummaryTable[[#This Row],[Code]], NameCodingTable[Code], NameCodingTable[Type])</f>
        <v>untyped</v>
      </c>
      <c r="F15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5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59" s="54">
        <f>SummaryTable[[#This Row],['# Over]]/SummaryTable[[#This Row],[Count]]</f>
        <v>0</v>
      </c>
      <c r="I15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59" s="54">
        <f>SummaryTable[[#This Row],['# Under]]/SummaryTable[[#This Row],[Count]]</f>
        <v>0</v>
      </c>
      <c r="K15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59" s="54">
        <f>SummaryTable[[#This Row],['# Equal]]/SummaryTable[[#This Row],[Count]]</f>
        <v>1</v>
      </c>
      <c r="M159" s="61">
        <f>SUMIFS(allFYsTable[OriginalBudget],allFYsTable[Code],SummaryTable[[#This Row],[Code]])/SummaryTable[[#This Row],[Count]]</f>
        <v>15000</v>
      </c>
      <c r="N159" s="61">
        <f>SUMIFS(allFYsTable[Actual],allFYsTable[Code],SummaryTable[[#This Row],[Code]])/SummaryTable[[#This Row],[Count]]</f>
        <v>15000</v>
      </c>
      <c r="O159" s="61">
        <f>SummaryTable[[#This Row],[AvgActAmt]]-SummaryTable[[#This Row],[AvgBudAmt]]</f>
        <v>0</v>
      </c>
      <c r="P159" s="54">
        <f>IF(SummaryTable[[#This Row],[AvgBudAmt]]=0, IF(SummaryTable[[#This Row],[AvgDiff'#]]=0, 0, NamedFields!$C$3), SummaryTable[[#This Row],[AvgDiff'#]]/SummaryTable[[#This Row],[AvgBudAmt]])</f>
        <v>0</v>
      </c>
      <c r="Q159" s="61">
        <f>IFERROR(SUMIFS(allFYsTable[OriginalBudget],allFYsTable[Code],SummaryTable[[#This Row],[Code]],allFYsTable[DiffAmount], "&gt;0")/SummaryTable[[#This Row],['# Over]], 0)</f>
        <v>0</v>
      </c>
      <c r="R159" s="61">
        <f>IFERROR(SUMIFS(allFYsTable[Actual],allFYsTable[Code],SummaryTable[[#This Row],[Code]],allFYsTable[DiffAmount], "&gt;0")/SummaryTable[[#This Row],['# Over]], 0)</f>
        <v>0</v>
      </c>
      <c r="S159" s="61">
        <f>SummaryTable[[#This Row],[OverAvgAct]]-SummaryTable[[#This Row],[OverAvgBud]]</f>
        <v>0</v>
      </c>
      <c r="T159" s="54">
        <f>IF(SummaryTable[[#This Row],[OverAvgBud]]=0, IF(SummaryTable[[#This Row],[OverAvgDiff'#]]=0, ZeroBudgetNoSpending, ZeroBudgetWithSpending), SummaryTable[[#This Row],[OverAvgDiff'#]]/SummaryTable[[#This Row],[OverAvgBud]])</f>
        <v>0</v>
      </c>
      <c r="U159" s="61">
        <f>IFERROR(SUMIFS(allFYsTable[OriginalBudget],allFYsTable[Code],SummaryTable[[#This Row],[Code]],allFYsTable[DiffAmount], "&lt;0")/SummaryTable[[#This Row],['# Under]], 0)</f>
        <v>0</v>
      </c>
      <c r="V159" s="61">
        <f>IFERROR( SUMIFS(allFYsTable[Actual],allFYsTable[Code],SummaryTable[[#This Row],[Code]],allFYsTable[DiffAmount], "&lt;0")/SummaryTable[[#This Row],['# Under]], 0)</f>
        <v>0</v>
      </c>
      <c r="W159" s="61">
        <f>SummaryTable[[#This Row],[UnderAvgAct]]-SummaryTable[[#This Row],[UnderAvgBud]]</f>
        <v>0</v>
      </c>
      <c r="X159" s="54">
        <f>IF(SummaryTable[[#This Row],[UnderAvgBud]]=0, IF(SummaryTable[[#This Row],[UnderAvgDiff'#]]=0, ZeroBudgetNoSpending, NamedFields!$C$3), SummaryTable[[#This Row],[UnderAvgDiff'#]]/SummaryTable[[#This Row],[UnderAvgBud]])</f>
        <v>0</v>
      </c>
      <c r="Y15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5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59" s="54">
        <f>IF(SummaryTable[[#This Row],[IncreaseYears]]=0, ZeroBudgetNoSpending, SummaryTable[[#This Row],[OSinIncreaseYear'#]]/SummaryTable[[#This Row],[IncreaseYears]])</f>
        <v>0</v>
      </c>
      <c r="AB159" s="58" t="str">
        <f>SummaryTable[[#This Row],[Code]]</f>
        <v>XIF</v>
      </c>
      <c r="AC159" s="62" t="e">
        <f>IF(COUNTIFS(allFYsTable[Code], SummaryTable[[#This Row],[Code]], allFYsTable[year2], AC$3)=0, NotFound, SUMIFS(allFYsTable[OriginalBudget], allFYsTable[Code], SummaryTable[[#This Row],[Code]], allFYsTable[year2], AC$3))</f>
        <v>#N/A</v>
      </c>
      <c r="AD159" s="61" t="e">
        <f>SummaryTable[[#This Row],[OriginalBudget25]]-SummaryTable[[#This Row],[OriginalBudget24]]</f>
        <v>#N/A</v>
      </c>
      <c r="AE159" s="54" t="e">
        <f>SummaryTable[[#This Row],[BudgetIncreaseAmount25]]/SummaryTable[[#This Row],[OriginalBudget24]]</f>
        <v>#N/A</v>
      </c>
      <c r="AF159" s="61" t="e">
        <f>IF(COUNTIFS(allFYsTable[Code], SummaryTable[[#This Row],[Code]], allFYsTable[year2], AC$3)=0, NotFound, SUMIFS(allFYsTable[RevisedBudget], allFYsTable[Code], SummaryTable[[#This Row],[Code]], allFYsTable[year2], AC$3))</f>
        <v>#N/A</v>
      </c>
      <c r="AG159" s="61" t="e">
        <f>IF(COUNTIFS(allFYsTable[Code], SummaryTable[[#This Row],[Code]], allFYsTable[year2], AC$3)=0, NotFound, SUMIFS(allFYsTable[Actual], allFYsTable[Code], SummaryTable[[#This Row],[Code]], allFYsTable[year2], AC$3))</f>
        <v>#N/A</v>
      </c>
      <c r="AH159" s="61" t="e">
        <f>IF(COUNTIFS(allFYsTable[Code], SummaryTable[[#This Row],[Code]], allFYsTable[year2], AC$3)=0, NotFound, SUMIFS(allFYsTable[DiffAmount], allFYsTable[Code], SummaryTable[[#This Row],[Code]], allFYsTable[year2], AC$3))</f>
        <v>#N/A</v>
      </c>
      <c r="AI159" s="63" t="e">
        <f>IF(SummaryTable[[#This Row],[OriginalBudget25]]=0, IF(SummaryTable[[#This Row],[DiffAmount25]]=0, ZeroBudgetNoSpending, ZeroBudgetWithSpending), SummaryTable[[#This Row],[DiffAmount25]]/SummaryTable[[#This Row],[OriginalBudget25]])</f>
        <v>#N/A</v>
      </c>
      <c r="AJ159" s="62" t="e">
        <f>IF(COUNTIFS(allFYsTable[Code], SummaryTable[[#This Row],[Code]], allFYsTable[year2], AJ$3)=0, NotFound, SUMIFS(allFYsTable[OriginalBudget], allFYsTable[Code], SummaryTable[[#This Row],[Code]], allFYsTable[year2], AJ$3))</f>
        <v>#N/A</v>
      </c>
      <c r="AK159" s="61" t="e">
        <f>SummaryTable[[#This Row],[OriginalBudget24]]-SummaryTable[[#This Row],[OriginalBudget23]]</f>
        <v>#N/A</v>
      </c>
      <c r="AL159" s="54" t="e">
        <f>SummaryTable[[#This Row],[BudgetIncreaseAmount24]]/SummaryTable[[#This Row],[OriginalBudget23]]</f>
        <v>#N/A</v>
      </c>
      <c r="AM159" s="61" t="e">
        <f>IF(COUNTIFS(allFYsTable[Code], SummaryTable[[#This Row],[Code]], allFYsTable[year2], AK$3)=0, NotFound, SUMIFS(allFYsTable[RevisedBudget], allFYsTable[Code], SummaryTable[[#This Row],[Code]], allFYsTable[year2], AJ$3))</f>
        <v>#N/A</v>
      </c>
      <c r="AN159" s="61" t="e">
        <f>IF(COUNTIFS(allFYsTable[Code], SummaryTable[[#This Row],[Code]], allFYsTable[year2], AJ$3)=0, NotFound, SUMIFS(allFYsTable[Actual], allFYsTable[Code], SummaryTable[[#This Row],[Code]], allFYsTable[year2], AJ$3))</f>
        <v>#N/A</v>
      </c>
      <c r="AO159" s="61" t="e">
        <f>IF(COUNTIFS(allFYsTable[Code], SummaryTable[[#This Row],[Code]], allFYsTable[year2], AJ$3)=0, NotFound, SUMIFS(allFYsTable[DiffAmount], allFYsTable[Code], SummaryTable[[#This Row],[Code]], allFYsTable[year2], AJ$3))</f>
        <v>#N/A</v>
      </c>
      <c r="AP159" s="63" t="e">
        <f>IF(SummaryTable[[#This Row],[OriginalBudget24]]=0, IF(SummaryTable[[#This Row],[DiffAmount24]]=0, ZeroBudgetNoSpending, ZeroBudgetWithSpending), SummaryTable[[#This Row],[DiffAmount24]]/SummaryTable[[#This Row],[OriginalBudget24]])</f>
        <v>#N/A</v>
      </c>
      <c r="AQ159" s="62" t="e">
        <f>IF(COUNTIFS(allFYsTable[Code], SummaryTable[[#This Row],[Code]], allFYsTable[year2], AQ$3)=0, NotFound, SUMIFS(allFYsTable[OriginalBudget], allFYsTable[Code], SummaryTable[[#This Row],[Code]], allFYsTable[year2], AQ$3))</f>
        <v>#N/A</v>
      </c>
      <c r="AR159" s="61" t="e">
        <f>SummaryTable[[#This Row],[OriginalBudget23]]-SummaryTable[[#This Row],[OriginalBudget22]]</f>
        <v>#N/A</v>
      </c>
      <c r="AS159" s="54" t="e">
        <f>SummaryTable[[#This Row],[BudgetIncreaseAmount23]]/SummaryTable[[#This Row],[OriginalBudget22]]</f>
        <v>#N/A</v>
      </c>
      <c r="AT159" s="61" t="e">
        <f>IF(COUNTIFS(allFYsTable[Code], SummaryTable[[#This Row],[Code]], allFYsTable[year2], AQ$3)=0, NotFound, SUMIFS(allFYsTable[RevisedBudget], allFYsTable[Code], SummaryTable[[#This Row],[Code]], allFYsTable[year2], AQ$3))</f>
        <v>#N/A</v>
      </c>
      <c r="AU159" s="61" t="e">
        <f>IF(COUNTIFS(allFYsTable[Code], SummaryTable[[#This Row],[Code]], allFYsTable[year2], AQ$3)=0, NotFound, SUMIFS(allFYsTable[Actual], allFYsTable[Code], SummaryTable[[#This Row],[Code]], allFYsTable[year2], AQ$3))</f>
        <v>#N/A</v>
      </c>
      <c r="AV159" s="61" t="e">
        <f>IF(COUNTIFS(allFYsTable[Code], SummaryTable[[#This Row],[Code]], allFYsTable[year2], AQ$3)=0, NotFound, SUMIFS(allFYsTable[DiffAmount], allFYsTable[Code], SummaryTable[[#This Row],[Code]], allFYsTable[year2], AQ$3))</f>
        <v>#N/A</v>
      </c>
      <c r="AW159" s="63" t="e">
        <f>IF(SummaryTable[[#This Row],[OriginalBudget23]]=0, IF(SummaryTable[[#This Row],[DiffAmount23]]=0, ZeroBudgetNoSpending, ZeroBudgetWithSpending), SummaryTable[[#This Row],[DiffAmount23]]/SummaryTable[[#This Row],[OriginalBudget23]])</f>
        <v>#N/A</v>
      </c>
      <c r="AX159" s="62" t="e">
        <f>IF(COUNTIFS(allFYsTable[Code], SummaryTable[[#This Row],[Code]], allFYsTable[year2], AX$3)=0, NotFound, SUMIFS(allFYsTable[OriginalBudget], allFYsTable[Code], SummaryTable[[#This Row],[Code]], allFYsTable[year2], AX$3))</f>
        <v>#N/A</v>
      </c>
      <c r="AY159" s="61" t="e">
        <f>SummaryTable[[#This Row],[OriginalBudget22]]-SummaryTable[[#This Row],[OriginalBudget21]]</f>
        <v>#N/A</v>
      </c>
      <c r="AZ159" s="54" t="e">
        <f>SummaryTable[[#This Row],[BudgetIncreaseAmount22]]/SummaryTable[[#This Row],[OriginalBudget21]]</f>
        <v>#N/A</v>
      </c>
      <c r="BA159" s="61" t="e">
        <f>IF(COUNTIFS(allFYsTable[Code], SummaryTable[[#This Row],[Code]], allFYsTable[year2], AX$3)=0, NotFound, SUMIFS(allFYsTable[RevisedBudget], allFYsTable[Code], SummaryTable[[#This Row],[Code]], allFYsTable[year2], AX$3))</f>
        <v>#N/A</v>
      </c>
      <c r="BB159" s="61" t="e">
        <f>IF(COUNTIFS(allFYsTable[Code], SummaryTable[[#This Row],[Code]], allFYsTable[year2], AX$3)=0, NotFound, SUMIFS(allFYsTable[Actual], allFYsTable[Code], SummaryTable[[#This Row],[Code]], allFYsTable[year2], AX$3))</f>
        <v>#N/A</v>
      </c>
      <c r="BC159" s="61" t="e">
        <f>IF(COUNTIFS(allFYsTable[Code], SummaryTable[[#This Row],[Code]], allFYsTable[year2], AX$3)=0, NotFound, SUMIFS(allFYsTable[DiffAmount], allFYsTable[Code], SummaryTable[[#This Row],[Code]], allFYsTable[year2], AX$3))</f>
        <v>#N/A</v>
      </c>
      <c r="BD159" s="63" t="e">
        <f>IF(SummaryTable[[#This Row],[OriginalBudget22]]=0, IF(SummaryTable[[#This Row],[DiffAmount22]]=0, ZeroBudgetNoSpending, ZeroBudgetWithSpending), SummaryTable[[#This Row],[DiffAmount22]]/SummaryTable[[#This Row],[OriginalBudget22]])</f>
        <v>#N/A</v>
      </c>
      <c r="BE159" s="62" t="e">
        <f>IF(COUNTIFS(allFYsTable[Code], SummaryTable[[#This Row],[Code]], allFYsTable[year2], BE$3)=0, NotFound, SUMIFS(allFYsTable[OriginalBudget], allFYsTable[Code], SummaryTable[[#This Row],[Code]], allFYsTable[year2], BE$3))</f>
        <v>#N/A</v>
      </c>
      <c r="BF159" s="61" t="e">
        <f>SummaryTable[[#This Row],[OriginalBudget21]]-SummaryTable[[#This Row],[OriginalBudget20]]</f>
        <v>#N/A</v>
      </c>
      <c r="BG159" s="54" t="e">
        <f>SummaryTable[[#This Row],[BudgetIncreaseAmount21]]/SummaryTable[[#This Row],[OriginalBudget20]]</f>
        <v>#N/A</v>
      </c>
      <c r="BH159" s="61" t="e">
        <f>IF(COUNTIFS(allFYsTable[Code], SummaryTable[[#This Row],[Code]], allFYsTable[year2], BE$3)=0, NotFound, SUMIFS(allFYsTable[RevisedBudget], allFYsTable[Code], SummaryTable[[#This Row],[Code]], allFYsTable[year2], BE$3))</f>
        <v>#N/A</v>
      </c>
      <c r="BI159" s="61" t="e">
        <f>IF(COUNTIFS(allFYsTable[Code], SummaryTable[[#This Row],[Code]], allFYsTable[year2], BE$3)=0, NotFound, SUMIFS(allFYsTable[Actual], allFYsTable[Code], SummaryTable[[#This Row],[Code]], allFYsTable[year2], BE$3))</f>
        <v>#N/A</v>
      </c>
      <c r="BJ159" s="61" t="e">
        <f>IF(COUNTIFS(allFYsTable[Code], SummaryTable[[#This Row],[Code]], allFYsTable[year2], BE$3)=0, NotFound, SUMIFS(allFYsTable[DiffAmount], allFYsTable[Code], SummaryTable[[#This Row],[Code]], allFYsTable[year2], BE$3))</f>
        <v>#N/A</v>
      </c>
      <c r="BK159" s="63" t="e">
        <f>IF(SummaryTable[[#This Row],[OriginalBudget21]]=0, IF(SummaryTable[[#This Row],[DiffAmount21]]=0, ZeroBudgetNoSpending, ZeroBudgetWithSpending), SummaryTable[[#This Row],[DiffAmount21]]/SummaryTable[[#This Row],[OriginalBudget21]])</f>
        <v>#N/A</v>
      </c>
      <c r="BL159" s="62" t="e">
        <f>IF(COUNTIFS(allFYsTable[Code], SummaryTable[[#This Row],[Code]], allFYsTable[year2], BL$3)=0, NotFound, SUMIFS(allFYsTable[OriginalBudget], allFYsTable[Code], SummaryTable[[#This Row],[Code]], allFYsTable[year2], BL$3))</f>
        <v>#N/A</v>
      </c>
      <c r="BM159" s="61" t="e">
        <f>SummaryTable[[#This Row],[OriginalBudget20]]-SummaryTable[[#This Row],[OriginalBudget19]]</f>
        <v>#N/A</v>
      </c>
      <c r="BN159" s="54" t="e">
        <f>SummaryTable[[#This Row],[BudgetIncreaseAmount20]]/SummaryTable[[#This Row],[OriginalBudget19]]</f>
        <v>#N/A</v>
      </c>
      <c r="BO159" s="61" t="e">
        <f>IF(COUNTIFS(allFYsTable[Code], SummaryTable[[#This Row],[Code]], allFYsTable[year2], BL$3)=0, NotFound, SUMIFS(allFYsTable[RevisedBudget], allFYsTable[Code], SummaryTable[[#This Row],[Code]], allFYsTable[year2], BL$3))</f>
        <v>#N/A</v>
      </c>
      <c r="BP159" s="61" t="e">
        <f>IF(COUNTIFS(allFYsTable[Code], SummaryTable[[#This Row],[Code]], allFYsTable[year2], BL$3)=0, NotFound, SUMIFS(allFYsTable[Actual], allFYsTable[Code], SummaryTable[[#This Row],[Code]], allFYsTable[year2], BL$3))</f>
        <v>#N/A</v>
      </c>
      <c r="BQ159" s="61" t="e">
        <f>IF(COUNTIFS(allFYsTable[Code], SummaryTable[[#This Row],[Code]], allFYsTable[year2], BL$3)=0, NotFound, SUMIFS(allFYsTable[DiffAmount], allFYsTable[Code], SummaryTable[[#This Row],[Code]], allFYsTable[year2], BL$3))</f>
        <v>#N/A</v>
      </c>
      <c r="BR159" s="63" t="e">
        <f>IF(SummaryTable[[#This Row],[OriginalBudget20]]=0, IF(SummaryTable[[#This Row],[DiffAmount20]]=0, ZeroBudgetNoSpending, ZeroBudgetWithSpending), SummaryTable[[#This Row],[DiffAmount20]]/SummaryTable[[#This Row],[OriginalBudget20]])</f>
        <v>#N/A</v>
      </c>
      <c r="BS159" s="62" t="e">
        <f>IF(COUNTIFS(allFYsTable[Code], SummaryTable[[#This Row],[Code]], allFYsTable[year2], BS$3)=0, NotFound, SUMIFS(allFYsTable[OriginalBudget], allFYsTable[Code], SummaryTable[[#This Row],[Code]], allFYsTable[year2], BS$3))</f>
        <v>#N/A</v>
      </c>
      <c r="BT159" s="61" t="e">
        <f>SummaryTable[[#This Row],[OriginalBudget19]]-SummaryTable[[#This Row],[OriginalBudget18]]</f>
        <v>#N/A</v>
      </c>
      <c r="BU159" s="54" t="e">
        <f>SummaryTable[[#This Row],[BudgetIncreaseAmount19]]/SummaryTable[[#This Row],[OriginalBudget18]]</f>
        <v>#N/A</v>
      </c>
      <c r="BV159" s="61" t="e">
        <f>IF(COUNTIFS(allFYsTable[Code], SummaryTable[[#This Row],[Code]], allFYsTable[year2], BS$3)=0, NotFound, SUMIFS(allFYsTable[RevisedBudget], allFYsTable[Code], SummaryTable[[#This Row],[Code]], allFYsTable[year2], BS$3))</f>
        <v>#N/A</v>
      </c>
      <c r="BW159" s="61" t="e">
        <f>IF(COUNTIFS(allFYsTable[Code], SummaryTable[[#This Row],[Code]], allFYsTable[year2], BS$3)=0, NotFound, SUMIFS(allFYsTable[Actual], allFYsTable[Code], SummaryTable[[#This Row],[Code]], allFYsTable[year2], BS$3))</f>
        <v>#N/A</v>
      </c>
      <c r="BX159" s="61" t="e">
        <f>IF(COUNTIFS(allFYsTable[Code], SummaryTable[[#This Row],[Code]], allFYsTable[year2], BS$3)=0, NotFound, SUMIFS(allFYsTable[DiffAmount], allFYsTable[Code], SummaryTable[[#This Row],[Code]], allFYsTable[year2], BS$3))</f>
        <v>#N/A</v>
      </c>
      <c r="BY159" s="63" t="e">
        <f>IF(SummaryTable[[#This Row],[OriginalBudget19]]=0, IF(SummaryTable[[#This Row],[DiffAmount19]]=0, ZeroBudgetNoSpending, ZeroBudgetWithSpending), SummaryTable[[#This Row],[DiffAmount19]]/SummaryTable[[#This Row],[OriginalBudget19]])</f>
        <v>#N/A</v>
      </c>
      <c r="BZ159" s="62" t="e">
        <f>IF(COUNTIFS(allFYsTable[Code], SummaryTable[[#This Row],[Code]], allFYsTable[year2], BZ$3)=0, NotFound, SUMIFS(allFYsTable[OriginalBudget], allFYsTable[Code], SummaryTable[[#This Row],[Code]], allFYsTable[year2], BZ$3))</f>
        <v>#N/A</v>
      </c>
      <c r="CA159" s="61" t="e">
        <f>SummaryTable[[#This Row],[OriginalBudget18]]-SummaryTable[[#This Row],[OriginalBudget17]]</f>
        <v>#N/A</v>
      </c>
      <c r="CB159" s="54" t="e">
        <f>SummaryTable[[#This Row],[BudgetIncreaseAmount18]]/SummaryTable[[#This Row],[OriginalBudget17]]</f>
        <v>#N/A</v>
      </c>
      <c r="CC159" s="61" t="e">
        <f>IF(COUNTIFS(allFYsTable[Code], SummaryTable[[#This Row],[Code]], allFYsTable[year2], BZ$3)=0, NotFound, SUMIFS(allFYsTable[RevisedBudget], allFYsTable[Code], SummaryTable[[#This Row],[Code]], allFYsTable[year2], BZ$3))</f>
        <v>#N/A</v>
      </c>
      <c r="CD159" s="61" t="e">
        <f>IF(COUNTIFS(allFYsTable[Code], SummaryTable[[#This Row],[Code]], allFYsTable[year2], BZ$3)=0, NotFound, SUMIFS(allFYsTable[Actual], allFYsTable[Code], SummaryTable[[#This Row],[Code]], allFYsTable[year2], BZ$3))</f>
        <v>#N/A</v>
      </c>
      <c r="CE159" s="61" t="e">
        <f>IF(COUNTIFS(allFYsTable[Code], SummaryTable[[#This Row],[Code]], allFYsTable[year2], BZ$3)=0, NotFound, SUMIFS(allFYsTable[DiffAmount], allFYsTable[Code], SummaryTable[[#This Row],[Code]], allFYsTable[year2], BZ$3))</f>
        <v>#N/A</v>
      </c>
      <c r="CF159" s="63" t="e">
        <f>IF(SummaryTable[[#This Row],[OriginalBudget18]]=0, IF(SummaryTable[[#This Row],[DiffAmount18]]=0, ZeroBudgetNoSpending, ZeroBudgetWithSpending), SummaryTable[[#This Row],[DiffAmount18]]/SummaryTable[[#This Row],[OriginalBudget18]])</f>
        <v>#N/A</v>
      </c>
      <c r="CG159" s="62" t="e">
        <f>IF(COUNTIFS(allFYsTable[Code], SummaryTable[[#This Row],[Code]], allFYsTable[year2], CG$3)=0, NotFound, SUMIFS(allFYsTable[OriginalBudget], allFYsTable[Code], SummaryTable[[#This Row],[Code]], allFYsTable[year2], CG$3))</f>
        <v>#N/A</v>
      </c>
      <c r="CH159" s="61" t="e">
        <f>SummaryTable[[#This Row],[OriginalBudget17]]-SummaryTable[[#This Row],[OriginalBudget16]]</f>
        <v>#N/A</v>
      </c>
      <c r="CI159" s="54" t="e">
        <f>SummaryTable[[#This Row],[BudgetIncreaseAmount17]]/SummaryTable[[#This Row],[OriginalBudget16]]</f>
        <v>#N/A</v>
      </c>
      <c r="CJ159" s="61" t="e">
        <f>IF(COUNTIFS(allFYsTable[Code], SummaryTable[[#This Row],[Code]], allFYsTable[year2], CG$3)=0, NotFound, SUMIFS(allFYsTable[RevisedBudget], allFYsTable[Code], SummaryTable[[#This Row],[Code]], allFYsTable[year2], CG$3))</f>
        <v>#N/A</v>
      </c>
      <c r="CK159" s="61" t="e">
        <f>IF(COUNTIFS(allFYsTable[Code], SummaryTable[[#This Row],[Code]], allFYsTable[year2], CG$3)=0, NotFound, SUMIFS(allFYsTable[Actual], allFYsTable[Code], SummaryTable[[#This Row],[Code]], allFYsTable[year2], CG$3))</f>
        <v>#N/A</v>
      </c>
      <c r="CL159" s="61" t="e">
        <f>IF(COUNTIFS(allFYsTable[Code], SummaryTable[[#This Row],[Code]], allFYsTable[year2], CG$3)=0, NotFound, SUMIFS(allFYsTable[DiffAmount], allFYsTable[Code], SummaryTable[[#This Row],[Code]], allFYsTable[year2], CG$3))</f>
        <v>#N/A</v>
      </c>
      <c r="CM159" s="63" t="e">
        <f>IF(SummaryTable[[#This Row],[OriginalBudget17]]=0, IF(SummaryTable[[#This Row],[DiffAmount17]]=0, ZeroBudgetNoSpending, ZeroBudgetWithSpending), SummaryTable[[#This Row],[DiffAmount17]]/SummaryTable[[#This Row],[OriginalBudget17]])</f>
        <v>#N/A</v>
      </c>
      <c r="CN159" s="62" t="e">
        <f>IF(COUNTIFS(allFYsTable[Code], SummaryTable[[#This Row],[Code]], allFYsTable[year2], CN$3)=0, NotFound, SUMIFS(allFYsTable[OriginalBudget], allFYsTable[Code], SummaryTable[[#This Row],[Code]], allFYsTable[year2], CN$3))</f>
        <v>#N/A</v>
      </c>
      <c r="CO159" s="61" t="e">
        <f>SummaryTable[[#This Row],[OriginalBudget16]]-SummaryTable[[#This Row],[OriginalBudget15]]</f>
        <v>#N/A</v>
      </c>
      <c r="CP159" s="54" t="e">
        <f>SummaryTable[[#This Row],[BudgetIncreaseAmount16]]/SummaryTable[[#This Row],[OriginalBudget15]]</f>
        <v>#N/A</v>
      </c>
      <c r="CQ159" s="61" t="e">
        <f>IF(COUNTIFS(allFYsTable[Code], SummaryTable[[#This Row],[Code]], allFYsTable[year2], CN$3)=0, NotFound, SUMIFS(allFYsTable[RevisedBudget], allFYsTable[Code], SummaryTable[[#This Row],[Code]], allFYsTable[year2], CN$3))</f>
        <v>#N/A</v>
      </c>
      <c r="CR159" s="61" t="e">
        <f>IF(COUNTIFS(allFYsTable[Code], SummaryTable[[#This Row],[Code]], allFYsTable[year2], CN$3)=0, NotFound, SUMIFS(allFYsTable[Actual], allFYsTable[Code], SummaryTable[[#This Row],[Code]], allFYsTable[year2], CN$3))</f>
        <v>#N/A</v>
      </c>
      <c r="CS159" s="61" t="e">
        <f>IF(COUNTIFS(allFYsTable[Code], SummaryTable[[#This Row],[Code]], allFYsTable[year2], CN$3)=0, NotFound, SUMIFS(allFYsTable[DiffAmount], allFYsTable[Code], SummaryTable[[#This Row],[Code]], allFYsTable[year2], CN$3))</f>
        <v>#N/A</v>
      </c>
      <c r="CT159" s="63" t="e">
        <f>IF(SummaryTable[[#This Row],[OriginalBudget16]]=0, IF(SummaryTable[[#This Row],[DiffAmount16]]=0, ZeroBudgetNoSpending, ZeroBudgetWithSpending), SummaryTable[[#This Row],[DiffAmount16]]/SummaryTable[[#This Row],[OriginalBudget16]])</f>
        <v>#N/A</v>
      </c>
      <c r="CU159" s="62" t="e">
        <f>IF(COUNTIFS(allFYsTable[Code], SummaryTable[[#This Row],[Code]], allFYsTable[year2], CU$3)=0, NotFound, SUMIFS(allFYsTable[OriginalBudget], allFYsTable[Code], SummaryTable[[#This Row],[Code]], allFYsTable[year2], CU$3))</f>
        <v>#N/A</v>
      </c>
      <c r="CV159" s="61" t="e">
        <f>SummaryTable[[#This Row],[OriginalBudget15]]-SummaryTable[[#This Row],[OriginalBudget14]]</f>
        <v>#N/A</v>
      </c>
      <c r="CW159" s="54" t="e">
        <f>SummaryTable[[#This Row],[BudgetIncreaseAmount15]]/SummaryTable[[#This Row],[OriginalBudget14]]</f>
        <v>#N/A</v>
      </c>
      <c r="CX159" s="61" t="e">
        <f>IF(COUNTIFS(allFYsTable[Code], SummaryTable[[#This Row],[Code]], allFYsTable[year2], CU$3)=0, NotFound, SUMIFS(allFYsTable[RevisedBudget], allFYsTable[Code], SummaryTable[[#This Row],[Code]], allFYsTable[year2], CU$3))</f>
        <v>#N/A</v>
      </c>
      <c r="CY159" s="61" t="e">
        <f>IF(COUNTIFS(allFYsTable[Code], SummaryTable[[#This Row],[Code]], allFYsTable[year2], CU$3)=0, NotFound, SUMIFS(allFYsTable[Actual], allFYsTable[Code], SummaryTable[[#This Row],[Code]], allFYsTable[year2], CU$3))</f>
        <v>#N/A</v>
      </c>
      <c r="CZ159" s="61" t="e">
        <f>IF(COUNTIFS(allFYsTable[Code], SummaryTable[[#This Row],[Code]], allFYsTable[year2], CU$3)=0, NotFound, SUMIFS(allFYsTable[DiffAmount], allFYsTable[Code], SummaryTable[[#This Row],[Code]], allFYsTable[year2], CU$3))</f>
        <v>#N/A</v>
      </c>
      <c r="DA159" s="63" t="e">
        <f>IF(SummaryTable[[#This Row],[OriginalBudget15]]=0, IF(SummaryTable[[#This Row],[DiffAmount15]]=0, ZeroBudgetNoSpending, ZeroBudgetWithSpending), SummaryTable[[#This Row],[DiffAmount15]]/SummaryTable[[#This Row],[OriginalBudget15]])</f>
        <v>#N/A</v>
      </c>
      <c r="DB159" s="62">
        <f>IF(COUNTIFS(allFYsTable[Code], SummaryTable[[#This Row],[Code]], allFYsTable[year2], DB$3)=0, NotFound, SUMIFS(allFYsTable[OriginalBudget], allFYsTable[Code], SummaryTable[[#This Row],[Code]], allFYsTable[year2], DB$3))</f>
        <v>15000</v>
      </c>
      <c r="DC159" s="61" t="e">
        <f>SummaryTable[[#This Row],[OriginalBudget14]]-SummaryTable[[#This Row],[OriginalBudget13]]</f>
        <v>#N/A</v>
      </c>
      <c r="DD159" s="54" t="e">
        <f>SummaryTable[[#This Row],[BudgetIncreaseAmount14]]/SummaryTable[[#This Row],[OriginalBudget13]]</f>
        <v>#N/A</v>
      </c>
      <c r="DE159" s="61">
        <f>IF(COUNTIFS(allFYsTable[Code], SummaryTable[[#This Row],[Code]], allFYsTable[year2], DB$3)=0, NotFound, SUMIFS(allFYsTable[RevisedBudget], allFYsTable[Code], SummaryTable[[#This Row],[Code]], allFYsTable[year2], DB$3))</f>
        <v>15000</v>
      </c>
      <c r="DF159" s="61">
        <f>IF(COUNTIFS(allFYsTable[Code], SummaryTable[[#This Row],[Code]], allFYsTable[year2], DB$3)=0, NotFound, SUMIFS(allFYsTable[Actual], allFYsTable[Code], SummaryTable[[#This Row],[Code]], allFYsTable[year2], DB$3))</f>
        <v>15000</v>
      </c>
      <c r="DG159" s="61">
        <f>IF(COUNTIFS(allFYsTable[Code], SummaryTable[[#This Row],[Code]], allFYsTable[year2], DB$3)=0, NotFound, SUMIFS(allFYsTable[DiffAmount], allFYsTable[Code], SummaryTable[[#This Row],[Code]], allFYsTable[year2], DB$3))</f>
        <v>0</v>
      </c>
      <c r="DH159" s="63">
        <f>IF(SummaryTable[[#This Row],[OriginalBudget14]]=0, IF(SummaryTable[[#This Row],[DiffAmount14]]=0, ZeroBudgetNoSpending, ZeroBudgetWithSpending), SummaryTable[[#This Row],[DiffAmount14]]/SummaryTable[[#This Row],[OriginalBudget14]])</f>
        <v>0</v>
      </c>
      <c r="DI159" s="62" t="e">
        <f>IF(COUNTIFS(allFYsTable[Code], SummaryTable[[#This Row],[Code]], allFYsTable[year2], DI$3)=0, NotFound, SUMIFS(allFYsTable[OriginalBudget], allFYsTable[Code], SummaryTable[[#This Row],[Code]], allFYsTable[year2], DI$3))</f>
        <v>#N/A</v>
      </c>
      <c r="DJ159" s="61" t="e">
        <f>SummaryTable[[#This Row],[OriginalBudget13]]-SummaryTable[[#This Row],[OriginalBudget12]]</f>
        <v>#N/A</v>
      </c>
      <c r="DK159" s="54" t="e">
        <f>SummaryTable[[#This Row],[BudgetIncreaseAmount13]]/SummaryTable[[#This Row],[OriginalBudget12]]</f>
        <v>#N/A</v>
      </c>
      <c r="DL159" s="61" t="e">
        <f>IF(COUNTIFS(allFYsTable[Code], SummaryTable[[#This Row],[Code]], allFYsTable[year2], DI$3)=0, NotFound, SUMIFS(allFYsTable[RevisedBudget], allFYsTable[Code], SummaryTable[[#This Row],[Code]], allFYsTable[year2], DI$3))</f>
        <v>#N/A</v>
      </c>
      <c r="DM159" s="61" t="e">
        <f>IF(COUNTIFS(allFYsTable[Code], SummaryTable[[#This Row],[Code]], allFYsTable[year2], DI$3)=0, NotFound, SUMIFS(allFYsTable[Actual], allFYsTable[Code], SummaryTable[[#This Row],[Code]], allFYsTable[year2], DI$3))</f>
        <v>#N/A</v>
      </c>
      <c r="DN159" s="61" t="e">
        <f>IF(COUNTIFS(allFYsTable[Code], SummaryTable[[#This Row],[Code]], allFYsTable[year2], DI$3)=0, NotFound, SUMIFS(allFYsTable[DiffAmount], allFYsTable[Code], SummaryTable[[#This Row],[Code]], allFYsTable[year2], DI$3))</f>
        <v>#N/A</v>
      </c>
      <c r="DO159" s="63" t="e">
        <f>IF(SummaryTable[[#This Row],[OriginalBudget13]]=0, IF(SummaryTable[[#This Row],[DiffAmount13]]=0, ZeroBudgetNoSpending, ZeroBudgetWithSpending), SummaryTable[[#This Row],[DiffAmount13]]/SummaryTable[[#This Row],[OriginalBudget13]])</f>
        <v>#N/A</v>
      </c>
      <c r="DP159" s="62" t="e">
        <f>IF(COUNTIFS(allFYsTable[Code], SummaryTable[[#This Row],[Code]], allFYsTable[year2], DP$3)=0, NotFound, SUMIFS(allFYsTable[OriginalBudget], allFYsTable[Code], SummaryTable[[#This Row],[Code]], allFYsTable[year2], DP$3))</f>
        <v>#N/A</v>
      </c>
      <c r="DQ159" s="61" t="e">
        <f>SummaryTable[[#This Row],[OriginalBudget12]]-SummaryTable[[#This Row],[OriginalBudget11]]</f>
        <v>#N/A</v>
      </c>
      <c r="DR159" s="54" t="e">
        <f>SummaryTable[[#This Row],[BudgetIncreaseAmount12]]/SummaryTable[[#This Row],[OriginalBudget11]]</f>
        <v>#N/A</v>
      </c>
      <c r="DS159" s="61" t="e">
        <f>IF(COUNTIFS(allFYsTable[Code], SummaryTable[[#This Row],[Code]], allFYsTable[year2], DP$3)=0, NotFound, SUMIFS(allFYsTable[RevisedBudget], allFYsTable[Code], SummaryTable[[#This Row],[Code]], allFYsTable[year2], DP$3))</f>
        <v>#N/A</v>
      </c>
      <c r="DT159" s="61" t="e">
        <f>IF(COUNTIFS(allFYsTable[Code], SummaryTable[[#This Row],[Code]], allFYsTable[year2], DP$3)=0, NotFound, SUMIFS(allFYsTable[Actual], allFYsTable[Code], SummaryTable[[#This Row],[Code]], allFYsTable[year2], DP$3))</f>
        <v>#N/A</v>
      </c>
      <c r="DU159" s="61" t="e">
        <f>IF(COUNTIFS(allFYsTable[Code], SummaryTable[[#This Row],[Code]], allFYsTable[year2], DP$3)=0, NotFound, SUMIFS(allFYsTable[DiffAmount], allFYsTable[Code], SummaryTable[[#This Row],[Code]], allFYsTable[year2], DP$3))</f>
        <v>#N/A</v>
      </c>
      <c r="DV159" s="63" t="e">
        <f>IF(SummaryTable[[#This Row],[OriginalBudget12]]=0, IF(SummaryTable[[#This Row],[DiffAmount12]]=0, ZeroBudgetNoSpending, ZeroBudgetWithSpending), SummaryTable[[#This Row],[DiffAmount12]]/SummaryTable[[#This Row],[OriginalBudget12]])</f>
        <v>#N/A</v>
      </c>
      <c r="DW159" s="62" t="e">
        <f>IF(COUNTIFS(allFYsTable[Code], SummaryTable[[#This Row],[Code]], allFYsTable[year2], DW$3)=0, NotFound, SUMIFS(allFYsTable[OriginalBudget], allFYsTable[Code], SummaryTable[[#This Row],[Code]], allFYsTable[year2], DW$3))</f>
        <v>#N/A</v>
      </c>
      <c r="DX159" s="61" t="e">
        <f>SummaryTable[[#This Row],[OriginalBudget11]]-SummaryTable[[#This Row],[OriginalBudget10]]</f>
        <v>#N/A</v>
      </c>
      <c r="DY159" s="54" t="e">
        <f>SummaryTable[[#This Row],[BudgetIncreaseAmount11]]/SummaryTable[[#This Row],[OriginalBudget10]]</f>
        <v>#N/A</v>
      </c>
      <c r="DZ159" s="61" t="e">
        <f>IF(COUNTIFS(allFYsTable[Code], SummaryTable[[#This Row],[Code]], allFYsTable[year2], DW$3)=0, NotFound, SUMIFS(allFYsTable[RevisedBudget], allFYsTable[Code], SummaryTable[[#This Row],[Code]], allFYsTable[year2], DW$3))</f>
        <v>#N/A</v>
      </c>
      <c r="EA159" s="61" t="e">
        <f>IF(COUNTIFS(allFYsTable[Code], SummaryTable[[#This Row],[Code]], allFYsTable[year2], DW$3)=0, NotFound, SUMIFS(allFYsTable[Actual], allFYsTable[Code], SummaryTable[[#This Row],[Code]], allFYsTable[year2], DW$3))</f>
        <v>#N/A</v>
      </c>
      <c r="EB159" s="61" t="e">
        <f>IF(COUNTIFS(allFYsTable[Code], SummaryTable[[#This Row],[Code]], allFYsTable[year2], DW$3)=0, NotFound, SUMIFS(allFYsTable[DiffAmount], allFYsTable[Code], SummaryTable[[#This Row],[Code]], allFYsTable[year2], DW$3))</f>
        <v>#N/A</v>
      </c>
      <c r="EC159" s="63" t="e">
        <f>IF(SummaryTable[[#This Row],[OriginalBudget11]]=0, IF(SummaryTable[[#This Row],[DiffAmount11]]=0, ZeroBudgetNoSpending, ZeroBudgetWithSpending), SummaryTable[[#This Row],[DiffAmount11]]/SummaryTable[[#This Row],[OriginalBudget11]])</f>
        <v>#N/A</v>
      </c>
      <c r="ED159" s="62" t="e">
        <f>IF(COUNTIFS(allFYsTable[Code], SummaryTable[[#This Row],[Code]], allFYsTable[year2], ED$3)=0, NotFound, SUMIFS(allFYsTable[OriginalBudget], allFYsTable[Code], SummaryTable[[#This Row],[Code]], allFYsTable[year2], ED$3))</f>
        <v>#N/A</v>
      </c>
      <c r="EE159" s="61" t="e">
        <f>SummaryTable[[#This Row],[OriginalBudget10]]-SummaryTable[[#This Row],[OriginalBudget09]]</f>
        <v>#N/A</v>
      </c>
      <c r="EF159" s="54" t="e">
        <f>SummaryTable[[#This Row],[BudgetIncreaseAmount10]]/SummaryTable[[#This Row],[OriginalBudget09]]</f>
        <v>#N/A</v>
      </c>
      <c r="EG159" s="61" t="e">
        <f>IF(COUNTIFS(allFYsTable[Code], SummaryTable[[#This Row],[Code]], allFYsTable[year2], ED$3)=0, NotFound, SUMIFS(allFYsTable[RevisedBudget], allFYsTable[Code], SummaryTable[[#This Row],[Code]], allFYsTable[year2], ED$3))</f>
        <v>#N/A</v>
      </c>
      <c r="EH159" s="61" t="e">
        <f>IF(COUNTIFS(allFYsTable[Code], SummaryTable[[#This Row],[Code]], allFYsTable[year2], ED$3)=0, NotFound, SUMIFS(allFYsTable[Actual], allFYsTable[Code], SummaryTable[[#This Row],[Code]], allFYsTable[year2], ED$3))</f>
        <v>#N/A</v>
      </c>
      <c r="EI159" s="61" t="e">
        <f>IF(COUNTIFS(allFYsTable[Code], SummaryTable[[#This Row],[Code]], allFYsTable[year2], ED$3)=0, NotFound, SUMIFS(allFYsTable[DiffAmount], allFYsTable[Code], SummaryTable[[#This Row],[Code]], allFYsTable[year2], ED$3))</f>
        <v>#N/A</v>
      </c>
      <c r="EJ159" s="63" t="e">
        <f>IF(SummaryTable[[#This Row],[OriginalBudget10]]=0, IF(SummaryTable[[#This Row],[DiffAmount10]]=0, ZeroBudgetNoSpending, ZeroBudgetWithSpending), SummaryTable[[#This Row],[DiffAmount10]]/SummaryTable[[#This Row],[OriginalBudget10]])</f>
        <v>#N/A</v>
      </c>
      <c r="EK159" s="62" t="e">
        <f>IF(COUNTIFS(allFYsTable[Code], SummaryTable[[#This Row],[Code]], allFYsTable[year2], EK$3)=0, NotFound, SUMIFS(allFYsTable[OriginalBudget], allFYsTable[Code], SummaryTable[[#This Row],[Code]], allFYsTable[year2], EK$3))</f>
        <v>#N/A</v>
      </c>
      <c r="EL159" s="61" t="e">
        <f>SummaryTable[[#This Row],[OriginalBudget09]]-SummaryTable[[#This Row],[OriginalBudget08]]</f>
        <v>#N/A</v>
      </c>
      <c r="EM159" s="54" t="e">
        <f>SummaryTable[[#This Row],[BudgetIncreaseAmount09]]/SummaryTable[[#This Row],[OriginalBudget08]]</f>
        <v>#N/A</v>
      </c>
      <c r="EN159" s="61" t="e">
        <f>IF(COUNTIFS(allFYsTable[Code], SummaryTable[[#This Row],[Code]], allFYsTable[year2], EK$3)=0, NotFound, SUMIFS(allFYsTable[RevisedBudget], allFYsTable[Code], SummaryTable[[#This Row],[Code]], allFYsTable[year2], EK$3))</f>
        <v>#N/A</v>
      </c>
      <c r="EO159" s="61" t="e">
        <f>IF(COUNTIFS(allFYsTable[Code], SummaryTable[[#This Row],[Code]], allFYsTable[year2], EK$3)=0, NotFound, SUMIFS(allFYsTable[Actual], allFYsTable[Code], SummaryTable[[#This Row],[Code]], allFYsTable[year2], EK$3))</f>
        <v>#N/A</v>
      </c>
      <c r="EP159" s="61" t="e">
        <f>IF(COUNTIFS(allFYsTable[Code], SummaryTable[[#This Row],[Code]], allFYsTable[year2], EK$3)=0, NotFound, SUMIFS(allFYsTable[DiffAmount], allFYsTable[Code], SummaryTable[[#This Row],[Code]], allFYsTable[year2], EK$3))</f>
        <v>#N/A</v>
      </c>
      <c r="EQ159" s="63" t="e">
        <f>IF(SummaryTable[[#This Row],[OriginalBudget09]]=0, IF(SummaryTable[[#This Row],[DiffAmount09]]=0, ZeroBudgetNoSpending, ZeroBudgetWithSpending), SummaryTable[[#This Row],[DiffAmount09]]/SummaryTable[[#This Row],[OriginalBudget09]])</f>
        <v>#N/A</v>
      </c>
      <c r="ER159" s="62" t="e">
        <f>IF(COUNTIFS(allFYsTable[Code], SummaryTable[[#This Row],[Code]], allFYsTable[year2], ER$3)=0, NotFound, SUMIFS(allFYsTable[OriginalBudget], allFYsTable[Code], SummaryTable[[#This Row],[Code]], allFYsTable[year2], ER$3))</f>
        <v>#N/A</v>
      </c>
      <c r="ES159" s="61" t="e">
        <f>SummaryTable[[#This Row],[OriginalBudget08]]-SummaryTable[[#This Row],[OriginalBudget07]]</f>
        <v>#N/A</v>
      </c>
      <c r="ET159" s="54" t="e">
        <f>SummaryTable[[#This Row],[BudgetIncreaseAmount08]]/SummaryTable[[#This Row],[OriginalBudget07]]</f>
        <v>#N/A</v>
      </c>
      <c r="EU159" s="61" t="e">
        <f>IF(COUNTIFS(allFYsTable[Code], SummaryTable[[#This Row],[Code]], allFYsTable[year2], ER$3)=0, NotFound, SUMIFS(allFYsTable[RevisedBudget], allFYsTable[Code], SummaryTable[[#This Row],[Code]], allFYsTable[year2], ER$3))</f>
        <v>#N/A</v>
      </c>
      <c r="EV159" s="61" t="e">
        <f>IF(COUNTIFS(allFYsTable[Code], SummaryTable[[#This Row],[Code]], allFYsTable[year2], ER$3)=0, NotFound, SUMIFS(allFYsTable[Actual], allFYsTable[Code], SummaryTable[[#This Row],[Code]], allFYsTable[year2], ER$3))</f>
        <v>#N/A</v>
      </c>
      <c r="EW159" s="61" t="e">
        <f>IF(COUNTIFS(allFYsTable[Code], SummaryTable[[#This Row],[Code]], allFYsTable[year2], ER$3)=0, NotFound, SUMIFS(allFYsTable[DiffAmount], allFYsTable[Code], SummaryTable[[#This Row],[Code]], allFYsTable[year2], ER$3))</f>
        <v>#N/A</v>
      </c>
      <c r="EX159" s="63" t="e">
        <f>IF(SummaryTable[[#This Row],[OriginalBudget08]]=0, IF(SummaryTable[[#This Row],[DiffAmount08]]=0, ZeroBudgetNoSpending, ZeroBudgetWithSpending), SummaryTable[[#This Row],[DiffAmount08]]/SummaryTable[[#This Row],[OriginalBudget08]])</f>
        <v>#N/A</v>
      </c>
      <c r="EY159" s="62" t="e">
        <f>IF(COUNTIFS(allFYsTable[Code], SummaryTable[[#This Row],[Code]], allFYsTable[year2], EY$3)=0, NotFound, SUMIFS(allFYsTable[OriginalBudget], allFYsTable[Code], SummaryTable[[#This Row],[Code]], allFYsTable[year2], EY$3))</f>
        <v>#N/A</v>
      </c>
      <c r="EZ159" s="61" t="e">
        <f>SummaryTable[[#This Row],[OriginalBudget07]]-SummaryTable[[#This Row],[OriginalBudget06]]</f>
        <v>#N/A</v>
      </c>
      <c r="FA159" s="54" t="e">
        <f>SummaryTable[[#This Row],[BudgetIncreaseAmount07]]/SummaryTable[[#This Row],[OriginalBudget06]]</f>
        <v>#N/A</v>
      </c>
      <c r="FB159" s="61" t="e">
        <f>IF(COUNTIFS(allFYsTable[Code], SummaryTable[[#This Row],[Code]], allFYsTable[year2], EY$3)=0, NotFound, SUMIFS(allFYsTable[RevisedBudget], allFYsTable[Code], SummaryTable[[#This Row],[Code]], allFYsTable[year2], EY$3))</f>
        <v>#N/A</v>
      </c>
      <c r="FC159" s="61" t="e">
        <f>IF(COUNTIFS(allFYsTable[Code], SummaryTable[[#This Row],[Code]], allFYsTable[year2], EY$3)=0, NotFound, SUMIFS(allFYsTable[Actual], allFYsTable[Code], SummaryTable[[#This Row],[Code]], allFYsTable[year2], EY$3))</f>
        <v>#N/A</v>
      </c>
      <c r="FD159" s="61" t="e">
        <f>IF(COUNTIFS(allFYsTable[Code], SummaryTable[[#This Row],[Code]], allFYsTable[year2], EY$3)=0, NotFound, SUMIFS(allFYsTable[DiffAmount], allFYsTable[Code], SummaryTable[[#This Row],[Code]], allFYsTable[year2], EY$3))</f>
        <v>#N/A</v>
      </c>
      <c r="FE159" s="63" t="e">
        <f>IF(SummaryTable[[#This Row],[OriginalBudget07]]=0, IF(SummaryTable[[#This Row],[DiffAmount07]]=0, ZeroBudgetNoSpending, ZeroBudgetWithSpending), SummaryTable[[#This Row],[DiffAmount07]]/SummaryTable[[#This Row],[OriginalBudget07]])</f>
        <v>#N/A</v>
      </c>
      <c r="FF159" s="62" t="e">
        <f>IF(COUNTIFS(allFYsTable[Code], SummaryTable[[#This Row],[Code]], allFYsTable[year2], FF$3)=0, NotFound, SUMIFS(allFYsTable[OriginalBudget], allFYsTable[Code], SummaryTable[[#This Row],[Code]], allFYsTable[year2], FF$3))</f>
        <v>#N/A</v>
      </c>
      <c r="FI159" s="61" t="e">
        <f>IF(COUNTIFS(allFYsTable[Code], SummaryTable[[#This Row],[Code]], allFYsTable[year2], FF$3)=0, NotFound, SUMIFS(allFYsTable[RevisedBudget], allFYsTable[Code], SummaryTable[[#This Row],[Code]], allFYsTable[year2], FF$3))</f>
        <v>#N/A</v>
      </c>
      <c r="FJ159" s="61" t="e">
        <f>IF(COUNTIFS(allFYsTable[Code], SummaryTable[[#This Row],[Code]], allFYsTable[year2], FF$3)=0, NotFound, SUMIFS(allFYsTable[Actual], allFYsTable[Code], SummaryTable[[#This Row],[Code]], allFYsTable[year2], FF$3))</f>
        <v>#N/A</v>
      </c>
      <c r="FK159" s="61" t="e">
        <f>IF(COUNTIFS(allFYsTable[Code], SummaryTable[[#This Row],[Code]], allFYsTable[year2], FF$3)=0, NotFound, SUMIFS(allFYsTable[DiffAmount], allFYsTable[Code], SummaryTable[[#This Row],[Code]], allFYsTable[year2], FF$3))</f>
        <v>#N/A</v>
      </c>
      <c r="FL159" s="63" t="e">
        <f>IF(SummaryTable[[#This Row],[OriginalBudget06]]=0, IF(SummaryTable[[#This Row],[DiffAmount06]]=0, ZeroBudgetNoSpending, ZeroBudgetWithSpending), SummaryTable[[#This Row],[DiffAmount06]]/SummaryTable[[#This Row],[OriginalBudget06]])</f>
        <v>#N/A</v>
      </c>
    </row>
    <row r="160" spans="1:168" x14ac:dyDescent="0.45">
      <c r="A160" t="s">
        <v>850</v>
      </c>
      <c r="B160">
        <f>_xlfn.MAXIFS(allFYsTable[year2], allFYsTable[Code], SummaryTable[[#This Row],[Code]])</f>
        <v>2012</v>
      </c>
      <c r="C160" t="str">
        <f>_xlfn.XLOOKUP(SummaryTable[[#This Row],[Code]], NameCodingTable[Code], NameCodingTable[Most Recent Category per allFYs])</f>
        <v>Other</v>
      </c>
      <c r="D160" t="str">
        <f>_xlfn.XLOOKUP(SummaryTable[[#This Row],[Code]], NameCodingTable[Code], NameCodingTable[Unit Display Name])</f>
        <v>Baseball  dedicated  tax transfer</v>
      </c>
      <c r="E160" t="str">
        <f>_xlfn.XLOOKUP(SummaryTable[[#This Row],[Code]], NameCodingTable[Code], NameCodingTable[Type])</f>
        <v>untyped</v>
      </c>
      <c r="F16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5</v>
      </c>
      <c r="G16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160" s="54">
        <f>SummaryTable[[#This Row],['# Over]]/SummaryTable[[#This Row],[Count]]</f>
        <v>0.4</v>
      </c>
      <c r="I16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60" s="54">
        <f>SummaryTable[[#This Row],['# Under]]/SummaryTable[[#This Row],[Count]]</f>
        <v>0</v>
      </c>
      <c r="K16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3</v>
      </c>
      <c r="L160" s="54">
        <f>SummaryTable[[#This Row],['# Equal]]/SummaryTable[[#This Row],[Count]]</f>
        <v>0.6</v>
      </c>
      <c r="M160" s="61">
        <f>SUMIFS(allFYsTable[OriginalBudget],allFYsTable[Code],SummaryTable[[#This Row],[Code]])/SummaryTable[[#This Row],[Count]]</f>
        <v>40729.800000000003</v>
      </c>
      <c r="N160" s="61">
        <f>SUMIFS(allFYsTable[Actual],allFYsTable[Code],SummaryTable[[#This Row],[Code]])/SummaryTable[[#This Row],[Count]]</f>
        <v>42817.8</v>
      </c>
      <c r="O160" s="61">
        <f>SummaryTable[[#This Row],[AvgActAmt]]-SummaryTable[[#This Row],[AvgBudAmt]]</f>
        <v>2088</v>
      </c>
      <c r="P160" s="54">
        <f>IF(SummaryTable[[#This Row],[AvgBudAmt]]=0, IF(SummaryTable[[#This Row],[AvgDiff'#]]=0, 0, NamedFields!$C$3), SummaryTable[[#This Row],[AvgDiff'#]]/SummaryTable[[#This Row],[AvgBudAmt]])</f>
        <v>5.1264675986624042E-2</v>
      </c>
      <c r="Q160" s="61">
        <f>IFERROR(SUMIFS(allFYsTable[OriginalBudget],allFYsTable[Code],SummaryTable[[#This Row],[Code]],allFYsTable[DiffAmount], "&gt;0")/SummaryTable[[#This Row],['# Over]], 0)</f>
        <v>37563.5</v>
      </c>
      <c r="R160" s="61">
        <f>IFERROR(SUMIFS(allFYsTable[Actual],allFYsTable[Code],SummaryTable[[#This Row],[Code]],allFYsTable[DiffAmount], "&gt;0")/SummaryTable[[#This Row],['# Over]], 0)</f>
        <v>42783.5</v>
      </c>
      <c r="S160" s="61">
        <f>SummaryTable[[#This Row],[OverAvgAct]]-SummaryTable[[#This Row],[OverAvgBud]]</f>
        <v>5220</v>
      </c>
      <c r="T160" s="54">
        <f>IF(SummaryTable[[#This Row],[OverAvgBud]]=0, IF(SummaryTable[[#This Row],[OverAvgDiff'#]]=0, ZeroBudgetNoSpending, ZeroBudgetWithSpending), SummaryTable[[#This Row],[OverAvgDiff'#]]/SummaryTable[[#This Row],[OverAvgBud]])</f>
        <v>0.13896468646425386</v>
      </c>
      <c r="U160" s="61">
        <f>IFERROR(SUMIFS(allFYsTable[OriginalBudget],allFYsTable[Code],SummaryTable[[#This Row],[Code]],allFYsTable[DiffAmount], "&lt;0")/SummaryTable[[#This Row],['# Under]], 0)</f>
        <v>0</v>
      </c>
      <c r="V160" s="61">
        <f>IFERROR( SUMIFS(allFYsTable[Actual],allFYsTable[Code],SummaryTable[[#This Row],[Code]],allFYsTable[DiffAmount], "&lt;0")/SummaryTable[[#This Row],['# Under]], 0)</f>
        <v>0</v>
      </c>
      <c r="W160" s="61">
        <f>SummaryTable[[#This Row],[UnderAvgAct]]-SummaryTable[[#This Row],[UnderAvgBud]]</f>
        <v>0</v>
      </c>
      <c r="X160" s="54">
        <f>IF(SummaryTable[[#This Row],[UnderAvgBud]]=0, IF(SummaryTable[[#This Row],[UnderAvgDiff'#]]=0, ZeroBudgetNoSpending, NamedFields!$C$3), SummaryTable[[#This Row],[UnderAvgDiff'#]]/SummaryTable[[#This Row],[UnderAvgBud]])</f>
        <v>0</v>
      </c>
      <c r="Y16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6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160" s="54">
        <f>IF(SummaryTable[[#This Row],[IncreaseYears]]=0, ZeroBudgetNoSpending, SummaryTable[[#This Row],[OSinIncreaseYear'#]]/SummaryTable[[#This Row],[IncreaseYears]])</f>
        <v>1</v>
      </c>
      <c r="AB160" s="58" t="str">
        <f>SummaryTable[[#This Row],[Code]]</f>
        <v>BO0</v>
      </c>
      <c r="AC160" s="62" t="e">
        <f>IF(COUNTIFS(allFYsTable[Code], SummaryTable[[#This Row],[Code]], allFYsTable[year2], AC$3)=0, NotFound, SUMIFS(allFYsTable[OriginalBudget], allFYsTable[Code], SummaryTable[[#This Row],[Code]], allFYsTable[year2], AC$3))</f>
        <v>#N/A</v>
      </c>
      <c r="AD160" s="61" t="e">
        <f>SummaryTable[[#This Row],[OriginalBudget25]]-SummaryTable[[#This Row],[OriginalBudget24]]</f>
        <v>#N/A</v>
      </c>
      <c r="AE160" s="54" t="e">
        <f>SummaryTable[[#This Row],[BudgetIncreaseAmount25]]/SummaryTable[[#This Row],[OriginalBudget24]]</f>
        <v>#N/A</v>
      </c>
      <c r="AF160" s="61" t="e">
        <f>IF(COUNTIFS(allFYsTable[Code], SummaryTable[[#This Row],[Code]], allFYsTable[year2], AC$3)=0, NotFound, SUMIFS(allFYsTable[RevisedBudget], allFYsTable[Code], SummaryTable[[#This Row],[Code]], allFYsTable[year2], AC$3))</f>
        <v>#N/A</v>
      </c>
      <c r="AG160" s="61" t="e">
        <f>IF(COUNTIFS(allFYsTable[Code], SummaryTable[[#This Row],[Code]], allFYsTable[year2], AC$3)=0, NotFound, SUMIFS(allFYsTable[Actual], allFYsTable[Code], SummaryTable[[#This Row],[Code]], allFYsTable[year2], AC$3))</f>
        <v>#N/A</v>
      </c>
      <c r="AH160" s="61" t="e">
        <f>IF(COUNTIFS(allFYsTable[Code], SummaryTable[[#This Row],[Code]], allFYsTable[year2], AC$3)=0, NotFound, SUMIFS(allFYsTable[DiffAmount], allFYsTable[Code], SummaryTable[[#This Row],[Code]], allFYsTable[year2], AC$3))</f>
        <v>#N/A</v>
      </c>
      <c r="AI160" s="63" t="e">
        <f>IF(SummaryTable[[#This Row],[OriginalBudget25]]=0, IF(SummaryTable[[#This Row],[DiffAmount25]]=0, ZeroBudgetNoSpending, ZeroBudgetWithSpending), SummaryTable[[#This Row],[DiffAmount25]]/SummaryTable[[#This Row],[OriginalBudget25]])</f>
        <v>#N/A</v>
      </c>
      <c r="AJ160" s="62" t="e">
        <f>IF(COUNTIFS(allFYsTable[Code], SummaryTable[[#This Row],[Code]], allFYsTable[year2], AJ$3)=0, NotFound, SUMIFS(allFYsTable[OriginalBudget], allFYsTable[Code], SummaryTable[[#This Row],[Code]], allFYsTable[year2], AJ$3))</f>
        <v>#N/A</v>
      </c>
      <c r="AK160" s="61" t="e">
        <f>SummaryTable[[#This Row],[OriginalBudget24]]-SummaryTable[[#This Row],[OriginalBudget23]]</f>
        <v>#N/A</v>
      </c>
      <c r="AL160" s="54" t="e">
        <f>SummaryTable[[#This Row],[BudgetIncreaseAmount24]]/SummaryTable[[#This Row],[OriginalBudget23]]</f>
        <v>#N/A</v>
      </c>
      <c r="AM160" s="61" t="e">
        <f>IF(COUNTIFS(allFYsTable[Code], SummaryTable[[#This Row],[Code]], allFYsTable[year2], AK$3)=0, NotFound, SUMIFS(allFYsTable[RevisedBudget], allFYsTable[Code], SummaryTable[[#This Row],[Code]], allFYsTable[year2], AJ$3))</f>
        <v>#N/A</v>
      </c>
      <c r="AN160" s="61" t="e">
        <f>IF(COUNTIFS(allFYsTable[Code], SummaryTable[[#This Row],[Code]], allFYsTable[year2], AJ$3)=0, NotFound, SUMIFS(allFYsTable[Actual], allFYsTable[Code], SummaryTable[[#This Row],[Code]], allFYsTable[year2], AJ$3))</f>
        <v>#N/A</v>
      </c>
      <c r="AO160" s="61" t="e">
        <f>IF(COUNTIFS(allFYsTable[Code], SummaryTable[[#This Row],[Code]], allFYsTable[year2], AJ$3)=0, NotFound, SUMIFS(allFYsTable[DiffAmount], allFYsTable[Code], SummaryTable[[#This Row],[Code]], allFYsTable[year2], AJ$3))</f>
        <v>#N/A</v>
      </c>
      <c r="AP160" s="63" t="e">
        <f>IF(SummaryTable[[#This Row],[OriginalBudget24]]=0, IF(SummaryTable[[#This Row],[DiffAmount24]]=0, ZeroBudgetNoSpending, ZeroBudgetWithSpending), SummaryTable[[#This Row],[DiffAmount24]]/SummaryTable[[#This Row],[OriginalBudget24]])</f>
        <v>#N/A</v>
      </c>
      <c r="AQ160" s="62" t="e">
        <f>IF(COUNTIFS(allFYsTable[Code], SummaryTable[[#This Row],[Code]], allFYsTable[year2], AQ$3)=0, NotFound, SUMIFS(allFYsTable[OriginalBudget], allFYsTable[Code], SummaryTable[[#This Row],[Code]], allFYsTable[year2], AQ$3))</f>
        <v>#N/A</v>
      </c>
      <c r="AR160" s="61" t="e">
        <f>SummaryTable[[#This Row],[OriginalBudget23]]-SummaryTable[[#This Row],[OriginalBudget22]]</f>
        <v>#N/A</v>
      </c>
      <c r="AS160" s="54" t="e">
        <f>SummaryTable[[#This Row],[BudgetIncreaseAmount23]]/SummaryTable[[#This Row],[OriginalBudget22]]</f>
        <v>#N/A</v>
      </c>
      <c r="AT160" s="61" t="e">
        <f>IF(COUNTIFS(allFYsTable[Code], SummaryTable[[#This Row],[Code]], allFYsTable[year2], AQ$3)=0, NotFound, SUMIFS(allFYsTable[RevisedBudget], allFYsTable[Code], SummaryTable[[#This Row],[Code]], allFYsTable[year2], AQ$3))</f>
        <v>#N/A</v>
      </c>
      <c r="AU160" s="61" t="e">
        <f>IF(COUNTIFS(allFYsTable[Code], SummaryTable[[#This Row],[Code]], allFYsTable[year2], AQ$3)=0, NotFound, SUMIFS(allFYsTable[Actual], allFYsTable[Code], SummaryTable[[#This Row],[Code]], allFYsTable[year2], AQ$3))</f>
        <v>#N/A</v>
      </c>
      <c r="AV160" s="61" t="e">
        <f>IF(COUNTIFS(allFYsTable[Code], SummaryTable[[#This Row],[Code]], allFYsTable[year2], AQ$3)=0, NotFound, SUMIFS(allFYsTable[DiffAmount], allFYsTable[Code], SummaryTable[[#This Row],[Code]], allFYsTable[year2], AQ$3))</f>
        <v>#N/A</v>
      </c>
      <c r="AW160" s="63" t="e">
        <f>IF(SummaryTable[[#This Row],[OriginalBudget23]]=0, IF(SummaryTable[[#This Row],[DiffAmount23]]=0, ZeroBudgetNoSpending, ZeroBudgetWithSpending), SummaryTable[[#This Row],[DiffAmount23]]/SummaryTable[[#This Row],[OriginalBudget23]])</f>
        <v>#N/A</v>
      </c>
      <c r="AX160" s="62" t="e">
        <f>IF(COUNTIFS(allFYsTable[Code], SummaryTable[[#This Row],[Code]], allFYsTable[year2], AX$3)=0, NotFound, SUMIFS(allFYsTable[OriginalBudget], allFYsTable[Code], SummaryTable[[#This Row],[Code]], allFYsTable[year2], AX$3))</f>
        <v>#N/A</v>
      </c>
      <c r="AY160" s="61" t="e">
        <f>SummaryTable[[#This Row],[OriginalBudget22]]-SummaryTable[[#This Row],[OriginalBudget21]]</f>
        <v>#N/A</v>
      </c>
      <c r="AZ160" s="54" t="e">
        <f>SummaryTable[[#This Row],[BudgetIncreaseAmount22]]/SummaryTable[[#This Row],[OriginalBudget21]]</f>
        <v>#N/A</v>
      </c>
      <c r="BA160" s="61" t="e">
        <f>IF(COUNTIFS(allFYsTable[Code], SummaryTable[[#This Row],[Code]], allFYsTable[year2], AX$3)=0, NotFound, SUMIFS(allFYsTable[RevisedBudget], allFYsTable[Code], SummaryTable[[#This Row],[Code]], allFYsTable[year2], AX$3))</f>
        <v>#N/A</v>
      </c>
      <c r="BB160" s="61" t="e">
        <f>IF(COUNTIFS(allFYsTable[Code], SummaryTable[[#This Row],[Code]], allFYsTable[year2], AX$3)=0, NotFound, SUMIFS(allFYsTable[Actual], allFYsTable[Code], SummaryTable[[#This Row],[Code]], allFYsTable[year2], AX$3))</f>
        <v>#N/A</v>
      </c>
      <c r="BC160" s="61" t="e">
        <f>IF(COUNTIFS(allFYsTable[Code], SummaryTable[[#This Row],[Code]], allFYsTable[year2], AX$3)=0, NotFound, SUMIFS(allFYsTable[DiffAmount], allFYsTable[Code], SummaryTable[[#This Row],[Code]], allFYsTable[year2], AX$3))</f>
        <v>#N/A</v>
      </c>
      <c r="BD160" s="63" t="e">
        <f>IF(SummaryTable[[#This Row],[OriginalBudget22]]=0, IF(SummaryTable[[#This Row],[DiffAmount22]]=0, ZeroBudgetNoSpending, ZeroBudgetWithSpending), SummaryTable[[#This Row],[DiffAmount22]]/SummaryTable[[#This Row],[OriginalBudget22]])</f>
        <v>#N/A</v>
      </c>
      <c r="BE160" s="62" t="e">
        <f>IF(COUNTIFS(allFYsTable[Code], SummaryTable[[#This Row],[Code]], allFYsTable[year2], BE$3)=0, NotFound, SUMIFS(allFYsTable[OriginalBudget], allFYsTable[Code], SummaryTable[[#This Row],[Code]], allFYsTable[year2], BE$3))</f>
        <v>#N/A</v>
      </c>
      <c r="BF160" s="61" t="e">
        <f>SummaryTable[[#This Row],[OriginalBudget21]]-SummaryTable[[#This Row],[OriginalBudget20]]</f>
        <v>#N/A</v>
      </c>
      <c r="BG160" s="54" t="e">
        <f>SummaryTable[[#This Row],[BudgetIncreaseAmount21]]/SummaryTable[[#This Row],[OriginalBudget20]]</f>
        <v>#N/A</v>
      </c>
      <c r="BH160" s="61" t="e">
        <f>IF(COUNTIFS(allFYsTable[Code], SummaryTable[[#This Row],[Code]], allFYsTable[year2], BE$3)=0, NotFound, SUMIFS(allFYsTable[RevisedBudget], allFYsTable[Code], SummaryTable[[#This Row],[Code]], allFYsTable[year2], BE$3))</f>
        <v>#N/A</v>
      </c>
      <c r="BI160" s="61" t="e">
        <f>IF(COUNTIFS(allFYsTable[Code], SummaryTable[[#This Row],[Code]], allFYsTable[year2], BE$3)=0, NotFound, SUMIFS(allFYsTable[Actual], allFYsTable[Code], SummaryTable[[#This Row],[Code]], allFYsTable[year2], BE$3))</f>
        <v>#N/A</v>
      </c>
      <c r="BJ160" s="61" t="e">
        <f>IF(COUNTIFS(allFYsTable[Code], SummaryTable[[#This Row],[Code]], allFYsTable[year2], BE$3)=0, NotFound, SUMIFS(allFYsTable[DiffAmount], allFYsTable[Code], SummaryTable[[#This Row],[Code]], allFYsTable[year2], BE$3))</f>
        <v>#N/A</v>
      </c>
      <c r="BK160" s="63" t="e">
        <f>IF(SummaryTable[[#This Row],[OriginalBudget21]]=0, IF(SummaryTable[[#This Row],[DiffAmount21]]=0, ZeroBudgetNoSpending, ZeroBudgetWithSpending), SummaryTable[[#This Row],[DiffAmount21]]/SummaryTable[[#This Row],[OriginalBudget21]])</f>
        <v>#N/A</v>
      </c>
      <c r="BL160" s="62" t="e">
        <f>IF(COUNTIFS(allFYsTable[Code], SummaryTable[[#This Row],[Code]], allFYsTable[year2], BL$3)=0, NotFound, SUMIFS(allFYsTable[OriginalBudget], allFYsTable[Code], SummaryTable[[#This Row],[Code]], allFYsTable[year2], BL$3))</f>
        <v>#N/A</v>
      </c>
      <c r="BM160" s="61" t="e">
        <f>SummaryTable[[#This Row],[OriginalBudget20]]-SummaryTable[[#This Row],[OriginalBudget19]]</f>
        <v>#N/A</v>
      </c>
      <c r="BN160" s="54" t="e">
        <f>SummaryTable[[#This Row],[BudgetIncreaseAmount20]]/SummaryTable[[#This Row],[OriginalBudget19]]</f>
        <v>#N/A</v>
      </c>
      <c r="BO160" s="61" t="e">
        <f>IF(COUNTIFS(allFYsTable[Code], SummaryTable[[#This Row],[Code]], allFYsTable[year2], BL$3)=0, NotFound, SUMIFS(allFYsTable[RevisedBudget], allFYsTable[Code], SummaryTable[[#This Row],[Code]], allFYsTable[year2], BL$3))</f>
        <v>#N/A</v>
      </c>
      <c r="BP160" s="61" t="e">
        <f>IF(COUNTIFS(allFYsTable[Code], SummaryTable[[#This Row],[Code]], allFYsTable[year2], BL$3)=0, NotFound, SUMIFS(allFYsTable[Actual], allFYsTable[Code], SummaryTable[[#This Row],[Code]], allFYsTable[year2], BL$3))</f>
        <v>#N/A</v>
      </c>
      <c r="BQ160" s="61" t="e">
        <f>IF(COUNTIFS(allFYsTable[Code], SummaryTable[[#This Row],[Code]], allFYsTable[year2], BL$3)=0, NotFound, SUMIFS(allFYsTable[DiffAmount], allFYsTable[Code], SummaryTable[[#This Row],[Code]], allFYsTable[year2], BL$3))</f>
        <v>#N/A</v>
      </c>
      <c r="BR160" s="63" t="e">
        <f>IF(SummaryTable[[#This Row],[OriginalBudget20]]=0, IF(SummaryTable[[#This Row],[DiffAmount20]]=0, ZeroBudgetNoSpending, ZeroBudgetWithSpending), SummaryTable[[#This Row],[DiffAmount20]]/SummaryTable[[#This Row],[OriginalBudget20]])</f>
        <v>#N/A</v>
      </c>
      <c r="BS160" s="62" t="e">
        <f>IF(COUNTIFS(allFYsTable[Code], SummaryTable[[#This Row],[Code]], allFYsTable[year2], BS$3)=0, NotFound, SUMIFS(allFYsTable[OriginalBudget], allFYsTable[Code], SummaryTable[[#This Row],[Code]], allFYsTable[year2], BS$3))</f>
        <v>#N/A</v>
      </c>
      <c r="BT160" s="61" t="e">
        <f>SummaryTable[[#This Row],[OriginalBudget19]]-SummaryTable[[#This Row],[OriginalBudget18]]</f>
        <v>#N/A</v>
      </c>
      <c r="BU160" s="54" t="e">
        <f>SummaryTable[[#This Row],[BudgetIncreaseAmount19]]/SummaryTable[[#This Row],[OriginalBudget18]]</f>
        <v>#N/A</v>
      </c>
      <c r="BV160" s="61" t="e">
        <f>IF(COUNTIFS(allFYsTable[Code], SummaryTable[[#This Row],[Code]], allFYsTable[year2], BS$3)=0, NotFound, SUMIFS(allFYsTable[RevisedBudget], allFYsTable[Code], SummaryTable[[#This Row],[Code]], allFYsTable[year2], BS$3))</f>
        <v>#N/A</v>
      </c>
      <c r="BW160" s="61" t="e">
        <f>IF(COUNTIFS(allFYsTable[Code], SummaryTable[[#This Row],[Code]], allFYsTable[year2], BS$3)=0, NotFound, SUMIFS(allFYsTable[Actual], allFYsTable[Code], SummaryTable[[#This Row],[Code]], allFYsTable[year2], BS$3))</f>
        <v>#N/A</v>
      </c>
      <c r="BX160" s="61" t="e">
        <f>IF(COUNTIFS(allFYsTable[Code], SummaryTable[[#This Row],[Code]], allFYsTable[year2], BS$3)=0, NotFound, SUMIFS(allFYsTable[DiffAmount], allFYsTable[Code], SummaryTable[[#This Row],[Code]], allFYsTable[year2], BS$3))</f>
        <v>#N/A</v>
      </c>
      <c r="BY160" s="63" t="e">
        <f>IF(SummaryTable[[#This Row],[OriginalBudget19]]=0, IF(SummaryTable[[#This Row],[DiffAmount19]]=0, ZeroBudgetNoSpending, ZeroBudgetWithSpending), SummaryTable[[#This Row],[DiffAmount19]]/SummaryTable[[#This Row],[OriginalBudget19]])</f>
        <v>#N/A</v>
      </c>
      <c r="BZ160" s="62" t="e">
        <f>IF(COUNTIFS(allFYsTable[Code], SummaryTable[[#This Row],[Code]], allFYsTable[year2], BZ$3)=0, NotFound, SUMIFS(allFYsTable[OriginalBudget], allFYsTable[Code], SummaryTable[[#This Row],[Code]], allFYsTable[year2], BZ$3))</f>
        <v>#N/A</v>
      </c>
      <c r="CA160" s="61" t="e">
        <f>SummaryTable[[#This Row],[OriginalBudget18]]-SummaryTable[[#This Row],[OriginalBudget17]]</f>
        <v>#N/A</v>
      </c>
      <c r="CB160" s="54" t="e">
        <f>SummaryTable[[#This Row],[BudgetIncreaseAmount18]]/SummaryTable[[#This Row],[OriginalBudget17]]</f>
        <v>#N/A</v>
      </c>
      <c r="CC160" s="61" t="e">
        <f>IF(COUNTIFS(allFYsTable[Code], SummaryTable[[#This Row],[Code]], allFYsTable[year2], BZ$3)=0, NotFound, SUMIFS(allFYsTable[RevisedBudget], allFYsTable[Code], SummaryTable[[#This Row],[Code]], allFYsTable[year2], BZ$3))</f>
        <v>#N/A</v>
      </c>
      <c r="CD160" s="61" t="e">
        <f>IF(COUNTIFS(allFYsTable[Code], SummaryTable[[#This Row],[Code]], allFYsTable[year2], BZ$3)=0, NotFound, SUMIFS(allFYsTable[Actual], allFYsTable[Code], SummaryTable[[#This Row],[Code]], allFYsTable[year2], BZ$3))</f>
        <v>#N/A</v>
      </c>
      <c r="CE160" s="61" t="e">
        <f>IF(COUNTIFS(allFYsTable[Code], SummaryTable[[#This Row],[Code]], allFYsTable[year2], BZ$3)=0, NotFound, SUMIFS(allFYsTable[DiffAmount], allFYsTable[Code], SummaryTable[[#This Row],[Code]], allFYsTable[year2], BZ$3))</f>
        <v>#N/A</v>
      </c>
      <c r="CF160" s="63" t="e">
        <f>IF(SummaryTable[[#This Row],[OriginalBudget18]]=0, IF(SummaryTable[[#This Row],[DiffAmount18]]=0, ZeroBudgetNoSpending, ZeroBudgetWithSpending), SummaryTable[[#This Row],[DiffAmount18]]/SummaryTable[[#This Row],[OriginalBudget18]])</f>
        <v>#N/A</v>
      </c>
      <c r="CG160" s="62" t="e">
        <f>IF(COUNTIFS(allFYsTable[Code], SummaryTable[[#This Row],[Code]], allFYsTable[year2], CG$3)=0, NotFound, SUMIFS(allFYsTable[OriginalBudget], allFYsTable[Code], SummaryTable[[#This Row],[Code]], allFYsTable[year2], CG$3))</f>
        <v>#N/A</v>
      </c>
      <c r="CH160" s="61" t="e">
        <f>SummaryTable[[#This Row],[OriginalBudget17]]-SummaryTable[[#This Row],[OriginalBudget16]]</f>
        <v>#N/A</v>
      </c>
      <c r="CI160" s="54" t="e">
        <f>SummaryTable[[#This Row],[BudgetIncreaseAmount17]]/SummaryTable[[#This Row],[OriginalBudget16]]</f>
        <v>#N/A</v>
      </c>
      <c r="CJ160" s="61" t="e">
        <f>IF(COUNTIFS(allFYsTable[Code], SummaryTable[[#This Row],[Code]], allFYsTable[year2], CG$3)=0, NotFound, SUMIFS(allFYsTable[RevisedBudget], allFYsTable[Code], SummaryTable[[#This Row],[Code]], allFYsTable[year2], CG$3))</f>
        <v>#N/A</v>
      </c>
      <c r="CK160" s="61" t="e">
        <f>IF(COUNTIFS(allFYsTable[Code], SummaryTable[[#This Row],[Code]], allFYsTable[year2], CG$3)=0, NotFound, SUMIFS(allFYsTable[Actual], allFYsTable[Code], SummaryTable[[#This Row],[Code]], allFYsTable[year2], CG$3))</f>
        <v>#N/A</v>
      </c>
      <c r="CL160" s="61" t="e">
        <f>IF(COUNTIFS(allFYsTable[Code], SummaryTable[[#This Row],[Code]], allFYsTable[year2], CG$3)=0, NotFound, SUMIFS(allFYsTable[DiffAmount], allFYsTable[Code], SummaryTable[[#This Row],[Code]], allFYsTable[year2], CG$3))</f>
        <v>#N/A</v>
      </c>
      <c r="CM160" s="63" t="e">
        <f>IF(SummaryTable[[#This Row],[OriginalBudget17]]=0, IF(SummaryTable[[#This Row],[DiffAmount17]]=0, ZeroBudgetNoSpending, ZeroBudgetWithSpending), SummaryTable[[#This Row],[DiffAmount17]]/SummaryTable[[#This Row],[OriginalBudget17]])</f>
        <v>#N/A</v>
      </c>
      <c r="CN160" s="62" t="e">
        <f>IF(COUNTIFS(allFYsTable[Code], SummaryTable[[#This Row],[Code]], allFYsTable[year2], CN$3)=0, NotFound, SUMIFS(allFYsTable[OriginalBudget], allFYsTable[Code], SummaryTable[[#This Row],[Code]], allFYsTable[year2], CN$3))</f>
        <v>#N/A</v>
      </c>
      <c r="CO160" s="61" t="e">
        <f>SummaryTable[[#This Row],[OriginalBudget16]]-SummaryTable[[#This Row],[OriginalBudget15]]</f>
        <v>#N/A</v>
      </c>
      <c r="CP160" s="54" t="e">
        <f>SummaryTable[[#This Row],[BudgetIncreaseAmount16]]/SummaryTable[[#This Row],[OriginalBudget15]]</f>
        <v>#N/A</v>
      </c>
      <c r="CQ160" s="61" t="e">
        <f>IF(COUNTIFS(allFYsTable[Code], SummaryTable[[#This Row],[Code]], allFYsTable[year2], CN$3)=0, NotFound, SUMIFS(allFYsTable[RevisedBudget], allFYsTable[Code], SummaryTable[[#This Row],[Code]], allFYsTable[year2], CN$3))</f>
        <v>#N/A</v>
      </c>
      <c r="CR160" s="61" t="e">
        <f>IF(COUNTIFS(allFYsTable[Code], SummaryTable[[#This Row],[Code]], allFYsTable[year2], CN$3)=0, NotFound, SUMIFS(allFYsTable[Actual], allFYsTable[Code], SummaryTable[[#This Row],[Code]], allFYsTable[year2], CN$3))</f>
        <v>#N/A</v>
      </c>
      <c r="CS160" s="61" t="e">
        <f>IF(COUNTIFS(allFYsTable[Code], SummaryTable[[#This Row],[Code]], allFYsTable[year2], CN$3)=0, NotFound, SUMIFS(allFYsTable[DiffAmount], allFYsTable[Code], SummaryTable[[#This Row],[Code]], allFYsTable[year2], CN$3))</f>
        <v>#N/A</v>
      </c>
      <c r="CT160" s="63" t="e">
        <f>IF(SummaryTable[[#This Row],[OriginalBudget16]]=0, IF(SummaryTable[[#This Row],[DiffAmount16]]=0, ZeroBudgetNoSpending, ZeroBudgetWithSpending), SummaryTable[[#This Row],[DiffAmount16]]/SummaryTable[[#This Row],[OriginalBudget16]])</f>
        <v>#N/A</v>
      </c>
      <c r="CU160" s="62" t="e">
        <f>IF(COUNTIFS(allFYsTable[Code], SummaryTable[[#This Row],[Code]], allFYsTable[year2], CU$3)=0, NotFound, SUMIFS(allFYsTable[OriginalBudget], allFYsTable[Code], SummaryTable[[#This Row],[Code]], allFYsTable[year2], CU$3))</f>
        <v>#N/A</v>
      </c>
      <c r="CV160" s="61" t="e">
        <f>SummaryTable[[#This Row],[OriginalBudget15]]-SummaryTable[[#This Row],[OriginalBudget14]]</f>
        <v>#N/A</v>
      </c>
      <c r="CW160" s="54" t="e">
        <f>SummaryTable[[#This Row],[BudgetIncreaseAmount15]]/SummaryTable[[#This Row],[OriginalBudget14]]</f>
        <v>#N/A</v>
      </c>
      <c r="CX160" s="61" t="e">
        <f>IF(COUNTIFS(allFYsTable[Code], SummaryTable[[#This Row],[Code]], allFYsTable[year2], CU$3)=0, NotFound, SUMIFS(allFYsTable[RevisedBudget], allFYsTable[Code], SummaryTable[[#This Row],[Code]], allFYsTable[year2], CU$3))</f>
        <v>#N/A</v>
      </c>
      <c r="CY160" s="61" t="e">
        <f>IF(COUNTIFS(allFYsTable[Code], SummaryTable[[#This Row],[Code]], allFYsTable[year2], CU$3)=0, NotFound, SUMIFS(allFYsTable[Actual], allFYsTable[Code], SummaryTable[[#This Row],[Code]], allFYsTable[year2], CU$3))</f>
        <v>#N/A</v>
      </c>
      <c r="CZ160" s="61" t="e">
        <f>IF(COUNTIFS(allFYsTable[Code], SummaryTable[[#This Row],[Code]], allFYsTable[year2], CU$3)=0, NotFound, SUMIFS(allFYsTable[DiffAmount], allFYsTable[Code], SummaryTable[[#This Row],[Code]], allFYsTable[year2], CU$3))</f>
        <v>#N/A</v>
      </c>
      <c r="DA160" s="63" t="e">
        <f>IF(SummaryTable[[#This Row],[OriginalBudget15]]=0, IF(SummaryTable[[#This Row],[DiffAmount15]]=0, ZeroBudgetNoSpending, ZeroBudgetWithSpending), SummaryTable[[#This Row],[DiffAmount15]]/SummaryTable[[#This Row],[OriginalBudget15]])</f>
        <v>#N/A</v>
      </c>
      <c r="DB160" s="62" t="e">
        <f>IF(COUNTIFS(allFYsTable[Code], SummaryTable[[#This Row],[Code]], allFYsTable[year2], DB$3)=0, NotFound, SUMIFS(allFYsTable[OriginalBudget], allFYsTable[Code], SummaryTable[[#This Row],[Code]], allFYsTable[year2], DB$3))</f>
        <v>#N/A</v>
      </c>
      <c r="DC160" s="61" t="e">
        <f>SummaryTable[[#This Row],[OriginalBudget14]]-SummaryTable[[#This Row],[OriginalBudget13]]</f>
        <v>#N/A</v>
      </c>
      <c r="DD160" s="54" t="e">
        <f>SummaryTable[[#This Row],[BudgetIncreaseAmount14]]/SummaryTable[[#This Row],[OriginalBudget13]]</f>
        <v>#N/A</v>
      </c>
      <c r="DE160" s="61" t="e">
        <f>IF(COUNTIFS(allFYsTable[Code], SummaryTable[[#This Row],[Code]], allFYsTable[year2], DB$3)=0, NotFound, SUMIFS(allFYsTable[RevisedBudget], allFYsTable[Code], SummaryTable[[#This Row],[Code]], allFYsTable[year2], DB$3))</f>
        <v>#N/A</v>
      </c>
      <c r="DF160" s="61" t="e">
        <f>IF(COUNTIFS(allFYsTable[Code], SummaryTable[[#This Row],[Code]], allFYsTable[year2], DB$3)=0, NotFound, SUMIFS(allFYsTable[Actual], allFYsTable[Code], SummaryTable[[#This Row],[Code]], allFYsTable[year2], DB$3))</f>
        <v>#N/A</v>
      </c>
      <c r="DG160" s="61" t="e">
        <f>IF(COUNTIFS(allFYsTable[Code], SummaryTable[[#This Row],[Code]], allFYsTable[year2], DB$3)=0, NotFound, SUMIFS(allFYsTable[DiffAmount], allFYsTable[Code], SummaryTable[[#This Row],[Code]], allFYsTable[year2], DB$3))</f>
        <v>#N/A</v>
      </c>
      <c r="DH160" s="63" t="e">
        <f>IF(SummaryTable[[#This Row],[OriginalBudget14]]=0, IF(SummaryTable[[#This Row],[DiffAmount14]]=0, ZeroBudgetNoSpending, ZeroBudgetWithSpending), SummaryTable[[#This Row],[DiffAmount14]]/SummaryTable[[#This Row],[OriginalBudget14]])</f>
        <v>#N/A</v>
      </c>
      <c r="DI160" s="62" t="e">
        <f>IF(COUNTIFS(allFYsTable[Code], SummaryTable[[#This Row],[Code]], allFYsTable[year2], DI$3)=0, NotFound, SUMIFS(allFYsTable[OriginalBudget], allFYsTable[Code], SummaryTable[[#This Row],[Code]], allFYsTable[year2], DI$3))</f>
        <v>#N/A</v>
      </c>
      <c r="DJ160" s="61" t="e">
        <f>SummaryTable[[#This Row],[OriginalBudget13]]-SummaryTable[[#This Row],[OriginalBudget12]]</f>
        <v>#N/A</v>
      </c>
      <c r="DK160" s="54" t="e">
        <f>SummaryTable[[#This Row],[BudgetIncreaseAmount13]]/SummaryTable[[#This Row],[OriginalBudget12]]</f>
        <v>#N/A</v>
      </c>
      <c r="DL160" s="61" t="e">
        <f>IF(COUNTIFS(allFYsTable[Code], SummaryTable[[#This Row],[Code]], allFYsTable[year2], DI$3)=0, NotFound, SUMIFS(allFYsTable[RevisedBudget], allFYsTable[Code], SummaryTable[[#This Row],[Code]], allFYsTable[year2], DI$3))</f>
        <v>#N/A</v>
      </c>
      <c r="DM160" s="61" t="e">
        <f>IF(COUNTIFS(allFYsTable[Code], SummaryTable[[#This Row],[Code]], allFYsTable[year2], DI$3)=0, NotFound, SUMIFS(allFYsTable[Actual], allFYsTable[Code], SummaryTable[[#This Row],[Code]], allFYsTable[year2], DI$3))</f>
        <v>#N/A</v>
      </c>
      <c r="DN160" s="61" t="e">
        <f>IF(COUNTIFS(allFYsTable[Code], SummaryTable[[#This Row],[Code]], allFYsTable[year2], DI$3)=0, NotFound, SUMIFS(allFYsTable[DiffAmount], allFYsTable[Code], SummaryTable[[#This Row],[Code]], allFYsTable[year2], DI$3))</f>
        <v>#N/A</v>
      </c>
      <c r="DO160" s="63" t="e">
        <f>IF(SummaryTable[[#This Row],[OriginalBudget13]]=0, IF(SummaryTable[[#This Row],[DiffAmount13]]=0, ZeroBudgetNoSpending, ZeroBudgetWithSpending), SummaryTable[[#This Row],[DiffAmount13]]/SummaryTable[[#This Row],[OriginalBudget13]])</f>
        <v>#N/A</v>
      </c>
      <c r="DP160" s="62">
        <f>IF(COUNTIFS(allFYsTable[Code], SummaryTable[[#This Row],[Code]], allFYsTable[year2], DP$3)=0, NotFound, SUMIFS(allFYsTable[OriginalBudget], allFYsTable[Code], SummaryTable[[#This Row],[Code]], allFYsTable[year2], DP$3))</f>
        <v>45545</v>
      </c>
      <c r="DQ160" s="61">
        <f>SummaryTable[[#This Row],[OriginalBudget12]]-SummaryTable[[#This Row],[OriginalBudget11]]</f>
        <v>15963</v>
      </c>
      <c r="DR160" s="54">
        <f>SummaryTable[[#This Row],[BudgetIncreaseAmount12]]/SummaryTable[[#This Row],[OriginalBudget11]]</f>
        <v>0.53961868703941585</v>
      </c>
      <c r="DS160" s="61">
        <f>IF(COUNTIFS(allFYsTable[Code], SummaryTable[[#This Row],[Code]], allFYsTable[year2], DP$3)=0, NotFound, SUMIFS(allFYsTable[RevisedBudget], allFYsTable[Code], SummaryTable[[#This Row],[Code]], allFYsTable[year2], DP$3))</f>
        <v>55231</v>
      </c>
      <c r="DT160" s="61">
        <f>IF(COUNTIFS(allFYsTable[Code], SummaryTable[[#This Row],[Code]], allFYsTable[year2], DP$3)=0, NotFound, SUMIFS(allFYsTable[Actual], allFYsTable[Code], SummaryTable[[#This Row],[Code]], allFYsTable[year2], DP$3))</f>
        <v>55231</v>
      </c>
      <c r="DU160" s="61">
        <f>IF(COUNTIFS(allFYsTable[Code], SummaryTable[[#This Row],[Code]], allFYsTable[year2], DP$3)=0, NotFound, SUMIFS(allFYsTable[DiffAmount], allFYsTable[Code], SummaryTable[[#This Row],[Code]], allFYsTable[year2], DP$3))</f>
        <v>9686</v>
      </c>
      <c r="DV160" s="63">
        <f>IF(SummaryTable[[#This Row],[OriginalBudget12]]=0, IF(SummaryTable[[#This Row],[DiffAmount12]]=0, ZeroBudgetNoSpending, ZeroBudgetWithSpending), SummaryTable[[#This Row],[DiffAmount12]]/SummaryTable[[#This Row],[OriginalBudget12]])</f>
        <v>0.21266878910967174</v>
      </c>
      <c r="DW160" s="62">
        <f>IF(COUNTIFS(allFYsTable[Code], SummaryTable[[#This Row],[Code]], allFYsTable[year2], DW$3)=0, NotFound, SUMIFS(allFYsTable[OriginalBudget], allFYsTable[Code], SummaryTable[[#This Row],[Code]], allFYsTable[year2], DW$3))</f>
        <v>29582</v>
      </c>
      <c r="DX160" s="61">
        <f>SummaryTable[[#This Row],[OriginalBudget11]]-SummaryTable[[#This Row],[OriginalBudget10]]</f>
        <v>-2499</v>
      </c>
      <c r="DY160" s="54">
        <f>SummaryTable[[#This Row],[BudgetIncreaseAmount11]]/SummaryTable[[#This Row],[OriginalBudget10]]</f>
        <v>-7.7896574296312457E-2</v>
      </c>
      <c r="DZ160" s="61">
        <f>IF(COUNTIFS(allFYsTable[Code], SummaryTable[[#This Row],[Code]], allFYsTable[year2], DW$3)=0, NotFound, SUMIFS(allFYsTable[RevisedBudget], allFYsTable[Code], SummaryTable[[#This Row],[Code]], allFYsTable[year2], DW$3))</f>
        <v>30336</v>
      </c>
      <c r="EA160" s="61">
        <f>IF(COUNTIFS(allFYsTable[Code], SummaryTable[[#This Row],[Code]], allFYsTable[year2], DW$3)=0, NotFound, SUMIFS(allFYsTable[Actual], allFYsTable[Code], SummaryTable[[#This Row],[Code]], allFYsTable[year2], DW$3))</f>
        <v>30336</v>
      </c>
      <c r="EB160" s="61">
        <f>IF(COUNTIFS(allFYsTable[Code], SummaryTable[[#This Row],[Code]], allFYsTable[year2], DW$3)=0, NotFound, SUMIFS(allFYsTable[DiffAmount], allFYsTable[Code], SummaryTable[[#This Row],[Code]], allFYsTable[year2], DW$3))</f>
        <v>754</v>
      </c>
      <c r="EC160" s="63">
        <f>IF(SummaryTable[[#This Row],[OriginalBudget11]]=0, IF(SummaryTable[[#This Row],[DiffAmount11]]=0, ZeroBudgetNoSpending, ZeroBudgetWithSpending), SummaryTable[[#This Row],[DiffAmount11]]/SummaryTable[[#This Row],[OriginalBudget11]])</f>
        <v>2.5488472719897234E-2</v>
      </c>
      <c r="ED160" s="62">
        <f>IF(COUNTIFS(allFYsTable[Code], SummaryTable[[#This Row],[Code]], allFYsTable[year2], ED$3)=0, NotFound, SUMIFS(allFYsTable[OriginalBudget], allFYsTable[Code], SummaryTable[[#This Row],[Code]], allFYsTable[year2], ED$3))</f>
        <v>32081</v>
      </c>
      <c r="EE160" s="61">
        <f>SummaryTable[[#This Row],[OriginalBudget10]]-SummaryTable[[#This Row],[OriginalBudget09]]</f>
        <v>-17963</v>
      </c>
      <c r="EF160" s="54">
        <f>SummaryTable[[#This Row],[BudgetIncreaseAmount10]]/SummaryTable[[#This Row],[OriginalBudget09]]</f>
        <v>-0.35894412916633361</v>
      </c>
      <c r="EG160" s="61">
        <f>IF(COUNTIFS(allFYsTable[Code], SummaryTable[[#This Row],[Code]], allFYsTable[year2], ED$3)=0, NotFound, SUMIFS(allFYsTable[RevisedBudget], allFYsTable[Code], SummaryTable[[#This Row],[Code]], allFYsTable[year2], ED$3))</f>
        <v>32081</v>
      </c>
      <c r="EH160" s="61">
        <f>IF(COUNTIFS(allFYsTable[Code], SummaryTable[[#This Row],[Code]], allFYsTable[year2], ED$3)=0, NotFound, SUMIFS(allFYsTable[Actual], allFYsTable[Code], SummaryTable[[#This Row],[Code]], allFYsTable[year2], ED$3))</f>
        <v>32081</v>
      </c>
      <c r="EI160" s="61">
        <f>IF(COUNTIFS(allFYsTable[Code], SummaryTable[[#This Row],[Code]], allFYsTable[year2], ED$3)=0, NotFound, SUMIFS(allFYsTable[DiffAmount], allFYsTable[Code], SummaryTable[[#This Row],[Code]], allFYsTable[year2], ED$3))</f>
        <v>0</v>
      </c>
      <c r="EJ160" s="63">
        <f>IF(SummaryTable[[#This Row],[OriginalBudget10]]=0, IF(SummaryTable[[#This Row],[DiffAmount10]]=0, ZeroBudgetNoSpending, ZeroBudgetWithSpending), SummaryTable[[#This Row],[DiffAmount10]]/SummaryTable[[#This Row],[OriginalBudget10]])</f>
        <v>0</v>
      </c>
      <c r="EK160" s="62">
        <f>IF(COUNTIFS(allFYsTable[Code], SummaryTable[[#This Row],[Code]], allFYsTable[year2], EK$3)=0, NotFound, SUMIFS(allFYsTable[OriginalBudget], allFYsTable[Code], SummaryTable[[#This Row],[Code]], allFYsTable[year2], EK$3))</f>
        <v>50044</v>
      </c>
      <c r="EL160" s="61">
        <f>SummaryTable[[#This Row],[OriginalBudget09]]-SummaryTable[[#This Row],[OriginalBudget08]]</f>
        <v>3647</v>
      </c>
      <c r="EM160" s="54">
        <f>SummaryTable[[#This Row],[BudgetIncreaseAmount09]]/SummaryTable[[#This Row],[OriginalBudget08]]</f>
        <v>7.8604220100437522E-2</v>
      </c>
      <c r="EN160" s="61">
        <f>IF(COUNTIFS(allFYsTable[Code], SummaryTable[[#This Row],[Code]], allFYsTable[year2], EK$3)=0, NotFound, SUMIFS(allFYsTable[RevisedBudget], allFYsTable[Code], SummaryTable[[#This Row],[Code]], allFYsTable[year2], EK$3))</f>
        <v>50044</v>
      </c>
      <c r="EO160" s="61">
        <f>IF(COUNTIFS(allFYsTable[Code], SummaryTable[[#This Row],[Code]], allFYsTable[year2], EK$3)=0, NotFound, SUMIFS(allFYsTable[Actual], allFYsTable[Code], SummaryTable[[#This Row],[Code]], allFYsTable[year2], EK$3))</f>
        <v>50044</v>
      </c>
      <c r="EP160" s="61">
        <f>IF(COUNTIFS(allFYsTable[Code], SummaryTable[[#This Row],[Code]], allFYsTable[year2], EK$3)=0, NotFound, SUMIFS(allFYsTable[DiffAmount], allFYsTable[Code], SummaryTable[[#This Row],[Code]], allFYsTable[year2], EK$3))</f>
        <v>0</v>
      </c>
      <c r="EQ160" s="63">
        <f>IF(SummaryTable[[#This Row],[OriginalBudget09]]=0, IF(SummaryTable[[#This Row],[DiffAmount09]]=0, ZeroBudgetNoSpending, ZeroBudgetWithSpending), SummaryTable[[#This Row],[DiffAmount09]]/SummaryTable[[#This Row],[OriginalBudget09]])</f>
        <v>0</v>
      </c>
      <c r="ER160" s="62">
        <f>IF(COUNTIFS(allFYsTable[Code], SummaryTable[[#This Row],[Code]], allFYsTable[year2], ER$3)=0, NotFound, SUMIFS(allFYsTable[OriginalBudget], allFYsTable[Code], SummaryTable[[#This Row],[Code]], allFYsTable[year2], ER$3))</f>
        <v>46397</v>
      </c>
      <c r="ES160" s="61" t="e">
        <f>SummaryTable[[#This Row],[OriginalBudget08]]-SummaryTable[[#This Row],[OriginalBudget07]]</f>
        <v>#N/A</v>
      </c>
      <c r="ET160" s="54" t="e">
        <f>SummaryTable[[#This Row],[BudgetIncreaseAmount08]]/SummaryTable[[#This Row],[OriginalBudget07]]</f>
        <v>#N/A</v>
      </c>
      <c r="EU160" s="61">
        <f>IF(COUNTIFS(allFYsTable[Code], SummaryTable[[#This Row],[Code]], allFYsTable[year2], ER$3)=0, NotFound, SUMIFS(allFYsTable[RevisedBudget], allFYsTable[Code], SummaryTable[[#This Row],[Code]], allFYsTable[year2], ER$3))</f>
        <v>46397</v>
      </c>
      <c r="EV160" s="61">
        <f>IF(COUNTIFS(allFYsTable[Code], SummaryTable[[#This Row],[Code]], allFYsTable[year2], ER$3)=0, NotFound, SUMIFS(allFYsTable[Actual], allFYsTable[Code], SummaryTable[[#This Row],[Code]], allFYsTable[year2], ER$3))</f>
        <v>46397</v>
      </c>
      <c r="EW160" s="61">
        <f>IF(COUNTIFS(allFYsTable[Code], SummaryTable[[#This Row],[Code]], allFYsTable[year2], ER$3)=0, NotFound, SUMIFS(allFYsTable[DiffAmount], allFYsTable[Code], SummaryTable[[#This Row],[Code]], allFYsTable[year2], ER$3))</f>
        <v>0</v>
      </c>
      <c r="EX160" s="63">
        <f>IF(SummaryTable[[#This Row],[OriginalBudget08]]=0, IF(SummaryTable[[#This Row],[DiffAmount08]]=0, ZeroBudgetNoSpending, ZeroBudgetWithSpending), SummaryTable[[#This Row],[DiffAmount08]]/SummaryTable[[#This Row],[OriginalBudget08]])</f>
        <v>0</v>
      </c>
      <c r="EY160" s="62" t="e">
        <f>IF(COUNTIFS(allFYsTable[Code], SummaryTable[[#This Row],[Code]], allFYsTable[year2], EY$3)=0, NotFound, SUMIFS(allFYsTable[OriginalBudget], allFYsTable[Code], SummaryTable[[#This Row],[Code]], allFYsTable[year2], EY$3))</f>
        <v>#N/A</v>
      </c>
      <c r="EZ160" s="61" t="e">
        <f>SummaryTable[[#This Row],[OriginalBudget07]]-SummaryTable[[#This Row],[OriginalBudget06]]</f>
        <v>#N/A</v>
      </c>
      <c r="FA160" s="54" t="e">
        <f>SummaryTable[[#This Row],[BudgetIncreaseAmount07]]/SummaryTable[[#This Row],[OriginalBudget06]]</f>
        <v>#N/A</v>
      </c>
      <c r="FB160" s="61" t="e">
        <f>IF(COUNTIFS(allFYsTable[Code], SummaryTable[[#This Row],[Code]], allFYsTable[year2], EY$3)=0, NotFound, SUMIFS(allFYsTable[RevisedBudget], allFYsTable[Code], SummaryTable[[#This Row],[Code]], allFYsTable[year2], EY$3))</f>
        <v>#N/A</v>
      </c>
      <c r="FC160" s="61" t="e">
        <f>IF(COUNTIFS(allFYsTable[Code], SummaryTable[[#This Row],[Code]], allFYsTable[year2], EY$3)=0, NotFound, SUMIFS(allFYsTable[Actual], allFYsTable[Code], SummaryTable[[#This Row],[Code]], allFYsTable[year2], EY$3))</f>
        <v>#N/A</v>
      </c>
      <c r="FD160" s="61" t="e">
        <f>IF(COUNTIFS(allFYsTable[Code], SummaryTable[[#This Row],[Code]], allFYsTable[year2], EY$3)=0, NotFound, SUMIFS(allFYsTable[DiffAmount], allFYsTable[Code], SummaryTable[[#This Row],[Code]], allFYsTable[year2], EY$3))</f>
        <v>#N/A</v>
      </c>
      <c r="FE160" s="63" t="e">
        <f>IF(SummaryTable[[#This Row],[OriginalBudget07]]=0, IF(SummaryTable[[#This Row],[DiffAmount07]]=0, ZeroBudgetNoSpending, ZeroBudgetWithSpending), SummaryTable[[#This Row],[DiffAmount07]]/SummaryTable[[#This Row],[OriginalBudget07]])</f>
        <v>#N/A</v>
      </c>
      <c r="FF160" s="62" t="e">
        <f>IF(COUNTIFS(allFYsTable[Code], SummaryTable[[#This Row],[Code]], allFYsTable[year2], FF$3)=0, NotFound, SUMIFS(allFYsTable[OriginalBudget], allFYsTable[Code], SummaryTable[[#This Row],[Code]], allFYsTable[year2], FF$3))</f>
        <v>#N/A</v>
      </c>
      <c r="FI160" s="61" t="e">
        <f>IF(COUNTIFS(allFYsTable[Code], SummaryTable[[#This Row],[Code]], allFYsTable[year2], FF$3)=0, NotFound, SUMIFS(allFYsTable[RevisedBudget], allFYsTable[Code], SummaryTable[[#This Row],[Code]], allFYsTable[year2], FF$3))</f>
        <v>#N/A</v>
      </c>
      <c r="FJ160" s="61" t="e">
        <f>IF(COUNTIFS(allFYsTable[Code], SummaryTable[[#This Row],[Code]], allFYsTable[year2], FF$3)=0, NotFound, SUMIFS(allFYsTable[Actual], allFYsTable[Code], SummaryTable[[#This Row],[Code]], allFYsTable[year2], FF$3))</f>
        <v>#N/A</v>
      </c>
      <c r="FK160" s="61" t="e">
        <f>IF(COUNTIFS(allFYsTable[Code], SummaryTable[[#This Row],[Code]], allFYsTable[year2], FF$3)=0, NotFound, SUMIFS(allFYsTable[DiffAmount], allFYsTable[Code], SummaryTable[[#This Row],[Code]], allFYsTable[year2], FF$3))</f>
        <v>#N/A</v>
      </c>
      <c r="FL160" s="63" t="e">
        <f>IF(SummaryTable[[#This Row],[OriginalBudget06]]=0, IF(SummaryTable[[#This Row],[DiffAmount06]]=0, ZeroBudgetNoSpending, ZeroBudgetWithSpending), SummaryTable[[#This Row],[DiffAmount06]]/SummaryTable[[#This Row],[OriginalBudget06]])</f>
        <v>#N/A</v>
      </c>
    </row>
    <row r="161" spans="1:168" x14ac:dyDescent="0.45">
      <c r="A161" t="s">
        <v>854</v>
      </c>
      <c r="B161">
        <f>_xlfn.MAXIFS(allFYsTable[year2], allFYsTable[Code], SummaryTable[[#This Row],[Code]])</f>
        <v>2012</v>
      </c>
      <c r="C161" t="str">
        <f>_xlfn.XLOOKUP(SummaryTable[[#This Row],[Code]], NameCodingTable[Code], NameCodingTable[Most Recent Category per allFYs])</f>
        <v>Public Safety and justice</v>
      </c>
      <c r="D161" t="str">
        <f>_xlfn.XLOOKUP(SummaryTable[[#This Row],[Code]], NameCodingTable[Code], NameCodingTable[Unit Display Name])</f>
        <v>Office of victim services</v>
      </c>
      <c r="E161" t="str">
        <f>_xlfn.XLOOKUP(SummaryTable[[#This Row],[Code]], NameCodingTable[Code], NameCodingTable[Type])</f>
        <v>untyped</v>
      </c>
      <c r="F16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5</v>
      </c>
      <c r="G16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161" s="54">
        <f>SummaryTable[[#This Row],['# Over]]/SummaryTable[[#This Row],[Count]]</f>
        <v>0.4</v>
      </c>
      <c r="I16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v>
      </c>
      <c r="J161" s="54">
        <f>SummaryTable[[#This Row],['# Under]]/SummaryTable[[#This Row],[Count]]</f>
        <v>0.2</v>
      </c>
      <c r="K16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2</v>
      </c>
      <c r="L161" s="54">
        <f>SummaryTable[[#This Row],['# Equal]]/SummaryTable[[#This Row],[Count]]</f>
        <v>0.4</v>
      </c>
      <c r="M161" s="61">
        <f>SUMIFS(allFYsTable[OriginalBudget],allFYsTable[Code],SummaryTable[[#This Row],[Code]])/SummaryTable[[#This Row],[Count]]</f>
        <v>2387</v>
      </c>
      <c r="N161" s="61">
        <f>SUMIFS(allFYsTable[Actual],allFYsTable[Code],SummaryTable[[#This Row],[Code]])/SummaryTable[[#This Row],[Count]]</f>
        <v>2356</v>
      </c>
      <c r="O161" s="61">
        <f>SummaryTable[[#This Row],[AvgActAmt]]-SummaryTable[[#This Row],[AvgBudAmt]]</f>
        <v>-31</v>
      </c>
      <c r="P161" s="54">
        <f>IF(SummaryTable[[#This Row],[AvgBudAmt]]=0, IF(SummaryTable[[#This Row],[AvgDiff'#]]=0, 0, NamedFields!$C$3), SummaryTable[[#This Row],[AvgDiff'#]]/SummaryTable[[#This Row],[AvgBudAmt]])</f>
        <v>-1.2987012987012988E-2</v>
      </c>
      <c r="Q161" s="61">
        <f>IFERROR(SUMIFS(allFYsTable[OriginalBudget],allFYsTable[Code],SummaryTable[[#This Row],[Code]],allFYsTable[DiffAmount], "&gt;0")/SummaryTable[[#This Row],['# Over]], 0)</f>
        <v>3182.5</v>
      </c>
      <c r="R161" s="61">
        <f>IFERROR(SUMIFS(allFYsTable[Actual],allFYsTable[Code],SummaryTable[[#This Row],[Code]],allFYsTable[DiffAmount], "&gt;0")/SummaryTable[[#This Row],['# Over]], 0)</f>
        <v>3310.5</v>
      </c>
      <c r="S161" s="61">
        <f>SummaryTable[[#This Row],[OverAvgAct]]-SummaryTable[[#This Row],[OverAvgBud]]</f>
        <v>128</v>
      </c>
      <c r="T161" s="54">
        <f>IF(SummaryTable[[#This Row],[OverAvgBud]]=0, IF(SummaryTable[[#This Row],[OverAvgDiff'#]]=0, ZeroBudgetNoSpending, ZeroBudgetWithSpending), SummaryTable[[#This Row],[OverAvgDiff'#]]/SummaryTable[[#This Row],[OverAvgBud]])</f>
        <v>4.0219952867242732E-2</v>
      </c>
      <c r="U161" s="61">
        <f>IFERROR(SUMIFS(allFYsTable[OriginalBudget],allFYsTable[Code],SummaryTable[[#This Row],[Code]],allFYsTable[DiffAmount], "&lt;0")/SummaryTable[[#This Row],['# Under]], 0)</f>
        <v>2505</v>
      </c>
      <c r="V161" s="61">
        <f>IFERROR( SUMIFS(allFYsTable[Actual],allFYsTable[Code],SummaryTable[[#This Row],[Code]],allFYsTable[DiffAmount], "&lt;0")/SummaryTable[[#This Row],['# Under]], 0)</f>
        <v>2094</v>
      </c>
      <c r="W161" s="61">
        <f>SummaryTable[[#This Row],[UnderAvgAct]]-SummaryTable[[#This Row],[UnderAvgBud]]</f>
        <v>-411</v>
      </c>
      <c r="X161" s="54">
        <f>IF(SummaryTable[[#This Row],[UnderAvgBud]]=0, IF(SummaryTable[[#This Row],[UnderAvgDiff'#]]=0, ZeroBudgetNoSpending, NamedFields!$C$3), SummaryTable[[#This Row],[UnderAvgDiff'#]]/SummaryTable[[#This Row],[UnderAvgBud]])</f>
        <v>-0.16407185628742516</v>
      </c>
      <c r="Y16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6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61" s="54">
        <f>IF(SummaryTable[[#This Row],[IncreaseYears]]=0, ZeroBudgetNoSpending, SummaryTable[[#This Row],[OSinIncreaseYear'#]]/SummaryTable[[#This Row],[IncreaseYears]])</f>
        <v>0</v>
      </c>
      <c r="AB161" s="58" t="str">
        <f>SummaryTable[[#This Row],[Code]]</f>
        <v>FE0</v>
      </c>
      <c r="AC161" s="62" t="e">
        <f>IF(COUNTIFS(allFYsTable[Code], SummaryTable[[#This Row],[Code]], allFYsTable[year2], AC$3)=0, NotFound, SUMIFS(allFYsTable[OriginalBudget], allFYsTable[Code], SummaryTable[[#This Row],[Code]], allFYsTable[year2], AC$3))</f>
        <v>#N/A</v>
      </c>
      <c r="AD161" s="61" t="e">
        <f>SummaryTable[[#This Row],[OriginalBudget25]]-SummaryTable[[#This Row],[OriginalBudget24]]</f>
        <v>#N/A</v>
      </c>
      <c r="AE161" s="54" t="e">
        <f>SummaryTable[[#This Row],[BudgetIncreaseAmount25]]/SummaryTable[[#This Row],[OriginalBudget24]]</f>
        <v>#N/A</v>
      </c>
      <c r="AF161" s="61" t="e">
        <f>IF(COUNTIFS(allFYsTable[Code], SummaryTable[[#This Row],[Code]], allFYsTable[year2], AC$3)=0, NotFound, SUMIFS(allFYsTable[RevisedBudget], allFYsTable[Code], SummaryTable[[#This Row],[Code]], allFYsTable[year2], AC$3))</f>
        <v>#N/A</v>
      </c>
      <c r="AG161" s="61" t="e">
        <f>IF(COUNTIFS(allFYsTable[Code], SummaryTable[[#This Row],[Code]], allFYsTable[year2], AC$3)=0, NotFound, SUMIFS(allFYsTable[Actual], allFYsTable[Code], SummaryTable[[#This Row],[Code]], allFYsTable[year2], AC$3))</f>
        <v>#N/A</v>
      </c>
      <c r="AH161" s="61" t="e">
        <f>IF(COUNTIFS(allFYsTable[Code], SummaryTable[[#This Row],[Code]], allFYsTable[year2], AC$3)=0, NotFound, SUMIFS(allFYsTable[DiffAmount], allFYsTable[Code], SummaryTable[[#This Row],[Code]], allFYsTable[year2], AC$3))</f>
        <v>#N/A</v>
      </c>
      <c r="AI161" s="63" t="e">
        <f>IF(SummaryTable[[#This Row],[OriginalBudget25]]=0, IF(SummaryTable[[#This Row],[DiffAmount25]]=0, ZeroBudgetNoSpending, ZeroBudgetWithSpending), SummaryTable[[#This Row],[DiffAmount25]]/SummaryTable[[#This Row],[OriginalBudget25]])</f>
        <v>#N/A</v>
      </c>
      <c r="AJ161" s="62" t="e">
        <f>IF(COUNTIFS(allFYsTable[Code], SummaryTable[[#This Row],[Code]], allFYsTable[year2], AJ$3)=0, NotFound, SUMIFS(allFYsTable[OriginalBudget], allFYsTable[Code], SummaryTable[[#This Row],[Code]], allFYsTable[year2], AJ$3))</f>
        <v>#N/A</v>
      </c>
      <c r="AK161" s="61" t="e">
        <f>SummaryTable[[#This Row],[OriginalBudget24]]-SummaryTable[[#This Row],[OriginalBudget23]]</f>
        <v>#N/A</v>
      </c>
      <c r="AL161" s="54" t="e">
        <f>SummaryTable[[#This Row],[BudgetIncreaseAmount24]]/SummaryTable[[#This Row],[OriginalBudget23]]</f>
        <v>#N/A</v>
      </c>
      <c r="AM161" s="61" t="e">
        <f>IF(COUNTIFS(allFYsTable[Code], SummaryTable[[#This Row],[Code]], allFYsTable[year2], AK$3)=0, NotFound, SUMIFS(allFYsTable[RevisedBudget], allFYsTable[Code], SummaryTable[[#This Row],[Code]], allFYsTable[year2], AJ$3))</f>
        <v>#N/A</v>
      </c>
      <c r="AN161" s="61" t="e">
        <f>IF(COUNTIFS(allFYsTable[Code], SummaryTable[[#This Row],[Code]], allFYsTable[year2], AJ$3)=0, NotFound, SUMIFS(allFYsTable[Actual], allFYsTable[Code], SummaryTable[[#This Row],[Code]], allFYsTable[year2], AJ$3))</f>
        <v>#N/A</v>
      </c>
      <c r="AO161" s="61" t="e">
        <f>IF(COUNTIFS(allFYsTable[Code], SummaryTable[[#This Row],[Code]], allFYsTable[year2], AJ$3)=0, NotFound, SUMIFS(allFYsTable[DiffAmount], allFYsTable[Code], SummaryTable[[#This Row],[Code]], allFYsTable[year2], AJ$3))</f>
        <v>#N/A</v>
      </c>
      <c r="AP161" s="63" t="e">
        <f>IF(SummaryTable[[#This Row],[OriginalBudget24]]=0, IF(SummaryTable[[#This Row],[DiffAmount24]]=0, ZeroBudgetNoSpending, ZeroBudgetWithSpending), SummaryTable[[#This Row],[DiffAmount24]]/SummaryTable[[#This Row],[OriginalBudget24]])</f>
        <v>#N/A</v>
      </c>
      <c r="AQ161" s="62" t="e">
        <f>IF(COUNTIFS(allFYsTable[Code], SummaryTable[[#This Row],[Code]], allFYsTable[year2], AQ$3)=0, NotFound, SUMIFS(allFYsTable[OriginalBudget], allFYsTable[Code], SummaryTable[[#This Row],[Code]], allFYsTable[year2], AQ$3))</f>
        <v>#N/A</v>
      </c>
      <c r="AR161" s="61" t="e">
        <f>SummaryTable[[#This Row],[OriginalBudget23]]-SummaryTable[[#This Row],[OriginalBudget22]]</f>
        <v>#N/A</v>
      </c>
      <c r="AS161" s="54" t="e">
        <f>SummaryTable[[#This Row],[BudgetIncreaseAmount23]]/SummaryTable[[#This Row],[OriginalBudget22]]</f>
        <v>#N/A</v>
      </c>
      <c r="AT161" s="61" t="e">
        <f>IF(COUNTIFS(allFYsTable[Code], SummaryTable[[#This Row],[Code]], allFYsTable[year2], AQ$3)=0, NotFound, SUMIFS(allFYsTable[RevisedBudget], allFYsTable[Code], SummaryTable[[#This Row],[Code]], allFYsTable[year2], AQ$3))</f>
        <v>#N/A</v>
      </c>
      <c r="AU161" s="61" t="e">
        <f>IF(COUNTIFS(allFYsTable[Code], SummaryTable[[#This Row],[Code]], allFYsTable[year2], AQ$3)=0, NotFound, SUMIFS(allFYsTable[Actual], allFYsTable[Code], SummaryTable[[#This Row],[Code]], allFYsTable[year2], AQ$3))</f>
        <v>#N/A</v>
      </c>
      <c r="AV161" s="61" t="e">
        <f>IF(COUNTIFS(allFYsTable[Code], SummaryTable[[#This Row],[Code]], allFYsTable[year2], AQ$3)=0, NotFound, SUMIFS(allFYsTable[DiffAmount], allFYsTable[Code], SummaryTable[[#This Row],[Code]], allFYsTable[year2], AQ$3))</f>
        <v>#N/A</v>
      </c>
      <c r="AW161" s="63" t="e">
        <f>IF(SummaryTable[[#This Row],[OriginalBudget23]]=0, IF(SummaryTable[[#This Row],[DiffAmount23]]=0, ZeroBudgetNoSpending, ZeroBudgetWithSpending), SummaryTable[[#This Row],[DiffAmount23]]/SummaryTable[[#This Row],[OriginalBudget23]])</f>
        <v>#N/A</v>
      </c>
      <c r="AX161" s="62" t="e">
        <f>IF(COUNTIFS(allFYsTable[Code], SummaryTable[[#This Row],[Code]], allFYsTable[year2], AX$3)=0, NotFound, SUMIFS(allFYsTable[OriginalBudget], allFYsTable[Code], SummaryTable[[#This Row],[Code]], allFYsTable[year2], AX$3))</f>
        <v>#N/A</v>
      </c>
      <c r="AY161" s="61" t="e">
        <f>SummaryTable[[#This Row],[OriginalBudget22]]-SummaryTable[[#This Row],[OriginalBudget21]]</f>
        <v>#N/A</v>
      </c>
      <c r="AZ161" s="54" t="e">
        <f>SummaryTable[[#This Row],[BudgetIncreaseAmount22]]/SummaryTable[[#This Row],[OriginalBudget21]]</f>
        <v>#N/A</v>
      </c>
      <c r="BA161" s="61" t="e">
        <f>IF(COUNTIFS(allFYsTable[Code], SummaryTable[[#This Row],[Code]], allFYsTable[year2], AX$3)=0, NotFound, SUMIFS(allFYsTable[RevisedBudget], allFYsTable[Code], SummaryTable[[#This Row],[Code]], allFYsTable[year2], AX$3))</f>
        <v>#N/A</v>
      </c>
      <c r="BB161" s="61" t="e">
        <f>IF(COUNTIFS(allFYsTable[Code], SummaryTable[[#This Row],[Code]], allFYsTable[year2], AX$3)=0, NotFound, SUMIFS(allFYsTable[Actual], allFYsTable[Code], SummaryTable[[#This Row],[Code]], allFYsTable[year2], AX$3))</f>
        <v>#N/A</v>
      </c>
      <c r="BC161" s="61" t="e">
        <f>IF(COUNTIFS(allFYsTable[Code], SummaryTable[[#This Row],[Code]], allFYsTable[year2], AX$3)=0, NotFound, SUMIFS(allFYsTable[DiffAmount], allFYsTable[Code], SummaryTable[[#This Row],[Code]], allFYsTable[year2], AX$3))</f>
        <v>#N/A</v>
      </c>
      <c r="BD161" s="63" t="e">
        <f>IF(SummaryTable[[#This Row],[OriginalBudget22]]=0, IF(SummaryTable[[#This Row],[DiffAmount22]]=0, ZeroBudgetNoSpending, ZeroBudgetWithSpending), SummaryTable[[#This Row],[DiffAmount22]]/SummaryTable[[#This Row],[OriginalBudget22]])</f>
        <v>#N/A</v>
      </c>
      <c r="BE161" s="62" t="e">
        <f>IF(COUNTIFS(allFYsTable[Code], SummaryTable[[#This Row],[Code]], allFYsTable[year2], BE$3)=0, NotFound, SUMIFS(allFYsTable[OriginalBudget], allFYsTable[Code], SummaryTable[[#This Row],[Code]], allFYsTable[year2], BE$3))</f>
        <v>#N/A</v>
      </c>
      <c r="BF161" s="61" t="e">
        <f>SummaryTable[[#This Row],[OriginalBudget21]]-SummaryTable[[#This Row],[OriginalBudget20]]</f>
        <v>#N/A</v>
      </c>
      <c r="BG161" s="54" t="e">
        <f>SummaryTable[[#This Row],[BudgetIncreaseAmount21]]/SummaryTable[[#This Row],[OriginalBudget20]]</f>
        <v>#N/A</v>
      </c>
      <c r="BH161" s="61" t="e">
        <f>IF(COUNTIFS(allFYsTable[Code], SummaryTable[[#This Row],[Code]], allFYsTable[year2], BE$3)=0, NotFound, SUMIFS(allFYsTable[RevisedBudget], allFYsTable[Code], SummaryTable[[#This Row],[Code]], allFYsTable[year2], BE$3))</f>
        <v>#N/A</v>
      </c>
      <c r="BI161" s="61" t="e">
        <f>IF(COUNTIFS(allFYsTable[Code], SummaryTable[[#This Row],[Code]], allFYsTable[year2], BE$3)=0, NotFound, SUMIFS(allFYsTable[Actual], allFYsTable[Code], SummaryTable[[#This Row],[Code]], allFYsTable[year2], BE$3))</f>
        <v>#N/A</v>
      </c>
      <c r="BJ161" s="61" t="e">
        <f>IF(COUNTIFS(allFYsTable[Code], SummaryTable[[#This Row],[Code]], allFYsTable[year2], BE$3)=0, NotFound, SUMIFS(allFYsTable[DiffAmount], allFYsTable[Code], SummaryTable[[#This Row],[Code]], allFYsTable[year2], BE$3))</f>
        <v>#N/A</v>
      </c>
      <c r="BK161" s="63" t="e">
        <f>IF(SummaryTable[[#This Row],[OriginalBudget21]]=0, IF(SummaryTable[[#This Row],[DiffAmount21]]=0, ZeroBudgetNoSpending, ZeroBudgetWithSpending), SummaryTable[[#This Row],[DiffAmount21]]/SummaryTable[[#This Row],[OriginalBudget21]])</f>
        <v>#N/A</v>
      </c>
      <c r="BL161" s="62" t="e">
        <f>IF(COUNTIFS(allFYsTable[Code], SummaryTable[[#This Row],[Code]], allFYsTable[year2], BL$3)=0, NotFound, SUMIFS(allFYsTable[OriginalBudget], allFYsTable[Code], SummaryTable[[#This Row],[Code]], allFYsTable[year2], BL$3))</f>
        <v>#N/A</v>
      </c>
      <c r="BM161" s="61" t="e">
        <f>SummaryTable[[#This Row],[OriginalBudget20]]-SummaryTable[[#This Row],[OriginalBudget19]]</f>
        <v>#N/A</v>
      </c>
      <c r="BN161" s="54" t="e">
        <f>SummaryTable[[#This Row],[BudgetIncreaseAmount20]]/SummaryTable[[#This Row],[OriginalBudget19]]</f>
        <v>#N/A</v>
      </c>
      <c r="BO161" s="61" t="e">
        <f>IF(COUNTIFS(allFYsTable[Code], SummaryTable[[#This Row],[Code]], allFYsTable[year2], BL$3)=0, NotFound, SUMIFS(allFYsTable[RevisedBudget], allFYsTable[Code], SummaryTable[[#This Row],[Code]], allFYsTable[year2], BL$3))</f>
        <v>#N/A</v>
      </c>
      <c r="BP161" s="61" t="e">
        <f>IF(COUNTIFS(allFYsTable[Code], SummaryTable[[#This Row],[Code]], allFYsTable[year2], BL$3)=0, NotFound, SUMIFS(allFYsTable[Actual], allFYsTable[Code], SummaryTable[[#This Row],[Code]], allFYsTable[year2], BL$3))</f>
        <v>#N/A</v>
      </c>
      <c r="BQ161" s="61" t="e">
        <f>IF(COUNTIFS(allFYsTable[Code], SummaryTable[[#This Row],[Code]], allFYsTable[year2], BL$3)=0, NotFound, SUMIFS(allFYsTable[DiffAmount], allFYsTable[Code], SummaryTable[[#This Row],[Code]], allFYsTable[year2], BL$3))</f>
        <v>#N/A</v>
      </c>
      <c r="BR161" s="63" t="e">
        <f>IF(SummaryTable[[#This Row],[OriginalBudget20]]=0, IF(SummaryTable[[#This Row],[DiffAmount20]]=0, ZeroBudgetNoSpending, ZeroBudgetWithSpending), SummaryTable[[#This Row],[DiffAmount20]]/SummaryTable[[#This Row],[OriginalBudget20]])</f>
        <v>#N/A</v>
      </c>
      <c r="BS161" s="62" t="e">
        <f>IF(COUNTIFS(allFYsTable[Code], SummaryTable[[#This Row],[Code]], allFYsTable[year2], BS$3)=0, NotFound, SUMIFS(allFYsTable[OriginalBudget], allFYsTable[Code], SummaryTable[[#This Row],[Code]], allFYsTable[year2], BS$3))</f>
        <v>#N/A</v>
      </c>
      <c r="BT161" s="61" t="e">
        <f>SummaryTable[[#This Row],[OriginalBudget19]]-SummaryTable[[#This Row],[OriginalBudget18]]</f>
        <v>#N/A</v>
      </c>
      <c r="BU161" s="54" t="e">
        <f>SummaryTable[[#This Row],[BudgetIncreaseAmount19]]/SummaryTable[[#This Row],[OriginalBudget18]]</f>
        <v>#N/A</v>
      </c>
      <c r="BV161" s="61" t="e">
        <f>IF(COUNTIFS(allFYsTable[Code], SummaryTable[[#This Row],[Code]], allFYsTable[year2], BS$3)=0, NotFound, SUMIFS(allFYsTable[RevisedBudget], allFYsTable[Code], SummaryTable[[#This Row],[Code]], allFYsTable[year2], BS$3))</f>
        <v>#N/A</v>
      </c>
      <c r="BW161" s="61" t="e">
        <f>IF(COUNTIFS(allFYsTable[Code], SummaryTable[[#This Row],[Code]], allFYsTable[year2], BS$3)=0, NotFound, SUMIFS(allFYsTable[Actual], allFYsTable[Code], SummaryTable[[#This Row],[Code]], allFYsTable[year2], BS$3))</f>
        <v>#N/A</v>
      </c>
      <c r="BX161" s="61" t="e">
        <f>IF(COUNTIFS(allFYsTable[Code], SummaryTable[[#This Row],[Code]], allFYsTable[year2], BS$3)=0, NotFound, SUMIFS(allFYsTable[DiffAmount], allFYsTable[Code], SummaryTable[[#This Row],[Code]], allFYsTable[year2], BS$3))</f>
        <v>#N/A</v>
      </c>
      <c r="BY161" s="63" t="e">
        <f>IF(SummaryTable[[#This Row],[OriginalBudget19]]=0, IF(SummaryTable[[#This Row],[DiffAmount19]]=0, ZeroBudgetNoSpending, ZeroBudgetWithSpending), SummaryTable[[#This Row],[DiffAmount19]]/SummaryTable[[#This Row],[OriginalBudget19]])</f>
        <v>#N/A</v>
      </c>
      <c r="BZ161" s="62" t="e">
        <f>IF(COUNTIFS(allFYsTable[Code], SummaryTable[[#This Row],[Code]], allFYsTable[year2], BZ$3)=0, NotFound, SUMIFS(allFYsTable[OriginalBudget], allFYsTable[Code], SummaryTable[[#This Row],[Code]], allFYsTable[year2], BZ$3))</f>
        <v>#N/A</v>
      </c>
      <c r="CA161" s="61" t="e">
        <f>SummaryTable[[#This Row],[OriginalBudget18]]-SummaryTable[[#This Row],[OriginalBudget17]]</f>
        <v>#N/A</v>
      </c>
      <c r="CB161" s="54" t="e">
        <f>SummaryTable[[#This Row],[BudgetIncreaseAmount18]]/SummaryTable[[#This Row],[OriginalBudget17]]</f>
        <v>#N/A</v>
      </c>
      <c r="CC161" s="61" t="e">
        <f>IF(COUNTIFS(allFYsTable[Code], SummaryTable[[#This Row],[Code]], allFYsTable[year2], BZ$3)=0, NotFound, SUMIFS(allFYsTable[RevisedBudget], allFYsTable[Code], SummaryTable[[#This Row],[Code]], allFYsTable[year2], BZ$3))</f>
        <v>#N/A</v>
      </c>
      <c r="CD161" s="61" t="e">
        <f>IF(COUNTIFS(allFYsTable[Code], SummaryTable[[#This Row],[Code]], allFYsTable[year2], BZ$3)=0, NotFound, SUMIFS(allFYsTable[Actual], allFYsTable[Code], SummaryTable[[#This Row],[Code]], allFYsTable[year2], BZ$3))</f>
        <v>#N/A</v>
      </c>
      <c r="CE161" s="61" t="e">
        <f>IF(COUNTIFS(allFYsTable[Code], SummaryTable[[#This Row],[Code]], allFYsTable[year2], BZ$3)=0, NotFound, SUMIFS(allFYsTable[DiffAmount], allFYsTable[Code], SummaryTable[[#This Row],[Code]], allFYsTable[year2], BZ$3))</f>
        <v>#N/A</v>
      </c>
      <c r="CF161" s="63" t="e">
        <f>IF(SummaryTable[[#This Row],[OriginalBudget18]]=0, IF(SummaryTable[[#This Row],[DiffAmount18]]=0, ZeroBudgetNoSpending, ZeroBudgetWithSpending), SummaryTable[[#This Row],[DiffAmount18]]/SummaryTable[[#This Row],[OriginalBudget18]])</f>
        <v>#N/A</v>
      </c>
      <c r="CG161" s="62" t="e">
        <f>IF(COUNTIFS(allFYsTable[Code], SummaryTable[[#This Row],[Code]], allFYsTable[year2], CG$3)=0, NotFound, SUMIFS(allFYsTable[OriginalBudget], allFYsTable[Code], SummaryTable[[#This Row],[Code]], allFYsTable[year2], CG$3))</f>
        <v>#N/A</v>
      </c>
      <c r="CH161" s="61" t="e">
        <f>SummaryTable[[#This Row],[OriginalBudget17]]-SummaryTable[[#This Row],[OriginalBudget16]]</f>
        <v>#N/A</v>
      </c>
      <c r="CI161" s="54" t="e">
        <f>SummaryTable[[#This Row],[BudgetIncreaseAmount17]]/SummaryTable[[#This Row],[OriginalBudget16]]</f>
        <v>#N/A</v>
      </c>
      <c r="CJ161" s="61" t="e">
        <f>IF(COUNTIFS(allFYsTable[Code], SummaryTable[[#This Row],[Code]], allFYsTable[year2], CG$3)=0, NotFound, SUMIFS(allFYsTable[RevisedBudget], allFYsTable[Code], SummaryTable[[#This Row],[Code]], allFYsTable[year2], CG$3))</f>
        <v>#N/A</v>
      </c>
      <c r="CK161" s="61" t="e">
        <f>IF(COUNTIFS(allFYsTable[Code], SummaryTable[[#This Row],[Code]], allFYsTable[year2], CG$3)=0, NotFound, SUMIFS(allFYsTable[Actual], allFYsTable[Code], SummaryTable[[#This Row],[Code]], allFYsTable[year2], CG$3))</f>
        <v>#N/A</v>
      </c>
      <c r="CL161" s="61" t="e">
        <f>IF(COUNTIFS(allFYsTable[Code], SummaryTable[[#This Row],[Code]], allFYsTable[year2], CG$3)=0, NotFound, SUMIFS(allFYsTable[DiffAmount], allFYsTable[Code], SummaryTable[[#This Row],[Code]], allFYsTable[year2], CG$3))</f>
        <v>#N/A</v>
      </c>
      <c r="CM161" s="63" t="e">
        <f>IF(SummaryTable[[#This Row],[OriginalBudget17]]=0, IF(SummaryTable[[#This Row],[DiffAmount17]]=0, ZeroBudgetNoSpending, ZeroBudgetWithSpending), SummaryTable[[#This Row],[DiffAmount17]]/SummaryTable[[#This Row],[OriginalBudget17]])</f>
        <v>#N/A</v>
      </c>
      <c r="CN161" s="62" t="e">
        <f>IF(COUNTIFS(allFYsTable[Code], SummaryTable[[#This Row],[Code]], allFYsTable[year2], CN$3)=0, NotFound, SUMIFS(allFYsTable[OriginalBudget], allFYsTable[Code], SummaryTable[[#This Row],[Code]], allFYsTable[year2], CN$3))</f>
        <v>#N/A</v>
      </c>
      <c r="CO161" s="61" t="e">
        <f>SummaryTable[[#This Row],[OriginalBudget16]]-SummaryTable[[#This Row],[OriginalBudget15]]</f>
        <v>#N/A</v>
      </c>
      <c r="CP161" s="54" t="e">
        <f>SummaryTable[[#This Row],[BudgetIncreaseAmount16]]/SummaryTable[[#This Row],[OriginalBudget15]]</f>
        <v>#N/A</v>
      </c>
      <c r="CQ161" s="61" t="e">
        <f>IF(COUNTIFS(allFYsTable[Code], SummaryTable[[#This Row],[Code]], allFYsTable[year2], CN$3)=0, NotFound, SUMIFS(allFYsTable[RevisedBudget], allFYsTable[Code], SummaryTable[[#This Row],[Code]], allFYsTable[year2], CN$3))</f>
        <v>#N/A</v>
      </c>
      <c r="CR161" s="61" t="e">
        <f>IF(COUNTIFS(allFYsTable[Code], SummaryTable[[#This Row],[Code]], allFYsTable[year2], CN$3)=0, NotFound, SUMIFS(allFYsTable[Actual], allFYsTable[Code], SummaryTable[[#This Row],[Code]], allFYsTable[year2], CN$3))</f>
        <v>#N/A</v>
      </c>
      <c r="CS161" s="61" t="e">
        <f>IF(COUNTIFS(allFYsTable[Code], SummaryTable[[#This Row],[Code]], allFYsTable[year2], CN$3)=0, NotFound, SUMIFS(allFYsTable[DiffAmount], allFYsTable[Code], SummaryTable[[#This Row],[Code]], allFYsTable[year2], CN$3))</f>
        <v>#N/A</v>
      </c>
      <c r="CT161" s="63" t="e">
        <f>IF(SummaryTable[[#This Row],[OriginalBudget16]]=0, IF(SummaryTable[[#This Row],[DiffAmount16]]=0, ZeroBudgetNoSpending, ZeroBudgetWithSpending), SummaryTable[[#This Row],[DiffAmount16]]/SummaryTable[[#This Row],[OriginalBudget16]])</f>
        <v>#N/A</v>
      </c>
      <c r="CU161" s="62" t="e">
        <f>IF(COUNTIFS(allFYsTable[Code], SummaryTable[[#This Row],[Code]], allFYsTable[year2], CU$3)=0, NotFound, SUMIFS(allFYsTable[OriginalBudget], allFYsTable[Code], SummaryTable[[#This Row],[Code]], allFYsTable[year2], CU$3))</f>
        <v>#N/A</v>
      </c>
      <c r="CV161" s="61" t="e">
        <f>SummaryTable[[#This Row],[OriginalBudget15]]-SummaryTable[[#This Row],[OriginalBudget14]]</f>
        <v>#N/A</v>
      </c>
      <c r="CW161" s="54" t="e">
        <f>SummaryTable[[#This Row],[BudgetIncreaseAmount15]]/SummaryTable[[#This Row],[OriginalBudget14]]</f>
        <v>#N/A</v>
      </c>
      <c r="CX161" s="61" t="e">
        <f>IF(COUNTIFS(allFYsTable[Code], SummaryTable[[#This Row],[Code]], allFYsTable[year2], CU$3)=0, NotFound, SUMIFS(allFYsTable[RevisedBudget], allFYsTable[Code], SummaryTable[[#This Row],[Code]], allFYsTable[year2], CU$3))</f>
        <v>#N/A</v>
      </c>
      <c r="CY161" s="61" t="e">
        <f>IF(COUNTIFS(allFYsTable[Code], SummaryTable[[#This Row],[Code]], allFYsTable[year2], CU$3)=0, NotFound, SUMIFS(allFYsTable[Actual], allFYsTable[Code], SummaryTable[[#This Row],[Code]], allFYsTable[year2], CU$3))</f>
        <v>#N/A</v>
      </c>
      <c r="CZ161" s="61" t="e">
        <f>IF(COUNTIFS(allFYsTable[Code], SummaryTable[[#This Row],[Code]], allFYsTable[year2], CU$3)=0, NotFound, SUMIFS(allFYsTable[DiffAmount], allFYsTable[Code], SummaryTable[[#This Row],[Code]], allFYsTable[year2], CU$3))</f>
        <v>#N/A</v>
      </c>
      <c r="DA161" s="63" t="e">
        <f>IF(SummaryTable[[#This Row],[OriginalBudget15]]=0, IF(SummaryTable[[#This Row],[DiffAmount15]]=0, ZeroBudgetNoSpending, ZeroBudgetWithSpending), SummaryTable[[#This Row],[DiffAmount15]]/SummaryTable[[#This Row],[OriginalBudget15]])</f>
        <v>#N/A</v>
      </c>
      <c r="DB161" s="62" t="e">
        <f>IF(COUNTIFS(allFYsTable[Code], SummaryTable[[#This Row],[Code]], allFYsTable[year2], DB$3)=0, NotFound, SUMIFS(allFYsTable[OriginalBudget], allFYsTable[Code], SummaryTable[[#This Row],[Code]], allFYsTable[year2], DB$3))</f>
        <v>#N/A</v>
      </c>
      <c r="DC161" s="61" t="e">
        <f>SummaryTable[[#This Row],[OriginalBudget14]]-SummaryTable[[#This Row],[OriginalBudget13]]</f>
        <v>#N/A</v>
      </c>
      <c r="DD161" s="54" t="e">
        <f>SummaryTable[[#This Row],[BudgetIncreaseAmount14]]/SummaryTable[[#This Row],[OriginalBudget13]]</f>
        <v>#N/A</v>
      </c>
      <c r="DE161" s="61" t="e">
        <f>IF(COUNTIFS(allFYsTable[Code], SummaryTable[[#This Row],[Code]], allFYsTable[year2], DB$3)=0, NotFound, SUMIFS(allFYsTable[RevisedBudget], allFYsTable[Code], SummaryTable[[#This Row],[Code]], allFYsTable[year2], DB$3))</f>
        <v>#N/A</v>
      </c>
      <c r="DF161" s="61" t="e">
        <f>IF(COUNTIFS(allFYsTable[Code], SummaryTable[[#This Row],[Code]], allFYsTable[year2], DB$3)=0, NotFound, SUMIFS(allFYsTable[Actual], allFYsTable[Code], SummaryTable[[#This Row],[Code]], allFYsTable[year2], DB$3))</f>
        <v>#N/A</v>
      </c>
      <c r="DG161" s="61" t="e">
        <f>IF(COUNTIFS(allFYsTable[Code], SummaryTable[[#This Row],[Code]], allFYsTable[year2], DB$3)=0, NotFound, SUMIFS(allFYsTable[DiffAmount], allFYsTable[Code], SummaryTable[[#This Row],[Code]], allFYsTable[year2], DB$3))</f>
        <v>#N/A</v>
      </c>
      <c r="DH161" s="63" t="e">
        <f>IF(SummaryTable[[#This Row],[OriginalBudget14]]=0, IF(SummaryTable[[#This Row],[DiffAmount14]]=0, ZeroBudgetNoSpending, ZeroBudgetWithSpending), SummaryTable[[#This Row],[DiffAmount14]]/SummaryTable[[#This Row],[OriginalBudget14]])</f>
        <v>#N/A</v>
      </c>
      <c r="DI161" s="62" t="e">
        <f>IF(COUNTIFS(allFYsTable[Code], SummaryTable[[#This Row],[Code]], allFYsTable[year2], DI$3)=0, NotFound, SUMIFS(allFYsTable[OriginalBudget], allFYsTable[Code], SummaryTable[[#This Row],[Code]], allFYsTable[year2], DI$3))</f>
        <v>#N/A</v>
      </c>
      <c r="DJ161" s="61" t="e">
        <f>SummaryTable[[#This Row],[OriginalBudget13]]-SummaryTable[[#This Row],[OriginalBudget12]]</f>
        <v>#N/A</v>
      </c>
      <c r="DK161" s="54" t="e">
        <f>SummaryTable[[#This Row],[BudgetIncreaseAmount13]]/SummaryTable[[#This Row],[OriginalBudget12]]</f>
        <v>#N/A</v>
      </c>
      <c r="DL161" s="61" t="e">
        <f>IF(COUNTIFS(allFYsTable[Code], SummaryTable[[#This Row],[Code]], allFYsTable[year2], DI$3)=0, NotFound, SUMIFS(allFYsTable[RevisedBudget], allFYsTable[Code], SummaryTable[[#This Row],[Code]], allFYsTable[year2], DI$3))</f>
        <v>#N/A</v>
      </c>
      <c r="DM161" s="61" t="e">
        <f>IF(COUNTIFS(allFYsTable[Code], SummaryTable[[#This Row],[Code]], allFYsTable[year2], DI$3)=0, NotFound, SUMIFS(allFYsTable[Actual], allFYsTable[Code], SummaryTable[[#This Row],[Code]], allFYsTable[year2], DI$3))</f>
        <v>#N/A</v>
      </c>
      <c r="DN161" s="61" t="e">
        <f>IF(COUNTIFS(allFYsTable[Code], SummaryTable[[#This Row],[Code]], allFYsTable[year2], DI$3)=0, NotFound, SUMIFS(allFYsTable[DiffAmount], allFYsTable[Code], SummaryTable[[#This Row],[Code]], allFYsTable[year2], DI$3))</f>
        <v>#N/A</v>
      </c>
      <c r="DO161" s="63" t="e">
        <f>IF(SummaryTable[[#This Row],[OriginalBudget13]]=0, IF(SummaryTable[[#This Row],[DiffAmount13]]=0, ZeroBudgetNoSpending, ZeroBudgetWithSpending), SummaryTable[[#This Row],[DiffAmount13]]/SummaryTable[[#This Row],[OriginalBudget13]])</f>
        <v>#N/A</v>
      </c>
      <c r="DP161" s="62">
        <f>IF(COUNTIFS(allFYsTable[Code], SummaryTable[[#This Row],[Code]], allFYsTable[year2], DP$3)=0, NotFound, SUMIFS(allFYsTable[OriginalBudget], allFYsTable[Code], SummaryTable[[#This Row],[Code]], allFYsTable[year2], DP$3))</f>
        <v>0</v>
      </c>
      <c r="DQ161" s="61">
        <f>SummaryTable[[#This Row],[OriginalBudget12]]-SummaryTable[[#This Row],[OriginalBudget11]]</f>
        <v>-2377</v>
      </c>
      <c r="DR161" s="54">
        <f>SummaryTable[[#This Row],[BudgetIncreaseAmount12]]/SummaryTable[[#This Row],[OriginalBudget11]]</f>
        <v>-1</v>
      </c>
      <c r="DS161" s="61">
        <f>IF(COUNTIFS(allFYsTable[Code], SummaryTable[[#This Row],[Code]], allFYsTable[year2], DP$3)=0, NotFound, SUMIFS(allFYsTable[RevisedBudget], allFYsTable[Code], SummaryTable[[#This Row],[Code]], allFYsTable[year2], DP$3))</f>
        <v>0</v>
      </c>
      <c r="DT161" s="61">
        <f>IF(COUNTIFS(allFYsTable[Code], SummaryTable[[#This Row],[Code]], allFYsTable[year2], DP$3)=0, NotFound, SUMIFS(allFYsTable[Actual], allFYsTable[Code], SummaryTable[[#This Row],[Code]], allFYsTable[year2], DP$3))</f>
        <v>0</v>
      </c>
      <c r="DU161" s="61">
        <f>IF(COUNTIFS(allFYsTable[Code], SummaryTable[[#This Row],[Code]], allFYsTable[year2], DP$3)=0, NotFound, SUMIFS(allFYsTable[DiffAmount], allFYsTable[Code], SummaryTable[[#This Row],[Code]], allFYsTable[year2], DP$3))</f>
        <v>0</v>
      </c>
      <c r="DV161" s="63">
        <f>IF(SummaryTable[[#This Row],[OriginalBudget12]]=0, IF(SummaryTable[[#This Row],[DiffAmount12]]=0, ZeroBudgetNoSpending, ZeroBudgetWithSpending), SummaryTable[[#This Row],[DiffAmount12]]/SummaryTable[[#This Row],[OriginalBudget12]])</f>
        <v>0</v>
      </c>
      <c r="DW161" s="62">
        <f>IF(COUNTIFS(allFYsTable[Code], SummaryTable[[#This Row],[Code]], allFYsTable[year2], DW$3)=0, NotFound, SUMIFS(allFYsTable[OriginalBudget], allFYsTable[Code], SummaryTable[[#This Row],[Code]], allFYsTable[year2], DW$3))</f>
        <v>2377</v>
      </c>
      <c r="DX161" s="61">
        <f>SummaryTable[[#This Row],[OriginalBudget11]]-SummaryTable[[#This Row],[OriginalBudget10]]</f>
        <v>-688</v>
      </c>
      <c r="DY161" s="54">
        <f>SummaryTable[[#This Row],[BudgetIncreaseAmount11]]/SummaryTable[[#This Row],[OriginalBudget10]]</f>
        <v>-0.22446982055464926</v>
      </c>
      <c r="DZ161" s="61">
        <f>IF(COUNTIFS(allFYsTable[Code], SummaryTable[[#This Row],[Code]], allFYsTable[year2], DW$3)=0, NotFound, SUMIFS(allFYsTable[RevisedBudget], allFYsTable[Code], SummaryTable[[#This Row],[Code]], allFYsTable[year2], DW$3))</f>
        <v>2427</v>
      </c>
      <c r="EA161" s="61">
        <f>IF(COUNTIFS(allFYsTable[Code], SummaryTable[[#This Row],[Code]], allFYsTable[year2], DW$3)=0, NotFound, SUMIFS(allFYsTable[Actual], allFYsTable[Code], SummaryTable[[#This Row],[Code]], allFYsTable[year2], DW$3))</f>
        <v>2402</v>
      </c>
      <c r="EB161" s="61">
        <f>IF(COUNTIFS(allFYsTable[Code], SummaryTable[[#This Row],[Code]], allFYsTable[year2], DW$3)=0, NotFound, SUMIFS(allFYsTable[DiffAmount], allFYsTable[Code], SummaryTable[[#This Row],[Code]], allFYsTable[year2], DW$3))</f>
        <v>25</v>
      </c>
      <c r="EC161" s="63">
        <f>IF(SummaryTable[[#This Row],[OriginalBudget11]]=0, IF(SummaryTable[[#This Row],[DiffAmount11]]=0, ZeroBudgetNoSpending, ZeroBudgetWithSpending), SummaryTable[[#This Row],[DiffAmount11]]/SummaryTable[[#This Row],[OriginalBudget11]])</f>
        <v>1.051745898190997E-2</v>
      </c>
      <c r="ED161" s="62">
        <f>IF(COUNTIFS(allFYsTable[Code], SummaryTable[[#This Row],[Code]], allFYsTable[year2], ED$3)=0, NotFound, SUMIFS(allFYsTable[OriginalBudget], allFYsTable[Code], SummaryTable[[#This Row],[Code]], allFYsTable[year2], ED$3))</f>
        <v>3065</v>
      </c>
      <c r="EE161" s="61">
        <f>SummaryTable[[#This Row],[OriginalBudget10]]-SummaryTable[[#This Row],[OriginalBudget09]]</f>
        <v>-923</v>
      </c>
      <c r="EF161" s="54">
        <f>SummaryTable[[#This Row],[BudgetIncreaseAmount10]]/SummaryTable[[#This Row],[OriginalBudget09]]</f>
        <v>-0.231444332998997</v>
      </c>
      <c r="EG161" s="61">
        <f>IF(COUNTIFS(allFYsTable[Code], SummaryTable[[#This Row],[Code]], allFYsTable[year2], ED$3)=0, NotFound, SUMIFS(allFYsTable[RevisedBudget], allFYsTable[Code], SummaryTable[[#This Row],[Code]], allFYsTable[year2], ED$3))</f>
        <v>3065</v>
      </c>
      <c r="EH161" s="61">
        <f>IF(COUNTIFS(allFYsTable[Code], SummaryTable[[#This Row],[Code]], allFYsTable[year2], ED$3)=0, NotFound, SUMIFS(allFYsTable[Actual], allFYsTable[Code], SummaryTable[[#This Row],[Code]], allFYsTable[year2], ED$3))</f>
        <v>3065</v>
      </c>
      <c r="EI161" s="61">
        <f>IF(COUNTIFS(allFYsTable[Code], SummaryTable[[#This Row],[Code]], allFYsTable[year2], ED$3)=0, NotFound, SUMIFS(allFYsTable[DiffAmount], allFYsTable[Code], SummaryTable[[#This Row],[Code]], allFYsTable[year2], ED$3))</f>
        <v>0</v>
      </c>
      <c r="EJ161" s="63">
        <f>IF(SummaryTable[[#This Row],[OriginalBudget10]]=0, IF(SummaryTable[[#This Row],[DiffAmount10]]=0, ZeroBudgetNoSpending, ZeroBudgetWithSpending), SummaryTable[[#This Row],[DiffAmount10]]/SummaryTable[[#This Row],[OriginalBudget10]])</f>
        <v>0</v>
      </c>
      <c r="EK161" s="62">
        <f>IF(COUNTIFS(allFYsTable[Code], SummaryTable[[#This Row],[Code]], allFYsTable[year2], EK$3)=0, NotFound, SUMIFS(allFYsTable[OriginalBudget], allFYsTable[Code], SummaryTable[[#This Row],[Code]], allFYsTable[year2], EK$3))</f>
        <v>3988</v>
      </c>
      <c r="EL161" s="61">
        <f>SummaryTable[[#This Row],[OriginalBudget09]]-SummaryTable[[#This Row],[OriginalBudget08]]</f>
        <v>1483</v>
      </c>
      <c r="EM161" s="54">
        <f>SummaryTable[[#This Row],[BudgetIncreaseAmount09]]/SummaryTable[[#This Row],[OriginalBudget08]]</f>
        <v>0.59201596806387224</v>
      </c>
      <c r="EN161" s="61">
        <f>IF(COUNTIFS(allFYsTable[Code], SummaryTable[[#This Row],[Code]], allFYsTable[year2], EK$3)=0, NotFound, SUMIFS(allFYsTable[RevisedBudget], allFYsTable[Code], SummaryTable[[#This Row],[Code]], allFYsTable[year2], EK$3))</f>
        <v>4388</v>
      </c>
      <c r="EO161" s="61">
        <f>IF(COUNTIFS(allFYsTable[Code], SummaryTable[[#This Row],[Code]], allFYsTable[year2], EK$3)=0, NotFound, SUMIFS(allFYsTable[Actual], allFYsTable[Code], SummaryTable[[#This Row],[Code]], allFYsTable[year2], EK$3))</f>
        <v>4219</v>
      </c>
      <c r="EP161" s="61">
        <f>IF(COUNTIFS(allFYsTable[Code], SummaryTable[[#This Row],[Code]], allFYsTable[year2], EK$3)=0, NotFound, SUMIFS(allFYsTable[DiffAmount], allFYsTable[Code], SummaryTable[[#This Row],[Code]], allFYsTable[year2], EK$3))</f>
        <v>231</v>
      </c>
      <c r="EQ161" s="63">
        <f>IF(SummaryTable[[#This Row],[OriginalBudget09]]=0, IF(SummaryTable[[#This Row],[DiffAmount09]]=0, ZeroBudgetNoSpending, ZeroBudgetWithSpending), SummaryTable[[#This Row],[DiffAmount09]]/SummaryTable[[#This Row],[OriginalBudget09]])</f>
        <v>5.7923771313941823E-2</v>
      </c>
      <c r="ER161" s="62">
        <f>IF(COUNTIFS(allFYsTable[Code], SummaryTable[[#This Row],[Code]], allFYsTable[year2], ER$3)=0, NotFound, SUMIFS(allFYsTable[OriginalBudget], allFYsTable[Code], SummaryTable[[#This Row],[Code]], allFYsTable[year2], ER$3))</f>
        <v>2505</v>
      </c>
      <c r="ES161" s="61" t="e">
        <f>SummaryTable[[#This Row],[OriginalBudget08]]-SummaryTable[[#This Row],[OriginalBudget07]]</f>
        <v>#N/A</v>
      </c>
      <c r="ET161" s="54" t="e">
        <f>SummaryTable[[#This Row],[BudgetIncreaseAmount08]]/SummaryTable[[#This Row],[OriginalBudget07]]</f>
        <v>#N/A</v>
      </c>
      <c r="EU161" s="61">
        <f>IF(COUNTIFS(allFYsTable[Code], SummaryTable[[#This Row],[Code]], allFYsTable[year2], ER$3)=0, NotFound, SUMIFS(allFYsTable[RevisedBudget], allFYsTable[Code], SummaryTable[[#This Row],[Code]], allFYsTable[year2], ER$3))</f>
        <v>2105</v>
      </c>
      <c r="EV161" s="61">
        <f>IF(COUNTIFS(allFYsTable[Code], SummaryTable[[#This Row],[Code]], allFYsTable[year2], ER$3)=0, NotFound, SUMIFS(allFYsTable[Actual], allFYsTable[Code], SummaryTable[[#This Row],[Code]], allFYsTable[year2], ER$3))</f>
        <v>2094</v>
      </c>
      <c r="EW161" s="61">
        <f>IF(COUNTIFS(allFYsTable[Code], SummaryTable[[#This Row],[Code]], allFYsTable[year2], ER$3)=0, NotFound, SUMIFS(allFYsTable[DiffAmount], allFYsTable[Code], SummaryTable[[#This Row],[Code]], allFYsTable[year2], ER$3))</f>
        <v>-411</v>
      </c>
      <c r="EX161" s="63">
        <f>IF(SummaryTable[[#This Row],[OriginalBudget08]]=0, IF(SummaryTable[[#This Row],[DiffAmount08]]=0, ZeroBudgetNoSpending, ZeroBudgetWithSpending), SummaryTable[[#This Row],[DiffAmount08]]/SummaryTable[[#This Row],[OriginalBudget08]])</f>
        <v>-0.16407185628742516</v>
      </c>
      <c r="EY161" s="62" t="e">
        <f>IF(COUNTIFS(allFYsTable[Code], SummaryTable[[#This Row],[Code]], allFYsTable[year2], EY$3)=0, NotFound, SUMIFS(allFYsTable[OriginalBudget], allFYsTable[Code], SummaryTable[[#This Row],[Code]], allFYsTable[year2], EY$3))</f>
        <v>#N/A</v>
      </c>
      <c r="EZ161" s="61" t="e">
        <f>SummaryTable[[#This Row],[OriginalBudget07]]-SummaryTable[[#This Row],[OriginalBudget06]]</f>
        <v>#N/A</v>
      </c>
      <c r="FA161" s="54" t="e">
        <f>SummaryTable[[#This Row],[BudgetIncreaseAmount07]]/SummaryTable[[#This Row],[OriginalBudget06]]</f>
        <v>#N/A</v>
      </c>
      <c r="FB161" s="61" t="e">
        <f>IF(COUNTIFS(allFYsTable[Code], SummaryTable[[#This Row],[Code]], allFYsTable[year2], EY$3)=0, NotFound, SUMIFS(allFYsTable[RevisedBudget], allFYsTable[Code], SummaryTable[[#This Row],[Code]], allFYsTable[year2], EY$3))</f>
        <v>#N/A</v>
      </c>
      <c r="FC161" s="61" t="e">
        <f>IF(COUNTIFS(allFYsTable[Code], SummaryTable[[#This Row],[Code]], allFYsTable[year2], EY$3)=0, NotFound, SUMIFS(allFYsTable[Actual], allFYsTable[Code], SummaryTable[[#This Row],[Code]], allFYsTable[year2], EY$3))</f>
        <v>#N/A</v>
      </c>
      <c r="FD161" s="61" t="e">
        <f>IF(COUNTIFS(allFYsTable[Code], SummaryTable[[#This Row],[Code]], allFYsTable[year2], EY$3)=0, NotFound, SUMIFS(allFYsTable[DiffAmount], allFYsTable[Code], SummaryTable[[#This Row],[Code]], allFYsTable[year2], EY$3))</f>
        <v>#N/A</v>
      </c>
      <c r="FE161" s="63" t="e">
        <f>IF(SummaryTable[[#This Row],[OriginalBudget07]]=0, IF(SummaryTable[[#This Row],[DiffAmount07]]=0, ZeroBudgetNoSpending, ZeroBudgetWithSpending), SummaryTable[[#This Row],[DiffAmount07]]/SummaryTable[[#This Row],[OriginalBudget07]])</f>
        <v>#N/A</v>
      </c>
      <c r="FF161" s="62" t="e">
        <f>IF(COUNTIFS(allFYsTable[Code], SummaryTable[[#This Row],[Code]], allFYsTable[year2], FF$3)=0, NotFound, SUMIFS(allFYsTable[OriginalBudget], allFYsTable[Code], SummaryTable[[#This Row],[Code]], allFYsTable[year2], FF$3))</f>
        <v>#N/A</v>
      </c>
      <c r="FI161" s="61" t="e">
        <f>IF(COUNTIFS(allFYsTable[Code], SummaryTable[[#This Row],[Code]], allFYsTable[year2], FF$3)=0, NotFound, SUMIFS(allFYsTable[RevisedBudget], allFYsTable[Code], SummaryTable[[#This Row],[Code]], allFYsTable[year2], FF$3))</f>
        <v>#N/A</v>
      </c>
      <c r="FJ161" s="61" t="e">
        <f>IF(COUNTIFS(allFYsTable[Code], SummaryTable[[#This Row],[Code]], allFYsTable[year2], FF$3)=0, NotFound, SUMIFS(allFYsTable[Actual], allFYsTable[Code], SummaryTable[[#This Row],[Code]], allFYsTable[year2], FF$3))</f>
        <v>#N/A</v>
      </c>
      <c r="FK161" s="61" t="e">
        <f>IF(COUNTIFS(allFYsTable[Code], SummaryTable[[#This Row],[Code]], allFYsTable[year2], FF$3)=0, NotFound, SUMIFS(allFYsTable[DiffAmount], allFYsTable[Code], SummaryTable[[#This Row],[Code]], allFYsTable[year2], FF$3))</f>
        <v>#N/A</v>
      </c>
      <c r="FL161" s="63" t="e">
        <f>IF(SummaryTable[[#This Row],[OriginalBudget06]]=0, IF(SummaryTable[[#This Row],[DiffAmount06]]=0, ZeroBudgetNoSpending, ZeroBudgetWithSpending), SummaryTable[[#This Row],[DiffAmount06]]/SummaryTable[[#This Row],[OriginalBudget06]])</f>
        <v>#N/A</v>
      </c>
    </row>
    <row r="162" spans="1:168" x14ac:dyDescent="0.45">
      <c r="A162" t="s">
        <v>852</v>
      </c>
      <c r="B162">
        <f>_xlfn.MAXIFS(allFYsTable[year2], allFYsTable[Code], SummaryTable[[#This Row],[Code]])</f>
        <v>2011</v>
      </c>
      <c r="C162" t="str">
        <f>_xlfn.XLOOKUP(SummaryTable[[#This Row],[Code]], NameCodingTable[Code], NameCodingTable[Most Recent Category per allFYs])</f>
        <v>Governmental direction support</v>
      </c>
      <c r="D162" t="str">
        <f>_xlfn.XLOOKUP(SummaryTable[[#This Row],[Code]], NameCodingTable[Code], NameCodingTable[Unit Display Name])</f>
        <v>Access   to  justice</v>
      </c>
      <c r="E162" t="str">
        <f>_xlfn.XLOOKUP(SummaryTable[[#This Row],[Code]], NameCodingTable[Code], NameCodingTable[Type])</f>
        <v>untyped</v>
      </c>
      <c r="F16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6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62" s="54">
        <f>SummaryTable[[#This Row],['# Over]]/SummaryTable[[#This Row],[Count]]</f>
        <v>0</v>
      </c>
      <c r="I16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62" s="54">
        <f>SummaryTable[[#This Row],['# Under]]/SummaryTable[[#This Row],[Count]]</f>
        <v>0</v>
      </c>
      <c r="K16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62" s="54">
        <f>SummaryTable[[#This Row],['# Equal]]/SummaryTable[[#This Row],[Count]]</f>
        <v>1</v>
      </c>
      <c r="M162" s="61">
        <f>SUMIFS(allFYsTable[OriginalBudget],allFYsTable[Code],SummaryTable[[#This Row],[Code]])/SummaryTable[[#This Row],[Count]]</f>
        <v>2951</v>
      </c>
      <c r="N162" s="61">
        <f>SUMIFS(allFYsTable[Actual],allFYsTable[Code],SummaryTable[[#This Row],[Code]])/SummaryTable[[#This Row],[Count]]</f>
        <v>2951</v>
      </c>
      <c r="O162" s="61">
        <f>SummaryTable[[#This Row],[AvgActAmt]]-SummaryTable[[#This Row],[AvgBudAmt]]</f>
        <v>0</v>
      </c>
      <c r="P162" s="54">
        <f>IF(SummaryTable[[#This Row],[AvgBudAmt]]=0, IF(SummaryTable[[#This Row],[AvgDiff'#]]=0, 0, NamedFields!$C$3), SummaryTable[[#This Row],[AvgDiff'#]]/SummaryTable[[#This Row],[AvgBudAmt]])</f>
        <v>0</v>
      </c>
      <c r="Q162" s="61">
        <f>IFERROR(SUMIFS(allFYsTable[OriginalBudget],allFYsTable[Code],SummaryTable[[#This Row],[Code]],allFYsTable[DiffAmount], "&gt;0")/SummaryTable[[#This Row],['# Over]], 0)</f>
        <v>0</v>
      </c>
      <c r="R162" s="61">
        <f>IFERROR(SUMIFS(allFYsTable[Actual],allFYsTable[Code],SummaryTable[[#This Row],[Code]],allFYsTable[DiffAmount], "&gt;0")/SummaryTable[[#This Row],['# Over]], 0)</f>
        <v>0</v>
      </c>
      <c r="S162" s="61">
        <f>SummaryTable[[#This Row],[OverAvgAct]]-SummaryTable[[#This Row],[OverAvgBud]]</f>
        <v>0</v>
      </c>
      <c r="T162" s="54">
        <f>IF(SummaryTable[[#This Row],[OverAvgBud]]=0, IF(SummaryTable[[#This Row],[OverAvgDiff'#]]=0, ZeroBudgetNoSpending, ZeroBudgetWithSpending), SummaryTable[[#This Row],[OverAvgDiff'#]]/SummaryTable[[#This Row],[OverAvgBud]])</f>
        <v>0</v>
      </c>
      <c r="U162" s="61">
        <f>IFERROR(SUMIFS(allFYsTable[OriginalBudget],allFYsTable[Code],SummaryTable[[#This Row],[Code]],allFYsTable[DiffAmount], "&lt;0")/SummaryTable[[#This Row],['# Under]], 0)</f>
        <v>0</v>
      </c>
      <c r="V162" s="61">
        <f>IFERROR( SUMIFS(allFYsTable[Actual],allFYsTable[Code],SummaryTable[[#This Row],[Code]],allFYsTable[DiffAmount], "&lt;0")/SummaryTable[[#This Row],['# Under]], 0)</f>
        <v>0</v>
      </c>
      <c r="W162" s="61">
        <f>SummaryTable[[#This Row],[UnderAvgAct]]-SummaryTable[[#This Row],[UnderAvgBud]]</f>
        <v>0</v>
      </c>
      <c r="X162" s="54">
        <f>IF(SummaryTable[[#This Row],[UnderAvgBud]]=0, IF(SummaryTable[[#This Row],[UnderAvgDiff'#]]=0, ZeroBudgetNoSpending, NamedFields!$C$3), SummaryTable[[#This Row],[UnderAvgDiff'#]]/SummaryTable[[#This Row],[UnderAvgBud]])</f>
        <v>0</v>
      </c>
      <c r="Y16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6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62" s="54">
        <f>IF(SummaryTable[[#This Row],[IncreaseYears]]=0, ZeroBudgetNoSpending, SummaryTable[[#This Row],[OSinIncreaseYear'#]]/SummaryTable[[#This Row],[IncreaseYears]])</f>
        <v>0</v>
      </c>
      <c r="AB162" s="58" t="str">
        <f>SummaryTable[[#This Row],[Code]]</f>
        <v>AJ0</v>
      </c>
      <c r="AC162" s="62" t="e">
        <f>IF(COUNTIFS(allFYsTable[Code], SummaryTable[[#This Row],[Code]], allFYsTable[year2], AC$3)=0, NotFound, SUMIFS(allFYsTable[OriginalBudget], allFYsTable[Code], SummaryTable[[#This Row],[Code]], allFYsTable[year2], AC$3))</f>
        <v>#N/A</v>
      </c>
      <c r="AD162" s="61" t="e">
        <f>SummaryTable[[#This Row],[OriginalBudget25]]-SummaryTable[[#This Row],[OriginalBudget24]]</f>
        <v>#N/A</v>
      </c>
      <c r="AE162" s="54" t="e">
        <f>SummaryTable[[#This Row],[BudgetIncreaseAmount25]]/SummaryTable[[#This Row],[OriginalBudget24]]</f>
        <v>#N/A</v>
      </c>
      <c r="AF162" s="61" t="e">
        <f>IF(COUNTIFS(allFYsTable[Code], SummaryTable[[#This Row],[Code]], allFYsTable[year2], AC$3)=0, NotFound, SUMIFS(allFYsTable[RevisedBudget], allFYsTable[Code], SummaryTable[[#This Row],[Code]], allFYsTable[year2], AC$3))</f>
        <v>#N/A</v>
      </c>
      <c r="AG162" s="61" t="e">
        <f>IF(COUNTIFS(allFYsTable[Code], SummaryTable[[#This Row],[Code]], allFYsTable[year2], AC$3)=0, NotFound, SUMIFS(allFYsTable[Actual], allFYsTable[Code], SummaryTable[[#This Row],[Code]], allFYsTable[year2], AC$3))</f>
        <v>#N/A</v>
      </c>
      <c r="AH162" s="61" t="e">
        <f>IF(COUNTIFS(allFYsTable[Code], SummaryTable[[#This Row],[Code]], allFYsTable[year2], AC$3)=0, NotFound, SUMIFS(allFYsTable[DiffAmount], allFYsTable[Code], SummaryTable[[#This Row],[Code]], allFYsTable[year2], AC$3))</f>
        <v>#N/A</v>
      </c>
      <c r="AI162" s="63" t="e">
        <f>IF(SummaryTable[[#This Row],[OriginalBudget25]]=0, IF(SummaryTable[[#This Row],[DiffAmount25]]=0, ZeroBudgetNoSpending, ZeroBudgetWithSpending), SummaryTable[[#This Row],[DiffAmount25]]/SummaryTable[[#This Row],[OriginalBudget25]])</f>
        <v>#N/A</v>
      </c>
      <c r="AJ162" s="62" t="e">
        <f>IF(COUNTIFS(allFYsTable[Code], SummaryTable[[#This Row],[Code]], allFYsTable[year2], AJ$3)=0, NotFound, SUMIFS(allFYsTable[OriginalBudget], allFYsTable[Code], SummaryTable[[#This Row],[Code]], allFYsTable[year2], AJ$3))</f>
        <v>#N/A</v>
      </c>
      <c r="AK162" s="61" t="e">
        <f>SummaryTable[[#This Row],[OriginalBudget24]]-SummaryTable[[#This Row],[OriginalBudget23]]</f>
        <v>#N/A</v>
      </c>
      <c r="AL162" s="54" t="e">
        <f>SummaryTable[[#This Row],[BudgetIncreaseAmount24]]/SummaryTable[[#This Row],[OriginalBudget23]]</f>
        <v>#N/A</v>
      </c>
      <c r="AM162" s="61" t="e">
        <f>IF(COUNTIFS(allFYsTable[Code], SummaryTable[[#This Row],[Code]], allFYsTable[year2], AK$3)=0, NotFound, SUMIFS(allFYsTable[RevisedBudget], allFYsTable[Code], SummaryTable[[#This Row],[Code]], allFYsTable[year2], AJ$3))</f>
        <v>#N/A</v>
      </c>
      <c r="AN162" s="61" t="e">
        <f>IF(COUNTIFS(allFYsTable[Code], SummaryTable[[#This Row],[Code]], allFYsTable[year2], AJ$3)=0, NotFound, SUMIFS(allFYsTable[Actual], allFYsTable[Code], SummaryTable[[#This Row],[Code]], allFYsTable[year2], AJ$3))</f>
        <v>#N/A</v>
      </c>
      <c r="AO162" s="61" t="e">
        <f>IF(COUNTIFS(allFYsTable[Code], SummaryTable[[#This Row],[Code]], allFYsTable[year2], AJ$3)=0, NotFound, SUMIFS(allFYsTable[DiffAmount], allFYsTable[Code], SummaryTable[[#This Row],[Code]], allFYsTable[year2], AJ$3))</f>
        <v>#N/A</v>
      </c>
      <c r="AP162" s="63" t="e">
        <f>IF(SummaryTable[[#This Row],[OriginalBudget24]]=0, IF(SummaryTable[[#This Row],[DiffAmount24]]=0, ZeroBudgetNoSpending, ZeroBudgetWithSpending), SummaryTable[[#This Row],[DiffAmount24]]/SummaryTable[[#This Row],[OriginalBudget24]])</f>
        <v>#N/A</v>
      </c>
      <c r="AQ162" s="62" t="e">
        <f>IF(COUNTIFS(allFYsTable[Code], SummaryTable[[#This Row],[Code]], allFYsTable[year2], AQ$3)=0, NotFound, SUMIFS(allFYsTable[OriginalBudget], allFYsTable[Code], SummaryTable[[#This Row],[Code]], allFYsTable[year2], AQ$3))</f>
        <v>#N/A</v>
      </c>
      <c r="AR162" s="61" t="e">
        <f>SummaryTable[[#This Row],[OriginalBudget23]]-SummaryTable[[#This Row],[OriginalBudget22]]</f>
        <v>#N/A</v>
      </c>
      <c r="AS162" s="54" t="e">
        <f>SummaryTable[[#This Row],[BudgetIncreaseAmount23]]/SummaryTable[[#This Row],[OriginalBudget22]]</f>
        <v>#N/A</v>
      </c>
      <c r="AT162" s="61" t="e">
        <f>IF(COUNTIFS(allFYsTable[Code], SummaryTable[[#This Row],[Code]], allFYsTable[year2], AQ$3)=0, NotFound, SUMIFS(allFYsTable[RevisedBudget], allFYsTable[Code], SummaryTable[[#This Row],[Code]], allFYsTable[year2], AQ$3))</f>
        <v>#N/A</v>
      </c>
      <c r="AU162" s="61" t="e">
        <f>IF(COUNTIFS(allFYsTable[Code], SummaryTable[[#This Row],[Code]], allFYsTable[year2], AQ$3)=0, NotFound, SUMIFS(allFYsTable[Actual], allFYsTable[Code], SummaryTable[[#This Row],[Code]], allFYsTable[year2], AQ$3))</f>
        <v>#N/A</v>
      </c>
      <c r="AV162" s="61" t="e">
        <f>IF(COUNTIFS(allFYsTable[Code], SummaryTable[[#This Row],[Code]], allFYsTable[year2], AQ$3)=0, NotFound, SUMIFS(allFYsTable[DiffAmount], allFYsTable[Code], SummaryTable[[#This Row],[Code]], allFYsTable[year2], AQ$3))</f>
        <v>#N/A</v>
      </c>
      <c r="AW162" s="63" t="e">
        <f>IF(SummaryTable[[#This Row],[OriginalBudget23]]=0, IF(SummaryTable[[#This Row],[DiffAmount23]]=0, ZeroBudgetNoSpending, ZeroBudgetWithSpending), SummaryTable[[#This Row],[DiffAmount23]]/SummaryTable[[#This Row],[OriginalBudget23]])</f>
        <v>#N/A</v>
      </c>
      <c r="AX162" s="62" t="e">
        <f>IF(COUNTIFS(allFYsTable[Code], SummaryTable[[#This Row],[Code]], allFYsTable[year2], AX$3)=0, NotFound, SUMIFS(allFYsTable[OriginalBudget], allFYsTable[Code], SummaryTable[[#This Row],[Code]], allFYsTable[year2], AX$3))</f>
        <v>#N/A</v>
      </c>
      <c r="AY162" s="61" t="e">
        <f>SummaryTable[[#This Row],[OriginalBudget22]]-SummaryTable[[#This Row],[OriginalBudget21]]</f>
        <v>#N/A</v>
      </c>
      <c r="AZ162" s="54" t="e">
        <f>SummaryTable[[#This Row],[BudgetIncreaseAmount22]]/SummaryTable[[#This Row],[OriginalBudget21]]</f>
        <v>#N/A</v>
      </c>
      <c r="BA162" s="61" t="e">
        <f>IF(COUNTIFS(allFYsTable[Code], SummaryTable[[#This Row],[Code]], allFYsTable[year2], AX$3)=0, NotFound, SUMIFS(allFYsTable[RevisedBudget], allFYsTable[Code], SummaryTable[[#This Row],[Code]], allFYsTable[year2], AX$3))</f>
        <v>#N/A</v>
      </c>
      <c r="BB162" s="61" t="e">
        <f>IF(COUNTIFS(allFYsTable[Code], SummaryTable[[#This Row],[Code]], allFYsTable[year2], AX$3)=0, NotFound, SUMIFS(allFYsTable[Actual], allFYsTable[Code], SummaryTable[[#This Row],[Code]], allFYsTable[year2], AX$3))</f>
        <v>#N/A</v>
      </c>
      <c r="BC162" s="61" t="e">
        <f>IF(COUNTIFS(allFYsTable[Code], SummaryTable[[#This Row],[Code]], allFYsTable[year2], AX$3)=0, NotFound, SUMIFS(allFYsTable[DiffAmount], allFYsTable[Code], SummaryTable[[#This Row],[Code]], allFYsTable[year2], AX$3))</f>
        <v>#N/A</v>
      </c>
      <c r="BD162" s="63" t="e">
        <f>IF(SummaryTable[[#This Row],[OriginalBudget22]]=0, IF(SummaryTable[[#This Row],[DiffAmount22]]=0, ZeroBudgetNoSpending, ZeroBudgetWithSpending), SummaryTable[[#This Row],[DiffAmount22]]/SummaryTable[[#This Row],[OriginalBudget22]])</f>
        <v>#N/A</v>
      </c>
      <c r="BE162" s="62" t="e">
        <f>IF(COUNTIFS(allFYsTable[Code], SummaryTable[[#This Row],[Code]], allFYsTable[year2], BE$3)=0, NotFound, SUMIFS(allFYsTable[OriginalBudget], allFYsTable[Code], SummaryTable[[#This Row],[Code]], allFYsTable[year2], BE$3))</f>
        <v>#N/A</v>
      </c>
      <c r="BF162" s="61" t="e">
        <f>SummaryTable[[#This Row],[OriginalBudget21]]-SummaryTable[[#This Row],[OriginalBudget20]]</f>
        <v>#N/A</v>
      </c>
      <c r="BG162" s="54" t="e">
        <f>SummaryTable[[#This Row],[BudgetIncreaseAmount21]]/SummaryTable[[#This Row],[OriginalBudget20]]</f>
        <v>#N/A</v>
      </c>
      <c r="BH162" s="61" t="e">
        <f>IF(COUNTIFS(allFYsTable[Code], SummaryTable[[#This Row],[Code]], allFYsTable[year2], BE$3)=0, NotFound, SUMIFS(allFYsTable[RevisedBudget], allFYsTable[Code], SummaryTable[[#This Row],[Code]], allFYsTable[year2], BE$3))</f>
        <v>#N/A</v>
      </c>
      <c r="BI162" s="61" t="e">
        <f>IF(COUNTIFS(allFYsTable[Code], SummaryTable[[#This Row],[Code]], allFYsTable[year2], BE$3)=0, NotFound, SUMIFS(allFYsTable[Actual], allFYsTable[Code], SummaryTable[[#This Row],[Code]], allFYsTable[year2], BE$3))</f>
        <v>#N/A</v>
      </c>
      <c r="BJ162" s="61" t="e">
        <f>IF(COUNTIFS(allFYsTable[Code], SummaryTable[[#This Row],[Code]], allFYsTable[year2], BE$3)=0, NotFound, SUMIFS(allFYsTable[DiffAmount], allFYsTable[Code], SummaryTable[[#This Row],[Code]], allFYsTable[year2], BE$3))</f>
        <v>#N/A</v>
      </c>
      <c r="BK162" s="63" t="e">
        <f>IF(SummaryTable[[#This Row],[OriginalBudget21]]=0, IF(SummaryTable[[#This Row],[DiffAmount21]]=0, ZeroBudgetNoSpending, ZeroBudgetWithSpending), SummaryTable[[#This Row],[DiffAmount21]]/SummaryTable[[#This Row],[OriginalBudget21]])</f>
        <v>#N/A</v>
      </c>
      <c r="BL162" s="62" t="e">
        <f>IF(COUNTIFS(allFYsTable[Code], SummaryTable[[#This Row],[Code]], allFYsTable[year2], BL$3)=0, NotFound, SUMIFS(allFYsTable[OriginalBudget], allFYsTable[Code], SummaryTable[[#This Row],[Code]], allFYsTable[year2], BL$3))</f>
        <v>#N/A</v>
      </c>
      <c r="BM162" s="61" t="e">
        <f>SummaryTable[[#This Row],[OriginalBudget20]]-SummaryTable[[#This Row],[OriginalBudget19]]</f>
        <v>#N/A</v>
      </c>
      <c r="BN162" s="54" t="e">
        <f>SummaryTable[[#This Row],[BudgetIncreaseAmount20]]/SummaryTable[[#This Row],[OriginalBudget19]]</f>
        <v>#N/A</v>
      </c>
      <c r="BO162" s="61" t="e">
        <f>IF(COUNTIFS(allFYsTable[Code], SummaryTable[[#This Row],[Code]], allFYsTable[year2], BL$3)=0, NotFound, SUMIFS(allFYsTable[RevisedBudget], allFYsTable[Code], SummaryTable[[#This Row],[Code]], allFYsTable[year2], BL$3))</f>
        <v>#N/A</v>
      </c>
      <c r="BP162" s="61" t="e">
        <f>IF(COUNTIFS(allFYsTable[Code], SummaryTable[[#This Row],[Code]], allFYsTable[year2], BL$3)=0, NotFound, SUMIFS(allFYsTable[Actual], allFYsTable[Code], SummaryTable[[#This Row],[Code]], allFYsTable[year2], BL$3))</f>
        <v>#N/A</v>
      </c>
      <c r="BQ162" s="61" t="e">
        <f>IF(COUNTIFS(allFYsTable[Code], SummaryTable[[#This Row],[Code]], allFYsTable[year2], BL$3)=0, NotFound, SUMIFS(allFYsTable[DiffAmount], allFYsTable[Code], SummaryTable[[#This Row],[Code]], allFYsTable[year2], BL$3))</f>
        <v>#N/A</v>
      </c>
      <c r="BR162" s="63" t="e">
        <f>IF(SummaryTable[[#This Row],[OriginalBudget20]]=0, IF(SummaryTable[[#This Row],[DiffAmount20]]=0, ZeroBudgetNoSpending, ZeroBudgetWithSpending), SummaryTable[[#This Row],[DiffAmount20]]/SummaryTable[[#This Row],[OriginalBudget20]])</f>
        <v>#N/A</v>
      </c>
      <c r="BS162" s="62" t="e">
        <f>IF(COUNTIFS(allFYsTable[Code], SummaryTable[[#This Row],[Code]], allFYsTable[year2], BS$3)=0, NotFound, SUMIFS(allFYsTable[OriginalBudget], allFYsTable[Code], SummaryTable[[#This Row],[Code]], allFYsTable[year2], BS$3))</f>
        <v>#N/A</v>
      </c>
      <c r="BT162" s="61" t="e">
        <f>SummaryTable[[#This Row],[OriginalBudget19]]-SummaryTable[[#This Row],[OriginalBudget18]]</f>
        <v>#N/A</v>
      </c>
      <c r="BU162" s="54" t="e">
        <f>SummaryTable[[#This Row],[BudgetIncreaseAmount19]]/SummaryTable[[#This Row],[OriginalBudget18]]</f>
        <v>#N/A</v>
      </c>
      <c r="BV162" s="61" t="e">
        <f>IF(COUNTIFS(allFYsTable[Code], SummaryTable[[#This Row],[Code]], allFYsTable[year2], BS$3)=0, NotFound, SUMIFS(allFYsTable[RevisedBudget], allFYsTable[Code], SummaryTable[[#This Row],[Code]], allFYsTable[year2], BS$3))</f>
        <v>#N/A</v>
      </c>
      <c r="BW162" s="61" t="e">
        <f>IF(COUNTIFS(allFYsTable[Code], SummaryTable[[#This Row],[Code]], allFYsTable[year2], BS$3)=0, NotFound, SUMIFS(allFYsTable[Actual], allFYsTable[Code], SummaryTable[[#This Row],[Code]], allFYsTable[year2], BS$3))</f>
        <v>#N/A</v>
      </c>
      <c r="BX162" s="61" t="e">
        <f>IF(COUNTIFS(allFYsTable[Code], SummaryTable[[#This Row],[Code]], allFYsTable[year2], BS$3)=0, NotFound, SUMIFS(allFYsTable[DiffAmount], allFYsTable[Code], SummaryTable[[#This Row],[Code]], allFYsTable[year2], BS$3))</f>
        <v>#N/A</v>
      </c>
      <c r="BY162" s="63" t="e">
        <f>IF(SummaryTable[[#This Row],[OriginalBudget19]]=0, IF(SummaryTable[[#This Row],[DiffAmount19]]=0, ZeroBudgetNoSpending, ZeroBudgetWithSpending), SummaryTable[[#This Row],[DiffAmount19]]/SummaryTable[[#This Row],[OriginalBudget19]])</f>
        <v>#N/A</v>
      </c>
      <c r="BZ162" s="62" t="e">
        <f>IF(COUNTIFS(allFYsTable[Code], SummaryTable[[#This Row],[Code]], allFYsTable[year2], BZ$3)=0, NotFound, SUMIFS(allFYsTable[OriginalBudget], allFYsTable[Code], SummaryTable[[#This Row],[Code]], allFYsTable[year2], BZ$3))</f>
        <v>#N/A</v>
      </c>
      <c r="CA162" s="61" t="e">
        <f>SummaryTable[[#This Row],[OriginalBudget18]]-SummaryTable[[#This Row],[OriginalBudget17]]</f>
        <v>#N/A</v>
      </c>
      <c r="CB162" s="54" t="e">
        <f>SummaryTable[[#This Row],[BudgetIncreaseAmount18]]/SummaryTable[[#This Row],[OriginalBudget17]]</f>
        <v>#N/A</v>
      </c>
      <c r="CC162" s="61" t="e">
        <f>IF(COUNTIFS(allFYsTable[Code], SummaryTable[[#This Row],[Code]], allFYsTable[year2], BZ$3)=0, NotFound, SUMIFS(allFYsTable[RevisedBudget], allFYsTable[Code], SummaryTable[[#This Row],[Code]], allFYsTable[year2], BZ$3))</f>
        <v>#N/A</v>
      </c>
      <c r="CD162" s="61" t="e">
        <f>IF(COUNTIFS(allFYsTable[Code], SummaryTable[[#This Row],[Code]], allFYsTable[year2], BZ$3)=0, NotFound, SUMIFS(allFYsTable[Actual], allFYsTable[Code], SummaryTable[[#This Row],[Code]], allFYsTable[year2], BZ$3))</f>
        <v>#N/A</v>
      </c>
      <c r="CE162" s="61" t="e">
        <f>IF(COUNTIFS(allFYsTable[Code], SummaryTable[[#This Row],[Code]], allFYsTable[year2], BZ$3)=0, NotFound, SUMIFS(allFYsTable[DiffAmount], allFYsTable[Code], SummaryTable[[#This Row],[Code]], allFYsTable[year2], BZ$3))</f>
        <v>#N/A</v>
      </c>
      <c r="CF162" s="63" t="e">
        <f>IF(SummaryTable[[#This Row],[OriginalBudget18]]=0, IF(SummaryTable[[#This Row],[DiffAmount18]]=0, ZeroBudgetNoSpending, ZeroBudgetWithSpending), SummaryTable[[#This Row],[DiffAmount18]]/SummaryTable[[#This Row],[OriginalBudget18]])</f>
        <v>#N/A</v>
      </c>
      <c r="CG162" s="62" t="e">
        <f>IF(COUNTIFS(allFYsTable[Code], SummaryTable[[#This Row],[Code]], allFYsTable[year2], CG$3)=0, NotFound, SUMIFS(allFYsTable[OriginalBudget], allFYsTable[Code], SummaryTable[[#This Row],[Code]], allFYsTable[year2], CG$3))</f>
        <v>#N/A</v>
      </c>
      <c r="CH162" s="61" t="e">
        <f>SummaryTable[[#This Row],[OriginalBudget17]]-SummaryTable[[#This Row],[OriginalBudget16]]</f>
        <v>#N/A</v>
      </c>
      <c r="CI162" s="54" t="e">
        <f>SummaryTable[[#This Row],[BudgetIncreaseAmount17]]/SummaryTable[[#This Row],[OriginalBudget16]]</f>
        <v>#N/A</v>
      </c>
      <c r="CJ162" s="61" t="e">
        <f>IF(COUNTIFS(allFYsTable[Code], SummaryTable[[#This Row],[Code]], allFYsTable[year2], CG$3)=0, NotFound, SUMIFS(allFYsTable[RevisedBudget], allFYsTable[Code], SummaryTable[[#This Row],[Code]], allFYsTable[year2], CG$3))</f>
        <v>#N/A</v>
      </c>
      <c r="CK162" s="61" t="e">
        <f>IF(COUNTIFS(allFYsTable[Code], SummaryTable[[#This Row],[Code]], allFYsTable[year2], CG$3)=0, NotFound, SUMIFS(allFYsTable[Actual], allFYsTable[Code], SummaryTable[[#This Row],[Code]], allFYsTable[year2], CG$3))</f>
        <v>#N/A</v>
      </c>
      <c r="CL162" s="61" t="e">
        <f>IF(COUNTIFS(allFYsTable[Code], SummaryTable[[#This Row],[Code]], allFYsTable[year2], CG$3)=0, NotFound, SUMIFS(allFYsTable[DiffAmount], allFYsTable[Code], SummaryTable[[#This Row],[Code]], allFYsTable[year2], CG$3))</f>
        <v>#N/A</v>
      </c>
      <c r="CM162" s="63" t="e">
        <f>IF(SummaryTable[[#This Row],[OriginalBudget17]]=0, IF(SummaryTable[[#This Row],[DiffAmount17]]=0, ZeroBudgetNoSpending, ZeroBudgetWithSpending), SummaryTable[[#This Row],[DiffAmount17]]/SummaryTable[[#This Row],[OriginalBudget17]])</f>
        <v>#N/A</v>
      </c>
      <c r="CN162" s="62" t="e">
        <f>IF(COUNTIFS(allFYsTable[Code], SummaryTable[[#This Row],[Code]], allFYsTable[year2], CN$3)=0, NotFound, SUMIFS(allFYsTable[OriginalBudget], allFYsTable[Code], SummaryTable[[#This Row],[Code]], allFYsTable[year2], CN$3))</f>
        <v>#N/A</v>
      </c>
      <c r="CO162" s="61" t="e">
        <f>SummaryTable[[#This Row],[OriginalBudget16]]-SummaryTable[[#This Row],[OriginalBudget15]]</f>
        <v>#N/A</v>
      </c>
      <c r="CP162" s="54" t="e">
        <f>SummaryTable[[#This Row],[BudgetIncreaseAmount16]]/SummaryTable[[#This Row],[OriginalBudget15]]</f>
        <v>#N/A</v>
      </c>
      <c r="CQ162" s="61" t="e">
        <f>IF(COUNTIFS(allFYsTable[Code], SummaryTable[[#This Row],[Code]], allFYsTable[year2], CN$3)=0, NotFound, SUMIFS(allFYsTable[RevisedBudget], allFYsTable[Code], SummaryTable[[#This Row],[Code]], allFYsTable[year2], CN$3))</f>
        <v>#N/A</v>
      </c>
      <c r="CR162" s="61" t="e">
        <f>IF(COUNTIFS(allFYsTable[Code], SummaryTable[[#This Row],[Code]], allFYsTable[year2], CN$3)=0, NotFound, SUMIFS(allFYsTable[Actual], allFYsTable[Code], SummaryTable[[#This Row],[Code]], allFYsTable[year2], CN$3))</f>
        <v>#N/A</v>
      </c>
      <c r="CS162" s="61" t="e">
        <f>IF(COUNTIFS(allFYsTable[Code], SummaryTable[[#This Row],[Code]], allFYsTable[year2], CN$3)=0, NotFound, SUMIFS(allFYsTable[DiffAmount], allFYsTable[Code], SummaryTable[[#This Row],[Code]], allFYsTable[year2], CN$3))</f>
        <v>#N/A</v>
      </c>
      <c r="CT162" s="63" t="e">
        <f>IF(SummaryTable[[#This Row],[OriginalBudget16]]=0, IF(SummaryTable[[#This Row],[DiffAmount16]]=0, ZeroBudgetNoSpending, ZeroBudgetWithSpending), SummaryTable[[#This Row],[DiffAmount16]]/SummaryTable[[#This Row],[OriginalBudget16]])</f>
        <v>#N/A</v>
      </c>
      <c r="CU162" s="62" t="e">
        <f>IF(COUNTIFS(allFYsTable[Code], SummaryTable[[#This Row],[Code]], allFYsTable[year2], CU$3)=0, NotFound, SUMIFS(allFYsTable[OriginalBudget], allFYsTable[Code], SummaryTable[[#This Row],[Code]], allFYsTable[year2], CU$3))</f>
        <v>#N/A</v>
      </c>
      <c r="CV162" s="61" t="e">
        <f>SummaryTable[[#This Row],[OriginalBudget15]]-SummaryTable[[#This Row],[OriginalBudget14]]</f>
        <v>#N/A</v>
      </c>
      <c r="CW162" s="54" t="e">
        <f>SummaryTable[[#This Row],[BudgetIncreaseAmount15]]/SummaryTable[[#This Row],[OriginalBudget14]]</f>
        <v>#N/A</v>
      </c>
      <c r="CX162" s="61" t="e">
        <f>IF(COUNTIFS(allFYsTable[Code], SummaryTable[[#This Row],[Code]], allFYsTable[year2], CU$3)=0, NotFound, SUMIFS(allFYsTable[RevisedBudget], allFYsTable[Code], SummaryTable[[#This Row],[Code]], allFYsTable[year2], CU$3))</f>
        <v>#N/A</v>
      </c>
      <c r="CY162" s="61" t="e">
        <f>IF(COUNTIFS(allFYsTable[Code], SummaryTable[[#This Row],[Code]], allFYsTable[year2], CU$3)=0, NotFound, SUMIFS(allFYsTable[Actual], allFYsTable[Code], SummaryTable[[#This Row],[Code]], allFYsTable[year2], CU$3))</f>
        <v>#N/A</v>
      </c>
      <c r="CZ162" s="61" t="e">
        <f>IF(COUNTIFS(allFYsTable[Code], SummaryTable[[#This Row],[Code]], allFYsTable[year2], CU$3)=0, NotFound, SUMIFS(allFYsTable[DiffAmount], allFYsTable[Code], SummaryTable[[#This Row],[Code]], allFYsTable[year2], CU$3))</f>
        <v>#N/A</v>
      </c>
      <c r="DA162" s="63" t="e">
        <f>IF(SummaryTable[[#This Row],[OriginalBudget15]]=0, IF(SummaryTable[[#This Row],[DiffAmount15]]=0, ZeroBudgetNoSpending, ZeroBudgetWithSpending), SummaryTable[[#This Row],[DiffAmount15]]/SummaryTable[[#This Row],[OriginalBudget15]])</f>
        <v>#N/A</v>
      </c>
      <c r="DB162" s="62" t="e">
        <f>IF(COUNTIFS(allFYsTable[Code], SummaryTable[[#This Row],[Code]], allFYsTable[year2], DB$3)=0, NotFound, SUMIFS(allFYsTable[OriginalBudget], allFYsTable[Code], SummaryTable[[#This Row],[Code]], allFYsTable[year2], DB$3))</f>
        <v>#N/A</v>
      </c>
      <c r="DC162" s="61" t="e">
        <f>SummaryTable[[#This Row],[OriginalBudget14]]-SummaryTable[[#This Row],[OriginalBudget13]]</f>
        <v>#N/A</v>
      </c>
      <c r="DD162" s="54" t="e">
        <f>SummaryTable[[#This Row],[BudgetIncreaseAmount14]]/SummaryTable[[#This Row],[OriginalBudget13]]</f>
        <v>#N/A</v>
      </c>
      <c r="DE162" s="61" t="e">
        <f>IF(COUNTIFS(allFYsTable[Code], SummaryTable[[#This Row],[Code]], allFYsTable[year2], DB$3)=0, NotFound, SUMIFS(allFYsTable[RevisedBudget], allFYsTable[Code], SummaryTable[[#This Row],[Code]], allFYsTable[year2], DB$3))</f>
        <v>#N/A</v>
      </c>
      <c r="DF162" s="61" t="e">
        <f>IF(COUNTIFS(allFYsTable[Code], SummaryTable[[#This Row],[Code]], allFYsTable[year2], DB$3)=0, NotFound, SUMIFS(allFYsTable[Actual], allFYsTable[Code], SummaryTable[[#This Row],[Code]], allFYsTable[year2], DB$3))</f>
        <v>#N/A</v>
      </c>
      <c r="DG162" s="61" t="e">
        <f>IF(COUNTIFS(allFYsTable[Code], SummaryTable[[#This Row],[Code]], allFYsTable[year2], DB$3)=0, NotFound, SUMIFS(allFYsTable[DiffAmount], allFYsTable[Code], SummaryTable[[#This Row],[Code]], allFYsTable[year2], DB$3))</f>
        <v>#N/A</v>
      </c>
      <c r="DH162" s="63" t="e">
        <f>IF(SummaryTable[[#This Row],[OriginalBudget14]]=0, IF(SummaryTable[[#This Row],[DiffAmount14]]=0, ZeroBudgetNoSpending, ZeroBudgetWithSpending), SummaryTable[[#This Row],[DiffAmount14]]/SummaryTable[[#This Row],[OriginalBudget14]])</f>
        <v>#N/A</v>
      </c>
      <c r="DI162" s="62" t="e">
        <f>IF(COUNTIFS(allFYsTable[Code], SummaryTable[[#This Row],[Code]], allFYsTable[year2], DI$3)=0, NotFound, SUMIFS(allFYsTable[OriginalBudget], allFYsTable[Code], SummaryTable[[#This Row],[Code]], allFYsTable[year2], DI$3))</f>
        <v>#N/A</v>
      </c>
      <c r="DJ162" s="61" t="e">
        <f>SummaryTable[[#This Row],[OriginalBudget13]]-SummaryTable[[#This Row],[OriginalBudget12]]</f>
        <v>#N/A</v>
      </c>
      <c r="DK162" s="54" t="e">
        <f>SummaryTable[[#This Row],[BudgetIncreaseAmount13]]/SummaryTable[[#This Row],[OriginalBudget12]]</f>
        <v>#N/A</v>
      </c>
      <c r="DL162" s="61" t="e">
        <f>IF(COUNTIFS(allFYsTable[Code], SummaryTable[[#This Row],[Code]], allFYsTable[year2], DI$3)=0, NotFound, SUMIFS(allFYsTable[RevisedBudget], allFYsTable[Code], SummaryTable[[#This Row],[Code]], allFYsTable[year2], DI$3))</f>
        <v>#N/A</v>
      </c>
      <c r="DM162" s="61" t="e">
        <f>IF(COUNTIFS(allFYsTable[Code], SummaryTable[[#This Row],[Code]], allFYsTable[year2], DI$3)=0, NotFound, SUMIFS(allFYsTable[Actual], allFYsTable[Code], SummaryTable[[#This Row],[Code]], allFYsTable[year2], DI$3))</f>
        <v>#N/A</v>
      </c>
      <c r="DN162" s="61" t="e">
        <f>IF(COUNTIFS(allFYsTable[Code], SummaryTable[[#This Row],[Code]], allFYsTable[year2], DI$3)=0, NotFound, SUMIFS(allFYsTable[DiffAmount], allFYsTable[Code], SummaryTable[[#This Row],[Code]], allFYsTable[year2], DI$3))</f>
        <v>#N/A</v>
      </c>
      <c r="DO162" s="63" t="e">
        <f>IF(SummaryTable[[#This Row],[OriginalBudget13]]=0, IF(SummaryTable[[#This Row],[DiffAmount13]]=0, ZeroBudgetNoSpending, ZeroBudgetWithSpending), SummaryTable[[#This Row],[DiffAmount13]]/SummaryTable[[#This Row],[OriginalBudget13]])</f>
        <v>#N/A</v>
      </c>
      <c r="DP162" s="62" t="e">
        <f>IF(COUNTIFS(allFYsTable[Code], SummaryTable[[#This Row],[Code]], allFYsTable[year2], DP$3)=0, NotFound, SUMIFS(allFYsTable[OriginalBudget], allFYsTable[Code], SummaryTable[[#This Row],[Code]], allFYsTable[year2], DP$3))</f>
        <v>#N/A</v>
      </c>
      <c r="DQ162" s="61" t="e">
        <f>SummaryTable[[#This Row],[OriginalBudget12]]-SummaryTable[[#This Row],[OriginalBudget11]]</f>
        <v>#N/A</v>
      </c>
      <c r="DR162" s="54" t="e">
        <f>SummaryTable[[#This Row],[BudgetIncreaseAmount12]]/SummaryTable[[#This Row],[OriginalBudget11]]</f>
        <v>#N/A</v>
      </c>
      <c r="DS162" s="61" t="e">
        <f>IF(COUNTIFS(allFYsTable[Code], SummaryTable[[#This Row],[Code]], allFYsTable[year2], DP$3)=0, NotFound, SUMIFS(allFYsTable[RevisedBudget], allFYsTable[Code], SummaryTable[[#This Row],[Code]], allFYsTable[year2], DP$3))</f>
        <v>#N/A</v>
      </c>
      <c r="DT162" s="61" t="e">
        <f>IF(COUNTIFS(allFYsTable[Code], SummaryTable[[#This Row],[Code]], allFYsTable[year2], DP$3)=0, NotFound, SUMIFS(allFYsTable[Actual], allFYsTable[Code], SummaryTable[[#This Row],[Code]], allFYsTable[year2], DP$3))</f>
        <v>#N/A</v>
      </c>
      <c r="DU162" s="61" t="e">
        <f>IF(COUNTIFS(allFYsTable[Code], SummaryTable[[#This Row],[Code]], allFYsTable[year2], DP$3)=0, NotFound, SUMIFS(allFYsTable[DiffAmount], allFYsTable[Code], SummaryTable[[#This Row],[Code]], allFYsTable[year2], DP$3))</f>
        <v>#N/A</v>
      </c>
      <c r="DV162" s="63" t="e">
        <f>IF(SummaryTable[[#This Row],[OriginalBudget12]]=0, IF(SummaryTable[[#This Row],[DiffAmount12]]=0, ZeroBudgetNoSpending, ZeroBudgetWithSpending), SummaryTable[[#This Row],[DiffAmount12]]/SummaryTable[[#This Row],[OriginalBudget12]])</f>
        <v>#N/A</v>
      </c>
      <c r="DW162" s="62">
        <f>IF(COUNTIFS(allFYsTable[Code], SummaryTable[[#This Row],[Code]], allFYsTable[year2], DW$3)=0, NotFound, SUMIFS(allFYsTable[OriginalBudget], allFYsTable[Code], SummaryTable[[#This Row],[Code]], allFYsTable[year2], DW$3))</f>
        <v>2951</v>
      </c>
      <c r="DX162" s="61" t="e">
        <f>SummaryTable[[#This Row],[OriginalBudget11]]-SummaryTable[[#This Row],[OriginalBudget10]]</f>
        <v>#N/A</v>
      </c>
      <c r="DY162" s="54" t="e">
        <f>SummaryTable[[#This Row],[BudgetIncreaseAmount11]]/SummaryTable[[#This Row],[OriginalBudget10]]</f>
        <v>#N/A</v>
      </c>
      <c r="DZ162" s="61">
        <f>IF(COUNTIFS(allFYsTable[Code], SummaryTable[[#This Row],[Code]], allFYsTable[year2], DW$3)=0, NotFound, SUMIFS(allFYsTable[RevisedBudget], allFYsTable[Code], SummaryTable[[#This Row],[Code]], allFYsTable[year2], DW$3))</f>
        <v>2951</v>
      </c>
      <c r="EA162" s="61">
        <f>IF(COUNTIFS(allFYsTable[Code], SummaryTable[[#This Row],[Code]], allFYsTable[year2], DW$3)=0, NotFound, SUMIFS(allFYsTable[Actual], allFYsTable[Code], SummaryTable[[#This Row],[Code]], allFYsTable[year2], DW$3))</f>
        <v>2951</v>
      </c>
      <c r="EB162" s="61">
        <f>IF(COUNTIFS(allFYsTable[Code], SummaryTable[[#This Row],[Code]], allFYsTable[year2], DW$3)=0, NotFound, SUMIFS(allFYsTable[DiffAmount], allFYsTable[Code], SummaryTable[[#This Row],[Code]], allFYsTable[year2], DW$3))</f>
        <v>0</v>
      </c>
      <c r="EC162" s="63">
        <f>IF(SummaryTable[[#This Row],[OriginalBudget11]]=0, IF(SummaryTable[[#This Row],[DiffAmount11]]=0, ZeroBudgetNoSpending, ZeroBudgetWithSpending), SummaryTable[[#This Row],[DiffAmount11]]/SummaryTable[[#This Row],[OriginalBudget11]])</f>
        <v>0</v>
      </c>
      <c r="ED162" s="62" t="e">
        <f>IF(COUNTIFS(allFYsTable[Code], SummaryTable[[#This Row],[Code]], allFYsTable[year2], ED$3)=0, NotFound, SUMIFS(allFYsTable[OriginalBudget], allFYsTable[Code], SummaryTable[[#This Row],[Code]], allFYsTable[year2], ED$3))</f>
        <v>#N/A</v>
      </c>
      <c r="EE162" s="61" t="e">
        <f>SummaryTable[[#This Row],[OriginalBudget10]]-SummaryTable[[#This Row],[OriginalBudget09]]</f>
        <v>#N/A</v>
      </c>
      <c r="EF162" s="54" t="e">
        <f>SummaryTable[[#This Row],[BudgetIncreaseAmount10]]/SummaryTable[[#This Row],[OriginalBudget09]]</f>
        <v>#N/A</v>
      </c>
      <c r="EG162" s="61" t="e">
        <f>IF(COUNTIFS(allFYsTable[Code], SummaryTable[[#This Row],[Code]], allFYsTable[year2], ED$3)=0, NotFound, SUMIFS(allFYsTable[RevisedBudget], allFYsTable[Code], SummaryTable[[#This Row],[Code]], allFYsTable[year2], ED$3))</f>
        <v>#N/A</v>
      </c>
      <c r="EH162" s="61" t="e">
        <f>IF(COUNTIFS(allFYsTable[Code], SummaryTable[[#This Row],[Code]], allFYsTable[year2], ED$3)=0, NotFound, SUMIFS(allFYsTable[Actual], allFYsTable[Code], SummaryTable[[#This Row],[Code]], allFYsTable[year2], ED$3))</f>
        <v>#N/A</v>
      </c>
      <c r="EI162" s="61" t="e">
        <f>IF(COUNTIFS(allFYsTable[Code], SummaryTable[[#This Row],[Code]], allFYsTable[year2], ED$3)=0, NotFound, SUMIFS(allFYsTable[DiffAmount], allFYsTable[Code], SummaryTable[[#This Row],[Code]], allFYsTable[year2], ED$3))</f>
        <v>#N/A</v>
      </c>
      <c r="EJ162" s="63" t="e">
        <f>IF(SummaryTable[[#This Row],[OriginalBudget10]]=0, IF(SummaryTable[[#This Row],[DiffAmount10]]=0, ZeroBudgetNoSpending, ZeroBudgetWithSpending), SummaryTable[[#This Row],[DiffAmount10]]/SummaryTable[[#This Row],[OriginalBudget10]])</f>
        <v>#N/A</v>
      </c>
      <c r="EK162" s="62" t="e">
        <f>IF(COUNTIFS(allFYsTable[Code], SummaryTable[[#This Row],[Code]], allFYsTable[year2], EK$3)=0, NotFound, SUMIFS(allFYsTable[OriginalBudget], allFYsTable[Code], SummaryTable[[#This Row],[Code]], allFYsTable[year2], EK$3))</f>
        <v>#N/A</v>
      </c>
      <c r="EL162" s="61" t="e">
        <f>SummaryTable[[#This Row],[OriginalBudget09]]-SummaryTable[[#This Row],[OriginalBudget08]]</f>
        <v>#N/A</v>
      </c>
      <c r="EM162" s="54" t="e">
        <f>SummaryTable[[#This Row],[BudgetIncreaseAmount09]]/SummaryTable[[#This Row],[OriginalBudget08]]</f>
        <v>#N/A</v>
      </c>
      <c r="EN162" s="61" t="e">
        <f>IF(COUNTIFS(allFYsTable[Code], SummaryTable[[#This Row],[Code]], allFYsTable[year2], EK$3)=0, NotFound, SUMIFS(allFYsTable[RevisedBudget], allFYsTable[Code], SummaryTable[[#This Row],[Code]], allFYsTable[year2], EK$3))</f>
        <v>#N/A</v>
      </c>
      <c r="EO162" s="61" t="e">
        <f>IF(COUNTIFS(allFYsTable[Code], SummaryTable[[#This Row],[Code]], allFYsTable[year2], EK$3)=0, NotFound, SUMIFS(allFYsTable[Actual], allFYsTable[Code], SummaryTable[[#This Row],[Code]], allFYsTable[year2], EK$3))</f>
        <v>#N/A</v>
      </c>
      <c r="EP162" s="61" t="e">
        <f>IF(COUNTIFS(allFYsTable[Code], SummaryTable[[#This Row],[Code]], allFYsTable[year2], EK$3)=0, NotFound, SUMIFS(allFYsTable[DiffAmount], allFYsTable[Code], SummaryTable[[#This Row],[Code]], allFYsTable[year2], EK$3))</f>
        <v>#N/A</v>
      </c>
      <c r="EQ162" s="63" t="e">
        <f>IF(SummaryTable[[#This Row],[OriginalBudget09]]=0, IF(SummaryTable[[#This Row],[DiffAmount09]]=0, ZeroBudgetNoSpending, ZeroBudgetWithSpending), SummaryTable[[#This Row],[DiffAmount09]]/SummaryTable[[#This Row],[OriginalBudget09]])</f>
        <v>#N/A</v>
      </c>
      <c r="ER162" s="62" t="e">
        <f>IF(COUNTIFS(allFYsTable[Code], SummaryTable[[#This Row],[Code]], allFYsTable[year2], ER$3)=0, NotFound, SUMIFS(allFYsTable[OriginalBudget], allFYsTable[Code], SummaryTable[[#This Row],[Code]], allFYsTable[year2], ER$3))</f>
        <v>#N/A</v>
      </c>
      <c r="ES162" s="61" t="e">
        <f>SummaryTable[[#This Row],[OriginalBudget08]]-SummaryTable[[#This Row],[OriginalBudget07]]</f>
        <v>#N/A</v>
      </c>
      <c r="ET162" s="54" t="e">
        <f>SummaryTable[[#This Row],[BudgetIncreaseAmount08]]/SummaryTable[[#This Row],[OriginalBudget07]]</f>
        <v>#N/A</v>
      </c>
      <c r="EU162" s="61" t="e">
        <f>IF(COUNTIFS(allFYsTable[Code], SummaryTable[[#This Row],[Code]], allFYsTable[year2], ER$3)=0, NotFound, SUMIFS(allFYsTable[RevisedBudget], allFYsTable[Code], SummaryTable[[#This Row],[Code]], allFYsTable[year2], ER$3))</f>
        <v>#N/A</v>
      </c>
      <c r="EV162" s="61" t="e">
        <f>IF(COUNTIFS(allFYsTable[Code], SummaryTable[[#This Row],[Code]], allFYsTable[year2], ER$3)=0, NotFound, SUMIFS(allFYsTable[Actual], allFYsTable[Code], SummaryTable[[#This Row],[Code]], allFYsTable[year2], ER$3))</f>
        <v>#N/A</v>
      </c>
      <c r="EW162" s="61" t="e">
        <f>IF(COUNTIFS(allFYsTable[Code], SummaryTable[[#This Row],[Code]], allFYsTable[year2], ER$3)=0, NotFound, SUMIFS(allFYsTable[DiffAmount], allFYsTable[Code], SummaryTable[[#This Row],[Code]], allFYsTable[year2], ER$3))</f>
        <v>#N/A</v>
      </c>
      <c r="EX162" s="63" t="e">
        <f>IF(SummaryTable[[#This Row],[OriginalBudget08]]=0, IF(SummaryTable[[#This Row],[DiffAmount08]]=0, ZeroBudgetNoSpending, ZeroBudgetWithSpending), SummaryTable[[#This Row],[DiffAmount08]]/SummaryTable[[#This Row],[OriginalBudget08]])</f>
        <v>#N/A</v>
      </c>
      <c r="EY162" s="62" t="e">
        <f>IF(COUNTIFS(allFYsTable[Code], SummaryTable[[#This Row],[Code]], allFYsTable[year2], EY$3)=0, NotFound, SUMIFS(allFYsTable[OriginalBudget], allFYsTable[Code], SummaryTable[[#This Row],[Code]], allFYsTable[year2], EY$3))</f>
        <v>#N/A</v>
      </c>
      <c r="EZ162" s="61" t="e">
        <f>SummaryTable[[#This Row],[OriginalBudget07]]-SummaryTable[[#This Row],[OriginalBudget06]]</f>
        <v>#N/A</v>
      </c>
      <c r="FA162" s="54" t="e">
        <f>SummaryTable[[#This Row],[BudgetIncreaseAmount07]]/SummaryTable[[#This Row],[OriginalBudget06]]</f>
        <v>#N/A</v>
      </c>
      <c r="FB162" s="61" t="e">
        <f>IF(COUNTIFS(allFYsTable[Code], SummaryTable[[#This Row],[Code]], allFYsTable[year2], EY$3)=0, NotFound, SUMIFS(allFYsTable[RevisedBudget], allFYsTable[Code], SummaryTable[[#This Row],[Code]], allFYsTable[year2], EY$3))</f>
        <v>#N/A</v>
      </c>
      <c r="FC162" s="61" t="e">
        <f>IF(COUNTIFS(allFYsTable[Code], SummaryTable[[#This Row],[Code]], allFYsTable[year2], EY$3)=0, NotFound, SUMIFS(allFYsTable[Actual], allFYsTable[Code], SummaryTable[[#This Row],[Code]], allFYsTable[year2], EY$3))</f>
        <v>#N/A</v>
      </c>
      <c r="FD162" s="61" t="e">
        <f>IF(COUNTIFS(allFYsTable[Code], SummaryTable[[#This Row],[Code]], allFYsTable[year2], EY$3)=0, NotFound, SUMIFS(allFYsTable[DiffAmount], allFYsTable[Code], SummaryTable[[#This Row],[Code]], allFYsTable[year2], EY$3))</f>
        <v>#N/A</v>
      </c>
      <c r="FE162" s="63" t="e">
        <f>IF(SummaryTable[[#This Row],[OriginalBudget07]]=0, IF(SummaryTable[[#This Row],[DiffAmount07]]=0, ZeroBudgetNoSpending, ZeroBudgetWithSpending), SummaryTable[[#This Row],[DiffAmount07]]/SummaryTable[[#This Row],[OriginalBudget07]])</f>
        <v>#N/A</v>
      </c>
      <c r="FF162" s="62" t="e">
        <f>IF(COUNTIFS(allFYsTable[Code], SummaryTable[[#This Row],[Code]], allFYsTable[year2], FF$3)=0, NotFound, SUMIFS(allFYsTable[OriginalBudget], allFYsTable[Code], SummaryTable[[#This Row],[Code]], allFYsTable[year2], FF$3))</f>
        <v>#N/A</v>
      </c>
      <c r="FI162" s="61" t="e">
        <f>IF(COUNTIFS(allFYsTable[Code], SummaryTable[[#This Row],[Code]], allFYsTable[year2], FF$3)=0, NotFound, SUMIFS(allFYsTable[RevisedBudget], allFYsTable[Code], SummaryTable[[#This Row],[Code]], allFYsTable[year2], FF$3))</f>
        <v>#N/A</v>
      </c>
      <c r="FJ162" s="61" t="e">
        <f>IF(COUNTIFS(allFYsTable[Code], SummaryTable[[#This Row],[Code]], allFYsTable[year2], FF$3)=0, NotFound, SUMIFS(allFYsTable[Actual], allFYsTable[Code], SummaryTable[[#This Row],[Code]], allFYsTable[year2], FF$3))</f>
        <v>#N/A</v>
      </c>
      <c r="FK162" s="61" t="e">
        <f>IF(COUNTIFS(allFYsTable[Code], SummaryTable[[#This Row],[Code]], allFYsTable[year2], FF$3)=0, NotFound, SUMIFS(allFYsTable[DiffAmount], allFYsTable[Code], SummaryTable[[#This Row],[Code]], allFYsTable[year2], FF$3))</f>
        <v>#N/A</v>
      </c>
      <c r="FL162" s="63" t="e">
        <f>IF(SummaryTable[[#This Row],[OriginalBudget06]]=0, IF(SummaryTable[[#This Row],[DiffAmount06]]=0, ZeroBudgetNoSpending, ZeroBudgetWithSpending), SummaryTable[[#This Row],[DiffAmount06]]/SummaryTable[[#This Row],[OriginalBudget06]])</f>
        <v>#N/A</v>
      </c>
    </row>
    <row r="163" spans="1:168" x14ac:dyDescent="0.45">
      <c r="A163" t="s">
        <v>879</v>
      </c>
      <c r="B163">
        <f>_xlfn.MAXIFS(allFYsTable[year2], allFYsTable[Code], SummaryTable[[#This Row],[Code]])</f>
        <v>2011</v>
      </c>
      <c r="C163" t="str">
        <f>_xlfn.XLOOKUP(SummaryTable[[#This Row],[Code]], NameCodingTable[Code], NameCodingTable[Most Recent Category per allFYs])</f>
        <v>Other</v>
      </c>
      <c r="D163" t="str">
        <f>_xlfn.XLOOKUP(SummaryTable[[#This Row],[Code]], NameCodingTable[Code], NameCodingTable[Unit Display Name])</f>
        <v>Cash  reserve</v>
      </c>
      <c r="E163" t="str">
        <f>_xlfn.XLOOKUP(SummaryTable[[#This Row],[Code]], NameCodingTable[Code], NameCodingTable[Type])</f>
        <v>untyped</v>
      </c>
      <c r="F16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6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63" s="54">
        <f>SummaryTable[[#This Row],['# Over]]/SummaryTable[[#This Row],[Count]]</f>
        <v>0</v>
      </c>
      <c r="I16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v>
      </c>
      <c r="J163" s="54">
        <f>SummaryTable[[#This Row],['# Under]]/SummaryTable[[#This Row],[Count]]</f>
        <v>1</v>
      </c>
      <c r="K16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63" s="54">
        <f>SummaryTable[[#This Row],['# Equal]]/SummaryTable[[#This Row],[Count]]</f>
        <v>0</v>
      </c>
      <c r="M163" s="61">
        <f>SUMIFS(allFYsTable[OriginalBudget],allFYsTable[Code],SummaryTable[[#This Row],[Code]])/SummaryTable[[#This Row],[Count]]</f>
        <v>40000</v>
      </c>
      <c r="N163" s="61">
        <f>SUMIFS(allFYsTable[Actual],allFYsTable[Code],SummaryTable[[#This Row],[Code]])/SummaryTable[[#This Row],[Count]]</f>
        <v>0</v>
      </c>
      <c r="O163" s="61">
        <f>SummaryTable[[#This Row],[AvgActAmt]]-SummaryTable[[#This Row],[AvgBudAmt]]</f>
        <v>-40000</v>
      </c>
      <c r="P163" s="54">
        <f>IF(SummaryTable[[#This Row],[AvgBudAmt]]=0, IF(SummaryTable[[#This Row],[AvgDiff'#]]=0, 0, NamedFields!$C$3), SummaryTable[[#This Row],[AvgDiff'#]]/SummaryTable[[#This Row],[AvgBudAmt]])</f>
        <v>-1</v>
      </c>
      <c r="Q163" s="61">
        <f>IFERROR(SUMIFS(allFYsTable[OriginalBudget],allFYsTable[Code],SummaryTable[[#This Row],[Code]],allFYsTable[DiffAmount], "&gt;0")/SummaryTable[[#This Row],['# Over]], 0)</f>
        <v>0</v>
      </c>
      <c r="R163" s="61">
        <f>IFERROR(SUMIFS(allFYsTable[Actual],allFYsTable[Code],SummaryTable[[#This Row],[Code]],allFYsTable[DiffAmount], "&gt;0")/SummaryTable[[#This Row],['# Over]], 0)</f>
        <v>0</v>
      </c>
      <c r="S163" s="61">
        <f>SummaryTable[[#This Row],[OverAvgAct]]-SummaryTable[[#This Row],[OverAvgBud]]</f>
        <v>0</v>
      </c>
      <c r="T163" s="54">
        <f>IF(SummaryTable[[#This Row],[OverAvgBud]]=0, IF(SummaryTable[[#This Row],[OverAvgDiff'#]]=0, ZeroBudgetNoSpending, ZeroBudgetWithSpending), SummaryTable[[#This Row],[OverAvgDiff'#]]/SummaryTable[[#This Row],[OverAvgBud]])</f>
        <v>0</v>
      </c>
      <c r="U163" s="61">
        <f>IFERROR(SUMIFS(allFYsTable[OriginalBudget],allFYsTable[Code],SummaryTable[[#This Row],[Code]],allFYsTable[DiffAmount], "&lt;0")/SummaryTable[[#This Row],['# Under]], 0)</f>
        <v>40000</v>
      </c>
      <c r="V163" s="61">
        <f>IFERROR( SUMIFS(allFYsTable[Actual],allFYsTable[Code],SummaryTable[[#This Row],[Code]],allFYsTable[DiffAmount], "&lt;0")/SummaryTable[[#This Row],['# Under]], 0)</f>
        <v>0</v>
      </c>
      <c r="W163" s="61">
        <f>SummaryTable[[#This Row],[UnderAvgAct]]-SummaryTable[[#This Row],[UnderAvgBud]]</f>
        <v>-40000</v>
      </c>
      <c r="X163" s="54">
        <f>IF(SummaryTable[[#This Row],[UnderAvgBud]]=0, IF(SummaryTable[[#This Row],[UnderAvgDiff'#]]=0, ZeroBudgetNoSpending, NamedFields!$C$3), SummaryTable[[#This Row],[UnderAvgDiff'#]]/SummaryTable[[#This Row],[UnderAvgBud]])</f>
        <v>-1</v>
      </c>
      <c r="Y16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6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63" s="54">
        <f>IF(SummaryTable[[#This Row],[IncreaseYears]]=0, ZeroBudgetNoSpending, SummaryTable[[#This Row],[OSinIncreaseYear'#]]/SummaryTable[[#This Row],[IncreaseYears]])</f>
        <v>0</v>
      </c>
      <c r="AB163" s="58" t="str">
        <f>SummaryTable[[#This Row],[Code]]</f>
        <v>XCR</v>
      </c>
      <c r="AC163" s="62" t="e">
        <f>IF(COUNTIFS(allFYsTable[Code], SummaryTable[[#This Row],[Code]], allFYsTable[year2], AC$3)=0, NotFound, SUMIFS(allFYsTable[OriginalBudget], allFYsTable[Code], SummaryTable[[#This Row],[Code]], allFYsTable[year2], AC$3))</f>
        <v>#N/A</v>
      </c>
      <c r="AD163" s="61" t="e">
        <f>SummaryTable[[#This Row],[OriginalBudget25]]-SummaryTable[[#This Row],[OriginalBudget24]]</f>
        <v>#N/A</v>
      </c>
      <c r="AE163" s="54" t="e">
        <f>SummaryTable[[#This Row],[BudgetIncreaseAmount25]]/SummaryTable[[#This Row],[OriginalBudget24]]</f>
        <v>#N/A</v>
      </c>
      <c r="AF163" s="61" t="e">
        <f>IF(COUNTIFS(allFYsTable[Code], SummaryTable[[#This Row],[Code]], allFYsTable[year2], AC$3)=0, NotFound, SUMIFS(allFYsTable[RevisedBudget], allFYsTable[Code], SummaryTable[[#This Row],[Code]], allFYsTable[year2], AC$3))</f>
        <v>#N/A</v>
      </c>
      <c r="AG163" s="61" t="e">
        <f>IF(COUNTIFS(allFYsTable[Code], SummaryTable[[#This Row],[Code]], allFYsTable[year2], AC$3)=0, NotFound, SUMIFS(allFYsTable[Actual], allFYsTable[Code], SummaryTable[[#This Row],[Code]], allFYsTable[year2], AC$3))</f>
        <v>#N/A</v>
      </c>
      <c r="AH163" s="61" t="e">
        <f>IF(COUNTIFS(allFYsTable[Code], SummaryTable[[#This Row],[Code]], allFYsTable[year2], AC$3)=0, NotFound, SUMIFS(allFYsTable[DiffAmount], allFYsTable[Code], SummaryTable[[#This Row],[Code]], allFYsTable[year2], AC$3))</f>
        <v>#N/A</v>
      </c>
      <c r="AI163" s="63" t="e">
        <f>IF(SummaryTable[[#This Row],[OriginalBudget25]]=0, IF(SummaryTable[[#This Row],[DiffAmount25]]=0, ZeroBudgetNoSpending, ZeroBudgetWithSpending), SummaryTable[[#This Row],[DiffAmount25]]/SummaryTable[[#This Row],[OriginalBudget25]])</f>
        <v>#N/A</v>
      </c>
      <c r="AJ163" s="62" t="e">
        <f>IF(COUNTIFS(allFYsTable[Code], SummaryTable[[#This Row],[Code]], allFYsTable[year2], AJ$3)=0, NotFound, SUMIFS(allFYsTable[OriginalBudget], allFYsTable[Code], SummaryTable[[#This Row],[Code]], allFYsTable[year2], AJ$3))</f>
        <v>#N/A</v>
      </c>
      <c r="AK163" s="61" t="e">
        <f>SummaryTable[[#This Row],[OriginalBudget24]]-SummaryTable[[#This Row],[OriginalBudget23]]</f>
        <v>#N/A</v>
      </c>
      <c r="AL163" s="54" t="e">
        <f>SummaryTable[[#This Row],[BudgetIncreaseAmount24]]/SummaryTable[[#This Row],[OriginalBudget23]]</f>
        <v>#N/A</v>
      </c>
      <c r="AM163" s="61" t="e">
        <f>IF(COUNTIFS(allFYsTable[Code], SummaryTable[[#This Row],[Code]], allFYsTable[year2], AK$3)=0, NotFound, SUMIFS(allFYsTable[RevisedBudget], allFYsTable[Code], SummaryTable[[#This Row],[Code]], allFYsTable[year2], AJ$3))</f>
        <v>#N/A</v>
      </c>
      <c r="AN163" s="61" t="e">
        <f>IF(COUNTIFS(allFYsTable[Code], SummaryTable[[#This Row],[Code]], allFYsTable[year2], AJ$3)=0, NotFound, SUMIFS(allFYsTable[Actual], allFYsTable[Code], SummaryTable[[#This Row],[Code]], allFYsTable[year2], AJ$3))</f>
        <v>#N/A</v>
      </c>
      <c r="AO163" s="61" t="e">
        <f>IF(COUNTIFS(allFYsTable[Code], SummaryTable[[#This Row],[Code]], allFYsTable[year2], AJ$3)=0, NotFound, SUMIFS(allFYsTable[DiffAmount], allFYsTable[Code], SummaryTable[[#This Row],[Code]], allFYsTable[year2], AJ$3))</f>
        <v>#N/A</v>
      </c>
      <c r="AP163" s="63" t="e">
        <f>IF(SummaryTable[[#This Row],[OriginalBudget24]]=0, IF(SummaryTable[[#This Row],[DiffAmount24]]=0, ZeroBudgetNoSpending, ZeroBudgetWithSpending), SummaryTable[[#This Row],[DiffAmount24]]/SummaryTable[[#This Row],[OriginalBudget24]])</f>
        <v>#N/A</v>
      </c>
      <c r="AQ163" s="62" t="e">
        <f>IF(COUNTIFS(allFYsTable[Code], SummaryTable[[#This Row],[Code]], allFYsTable[year2], AQ$3)=0, NotFound, SUMIFS(allFYsTable[OriginalBudget], allFYsTable[Code], SummaryTable[[#This Row],[Code]], allFYsTable[year2], AQ$3))</f>
        <v>#N/A</v>
      </c>
      <c r="AR163" s="61" t="e">
        <f>SummaryTable[[#This Row],[OriginalBudget23]]-SummaryTable[[#This Row],[OriginalBudget22]]</f>
        <v>#N/A</v>
      </c>
      <c r="AS163" s="54" t="e">
        <f>SummaryTable[[#This Row],[BudgetIncreaseAmount23]]/SummaryTable[[#This Row],[OriginalBudget22]]</f>
        <v>#N/A</v>
      </c>
      <c r="AT163" s="61" t="e">
        <f>IF(COUNTIFS(allFYsTable[Code], SummaryTable[[#This Row],[Code]], allFYsTable[year2], AQ$3)=0, NotFound, SUMIFS(allFYsTable[RevisedBudget], allFYsTable[Code], SummaryTable[[#This Row],[Code]], allFYsTable[year2], AQ$3))</f>
        <v>#N/A</v>
      </c>
      <c r="AU163" s="61" t="e">
        <f>IF(COUNTIFS(allFYsTable[Code], SummaryTable[[#This Row],[Code]], allFYsTable[year2], AQ$3)=0, NotFound, SUMIFS(allFYsTable[Actual], allFYsTable[Code], SummaryTable[[#This Row],[Code]], allFYsTable[year2], AQ$3))</f>
        <v>#N/A</v>
      </c>
      <c r="AV163" s="61" t="e">
        <f>IF(COUNTIFS(allFYsTable[Code], SummaryTable[[#This Row],[Code]], allFYsTable[year2], AQ$3)=0, NotFound, SUMIFS(allFYsTable[DiffAmount], allFYsTable[Code], SummaryTable[[#This Row],[Code]], allFYsTable[year2], AQ$3))</f>
        <v>#N/A</v>
      </c>
      <c r="AW163" s="63" t="e">
        <f>IF(SummaryTable[[#This Row],[OriginalBudget23]]=0, IF(SummaryTable[[#This Row],[DiffAmount23]]=0, ZeroBudgetNoSpending, ZeroBudgetWithSpending), SummaryTable[[#This Row],[DiffAmount23]]/SummaryTable[[#This Row],[OriginalBudget23]])</f>
        <v>#N/A</v>
      </c>
      <c r="AX163" s="62" t="e">
        <f>IF(COUNTIFS(allFYsTable[Code], SummaryTable[[#This Row],[Code]], allFYsTable[year2], AX$3)=0, NotFound, SUMIFS(allFYsTable[OriginalBudget], allFYsTable[Code], SummaryTable[[#This Row],[Code]], allFYsTable[year2], AX$3))</f>
        <v>#N/A</v>
      </c>
      <c r="AY163" s="61" t="e">
        <f>SummaryTable[[#This Row],[OriginalBudget22]]-SummaryTable[[#This Row],[OriginalBudget21]]</f>
        <v>#N/A</v>
      </c>
      <c r="AZ163" s="54" t="e">
        <f>SummaryTable[[#This Row],[BudgetIncreaseAmount22]]/SummaryTable[[#This Row],[OriginalBudget21]]</f>
        <v>#N/A</v>
      </c>
      <c r="BA163" s="61" t="e">
        <f>IF(COUNTIFS(allFYsTable[Code], SummaryTable[[#This Row],[Code]], allFYsTable[year2], AX$3)=0, NotFound, SUMIFS(allFYsTable[RevisedBudget], allFYsTable[Code], SummaryTable[[#This Row],[Code]], allFYsTable[year2], AX$3))</f>
        <v>#N/A</v>
      </c>
      <c r="BB163" s="61" t="e">
        <f>IF(COUNTIFS(allFYsTable[Code], SummaryTable[[#This Row],[Code]], allFYsTable[year2], AX$3)=0, NotFound, SUMIFS(allFYsTable[Actual], allFYsTable[Code], SummaryTable[[#This Row],[Code]], allFYsTable[year2], AX$3))</f>
        <v>#N/A</v>
      </c>
      <c r="BC163" s="61" t="e">
        <f>IF(COUNTIFS(allFYsTable[Code], SummaryTable[[#This Row],[Code]], allFYsTable[year2], AX$3)=0, NotFound, SUMIFS(allFYsTable[DiffAmount], allFYsTable[Code], SummaryTable[[#This Row],[Code]], allFYsTable[year2], AX$3))</f>
        <v>#N/A</v>
      </c>
      <c r="BD163" s="63" t="e">
        <f>IF(SummaryTable[[#This Row],[OriginalBudget22]]=0, IF(SummaryTable[[#This Row],[DiffAmount22]]=0, ZeroBudgetNoSpending, ZeroBudgetWithSpending), SummaryTable[[#This Row],[DiffAmount22]]/SummaryTable[[#This Row],[OriginalBudget22]])</f>
        <v>#N/A</v>
      </c>
      <c r="BE163" s="62" t="e">
        <f>IF(COUNTIFS(allFYsTable[Code], SummaryTable[[#This Row],[Code]], allFYsTable[year2], BE$3)=0, NotFound, SUMIFS(allFYsTable[OriginalBudget], allFYsTable[Code], SummaryTable[[#This Row],[Code]], allFYsTable[year2], BE$3))</f>
        <v>#N/A</v>
      </c>
      <c r="BF163" s="61" t="e">
        <f>SummaryTable[[#This Row],[OriginalBudget21]]-SummaryTable[[#This Row],[OriginalBudget20]]</f>
        <v>#N/A</v>
      </c>
      <c r="BG163" s="54" t="e">
        <f>SummaryTable[[#This Row],[BudgetIncreaseAmount21]]/SummaryTable[[#This Row],[OriginalBudget20]]</f>
        <v>#N/A</v>
      </c>
      <c r="BH163" s="61" t="e">
        <f>IF(COUNTIFS(allFYsTable[Code], SummaryTable[[#This Row],[Code]], allFYsTable[year2], BE$3)=0, NotFound, SUMIFS(allFYsTable[RevisedBudget], allFYsTable[Code], SummaryTable[[#This Row],[Code]], allFYsTable[year2], BE$3))</f>
        <v>#N/A</v>
      </c>
      <c r="BI163" s="61" t="e">
        <f>IF(COUNTIFS(allFYsTable[Code], SummaryTable[[#This Row],[Code]], allFYsTable[year2], BE$3)=0, NotFound, SUMIFS(allFYsTable[Actual], allFYsTable[Code], SummaryTable[[#This Row],[Code]], allFYsTable[year2], BE$3))</f>
        <v>#N/A</v>
      </c>
      <c r="BJ163" s="61" t="e">
        <f>IF(COUNTIFS(allFYsTable[Code], SummaryTable[[#This Row],[Code]], allFYsTable[year2], BE$3)=0, NotFound, SUMIFS(allFYsTable[DiffAmount], allFYsTable[Code], SummaryTable[[#This Row],[Code]], allFYsTable[year2], BE$3))</f>
        <v>#N/A</v>
      </c>
      <c r="BK163" s="63" t="e">
        <f>IF(SummaryTable[[#This Row],[OriginalBudget21]]=0, IF(SummaryTable[[#This Row],[DiffAmount21]]=0, ZeroBudgetNoSpending, ZeroBudgetWithSpending), SummaryTable[[#This Row],[DiffAmount21]]/SummaryTable[[#This Row],[OriginalBudget21]])</f>
        <v>#N/A</v>
      </c>
      <c r="BL163" s="62" t="e">
        <f>IF(COUNTIFS(allFYsTable[Code], SummaryTable[[#This Row],[Code]], allFYsTable[year2], BL$3)=0, NotFound, SUMIFS(allFYsTable[OriginalBudget], allFYsTable[Code], SummaryTable[[#This Row],[Code]], allFYsTable[year2], BL$3))</f>
        <v>#N/A</v>
      </c>
      <c r="BM163" s="61" t="e">
        <f>SummaryTable[[#This Row],[OriginalBudget20]]-SummaryTable[[#This Row],[OriginalBudget19]]</f>
        <v>#N/A</v>
      </c>
      <c r="BN163" s="54" t="e">
        <f>SummaryTable[[#This Row],[BudgetIncreaseAmount20]]/SummaryTable[[#This Row],[OriginalBudget19]]</f>
        <v>#N/A</v>
      </c>
      <c r="BO163" s="61" t="e">
        <f>IF(COUNTIFS(allFYsTable[Code], SummaryTable[[#This Row],[Code]], allFYsTable[year2], BL$3)=0, NotFound, SUMIFS(allFYsTable[RevisedBudget], allFYsTable[Code], SummaryTable[[#This Row],[Code]], allFYsTable[year2], BL$3))</f>
        <v>#N/A</v>
      </c>
      <c r="BP163" s="61" t="e">
        <f>IF(COUNTIFS(allFYsTable[Code], SummaryTable[[#This Row],[Code]], allFYsTable[year2], BL$3)=0, NotFound, SUMIFS(allFYsTable[Actual], allFYsTable[Code], SummaryTable[[#This Row],[Code]], allFYsTable[year2], BL$3))</f>
        <v>#N/A</v>
      </c>
      <c r="BQ163" s="61" t="e">
        <f>IF(COUNTIFS(allFYsTable[Code], SummaryTable[[#This Row],[Code]], allFYsTable[year2], BL$3)=0, NotFound, SUMIFS(allFYsTable[DiffAmount], allFYsTable[Code], SummaryTable[[#This Row],[Code]], allFYsTable[year2], BL$3))</f>
        <v>#N/A</v>
      </c>
      <c r="BR163" s="63" t="e">
        <f>IF(SummaryTable[[#This Row],[OriginalBudget20]]=0, IF(SummaryTable[[#This Row],[DiffAmount20]]=0, ZeroBudgetNoSpending, ZeroBudgetWithSpending), SummaryTable[[#This Row],[DiffAmount20]]/SummaryTable[[#This Row],[OriginalBudget20]])</f>
        <v>#N/A</v>
      </c>
      <c r="BS163" s="62" t="e">
        <f>IF(COUNTIFS(allFYsTable[Code], SummaryTable[[#This Row],[Code]], allFYsTable[year2], BS$3)=0, NotFound, SUMIFS(allFYsTable[OriginalBudget], allFYsTable[Code], SummaryTable[[#This Row],[Code]], allFYsTable[year2], BS$3))</f>
        <v>#N/A</v>
      </c>
      <c r="BT163" s="61" t="e">
        <f>SummaryTable[[#This Row],[OriginalBudget19]]-SummaryTable[[#This Row],[OriginalBudget18]]</f>
        <v>#N/A</v>
      </c>
      <c r="BU163" s="54" t="e">
        <f>SummaryTable[[#This Row],[BudgetIncreaseAmount19]]/SummaryTable[[#This Row],[OriginalBudget18]]</f>
        <v>#N/A</v>
      </c>
      <c r="BV163" s="61" t="e">
        <f>IF(COUNTIFS(allFYsTable[Code], SummaryTable[[#This Row],[Code]], allFYsTable[year2], BS$3)=0, NotFound, SUMIFS(allFYsTable[RevisedBudget], allFYsTable[Code], SummaryTable[[#This Row],[Code]], allFYsTable[year2], BS$3))</f>
        <v>#N/A</v>
      </c>
      <c r="BW163" s="61" t="e">
        <f>IF(COUNTIFS(allFYsTable[Code], SummaryTable[[#This Row],[Code]], allFYsTable[year2], BS$3)=0, NotFound, SUMIFS(allFYsTable[Actual], allFYsTable[Code], SummaryTable[[#This Row],[Code]], allFYsTable[year2], BS$3))</f>
        <v>#N/A</v>
      </c>
      <c r="BX163" s="61" t="e">
        <f>IF(COUNTIFS(allFYsTable[Code], SummaryTable[[#This Row],[Code]], allFYsTable[year2], BS$3)=0, NotFound, SUMIFS(allFYsTable[DiffAmount], allFYsTable[Code], SummaryTable[[#This Row],[Code]], allFYsTable[year2], BS$3))</f>
        <v>#N/A</v>
      </c>
      <c r="BY163" s="63" t="e">
        <f>IF(SummaryTable[[#This Row],[OriginalBudget19]]=0, IF(SummaryTable[[#This Row],[DiffAmount19]]=0, ZeroBudgetNoSpending, ZeroBudgetWithSpending), SummaryTable[[#This Row],[DiffAmount19]]/SummaryTable[[#This Row],[OriginalBudget19]])</f>
        <v>#N/A</v>
      </c>
      <c r="BZ163" s="62" t="e">
        <f>IF(COUNTIFS(allFYsTable[Code], SummaryTable[[#This Row],[Code]], allFYsTable[year2], BZ$3)=0, NotFound, SUMIFS(allFYsTable[OriginalBudget], allFYsTable[Code], SummaryTable[[#This Row],[Code]], allFYsTable[year2], BZ$3))</f>
        <v>#N/A</v>
      </c>
      <c r="CA163" s="61" t="e">
        <f>SummaryTable[[#This Row],[OriginalBudget18]]-SummaryTable[[#This Row],[OriginalBudget17]]</f>
        <v>#N/A</v>
      </c>
      <c r="CB163" s="54" t="e">
        <f>SummaryTable[[#This Row],[BudgetIncreaseAmount18]]/SummaryTable[[#This Row],[OriginalBudget17]]</f>
        <v>#N/A</v>
      </c>
      <c r="CC163" s="61" t="e">
        <f>IF(COUNTIFS(allFYsTable[Code], SummaryTable[[#This Row],[Code]], allFYsTable[year2], BZ$3)=0, NotFound, SUMIFS(allFYsTable[RevisedBudget], allFYsTable[Code], SummaryTable[[#This Row],[Code]], allFYsTable[year2], BZ$3))</f>
        <v>#N/A</v>
      </c>
      <c r="CD163" s="61" t="e">
        <f>IF(COUNTIFS(allFYsTable[Code], SummaryTable[[#This Row],[Code]], allFYsTable[year2], BZ$3)=0, NotFound, SUMIFS(allFYsTable[Actual], allFYsTable[Code], SummaryTable[[#This Row],[Code]], allFYsTable[year2], BZ$3))</f>
        <v>#N/A</v>
      </c>
      <c r="CE163" s="61" t="e">
        <f>IF(COUNTIFS(allFYsTable[Code], SummaryTable[[#This Row],[Code]], allFYsTable[year2], BZ$3)=0, NotFound, SUMIFS(allFYsTable[DiffAmount], allFYsTable[Code], SummaryTable[[#This Row],[Code]], allFYsTable[year2], BZ$3))</f>
        <v>#N/A</v>
      </c>
      <c r="CF163" s="63" t="e">
        <f>IF(SummaryTable[[#This Row],[OriginalBudget18]]=0, IF(SummaryTable[[#This Row],[DiffAmount18]]=0, ZeroBudgetNoSpending, ZeroBudgetWithSpending), SummaryTable[[#This Row],[DiffAmount18]]/SummaryTable[[#This Row],[OriginalBudget18]])</f>
        <v>#N/A</v>
      </c>
      <c r="CG163" s="62" t="e">
        <f>IF(COUNTIFS(allFYsTable[Code], SummaryTable[[#This Row],[Code]], allFYsTable[year2], CG$3)=0, NotFound, SUMIFS(allFYsTable[OriginalBudget], allFYsTable[Code], SummaryTable[[#This Row],[Code]], allFYsTable[year2], CG$3))</f>
        <v>#N/A</v>
      </c>
      <c r="CH163" s="61" t="e">
        <f>SummaryTable[[#This Row],[OriginalBudget17]]-SummaryTable[[#This Row],[OriginalBudget16]]</f>
        <v>#N/A</v>
      </c>
      <c r="CI163" s="54" t="e">
        <f>SummaryTable[[#This Row],[BudgetIncreaseAmount17]]/SummaryTable[[#This Row],[OriginalBudget16]]</f>
        <v>#N/A</v>
      </c>
      <c r="CJ163" s="61" t="e">
        <f>IF(COUNTIFS(allFYsTable[Code], SummaryTable[[#This Row],[Code]], allFYsTable[year2], CG$3)=0, NotFound, SUMIFS(allFYsTable[RevisedBudget], allFYsTable[Code], SummaryTable[[#This Row],[Code]], allFYsTable[year2], CG$3))</f>
        <v>#N/A</v>
      </c>
      <c r="CK163" s="61" t="e">
        <f>IF(COUNTIFS(allFYsTable[Code], SummaryTable[[#This Row],[Code]], allFYsTable[year2], CG$3)=0, NotFound, SUMIFS(allFYsTable[Actual], allFYsTable[Code], SummaryTable[[#This Row],[Code]], allFYsTable[year2], CG$3))</f>
        <v>#N/A</v>
      </c>
      <c r="CL163" s="61" t="e">
        <f>IF(COUNTIFS(allFYsTable[Code], SummaryTable[[#This Row],[Code]], allFYsTable[year2], CG$3)=0, NotFound, SUMIFS(allFYsTable[DiffAmount], allFYsTable[Code], SummaryTable[[#This Row],[Code]], allFYsTable[year2], CG$3))</f>
        <v>#N/A</v>
      </c>
      <c r="CM163" s="63" t="e">
        <f>IF(SummaryTable[[#This Row],[OriginalBudget17]]=0, IF(SummaryTable[[#This Row],[DiffAmount17]]=0, ZeroBudgetNoSpending, ZeroBudgetWithSpending), SummaryTable[[#This Row],[DiffAmount17]]/SummaryTable[[#This Row],[OriginalBudget17]])</f>
        <v>#N/A</v>
      </c>
      <c r="CN163" s="62" t="e">
        <f>IF(COUNTIFS(allFYsTable[Code], SummaryTable[[#This Row],[Code]], allFYsTable[year2], CN$3)=0, NotFound, SUMIFS(allFYsTable[OriginalBudget], allFYsTable[Code], SummaryTable[[#This Row],[Code]], allFYsTable[year2], CN$3))</f>
        <v>#N/A</v>
      </c>
      <c r="CO163" s="61" t="e">
        <f>SummaryTable[[#This Row],[OriginalBudget16]]-SummaryTable[[#This Row],[OriginalBudget15]]</f>
        <v>#N/A</v>
      </c>
      <c r="CP163" s="54" t="e">
        <f>SummaryTable[[#This Row],[BudgetIncreaseAmount16]]/SummaryTable[[#This Row],[OriginalBudget15]]</f>
        <v>#N/A</v>
      </c>
      <c r="CQ163" s="61" t="e">
        <f>IF(COUNTIFS(allFYsTable[Code], SummaryTable[[#This Row],[Code]], allFYsTable[year2], CN$3)=0, NotFound, SUMIFS(allFYsTable[RevisedBudget], allFYsTable[Code], SummaryTable[[#This Row],[Code]], allFYsTable[year2], CN$3))</f>
        <v>#N/A</v>
      </c>
      <c r="CR163" s="61" t="e">
        <f>IF(COUNTIFS(allFYsTable[Code], SummaryTable[[#This Row],[Code]], allFYsTable[year2], CN$3)=0, NotFound, SUMIFS(allFYsTable[Actual], allFYsTable[Code], SummaryTable[[#This Row],[Code]], allFYsTable[year2], CN$3))</f>
        <v>#N/A</v>
      </c>
      <c r="CS163" s="61" t="e">
        <f>IF(COUNTIFS(allFYsTable[Code], SummaryTable[[#This Row],[Code]], allFYsTable[year2], CN$3)=0, NotFound, SUMIFS(allFYsTable[DiffAmount], allFYsTable[Code], SummaryTable[[#This Row],[Code]], allFYsTable[year2], CN$3))</f>
        <v>#N/A</v>
      </c>
      <c r="CT163" s="63" t="e">
        <f>IF(SummaryTable[[#This Row],[OriginalBudget16]]=0, IF(SummaryTable[[#This Row],[DiffAmount16]]=0, ZeroBudgetNoSpending, ZeroBudgetWithSpending), SummaryTable[[#This Row],[DiffAmount16]]/SummaryTable[[#This Row],[OriginalBudget16]])</f>
        <v>#N/A</v>
      </c>
      <c r="CU163" s="62" t="e">
        <f>IF(COUNTIFS(allFYsTable[Code], SummaryTable[[#This Row],[Code]], allFYsTable[year2], CU$3)=0, NotFound, SUMIFS(allFYsTable[OriginalBudget], allFYsTable[Code], SummaryTable[[#This Row],[Code]], allFYsTable[year2], CU$3))</f>
        <v>#N/A</v>
      </c>
      <c r="CV163" s="61" t="e">
        <f>SummaryTable[[#This Row],[OriginalBudget15]]-SummaryTable[[#This Row],[OriginalBudget14]]</f>
        <v>#N/A</v>
      </c>
      <c r="CW163" s="54" t="e">
        <f>SummaryTable[[#This Row],[BudgetIncreaseAmount15]]/SummaryTable[[#This Row],[OriginalBudget14]]</f>
        <v>#N/A</v>
      </c>
      <c r="CX163" s="61" t="e">
        <f>IF(COUNTIFS(allFYsTable[Code], SummaryTable[[#This Row],[Code]], allFYsTable[year2], CU$3)=0, NotFound, SUMIFS(allFYsTable[RevisedBudget], allFYsTable[Code], SummaryTable[[#This Row],[Code]], allFYsTable[year2], CU$3))</f>
        <v>#N/A</v>
      </c>
      <c r="CY163" s="61" t="e">
        <f>IF(COUNTIFS(allFYsTable[Code], SummaryTable[[#This Row],[Code]], allFYsTable[year2], CU$3)=0, NotFound, SUMIFS(allFYsTable[Actual], allFYsTable[Code], SummaryTable[[#This Row],[Code]], allFYsTable[year2], CU$3))</f>
        <v>#N/A</v>
      </c>
      <c r="CZ163" s="61" t="e">
        <f>IF(COUNTIFS(allFYsTable[Code], SummaryTable[[#This Row],[Code]], allFYsTable[year2], CU$3)=0, NotFound, SUMIFS(allFYsTable[DiffAmount], allFYsTable[Code], SummaryTable[[#This Row],[Code]], allFYsTable[year2], CU$3))</f>
        <v>#N/A</v>
      </c>
      <c r="DA163" s="63" t="e">
        <f>IF(SummaryTable[[#This Row],[OriginalBudget15]]=0, IF(SummaryTable[[#This Row],[DiffAmount15]]=0, ZeroBudgetNoSpending, ZeroBudgetWithSpending), SummaryTable[[#This Row],[DiffAmount15]]/SummaryTable[[#This Row],[OriginalBudget15]])</f>
        <v>#N/A</v>
      </c>
      <c r="DB163" s="62" t="e">
        <f>IF(COUNTIFS(allFYsTable[Code], SummaryTable[[#This Row],[Code]], allFYsTable[year2], DB$3)=0, NotFound, SUMIFS(allFYsTable[OriginalBudget], allFYsTable[Code], SummaryTable[[#This Row],[Code]], allFYsTable[year2], DB$3))</f>
        <v>#N/A</v>
      </c>
      <c r="DC163" s="61" t="e">
        <f>SummaryTable[[#This Row],[OriginalBudget14]]-SummaryTable[[#This Row],[OriginalBudget13]]</f>
        <v>#N/A</v>
      </c>
      <c r="DD163" s="54" t="e">
        <f>SummaryTable[[#This Row],[BudgetIncreaseAmount14]]/SummaryTable[[#This Row],[OriginalBudget13]]</f>
        <v>#N/A</v>
      </c>
      <c r="DE163" s="61" t="e">
        <f>IF(COUNTIFS(allFYsTable[Code], SummaryTable[[#This Row],[Code]], allFYsTable[year2], DB$3)=0, NotFound, SUMIFS(allFYsTable[RevisedBudget], allFYsTable[Code], SummaryTable[[#This Row],[Code]], allFYsTable[year2], DB$3))</f>
        <v>#N/A</v>
      </c>
      <c r="DF163" s="61" t="e">
        <f>IF(COUNTIFS(allFYsTable[Code], SummaryTable[[#This Row],[Code]], allFYsTable[year2], DB$3)=0, NotFound, SUMIFS(allFYsTable[Actual], allFYsTable[Code], SummaryTable[[#This Row],[Code]], allFYsTable[year2], DB$3))</f>
        <v>#N/A</v>
      </c>
      <c r="DG163" s="61" t="e">
        <f>IF(COUNTIFS(allFYsTable[Code], SummaryTable[[#This Row],[Code]], allFYsTable[year2], DB$3)=0, NotFound, SUMIFS(allFYsTable[DiffAmount], allFYsTable[Code], SummaryTable[[#This Row],[Code]], allFYsTable[year2], DB$3))</f>
        <v>#N/A</v>
      </c>
      <c r="DH163" s="63" t="e">
        <f>IF(SummaryTable[[#This Row],[OriginalBudget14]]=0, IF(SummaryTable[[#This Row],[DiffAmount14]]=0, ZeroBudgetNoSpending, ZeroBudgetWithSpending), SummaryTable[[#This Row],[DiffAmount14]]/SummaryTable[[#This Row],[OriginalBudget14]])</f>
        <v>#N/A</v>
      </c>
      <c r="DI163" s="62" t="e">
        <f>IF(COUNTIFS(allFYsTable[Code], SummaryTable[[#This Row],[Code]], allFYsTable[year2], DI$3)=0, NotFound, SUMIFS(allFYsTable[OriginalBudget], allFYsTable[Code], SummaryTable[[#This Row],[Code]], allFYsTable[year2], DI$3))</f>
        <v>#N/A</v>
      </c>
      <c r="DJ163" s="61" t="e">
        <f>SummaryTable[[#This Row],[OriginalBudget13]]-SummaryTable[[#This Row],[OriginalBudget12]]</f>
        <v>#N/A</v>
      </c>
      <c r="DK163" s="54" t="e">
        <f>SummaryTable[[#This Row],[BudgetIncreaseAmount13]]/SummaryTable[[#This Row],[OriginalBudget12]]</f>
        <v>#N/A</v>
      </c>
      <c r="DL163" s="61" t="e">
        <f>IF(COUNTIFS(allFYsTable[Code], SummaryTable[[#This Row],[Code]], allFYsTable[year2], DI$3)=0, NotFound, SUMIFS(allFYsTable[RevisedBudget], allFYsTable[Code], SummaryTable[[#This Row],[Code]], allFYsTable[year2], DI$3))</f>
        <v>#N/A</v>
      </c>
      <c r="DM163" s="61" t="e">
        <f>IF(COUNTIFS(allFYsTable[Code], SummaryTable[[#This Row],[Code]], allFYsTable[year2], DI$3)=0, NotFound, SUMIFS(allFYsTable[Actual], allFYsTable[Code], SummaryTable[[#This Row],[Code]], allFYsTable[year2], DI$3))</f>
        <v>#N/A</v>
      </c>
      <c r="DN163" s="61" t="e">
        <f>IF(COUNTIFS(allFYsTable[Code], SummaryTable[[#This Row],[Code]], allFYsTable[year2], DI$3)=0, NotFound, SUMIFS(allFYsTable[DiffAmount], allFYsTable[Code], SummaryTable[[#This Row],[Code]], allFYsTable[year2], DI$3))</f>
        <v>#N/A</v>
      </c>
      <c r="DO163" s="63" t="e">
        <f>IF(SummaryTable[[#This Row],[OriginalBudget13]]=0, IF(SummaryTable[[#This Row],[DiffAmount13]]=0, ZeroBudgetNoSpending, ZeroBudgetWithSpending), SummaryTable[[#This Row],[DiffAmount13]]/SummaryTable[[#This Row],[OriginalBudget13]])</f>
        <v>#N/A</v>
      </c>
      <c r="DP163" s="62" t="e">
        <f>IF(COUNTIFS(allFYsTable[Code], SummaryTable[[#This Row],[Code]], allFYsTable[year2], DP$3)=0, NotFound, SUMIFS(allFYsTable[OriginalBudget], allFYsTable[Code], SummaryTable[[#This Row],[Code]], allFYsTable[year2], DP$3))</f>
        <v>#N/A</v>
      </c>
      <c r="DQ163" s="61" t="e">
        <f>SummaryTable[[#This Row],[OriginalBudget12]]-SummaryTable[[#This Row],[OriginalBudget11]]</f>
        <v>#N/A</v>
      </c>
      <c r="DR163" s="54" t="e">
        <f>SummaryTable[[#This Row],[BudgetIncreaseAmount12]]/SummaryTable[[#This Row],[OriginalBudget11]]</f>
        <v>#N/A</v>
      </c>
      <c r="DS163" s="61" t="e">
        <f>IF(COUNTIFS(allFYsTable[Code], SummaryTable[[#This Row],[Code]], allFYsTable[year2], DP$3)=0, NotFound, SUMIFS(allFYsTable[RevisedBudget], allFYsTable[Code], SummaryTable[[#This Row],[Code]], allFYsTable[year2], DP$3))</f>
        <v>#N/A</v>
      </c>
      <c r="DT163" s="61" t="e">
        <f>IF(COUNTIFS(allFYsTable[Code], SummaryTable[[#This Row],[Code]], allFYsTable[year2], DP$3)=0, NotFound, SUMIFS(allFYsTable[Actual], allFYsTable[Code], SummaryTable[[#This Row],[Code]], allFYsTable[year2], DP$3))</f>
        <v>#N/A</v>
      </c>
      <c r="DU163" s="61" t="e">
        <f>IF(COUNTIFS(allFYsTable[Code], SummaryTable[[#This Row],[Code]], allFYsTable[year2], DP$3)=0, NotFound, SUMIFS(allFYsTable[DiffAmount], allFYsTable[Code], SummaryTable[[#This Row],[Code]], allFYsTable[year2], DP$3))</f>
        <v>#N/A</v>
      </c>
      <c r="DV163" s="63" t="e">
        <f>IF(SummaryTable[[#This Row],[OriginalBudget12]]=0, IF(SummaryTable[[#This Row],[DiffAmount12]]=0, ZeroBudgetNoSpending, ZeroBudgetWithSpending), SummaryTable[[#This Row],[DiffAmount12]]/SummaryTable[[#This Row],[OriginalBudget12]])</f>
        <v>#N/A</v>
      </c>
      <c r="DW163" s="62">
        <f>IF(COUNTIFS(allFYsTable[Code], SummaryTable[[#This Row],[Code]], allFYsTable[year2], DW$3)=0, NotFound, SUMIFS(allFYsTable[OriginalBudget], allFYsTable[Code], SummaryTable[[#This Row],[Code]], allFYsTable[year2], DW$3))</f>
        <v>40000</v>
      </c>
      <c r="DX163" s="61" t="e">
        <f>SummaryTable[[#This Row],[OriginalBudget11]]-SummaryTable[[#This Row],[OriginalBudget10]]</f>
        <v>#N/A</v>
      </c>
      <c r="DY163" s="54" t="e">
        <f>SummaryTable[[#This Row],[BudgetIncreaseAmount11]]/SummaryTable[[#This Row],[OriginalBudget10]]</f>
        <v>#N/A</v>
      </c>
      <c r="DZ163" s="61">
        <f>IF(COUNTIFS(allFYsTable[Code], SummaryTable[[#This Row],[Code]], allFYsTable[year2], DW$3)=0, NotFound, SUMIFS(allFYsTable[RevisedBudget], allFYsTable[Code], SummaryTable[[#This Row],[Code]], allFYsTable[year2], DW$3))</f>
        <v>161</v>
      </c>
      <c r="EA163" s="61">
        <f>IF(COUNTIFS(allFYsTable[Code], SummaryTable[[#This Row],[Code]], allFYsTable[year2], DW$3)=0, NotFound, SUMIFS(allFYsTable[Actual], allFYsTable[Code], SummaryTable[[#This Row],[Code]], allFYsTable[year2], DW$3))</f>
        <v>0</v>
      </c>
      <c r="EB163" s="61">
        <f>IF(COUNTIFS(allFYsTable[Code], SummaryTable[[#This Row],[Code]], allFYsTable[year2], DW$3)=0, NotFound, SUMIFS(allFYsTable[DiffAmount], allFYsTable[Code], SummaryTable[[#This Row],[Code]], allFYsTable[year2], DW$3))</f>
        <v>-40000</v>
      </c>
      <c r="EC163" s="63">
        <f>IF(SummaryTable[[#This Row],[OriginalBudget11]]=0, IF(SummaryTable[[#This Row],[DiffAmount11]]=0, ZeroBudgetNoSpending, ZeroBudgetWithSpending), SummaryTable[[#This Row],[DiffAmount11]]/SummaryTable[[#This Row],[OriginalBudget11]])</f>
        <v>-1</v>
      </c>
      <c r="ED163" s="62" t="e">
        <f>IF(COUNTIFS(allFYsTable[Code], SummaryTable[[#This Row],[Code]], allFYsTable[year2], ED$3)=0, NotFound, SUMIFS(allFYsTable[OriginalBudget], allFYsTable[Code], SummaryTable[[#This Row],[Code]], allFYsTable[year2], ED$3))</f>
        <v>#N/A</v>
      </c>
      <c r="EE163" s="61" t="e">
        <f>SummaryTable[[#This Row],[OriginalBudget10]]-SummaryTable[[#This Row],[OriginalBudget09]]</f>
        <v>#N/A</v>
      </c>
      <c r="EF163" s="54" t="e">
        <f>SummaryTable[[#This Row],[BudgetIncreaseAmount10]]/SummaryTable[[#This Row],[OriginalBudget09]]</f>
        <v>#N/A</v>
      </c>
      <c r="EG163" s="61" t="e">
        <f>IF(COUNTIFS(allFYsTable[Code], SummaryTable[[#This Row],[Code]], allFYsTable[year2], ED$3)=0, NotFound, SUMIFS(allFYsTable[RevisedBudget], allFYsTable[Code], SummaryTable[[#This Row],[Code]], allFYsTable[year2], ED$3))</f>
        <v>#N/A</v>
      </c>
      <c r="EH163" s="61" t="e">
        <f>IF(COUNTIFS(allFYsTable[Code], SummaryTable[[#This Row],[Code]], allFYsTable[year2], ED$3)=0, NotFound, SUMIFS(allFYsTable[Actual], allFYsTable[Code], SummaryTable[[#This Row],[Code]], allFYsTable[year2], ED$3))</f>
        <v>#N/A</v>
      </c>
      <c r="EI163" s="61" t="e">
        <f>IF(COUNTIFS(allFYsTable[Code], SummaryTable[[#This Row],[Code]], allFYsTable[year2], ED$3)=0, NotFound, SUMIFS(allFYsTable[DiffAmount], allFYsTable[Code], SummaryTable[[#This Row],[Code]], allFYsTable[year2], ED$3))</f>
        <v>#N/A</v>
      </c>
      <c r="EJ163" s="63" t="e">
        <f>IF(SummaryTable[[#This Row],[OriginalBudget10]]=0, IF(SummaryTable[[#This Row],[DiffAmount10]]=0, ZeroBudgetNoSpending, ZeroBudgetWithSpending), SummaryTable[[#This Row],[DiffAmount10]]/SummaryTable[[#This Row],[OriginalBudget10]])</f>
        <v>#N/A</v>
      </c>
      <c r="EK163" s="62" t="e">
        <f>IF(COUNTIFS(allFYsTable[Code], SummaryTable[[#This Row],[Code]], allFYsTable[year2], EK$3)=0, NotFound, SUMIFS(allFYsTable[OriginalBudget], allFYsTable[Code], SummaryTable[[#This Row],[Code]], allFYsTable[year2], EK$3))</f>
        <v>#N/A</v>
      </c>
      <c r="EL163" s="61" t="e">
        <f>SummaryTable[[#This Row],[OriginalBudget09]]-SummaryTable[[#This Row],[OriginalBudget08]]</f>
        <v>#N/A</v>
      </c>
      <c r="EM163" s="54" t="e">
        <f>SummaryTable[[#This Row],[BudgetIncreaseAmount09]]/SummaryTable[[#This Row],[OriginalBudget08]]</f>
        <v>#N/A</v>
      </c>
      <c r="EN163" s="61" t="e">
        <f>IF(COUNTIFS(allFYsTable[Code], SummaryTable[[#This Row],[Code]], allFYsTable[year2], EK$3)=0, NotFound, SUMIFS(allFYsTable[RevisedBudget], allFYsTable[Code], SummaryTable[[#This Row],[Code]], allFYsTable[year2], EK$3))</f>
        <v>#N/A</v>
      </c>
      <c r="EO163" s="61" t="e">
        <f>IF(COUNTIFS(allFYsTable[Code], SummaryTable[[#This Row],[Code]], allFYsTable[year2], EK$3)=0, NotFound, SUMIFS(allFYsTable[Actual], allFYsTable[Code], SummaryTable[[#This Row],[Code]], allFYsTable[year2], EK$3))</f>
        <v>#N/A</v>
      </c>
      <c r="EP163" s="61" t="e">
        <f>IF(COUNTIFS(allFYsTable[Code], SummaryTable[[#This Row],[Code]], allFYsTable[year2], EK$3)=0, NotFound, SUMIFS(allFYsTable[DiffAmount], allFYsTable[Code], SummaryTable[[#This Row],[Code]], allFYsTable[year2], EK$3))</f>
        <v>#N/A</v>
      </c>
      <c r="EQ163" s="63" t="e">
        <f>IF(SummaryTable[[#This Row],[OriginalBudget09]]=0, IF(SummaryTable[[#This Row],[DiffAmount09]]=0, ZeroBudgetNoSpending, ZeroBudgetWithSpending), SummaryTable[[#This Row],[DiffAmount09]]/SummaryTable[[#This Row],[OriginalBudget09]])</f>
        <v>#N/A</v>
      </c>
      <c r="ER163" s="62" t="e">
        <f>IF(COUNTIFS(allFYsTable[Code], SummaryTable[[#This Row],[Code]], allFYsTable[year2], ER$3)=0, NotFound, SUMIFS(allFYsTable[OriginalBudget], allFYsTable[Code], SummaryTable[[#This Row],[Code]], allFYsTable[year2], ER$3))</f>
        <v>#N/A</v>
      </c>
      <c r="ES163" s="61" t="e">
        <f>SummaryTable[[#This Row],[OriginalBudget08]]-SummaryTable[[#This Row],[OriginalBudget07]]</f>
        <v>#N/A</v>
      </c>
      <c r="ET163" s="54" t="e">
        <f>SummaryTable[[#This Row],[BudgetIncreaseAmount08]]/SummaryTable[[#This Row],[OriginalBudget07]]</f>
        <v>#N/A</v>
      </c>
      <c r="EU163" s="61" t="e">
        <f>IF(COUNTIFS(allFYsTable[Code], SummaryTable[[#This Row],[Code]], allFYsTable[year2], ER$3)=0, NotFound, SUMIFS(allFYsTable[RevisedBudget], allFYsTable[Code], SummaryTable[[#This Row],[Code]], allFYsTable[year2], ER$3))</f>
        <v>#N/A</v>
      </c>
      <c r="EV163" s="61" t="e">
        <f>IF(COUNTIFS(allFYsTable[Code], SummaryTable[[#This Row],[Code]], allFYsTable[year2], ER$3)=0, NotFound, SUMIFS(allFYsTable[Actual], allFYsTable[Code], SummaryTable[[#This Row],[Code]], allFYsTable[year2], ER$3))</f>
        <v>#N/A</v>
      </c>
      <c r="EW163" s="61" t="e">
        <f>IF(COUNTIFS(allFYsTable[Code], SummaryTable[[#This Row],[Code]], allFYsTable[year2], ER$3)=0, NotFound, SUMIFS(allFYsTable[DiffAmount], allFYsTable[Code], SummaryTable[[#This Row],[Code]], allFYsTable[year2], ER$3))</f>
        <v>#N/A</v>
      </c>
      <c r="EX163" s="63" t="e">
        <f>IF(SummaryTable[[#This Row],[OriginalBudget08]]=0, IF(SummaryTable[[#This Row],[DiffAmount08]]=0, ZeroBudgetNoSpending, ZeroBudgetWithSpending), SummaryTable[[#This Row],[DiffAmount08]]/SummaryTable[[#This Row],[OriginalBudget08]])</f>
        <v>#N/A</v>
      </c>
      <c r="EY163" s="62" t="e">
        <f>IF(COUNTIFS(allFYsTable[Code], SummaryTable[[#This Row],[Code]], allFYsTable[year2], EY$3)=0, NotFound, SUMIFS(allFYsTable[OriginalBudget], allFYsTable[Code], SummaryTable[[#This Row],[Code]], allFYsTable[year2], EY$3))</f>
        <v>#N/A</v>
      </c>
      <c r="EZ163" s="61" t="e">
        <f>SummaryTable[[#This Row],[OriginalBudget07]]-SummaryTable[[#This Row],[OriginalBudget06]]</f>
        <v>#N/A</v>
      </c>
      <c r="FA163" s="54" t="e">
        <f>SummaryTable[[#This Row],[BudgetIncreaseAmount07]]/SummaryTable[[#This Row],[OriginalBudget06]]</f>
        <v>#N/A</v>
      </c>
      <c r="FB163" s="61" t="e">
        <f>IF(COUNTIFS(allFYsTable[Code], SummaryTable[[#This Row],[Code]], allFYsTable[year2], EY$3)=0, NotFound, SUMIFS(allFYsTable[RevisedBudget], allFYsTable[Code], SummaryTable[[#This Row],[Code]], allFYsTable[year2], EY$3))</f>
        <v>#N/A</v>
      </c>
      <c r="FC163" s="61" t="e">
        <f>IF(COUNTIFS(allFYsTable[Code], SummaryTable[[#This Row],[Code]], allFYsTable[year2], EY$3)=0, NotFound, SUMIFS(allFYsTable[Actual], allFYsTable[Code], SummaryTable[[#This Row],[Code]], allFYsTable[year2], EY$3))</f>
        <v>#N/A</v>
      </c>
      <c r="FD163" s="61" t="e">
        <f>IF(COUNTIFS(allFYsTable[Code], SummaryTable[[#This Row],[Code]], allFYsTable[year2], EY$3)=0, NotFound, SUMIFS(allFYsTable[DiffAmount], allFYsTable[Code], SummaryTable[[#This Row],[Code]], allFYsTable[year2], EY$3))</f>
        <v>#N/A</v>
      </c>
      <c r="FE163" s="63" t="e">
        <f>IF(SummaryTable[[#This Row],[OriginalBudget07]]=0, IF(SummaryTable[[#This Row],[DiffAmount07]]=0, ZeroBudgetNoSpending, ZeroBudgetWithSpending), SummaryTable[[#This Row],[DiffAmount07]]/SummaryTable[[#This Row],[OriginalBudget07]])</f>
        <v>#N/A</v>
      </c>
      <c r="FF163" s="62" t="e">
        <f>IF(COUNTIFS(allFYsTable[Code], SummaryTable[[#This Row],[Code]], allFYsTable[year2], FF$3)=0, NotFound, SUMIFS(allFYsTable[OriginalBudget], allFYsTable[Code], SummaryTable[[#This Row],[Code]], allFYsTable[year2], FF$3))</f>
        <v>#N/A</v>
      </c>
      <c r="FI163" s="61" t="e">
        <f>IF(COUNTIFS(allFYsTable[Code], SummaryTable[[#This Row],[Code]], allFYsTable[year2], FF$3)=0, NotFound, SUMIFS(allFYsTable[RevisedBudget], allFYsTable[Code], SummaryTable[[#This Row],[Code]], allFYsTable[year2], FF$3))</f>
        <v>#N/A</v>
      </c>
      <c r="FJ163" s="61" t="e">
        <f>IF(COUNTIFS(allFYsTable[Code], SummaryTable[[#This Row],[Code]], allFYsTable[year2], FF$3)=0, NotFound, SUMIFS(allFYsTable[Actual], allFYsTable[Code], SummaryTable[[#This Row],[Code]], allFYsTable[year2], FF$3))</f>
        <v>#N/A</v>
      </c>
      <c r="FK163" s="61" t="e">
        <f>IF(COUNTIFS(allFYsTable[Code], SummaryTable[[#This Row],[Code]], allFYsTable[year2], FF$3)=0, NotFound, SUMIFS(allFYsTable[DiffAmount], allFYsTable[Code], SummaryTable[[#This Row],[Code]], allFYsTable[year2], FF$3))</f>
        <v>#N/A</v>
      </c>
      <c r="FL163" s="63" t="e">
        <f>IF(SummaryTable[[#This Row],[OriginalBudget06]]=0, IF(SummaryTable[[#This Row],[DiffAmount06]]=0, ZeroBudgetNoSpending, ZeroBudgetWithSpending), SummaryTable[[#This Row],[DiffAmount06]]/SummaryTable[[#This Row],[OriginalBudget06]])</f>
        <v>#N/A</v>
      </c>
    </row>
    <row r="164" spans="1:168" x14ac:dyDescent="0.45">
      <c r="A164" t="s">
        <v>853</v>
      </c>
      <c r="B164">
        <f>_xlfn.MAXIFS(allFYsTable[year2], allFYsTable[Code], SummaryTable[[#This Row],[Code]])</f>
        <v>2011</v>
      </c>
      <c r="C164" t="str">
        <f>_xlfn.XLOOKUP(SummaryTable[[#This Row],[Code]], NameCodingTable[Code], NameCodingTable[Most Recent Category per allFYs])</f>
        <v>Public safety and justice</v>
      </c>
      <c r="D164" t="str">
        <f>_xlfn.XLOOKUP(SummaryTable[[#This Row],[Code]], NameCodingTable[Code], NameCodingTable[Unit Display Name])</f>
        <v>Motor  vehicle  theft  prevention   commission</v>
      </c>
      <c r="E164" t="str">
        <f>_xlfn.XLOOKUP(SummaryTable[[#This Row],[Code]], NameCodingTable[Code], NameCodingTable[Type])</f>
        <v>untyped</v>
      </c>
      <c r="F16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3</v>
      </c>
      <c r="G16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64" s="54">
        <f>SummaryTable[[#This Row],['# Over]]/SummaryTable[[#This Row],[Count]]</f>
        <v>0</v>
      </c>
      <c r="I16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v>
      </c>
      <c r="J164" s="54">
        <f>SummaryTable[[#This Row],['# Under]]/SummaryTable[[#This Row],[Count]]</f>
        <v>0.66666666666666663</v>
      </c>
      <c r="K16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64" s="54">
        <f>SummaryTable[[#This Row],['# Equal]]/SummaryTable[[#This Row],[Count]]</f>
        <v>0.33333333333333331</v>
      </c>
      <c r="M164" s="61">
        <f>SUMIFS(allFYsTable[OriginalBudget],allFYsTable[Code],SummaryTable[[#This Row],[Code]])/SummaryTable[[#This Row],[Count]]</f>
        <v>233.33333333333334</v>
      </c>
      <c r="N164" s="61">
        <f>SUMIFS(allFYsTable[Actual],allFYsTable[Code],SummaryTable[[#This Row],[Code]])/SummaryTable[[#This Row],[Count]]</f>
        <v>0</v>
      </c>
      <c r="O164" s="61">
        <f>SummaryTable[[#This Row],[AvgActAmt]]-SummaryTable[[#This Row],[AvgBudAmt]]</f>
        <v>-233.33333333333334</v>
      </c>
      <c r="P164" s="54">
        <f>IF(SummaryTable[[#This Row],[AvgBudAmt]]=0, IF(SummaryTable[[#This Row],[AvgDiff'#]]=0, 0, NamedFields!$C$3), SummaryTable[[#This Row],[AvgDiff'#]]/SummaryTable[[#This Row],[AvgBudAmt]])</f>
        <v>-1</v>
      </c>
      <c r="Q164" s="61">
        <f>IFERROR(SUMIFS(allFYsTable[OriginalBudget],allFYsTable[Code],SummaryTable[[#This Row],[Code]],allFYsTable[DiffAmount], "&gt;0")/SummaryTable[[#This Row],['# Over]], 0)</f>
        <v>0</v>
      </c>
      <c r="R164" s="61">
        <f>IFERROR(SUMIFS(allFYsTable[Actual],allFYsTable[Code],SummaryTable[[#This Row],[Code]],allFYsTable[DiffAmount], "&gt;0")/SummaryTable[[#This Row],['# Over]], 0)</f>
        <v>0</v>
      </c>
      <c r="S164" s="61">
        <f>SummaryTable[[#This Row],[OverAvgAct]]-SummaryTable[[#This Row],[OverAvgBud]]</f>
        <v>0</v>
      </c>
      <c r="T164" s="54">
        <f>IF(SummaryTable[[#This Row],[OverAvgBud]]=0, IF(SummaryTable[[#This Row],[OverAvgDiff'#]]=0, ZeroBudgetNoSpending, ZeroBudgetWithSpending), SummaryTable[[#This Row],[OverAvgDiff'#]]/SummaryTable[[#This Row],[OverAvgBud]])</f>
        <v>0</v>
      </c>
      <c r="U164" s="61">
        <f>IFERROR(SUMIFS(allFYsTable[OriginalBudget],allFYsTable[Code],SummaryTable[[#This Row],[Code]],allFYsTable[DiffAmount], "&lt;0")/SummaryTable[[#This Row],['# Under]], 0)</f>
        <v>350</v>
      </c>
      <c r="V164" s="61">
        <f>IFERROR( SUMIFS(allFYsTable[Actual],allFYsTable[Code],SummaryTable[[#This Row],[Code]],allFYsTable[DiffAmount], "&lt;0")/SummaryTable[[#This Row],['# Under]], 0)</f>
        <v>0</v>
      </c>
      <c r="W164" s="61">
        <f>SummaryTable[[#This Row],[UnderAvgAct]]-SummaryTable[[#This Row],[UnderAvgBud]]</f>
        <v>-350</v>
      </c>
      <c r="X164" s="54">
        <f>IF(SummaryTable[[#This Row],[UnderAvgBud]]=0, IF(SummaryTable[[#This Row],[UnderAvgDiff'#]]=0, ZeroBudgetNoSpending, NamedFields!$C$3), SummaryTable[[#This Row],[UnderAvgDiff'#]]/SummaryTable[[#This Row],[UnderAvgBud]])</f>
        <v>-1</v>
      </c>
      <c r="Y16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6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64" s="54">
        <f>IF(SummaryTable[[#This Row],[IncreaseYears]]=0, ZeroBudgetNoSpending, SummaryTable[[#This Row],[OSinIncreaseYear'#]]/SummaryTable[[#This Row],[IncreaseYears]])</f>
        <v>0</v>
      </c>
      <c r="AB164" s="58" t="str">
        <f>SummaryTable[[#This Row],[Code]]</f>
        <v>FW0</v>
      </c>
      <c r="AC164" s="62" t="e">
        <f>IF(COUNTIFS(allFYsTable[Code], SummaryTable[[#This Row],[Code]], allFYsTable[year2], AC$3)=0, NotFound, SUMIFS(allFYsTable[OriginalBudget], allFYsTable[Code], SummaryTable[[#This Row],[Code]], allFYsTable[year2], AC$3))</f>
        <v>#N/A</v>
      </c>
      <c r="AD164" s="61" t="e">
        <f>SummaryTable[[#This Row],[OriginalBudget25]]-SummaryTable[[#This Row],[OriginalBudget24]]</f>
        <v>#N/A</v>
      </c>
      <c r="AE164" s="54" t="e">
        <f>SummaryTable[[#This Row],[BudgetIncreaseAmount25]]/SummaryTable[[#This Row],[OriginalBudget24]]</f>
        <v>#N/A</v>
      </c>
      <c r="AF164" s="61" t="e">
        <f>IF(COUNTIFS(allFYsTable[Code], SummaryTable[[#This Row],[Code]], allFYsTable[year2], AC$3)=0, NotFound, SUMIFS(allFYsTable[RevisedBudget], allFYsTable[Code], SummaryTable[[#This Row],[Code]], allFYsTable[year2], AC$3))</f>
        <v>#N/A</v>
      </c>
      <c r="AG164" s="61" t="e">
        <f>IF(COUNTIFS(allFYsTable[Code], SummaryTable[[#This Row],[Code]], allFYsTable[year2], AC$3)=0, NotFound, SUMIFS(allFYsTable[Actual], allFYsTable[Code], SummaryTable[[#This Row],[Code]], allFYsTable[year2], AC$3))</f>
        <v>#N/A</v>
      </c>
      <c r="AH164" s="61" t="e">
        <f>IF(COUNTIFS(allFYsTable[Code], SummaryTable[[#This Row],[Code]], allFYsTable[year2], AC$3)=0, NotFound, SUMIFS(allFYsTable[DiffAmount], allFYsTable[Code], SummaryTable[[#This Row],[Code]], allFYsTable[year2], AC$3))</f>
        <v>#N/A</v>
      </c>
      <c r="AI164" s="63" t="e">
        <f>IF(SummaryTable[[#This Row],[OriginalBudget25]]=0, IF(SummaryTable[[#This Row],[DiffAmount25]]=0, ZeroBudgetNoSpending, ZeroBudgetWithSpending), SummaryTable[[#This Row],[DiffAmount25]]/SummaryTable[[#This Row],[OriginalBudget25]])</f>
        <v>#N/A</v>
      </c>
      <c r="AJ164" s="62" t="e">
        <f>IF(COUNTIFS(allFYsTable[Code], SummaryTable[[#This Row],[Code]], allFYsTable[year2], AJ$3)=0, NotFound, SUMIFS(allFYsTable[OriginalBudget], allFYsTable[Code], SummaryTable[[#This Row],[Code]], allFYsTable[year2], AJ$3))</f>
        <v>#N/A</v>
      </c>
      <c r="AK164" s="61" t="e">
        <f>SummaryTable[[#This Row],[OriginalBudget24]]-SummaryTable[[#This Row],[OriginalBudget23]]</f>
        <v>#N/A</v>
      </c>
      <c r="AL164" s="54" t="e">
        <f>SummaryTable[[#This Row],[BudgetIncreaseAmount24]]/SummaryTable[[#This Row],[OriginalBudget23]]</f>
        <v>#N/A</v>
      </c>
      <c r="AM164" s="61" t="e">
        <f>IF(COUNTIFS(allFYsTable[Code], SummaryTable[[#This Row],[Code]], allFYsTable[year2], AK$3)=0, NotFound, SUMIFS(allFYsTable[RevisedBudget], allFYsTable[Code], SummaryTable[[#This Row],[Code]], allFYsTable[year2], AJ$3))</f>
        <v>#N/A</v>
      </c>
      <c r="AN164" s="61" t="e">
        <f>IF(COUNTIFS(allFYsTable[Code], SummaryTable[[#This Row],[Code]], allFYsTable[year2], AJ$3)=0, NotFound, SUMIFS(allFYsTable[Actual], allFYsTable[Code], SummaryTable[[#This Row],[Code]], allFYsTable[year2], AJ$3))</f>
        <v>#N/A</v>
      </c>
      <c r="AO164" s="61" t="e">
        <f>IF(COUNTIFS(allFYsTable[Code], SummaryTable[[#This Row],[Code]], allFYsTable[year2], AJ$3)=0, NotFound, SUMIFS(allFYsTable[DiffAmount], allFYsTable[Code], SummaryTable[[#This Row],[Code]], allFYsTable[year2], AJ$3))</f>
        <v>#N/A</v>
      </c>
      <c r="AP164" s="63" t="e">
        <f>IF(SummaryTable[[#This Row],[OriginalBudget24]]=0, IF(SummaryTable[[#This Row],[DiffAmount24]]=0, ZeroBudgetNoSpending, ZeroBudgetWithSpending), SummaryTable[[#This Row],[DiffAmount24]]/SummaryTable[[#This Row],[OriginalBudget24]])</f>
        <v>#N/A</v>
      </c>
      <c r="AQ164" s="62" t="e">
        <f>IF(COUNTIFS(allFYsTable[Code], SummaryTable[[#This Row],[Code]], allFYsTable[year2], AQ$3)=0, NotFound, SUMIFS(allFYsTable[OriginalBudget], allFYsTable[Code], SummaryTable[[#This Row],[Code]], allFYsTable[year2], AQ$3))</f>
        <v>#N/A</v>
      </c>
      <c r="AR164" s="61" t="e">
        <f>SummaryTable[[#This Row],[OriginalBudget23]]-SummaryTable[[#This Row],[OriginalBudget22]]</f>
        <v>#N/A</v>
      </c>
      <c r="AS164" s="54" t="e">
        <f>SummaryTable[[#This Row],[BudgetIncreaseAmount23]]/SummaryTable[[#This Row],[OriginalBudget22]]</f>
        <v>#N/A</v>
      </c>
      <c r="AT164" s="61" t="e">
        <f>IF(COUNTIFS(allFYsTable[Code], SummaryTable[[#This Row],[Code]], allFYsTable[year2], AQ$3)=0, NotFound, SUMIFS(allFYsTable[RevisedBudget], allFYsTable[Code], SummaryTable[[#This Row],[Code]], allFYsTable[year2], AQ$3))</f>
        <v>#N/A</v>
      </c>
      <c r="AU164" s="61" t="e">
        <f>IF(COUNTIFS(allFYsTable[Code], SummaryTable[[#This Row],[Code]], allFYsTable[year2], AQ$3)=0, NotFound, SUMIFS(allFYsTable[Actual], allFYsTable[Code], SummaryTable[[#This Row],[Code]], allFYsTable[year2], AQ$3))</f>
        <v>#N/A</v>
      </c>
      <c r="AV164" s="61" t="e">
        <f>IF(COUNTIFS(allFYsTable[Code], SummaryTable[[#This Row],[Code]], allFYsTable[year2], AQ$3)=0, NotFound, SUMIFS(allFYsTable[DiffAmount], allFYsTable[Code], SummaryTable[[#This Row],[Code]], allFYsTable[year2], AQ$3))</f>
        <v>#N/A</v>
      </c>
      <c r="AW164" s="63" t="e">
        <f>IF(SummaryTable[[#This Row],[OriginalBudget23]]=0, IF(SummaryTable[[#This Row],[DiffAmount23]]=0, ZeroBudgetNoSpending, ZeroBudgetWithSpending), SummaryTable[[#This Row],[DiffAmount23]]/SummaryTable[[#This Row],[OriginalBudget23]])</f>
        <v>#N/A</v>
      </c>
      <c r="AX164" s="62" t="e">
        <f>IF(COUNTIFS(allFYsTable[Code], SummaryTable[[#This Row],[Code]], allFYsTable[year2], AX$3)=0, NotFound, SUMIFS(allFYsTable[OriginalBudget], allFYsTable[Code], SummaryTable[[#This Row],[Code]], allFYsTable[year2], AX$3))</f>
        <v>#N/A</v>
      </c>
      <c r="AY164" s="61" t="e">
        <f>SummaryTable[[#This Row],[OriginalBudget22]]-SummaryTable[[#This Row],[OriginalBudget21]]</f>
        <v>#N/A</v>
      </c>
      <c r="AZ164" s="54" t="e">
        <f>SummaryTable[[#This Row],[BudgetIncreaseAmount22]]/SummaryTable[[#This Row],[OriginalBudget21]]</f>
        <v>#N/A</v>
      </c>
      <c r="BA164" s="61" t="e">
        <f>IF(COUNTIFS(allFYsTable[Code], SummaryTable[[#This Row],[Code]], allFYsTable[year2], AX$3)=0, NotFound, SUMIFS(allFYsTable[RevisedBudget], allFYsTable[Code], SummaryTable[[#This Row],[Code]], allFYsTable[year2], AX$3))</f>
        <v>#N/A</v>
      </c>
      <c r="BB164" s="61" t="e">
        <f>IF(COUNTIFS(allFYsTable[Code], SummaryTable[[#This Row],[Code]], allFYsTable[year2], AX$3)=0, NotFound, SUMIFS(allFYsTable[Actual], allFYsTable[Code], SummaryTable[[#This Row],[Code]], allFYsTable[year2], AX$3))</f>
        <v>#N/A</v>
      </c>
      <c r="BC164" s="61" t="e">
        <f>IF(COUNTIFS(allFYsTable[Code], SummaryTable[[#This Row],[Code]], allFYsTable[year2], AX$3)=0, NotFound, SUMIFS(allFYsTable[DiffAmount], allFYsTable[Code], SummaryTable[[#This Row],[Code]], allFYsTable[year2], AX$3))</f>
        <v>#N/A</v>
      </c>
      <c r="BD164" s="63" t="e">
        <f>IF(SummaryTable[[#This Row],[OriginalBudget22]]=0, IF(SummaryTable[[#This Row],[DiffAmount22]]=0, ZeroBudgetNoSpending, ZeroBudgetWithSpending), SummaryTable[[#This Row],[DiffAmount22]]/SummaryTable[[#This Row],[OriginalBudget22]])</f>
        <v>#N/A</v>
      </c>
      <c r="BE164" s="62" t="e">
        <f>IF(COUNTIFS(allFYsTable[Code], SummaryTable[[#This Row],[Code]], allFYsTable[year2], BE$3)=0, NotFound, SUMIFS(allFYsTable[OriginalBudget], allFYsTable[Code], SummaryTable[[#This Row],[Code]], allFYsTable[year2], BE$3))</f>
        <v>#N/A</v>
      </c>
      <c r="BF164" s="61" t="e">
        <f>SummaryTable[[#This Row],[OriginalBudget21]]-SummaryTable[[#This Row],[OriginalBudget20]]</f>
        <v>#N/A</v>
      </c>
      <c r="BG164" s="54" t="e">
        <f>SummaryTable[[#This Row],[BudgetIncreaseAmount21]]/SummaryTable[[#This Row],[OriginalBudget20]]</f>
        <v>#N/A</v>
      </c>
      <c r="BH164" s="61" t="e">
        <f>IF(COUNTIFS(allFYsTable[Code], SummaryTable[[#This Row],[Code]], allFYsTable[year2], BE$3)=0, NotFound, SUMIFS(allFYsTable[RevisedBudget], allFYsTable[Code], SummaryTable[[#This Row],[Code]], allFYsTable[year2], BE$3))</f>
        <v>#N/A</v>
      </c>
      <c r="BI164" s="61" t="e">
        <f>IF(COUNTIFS(allFYsTable[Code], SummaryTable[[#This Row],[Code]], allFYsTable[year2], BE$3)=0, NotFound, SUMIFS(allFYsTable[Actual], allFYsTable[Code], SummaryTable[[#This Row],[Code]], allFYsTable[year2], BE$3))</f>
        <v>#N/A</v>
      </c>
      <c r="BJ164" s="61" t="e">
        <f>IF(COUNTIFS(allFYsTable[Code], SummaryTable[[#This Row],[Code]], allFYsTable[year2], BE$3)=0, NotFound, SUMIFS(allFYsTable[DiffAmount], allFYsTable[Code], SummaryTable[[#This Row],[Code]], allFYsTable[year2], BE$3))</f>
        <v>#N/A</v>
      </c>
      <c r="BK164" s="63" t="e">
        <f>IF(SummaryTable[[#This Row],[OriginalBudget21]]=0, IF(SummaryTable[[#This Row],[DiffAmount21]]=0, ZeroBudgetNoSpending, ZeroBudgetWithSpending), SummaryTable[[#This Row],[DiffAmount21]]/SummaryTable[[#This Row],[OriginalBudget21]])</f>
        <v>#N/A</v>
      </c>
      <c r="BL164" s="62" t="e">
        <f>IF(COUNTIFS(allFYsTable[Code], SummaryTable[[#This Row],[Code]], allFYsTable[year2], BL$3)=0, NotFound, SUMIFS(allFYsTable[OriginalBudget], allFYsTable[Code], SummaryTable[[#This Row],[Code]], allFYsTable[year2], BL$3))</f>
        <v>#N/A</v>
      </c>
      <c r="BM164" s="61" t="e">
        <f>SummaryTable[[#This Row],[OriginalBudget20]]-SummaryTable[[#This Row],[OriginalBudget19]]</f>
        <v>#N/A</v>
      </c>
      <c r="BN164" s="54" t="e">
        <f>SummaryTable[[#This Row],[BudgetIncreaseAmount20]]/SummaryTable[[#This Row],[OriginalBudget19]]</f>
        <v>#N/A</v>
      </c>
      <c r="BO164" s="61" t="e">
        <f>IF(COUNTIFS(allFYsTable[Code], SummaryTable[[#This Row],[Code]], allFYsTable[year2], BL$3)=0, NotFound, SUMIFS(allFYsTable[RevisedBudget], allFYsTable[Code], SummaryTable[[#This Row],[Code]], allFYsTable[year2], BL$3))</f>
        <v>#N/A</v>
      </c>
      <c r="BP164" s="61" t="e">
        <f>IF(COUNTIFS(allFYsTable[Code], SummaryTable[[#This Row],[Code]], allFYsTable[year2], BL$3)=0, NotFound, SUMIFS(allFYsTable[Actual], allFYsTable[Code], SummaryTable[[#This Row],[Code]], allFYsTable[year2], BL$3))</f>
        <v>#N/A</v>
      </c>
      <c r="BQ164" s="61" t="e">
        <f>IF(COUNTIFS(allFYsTable[Code], SummaryTable[[#This Row],[Code]], allFYsTable[year2], BL$3)=0, NotFound, SUMIFS(allFYsTable[DiffAmount], allFYsTable[Code], SummaryTable[[#This Row],[Code]], allFYsTable[year2], BL$3))</f>
        <v>#N/A</v>
      </c>
      <c r="BR164" s="63" t="e">
        <f>IF(SummaryTable[[#This Row],[OriginalBudget20]]=0, IF(SummaryTable[[#This Row],[DiffAmount20]]=0, ZeroBudgetNoSpending, ZeroBudgetWithSpending), SummaryTable[[#This Row],[DiffAmount20]]/SummaryTable[[#This Row],[OriginalBudget20]])</f>
        <v>#N/A</v>
      </c>
      <c r="BS164" s="62" t="e">
        <f>IF(COUNTIFS(allFYsTable[Code], SummaryTable[[#This Row],[Code]], allFYsTable[year2], BS$3)=0, NotFound, SUMIFS(allFYsTable[OriginalBudget], allFYsTable[Code], SummaryTable[[#This Row],[Code]], allFYsTable[year2], BS$3))</f>
        <v>#N/A</v>
      </c>
      <c r="BT164" s="61" t="e">
        <f>SummaryTable[[#This Row],[OriginalBudget19]]-SummaryTable[[#This Row],[OriginalBudget18]]</f>
        <v>#N/A</v>
      </c>
      <c r="BU164" s="54" t="e">
        <f>SummaryTable[[#This Row],[BudgetIncreaseAmount19]]/SummaryTable[[#This Row],[OriginalBudget18]]</f>
        <v>#N/A</v>
      </c>
      <c r="BV164" s="61" t="e">
        <f>IF(COUNTIFS(allFYsTable[Code], SummaryTable[[#This Row],[Code]], allFYsTable[year2], BS$3)=0, NotFound, SUMIFS(allFYsTable[RevisedBudget], allFYsTable[Code], SummaryTable[[#This Row],[Code]], allFYsTable[year2], BS$3))</f>
        <v>#N/A</v>
      </c>
      <c r="BW164" s="61" t="e">
        <f>IF(COUNTIFS(allFYsTable[Code], SummaryTable[[#This Row],[Code]], allFYsTable[year2], BS$3)=0, NotFound, SUMIFS(allFYsTable[Actual], allFYsTable[Code], SummaryTable[[#This Row],[Code]], allFYsTable[year2], BS$3))</f>
        <v>#N/A</v>
      </c>
      <c r="BX164" s="61" t="e">
        <f>IF(COUNTIFS(allFYsTable[Code], SummaryTable[[#This Row],[Code]], allFYsTable[year2], BS$3)=0, NotFound, SUMIFS(allFYsTable[DiffAmount], allFYsTable[Code], SummaryTable[[#This Row],[Code]], allFYsTable[year2], BS$3))</f>
        <v>#N/A</v>
      </c>
      <c r="BY164" s="63" t="e">
        <f>IF(SummaryTable[[#This Row],[OriginalBudget19]]=0, IF(SummaryTable[[#This Row],[DiffAmount19]]=0, ZeroBudgetNoSpending, ZeroBudgetWithSpending), SummaryTable[[#This Row],[DiffAmount19]]/SummaryTable[[#This Row],[OriginalBudget19]])</f>
        <v>#N/A</v>
      </c>
      <c r="BZ164" s="62" t="e">
        <f>IF(COUNTIFS(allFYsTable[Code], SummaryTable[[#This Row],[Code]], allFYsTable[year2], BZ$3)=0, NotFound, SUMIFS(allFYsTable[OriginalBudget], allFYsTable[Code], SummaryTable[[#This Row],[Code]], allFYsTable[year2], BZ$3))</f>
        <v>#N/A</v>
      </c>
      <c r="CA164" s="61" t="e">
        <f>SummaryTable[[#This Row],[OriginalBudget18]]-SummaryTable[[#This Row],[OriginalBudget17]]</f>
        <v>#N/A</v>
      </c>
      <c r="CB164" s="54" t="e">
        <f>SummaryTable[[#This Row],[BudgetIncreaseAmount18]]/SummaryTable[[#This Row],[OriginalBudget17]]</f>
        <v>#N/A</v>
      </c>
      <c r="CC164" s="61" t="e">
        <f>IF(COUNTIFS(allFYsTable[Code], SummaryTable[[#This Row],[Code]], allFYsTable[year2], BZ$3)=0, NotFound, SUMIFS(allFYsTable[RevisedBudget], allFYsTable[Code], SummaryTable[[#This Row],[Code]], allFYsTable[year2], BZ$3))</f>
        <v>#N/A</v>
      </c>
      <c r="CD164" s="61" t="e">
        <f>IF(COUNTIFS(allFYsTable[Code], SummaryTable[[#This Row],[Code]], allFYsTable[year2], BZ$3)=0, NotFound, SUMIFS(allFYsTable[Actual], allFYsTable[Code], SummaryTable[[#This Row],[Code]], allFYsTable[year2], BZ$3))</f>
        <v>#N/A</v>
      </c>
      <c r="CE164" s="61" t="e">
        <f>IF(COUNTIFS(allFYsTable[Code], SummaryTable[[#This Row],[Code]], allFYsTable[year2], BZ$3)=0, NotFound, SUMIFS(allFYsTable[DiffAmount], allFYsTable[Code], SummaryTable[[#This Row],[Code]], allFYsTable[year2], BZ$3))</f>
        <v>#N/A</v>
      </c>
      <c r="CF164" s="63" t="e">
        <f>IF(SummaryTable[[#This Row],[OriginalBudget18]]=0, IF(SummaryTable[[#This Row],[DiffAmount18]]=0, ZeroBudgetNoSpending, ZeroBudgetWithSpending), SummaryTable[[#This Row],[DiffAmount18]]/SummaryTable[[#This Row],[OriginalBudget18]])</f>
        <v>#N/A</v>
      </c>
      <c r="CG164" s="62" t="e">
        <f>IF(COUNTIFS(allFYsTable[Code], SummaryTable[[#This Row],[Code]], allFYsTable[year2], CG$3)=0, NotFound, SUMIFS(allFYsTable[OriginalBudget], allFYsTable[Code], SummaryTable[[#This Row],[Code]], allFYsTable[year2], CG$3))</f>
        <v>#N/A</v>
      </c>
      <c r="CH164" s="61" t="e">
        <f>SummaryTable[[#This Row],[OriginalBudget17]]-SummaryTable[[#This Row],[OriginalBudget16]]</f>
        <v>#N/A</v>
      </c>
      <c r="CI164" s="54" t="e">
        <f>SummaryTable[[#This Row],[BudgetIncreaseAmount17]]/SummaryTable[[#This Row],[OriginalBudget16]]</f>
        <v>#N/A</v>
      </c>
      <c r="CJ164" s="61" t="e">
        <f>IF(COUNTIFS(allFYsTable[Code], SummaryTable[[#This Row],[Code]], allFYsTable[year2], CG$3)=0, NotFound, SUMIFS(allFYsTable[RevisedBudget], allFYsTable[Code], SummaryTable[[#This Row],[Code]], allFYsTable[year2], CG$3))</f>
        <v>#N/A</v>
      </c>
      <c r="CK164" s="61" t="e">
        <f>IF(COUNTIFS(allFYsTable[Code], SummaryTable[[#This Row],[Code]], allFYsTable[year2], CG$3)=0, NotFound, SUMIFS(allFYsTable[Actual], allFYsTable[Code], SummaryTable[[#This Row],[Code]], allFYsTable[year2], CG$3))</f>
        <v>#N/A</v>
      </c>
      <c r="CL164" s="61" t="e">
        <f>IF(COUNTIFS(allFYsTable[Code], SummaryTable[[#This Row],[Code]], allFYsTable[year2], CG$3)=0, NotFound, SUMIFS(allFYsTable[DiffAmount], allFYsTable[Code], SummaryTable[[#This Row],[Code]], allFYsTable[year2], CG$3))</f>
        <v>#N/A</v>
      </c>
      <c r="CM164" s="63" t="e">
        <f>IF(SummaryTable[[#This Row],[OriginalBudget17]]=0, IF(SummaryTable[[#This Row],[DiffAmount17]]=0, ZeroBudgetNoSpending, ZeroBudgetWithSpending), SummaryTable[[#This Row],[DiffAmount17]]/SummaryTable[[#This Row],[OriginalBudget17]])</f>
        <v>#N/A</v>
      </c>
      <c r="CN164" s="62" t="e">
        <f>IF(COUNTIFS(allFYsTable[Code], SummaryTable[[#This Row],[Code]], allFYsTable[year2], CN$3)=0, NotFound, SUMIFS(allFYsTable[OriginalBudget], allFYsTable[Code], SummaryTable[[#This Row],[Code]], allFYsTable[year2], CN$3))</f>
        <v>#N/A</v>
      </c>
      <c r="CO164" s="61" t="e">
        <f>SummaryTable[[#This Row],[OriginalBudget16]]-SummaryTable[[#This Row],[OriginalBudget15]]</f>
        <v>#N/A</v>
      </c>
      <c r="CP164" s="54" t="e">
        <f>SummaryTable[[#This Row],[BudgetIncreaseAmount16]]/SummaryTable[[#This Row],[OriginalBudget15]]</f>
        <v>#N/A</v>
      </c>
      <c r="CQ164" s="61" t="e">
        <f>IF(COUNTIFS(allFYsTable[Code], SummaryTable[[#This Row],[Code]], allFYsTable[year2], CN$3)=0, NotFound, SUMIFS(allFYsTable[RevisedBudget], allFYsTable[Code], SummaryTable[[#This Row],[Code]], allFYsTable[year2], CN$3))</f>
        <v>#N/A</v>
      </c>
      <c r="CR164" s="61" t="e">
        <f>IF(COUNTIFS(allFYsTable[Code], SummaryTable[[#This Row],[Code]], allFYsTable[year2], CN$3)=0, NotFound, SUMIFS(allFYsTable[Actual], allFYsTable[Code], SummaryTable[[#This Row],[Code]], allFYsTable[year2], CN$3))</f>
        <v>#N/A</v>
      </c>
      <c r="CS164" s="61" t="e">
        <f>IF(COUNTIFS(allFYsTable[Code], SummaryTable[[#This Row],[Code]], allFYsTable[year2], CN$3)=0, NotFound, SUMIFS(allFYsTable[DiffAmount], allFYsTable[Code], SummaryTable[[#This Row],[Code]], allFYsTable[year2], CN$3))</f>
        <v>#N/A</v>
      </c>
      <c r="CT164" s="63" t="e">
        <f>IF(SummaryTable[[#This Row],[OriginalBudget16]]=0, IF(SummaryTable[[#This Row],[DiffAmount16]]=0, ZeroBudgetNoSpending, ZeroBudgetWithSpending), SummaryTable[[#This Row],[DiffAmount16]]/SummaryTable[[#This Row],[OriginalBudget16]])</f>
        <v>#N/A</v>
      </c>
      <c r="CU164" s="62" t="e">
        <f>IF(COUNTIFS(allFYsTable[Code], SummaryTable[[#This Row],[Code]], allFYsTable[year2], CU$3)=0, NotFound, SUMIFS(allFYsTable[OriginalBudget], allFYsTable[Code], SummaryTable[[#This Row],[Code]], allFYsTable[year2], CU$3))</f>
        <v>#N/A</v>
      </c>
      <c r="CV164" s="61" t="e">
        <f>SummaryTable[[#This Row],[OriginalBudget15]]-SummaryTable[[#This Row],[OriginalBudget14]]</f>
        <v>#N/A</v>
      </c>
      <c r="CW164" s="54" t="e">
        <f>SummaryTable[[#This Row],[BudgetIncreaseAmount15]]/SummaryTable[[#This Row],[OriginalBudget14]]</f>
        <v>#N/A</v>
      </c>
      <c r="CX164" s="61" t="e">
        <f>IF(COUNTIFS(allFYsTable[Code], SummaryTable[[#This Row],[Code]], allFYsTable[year2], CU$3)=0, NotFound, SUMIFS(allFYsTable[RevisedBudget], allFYsTable[Code], SummaryTable[[#This Row],[Code]], allFYsTable[year2], CU$3))</f>
        <v>#N/A</v>
      </c>
      <c r="CY164" s="61" t="e">
        <f>IF(COUNTIFS(allFYsTable[Code], SummaryTable[[#This Row],[Code]], allFYsTable[year2], CU$3)=0, NotFound, SUMIFS(allFYsTable[Actual], allFYsTable[Code], SummaryTable[[#This Row],[Code]], allFYsTable[year2], CU$3))</f>
        <v>#N/A</v>
      </c>
      <c r="CZ164" s="61" t="e">
        <f>IF(COUNTIFS(allFYsTable[Code], SummaryTable[[#This Row],[Code]], allFYsTable[year2], CU$3)=0, NotFound, SUMIFS(allFYsTable[DiffAmount], allFYsTable[Code], SummaryTable[[#This Row],[Code]], allFYsTable[year2], CU$3))</f>
        <v>#N/A</v>
      </c>
      <c r="DA164" s="63" t="e">
        <f>IF(SummaryTable[[#This Row],[OriginalBudget15]]=0, IF(SummaryTable[[#This Row],[DiffAmount15]]=0, ZeroBudgetNoSpending, ZeroBudgetWithSpending), SummaryTable[[#This Row],[DiffAmount15]]/SummaryTable[[#This Row],[OriginalBudget15]])</f>
        <v>#N/A</v>
      </c>
      <c r="DB164" s="62" t="e">
        <f>IF(COUNTIFS(allFYsTable[Code], SummaryTable[[#This Row],[Code]], allFYsTable[year2], DB$3)=0, NotFound, SUMIFS(allFYsTable[OriginalBudget], allFYsTable[Code], SummaryTable[[#This Row],[Code]], allFYsTable[year2], DB$3))</f>
        <v>#N/A</v>
      </c>
      <c r="DC164" s="61" t="e">
        <f>SummaryTable[[#This Row],[OriginalBudget14]]-SummaryTable[[#This Row],[OriginalBudget13]]</f>
        <v>#N/A</v>
      </c>
      <c r="DD164" s="54" t="e">
        <f>SummaryTable[[#This Row],[BudgetIncreaseAmount14]]/SummaryTable[[#This Row],[OriginalBudget13]]</f>
        <v>#N/A</v>
      </c>
      <c r="DE164" s="61" t="e">
        <f>IF(COUNTIFS(allFYsTable[Code], SummaryTable[[#This Row],[Code]], allFYsTable[year2], DB$3)=0, NotFound, SUMIFS(allFYsTable[RevisedBudget], allFYsTable[Code], SummaryTable[[#This Row],[Code]], allFYsTable[year2], DB$3))</f>
        <v>#N/A</v>
      </c>
      <c r="DF164" s="61" t="e">
        <f>IF(COUNTIFS(allFYsTable[Code], SummaryTable[[#This Row],[Code]], allFYsTable[year2], DB$3)=0, NotFound, SUMIFS(allFYsTable[Actual], allFYsTable[Code], SummaryTable[[#This Row],[Code]], allFYsTable[year2], DB$3))</f>
        <v>#N/A</v>
      </c>
      <c r="DG164" s="61" t="e">
        <f>IF(COUNTIFS(allFYsTable[Code], SummaryTable[[#This Row],[Code]], allFYsTable[year2], DB$3)=0, NotFound, SUMIFS(allFYsTable[DiffAmount], allFYsTable[Code], SummaryTable[[#This Row],[Code]], allFYsTable[year2], DB$3))</f>
        <v>#N/A</v>
      </c>
      <c r="DH164" s="63" t="e">
        <f>IF(SummaryTable[[#This Row],[OriginalBudget14]]=0, IF(SummaryTable[[#This Row],[DiffAmount14]]=0, ZeroBudgetNoSpending, ZeroBudgetWithSpending), SummaryTable[[#This Row],[DiffAmount14]]/SummaryTable[[#This Row],[OriginalBudget14]])</f>
        <v>#N/A</v>
      </c>
      <c r="DI164" s="62" t="e">
        <f>IF(COUNTIFS(allFYsTable[Code], SummaryTable[[#This Row],[Code]], allFYsTable[year2], DI$3)=0, NotFound, SUMIFS(allFYsTable[OriginalBudget], allFYsTable[Code], SummaryTable[[#This Row],[Code]], allFYsTable[year2], DI$3))</f>
        <v>#N/A</v>
      </c>
      <c r="DJ164" s="61" t="e">
        <f>SummaryTable[[#This Row],[OriginalBudget13]]-SummaryTable[[#This Row],[OriginalBudget12]]</f>
        <v>#N/A</v>
      </c>
      <c r="DK164" s="54" t="e">
        <f>SummaryTable[[#This Row],[BudgetIncreaseAmount13]]/SummaryTable[[#This Row],[OriginalBudget12]]</f>
        <v>#N/A</v>
      </c>
      <c r="DL164" s="61" t="e">
        <f>IF(COUNTIFS(allFYsTable[Code], SummaryTable[[#This Row],[Code]], allFYsTable[year2], DI$3)=0, NotFound, SUMIFS(allFYsTable[RevisedBudget], allFYsTable[Code], SummaryTable[[#This Row],[Code]], allFYsTable[year2], DI$3))</f>
        <v>#N/A</v>
      </c>
      <c r="DM164" s="61" t="e">
        <f>IF(COUNTIFS(allFYsTable[Code], SummaryTable[[#This Row],[Code]], allFYsTable[year2], DI$3)=0, NotFound, SUMIFS(allFYsTable[Actual], allFYsTable[Code], SummaryTable[[#This Row],[Code]], allFYsTable[year2], DI$3))</f>
        <v>#N/A</v>
      </c>
      <c r="DN164" s="61" t="e">
        <f>IF(COUNTIFS(allFYsTable[Code], SummaryTable[[#This Row],[Code]], allFYsTable[year2], DI$3)=0, NotFound, SUMIFS(allFYsTable[DiffAmount], allFYsTable[Code], SummaryTable[[#This Row],[Code]], allFYsTable[year2], DI$3))</f>
        <v>#N/A</v>
      </c>
      <c r="DO164" s="63" t="e">
        <f>IF(SummaryTable[[#This Row],[OriginalBudget13]]=0, IF(SummaryTable[[#This Row],[DiffAmount13]]=0, ZeroBudgetNoSpending, ZeroBudgetWithSpending), SummaryTable[[#This Row],[DiffAmount13]]/SummaryTable[[#This Row],[OriginalBudget13]])</f>
        <v>#N/A</v>
      </c>
      <c r="DP164" s="62" t="e">
        <f>IF(COUNTIFS(allFYsTable[Code], SummaryTable[[#This Row],[Code]], allFYsTable[year2], DP$3)=0, NotFound, SUMIFS(allFYsTable[OriginalBudget], allFYsTable[Code], SummaryTable[[#This Row],[Code]], allFYsTable[year2], DP$3))</f>
        <v>#N/A</v>
      </c>
      <c r="DQ164" s="61" t="e">
        <f>SummaryTable[[#This Row],[OriginalBudget12]]-SummaryTable[[#This Row],[OriginalBudget11]]</f>
        <v>#N/A</v>
      </c>
      <c r="DR164" s="54" t="e">
        <f>SummaryTable[[#This Row],[BudgetIncreaseAmount12]]/SummaryTable[[#This Row],[OriginalBudget11]]</f>
        <v>#N/A</v>
      </c>
      <c r="DS164" s="61" t="e">
        <f>IF(COUNTIFS(allFYsTable[Code], SummaryTable[[#This Row],[Code]], allFYsTable[year2], DP$3)=0, NotFound, SUMIFS(allFYsTable[RevisedBudget], allFYsTable[Code], SummaryTable[[#This Row],[Code]], allFYsTable[year2], DP$3))</f>
        <v>#N/A</v>
      </c>
      <c r="DT164" s="61" t="e">
        <f>IF(COUNTIFS(allFYsTable[Code], SummaryTable[[#This Row],[Code]], allFYsTable[year2], DP$3)=0, NotFound, SUMIFS(allFYsTable[Actual], allFYsTable[Code], SummaryTable[[#This Row],[Code]], allFYsTable[year2], DP$3))</f>
        <v>#N/A</v>
      </c>
      <c r="DU164" s="61" t="e">
        <f>IF(COUNTIFS(allFYsTable[Code], SummaryTable[[#This Row],[Code]], allFYsTable[year2], DP$3)=0, NotFound, SUMIFS(allFYsTable[DiffAmount], allFYsTable[Code], SummaryTable[[#This Row],[Code]], allFYsTable[year2], DP$3))</f>
        <v>#N/A</v>
      </c>
      <c r="DV164" s="63" t="e">
        <f>IF(SummaryTable[[#This Row],[OriginalBudget12]]=0, IF(SummaryTable[[#This Row],[DiffAmount12]]=0, ZeroBudgetNoSpending, ZeroBudgetWithSpending), SummaryTable[[#This Row],[DiffAmount12]]/SummaryTable[[#This Row],[OriginalBudget12]])</f>
        <v>#N/A</v>
      </c>
      <c r="DW164" s="62">
        <f>IF(COUNTIFS(allFYsTable[Code], SummaryTable[[#This Row],[Code]], allFYsTable[year2], DW$3)=0, NotFound, SUMIFS(allFYsTable[OriginalBudget], allFYsTable[Code], SummaryTable[[#This Row],[Code]], allFYsTable[year2], DW$3))</f>
        <v>0</v>
      </c>
      <c r="DX164" s="61">
        <f>SummaryTable[[#This Row],[OriginalBudget11]]-SummaryTable[[#This Row],[OriginalBudget10]]</f>
        <v>-225</v>
      </c>
      <c r="DY164" s="54">
        <f>SummaryTable[[#This Row],[BudgetIncreaseAmount11]]/SummaryTable[[#This Row],[OriginalBudget10]]</f>
        <v>-1</v>
      </c>
      <c r="DZ164" s="61">
        <f>IF(COUNTIFS(allFYsTable[Code], SummaryTable[[#This Row],[Code]], allFYsTable[year2], DW$3)=0, NotFound, SUMIFS(allFYsTable[RevisedBudget], allFYsTable[Code], SummaryTable[[#This Row],[Code]], allFYsTable[year2], DW$3))</f>
        <v>0</v>
      </c>
      <c r="EA164" s="61">
        <f>IF(COUNTIFS(allFYsTable[Code], SummaryTable[[#This Row],[Code]], allFYsTable[year2], DW$3)=0, NotFound, SUMIFS(allFYsTable[Actual], allFYsTable[Code], SummaryTable[[#This Row],[Code]], allFYsTable[year2], DW$3))</f>
        <v>0</v>
      </c>
      <c r="EB164" s="61">
        <f>IF(COUNTIFS(allFYsTable[Code], SummaryTable[[#This Row],[Code]], allFYsTable[year2], DW$3)=0, NotFound, SUMIFS(allFYsTable[DiffAmount], allFYsTable[Code], SummaryTable[[#This Row],[Code]], allFYsTable[year2], DW$3))</f>
        <v>0</v>
      </c>
      <c r="EC164" s="63">
        <f>IF(SummaryTable[[#This Row],[OriginalBudget11]]=0, IF(SummaryTable[[#This Row],[DiffAmount11]]=0, ZeroBudgetNoSpending, ZeroBudgetWithSpending), SummaryTable[[#This Row],[DiffAmount11]]/SummaryTable[[#This Row],[OriginalBudget11]])</f>
        <v>0</v>
      </c>
      <c r="ED164" s="62">
        <f>IF(COUNTIFS(allFYsTable[Code], SummaryTable[[#This Row],[Code]], allFYsTable[year2], ED$3)=0, NotFound, SUMIFS(allFYsTable[OriginalBudget], allFYsTable[Code], SummaryTable[[#This Row],[Code]], allFYsTable[year2], ED$3))</f>
        <v>225</v>
      </c>
      <c r="EE164" s="61">
        <f>SummaryTable[[#This Row],[OriginalBudget10]]-SummaryTable[[#This Row],[OriginalBudget09]]</f>
        <v>-250</v>
      </c>
      <c r="EF164" s="54">
        <f>SummaryTable[[#This Row],[BudgetIncreaseAmount10]]/SummaryTable[[#This Row],[OriginalBudget09]]</f>
        <v>-0.52631578947368418</v>
      </c>
      <c r="EG164" s="61">
        <f>IF(COUNTIFS(allFYsTable[Code], SummaryTable[[#This Row],[Code]], allFYsTable[year2], ED$3)=0, NotFound, SUMIFS(allFYsTable[RevisedBudget], allFYsTable[Code], SummaryTable[[#This Row],[Code]], allFYsTable[year2], ED$3))</f>
        <v>0</v>
      </c>
      <c r="EH164" s="61">
        <f>IF(COUNTIFS(allFYsTable[Code], SummaryTable[[#This Row],[Code]], allFYsTable[year2], ED$3)=0, NotFound, SUMIFS(allFYsTable[Actual], allFYsTable[Code], SummaryTable[[#This Row],[Code]], allFYsTable[year2], ED$3))</f>
        <v>0</v>
      </c>
      <c r="EI164" s="61">
        <f>IF(COUNTIFS(allFYsTable[Code], SummaryTable[[#This Row],[Code]], allFYsTable[year2], ED$3)=0, NotFound, SUMIFS(allFYsTable[DiffAmount], allFYsTable[Code], SummaryTable[[#This Row],[Code]], allFYsTable[year2], ED$3))</f>
        <v>-225</v>
      </c>
      <c r="EJ164" s="63">
        <f>IF(SummaryTable[[#This Row],[OriginalBudget10]]=0, IF(SummaryTable[[#This Row],[DiffAmount10]]=0, ZeroBudgetNoSpending, ZeroBudgetWithSpending), SummaryTable[[#This Row],[DiffAmount10]]/SummaryTable[[#This Row],[OriginalBudget10]])</f>
        <v>-1</v>
      </c>
      <c r="EK164" s="62">
        <f>IF(COUNTIFS(allFYsTable[Code], SummaryTable[[#This Row],[Code]], allFYsTable[year2], EK$3)=0, NotFound, SUMIFS(allFYsTable[OriginalBudget], allFYsTable[Code], SummaryTable[[#This Row],[Code]], allFYsTable[year2], EK$3))</f>
        <v>475</v>
      </c>
      <c r="EL164" s="61" t="e">
        <f>SummaryTable[[#This Row],[OriginalBudget09]]-SummaryTable[[#This Row],[OriginalBudget08]]</f>
        <v>#N/A</v>
      </c>
      <c r="EM164" s="54" t="e">
        <f>SummaryTable[[#This Row],[BudgetIncreaseAmount09]]/SummaryTable[[#This Row],[OriginalBudget08]]</f>
        <v>#N/A</v>
      </c>
      <c r="EN164" s="61">
        <f>IF(COUNTIFS(allFYsTable[Code], SummaryTable[[#This Row],[Code]], allFYsTable[year2], EK$3)=0, NotFound, SUMIFS(allFYsTable[RevisedBudget], allFYsTable[Code], SummaryTable[[#This Row],[Code]], allFYsTable[year2], EK$3))</f>
        <v>0</v>
      </c>
      <c r="EO164" s="61">
        <f>IF(COUNTIFS(allFYsTable[Code], SummaryTable[[#This Row],[Code]], allFYsTable[year2], EK$3)=0, NotFound, SUMIFS(allFYsTable[Actual], allFYsTable[Code], SummaryTable[[#This Row],[Code]], allFYsTable[year2], EK$3))</f>
        <v>0</v>
      </c>
      <c r="EP164" s="61">
        <f>IF(COUNTIFS(allFYsTable[Code], SummaryTable[[#This Row],[Code]], allFYsTable[year2], EK$3)=0, NotFound, SUMIFS(allFYsTable[DiffAmount], allFYsTable[Code], SummaryTable[[#This Row],[Code]], allFYsTable[year2], EK$3))</f>
        <v>-475</v>
      </c>
      <c r="EQ164" s="63">
        <f>IF(SummaryTable[[#This Row],[OriginalBudget09]]=0, IF(SummaryTable[[#This Row],[DiffAmount09]]=0, ZeroBudgetNoSpending, ZeroBudgetWithSpending), SummaryTable[[#This Row],[DiffAmount09]]/SummaryTable[[#This Row],[OriginalBudget09]])</f>
        <v>-1</v>
      </c>
      <c r="ER164" s="62" t="e">
        <f>IF(COUNTIFS(allFYsTable[Code], SummaryTable[[#This Row],[Code]], allFYsTable[year2], ER$3)=0, NotFound, SUMIFS(allFYsTable[OriginalBudget], allFYsTable[Code], SummaryTable[[#This Row],[Code]], allFYsTable[year2], ER$3))</f>
        <v>#N/A</v>
      </c>
      <c r="ES164" s="61" t="e">
        <f>SummaryTable[[#This Row],[OriginalBudget08]]-SummaryTable[[#This Row],[OriginalBudget07]]</f>
        <v>#N/A</v>
      </c>
      <c r="ET164" s="54" t="e">
        <f>SummaryTable[[#This Row],[BudgetIncreaseAmount08]]/SummaryTable[[#This Row],[OriginalBudget07]]</f>
        <v>#N/A</v>
      </c>
      <c r="EU164" s="61" t="e">
        <f>IF(COUNTIFS(allFYsTable[Code], SummaryTable[[#This Row],[Code]], allFYsTable[year2], ER$3)=0, NotFound, SUMIFS(allFYsTable[RevisedBudget], allFYsTable[Code], SummaryTable[[#This Row],[Code]], allFYsTable[year2], ER$3))</f>
        <v>#N/A</v>
      </c>
      <c r="EV164" s="61" t="e">
        <f>IF(COUNTIFS(allFYsTable[Code], SummaryTable[[#This Row],[Code]], allFYsTable[year2], ER$3)=0, NotFound, SUMIFS(allFYsTable[Actual], allFYsTable[Code], SummaryTable[[#This Row],[Code]], allFYsTable[year2], ER$3))</f>
        <v>#N/A</v>
      </c>
      <c r="EW164" s="61" t="e">
        <f>IF(COUNTIFS(allFYsTable[Code], SummaryTable[[#This Row],[Code]], allFYsTable[year2], ER$3)=0, NotFound, SUMIFS(allFYsTable[DiffAmount], allFYsTable[Code], SummaryTable[[#This Row],[Code]], allFYsTable[year2], ER$3))</f>
        <v>#N/A</v>
      </c>
      <c r="EX164" s="63" t="e">
        <f>IF(SummaryTable[[#This Row],[OriginalBudget08]]=0, IF(SummaryTable[[#This Row],[DiffAmount08]]=0, ZeroBudgetNoSpending, ZeroBudgetWithSpending), SummaryTable[[#This Row],[DiffAmount08]]/SummaryTable[[#This Row],[OriginalBudget08]])</f>
        <v>#N/A</v>
      </c>
      <c r="EY164" s="62" t="e">
        <f>IF(COUNTIFS(allFYsTable[Code], SummaryTable[[#This Row],[Code]], allFYsTable[year2], EY$3)=0, NotFound, SUMIFS(allFYsTable[OriginalBudget], allFYsTable[Code], SummaryTable[[#This Row],[Code]], allFYsTable[year2], EY$3))</f>
        <v>#N/A</v>
      </c>
      <c r="EZ164" s="61" t="e">
        <f>SummaryTable[[#This Row],[OriginalBudget07]]-SummaryTable[[#This Row],[OriginalBudget06]]</f>
        <v>#N/A</v>
      </c>
      <c r="FA164" s="54" t="e">
        <f>SummaryTable[[#This Row],[BudgetIncreaseAmount07]]/SummaryTable[[#This Row],[OriginalBudget06]]</f>
        <v>#N/A</v>
      </c>
      <c r="FB164" s="61" t="e">
        <f>IF(COUNTIFS(allFYsTable[Code], SummaryTable[[#This Row],[Code]], allFYsTable[year2], EY$3)=0, NotFound, SUMIFS(allFYsTable[RevisedBudget], allFYsTable[Code], SummaryTable[[#This Row],[Code]], allFYsTable[year2], EY$3))</f>
        <v>#N/A</v>
      </c>
      <c r="FC164" s="61" t="e">
        <f>IF(COUNTIFS(allFYsTable[Code], SummaryTable[[#This Row],[Code]], allFYsTable[year2], EY$3)=0, NotFound, SUMIFS(allFYsTable[Actual], allFYsTable[Code], SummaryTable[[#This Row],[Code]], allFYsTable[year2], EY$3))</f>
        <v>#N/A</v>
      </c>
      <c r="FD164" s="61" t="e">
        <f>IF(COUNTIFS(allFYsTable[Code], SummaryTable[[#This Row],[Code]], allFYsTable[year2], EY$3)=0, NotFound, SUMIFS(allFYsTable[DiffAmount], allFYsTable[Code], SummaryTable[[#This Row],[Code]], allFYsTable[year2], EY$3))</f>
        <v>#N/A</v>
      </c>
      <c r="FE164" s="63" t="e">
        <f>IF(SummaryTable[[#This Row],[OriginalBudget07]]=0, IF(SummaryTable[[#This Row],[DiffAmount07]]=0, ZeroBudgetNoSpending, ZeroBudgetWithSpending), SummaryTable[[#This Row],[DiffAmount07]]/SummaryTable[[#This Row],[OriginalBudget07]])</f>
        <v>#N/A</v>
      </c>
      <c r="FF164" s="62" t="e">
        <f>IF(COUNTIFS(allFYsTable[Code], SummaryTable[[#This Row],[Code]], allFYsTable[year2], FF$3)=0, NotFound, SUMIFS(allFYsTable[OriginalBudget], allFYsTable[Code], SummaryTable[[#This Row],[Code]], allFYsTable[year2], FF$3))</f>
        <v>#N/A</v>
      </c>
      <c r="FI164" s="61" t="e">
        <f>IF(COUNTIFS(allFYsTable[Code], SummaryTable[[#This Row],[Code]], allFYsTable[year2], FF$3)=0, NotFound, SUMIFS(allFYsTable[RevisedBudget], allFYsTable[Code], SummaryTable[[#This Row],[Code]], allFYsTable[year2], FF$3))</f>
        <v>#N/A</v>
      </c>
      <c r="FJ164" s="61" t="e">
        <f>IF(COUNTIFS(allFYsTable[Code], SummaryTable[[#This Row],[Code]], allFYsTable[year2], FF$3)=0, NotFound, SUMIFS(allFYsTable[Actual], allFYsTable[Code], SummaryTable[[#This Row],[Code]], allFYsTable[year2], FF$3))</f>
        <v>#N/A</v>
      </c>
      <c r="FK164" s="61" t="e">
        <f>IF(COUNTIFS(allFYsTable[Code], SummaryTable[[#This Row],[Code]], allFYsTable[year2], FF$3)=0, NotFound, SUMIFS(allFYsTable[DiffAmount], allFYsTable[Code], SummaryTable[[#This Row],[Code]], allFYsTable[year2], FF$3))</f>
        <v>#N/A</v>
      </c>
      <c r="FL164" s="63" t="e">
        <f>IF(SummaryTable[[#This Row],[OriginalBudget06]]=0, IF(SummaryTable[[#This Row],[DiffAmount06]]=0, ZeroBudgetNoSpending, ZeroBudgetWithSpending), SummaryTable[[#This Row],[DiffAmount06]]/SummaryTable[[#This Row],[OriginalBudget06]])</f>
        <v>#N/A</v>
      </c>
    </row>
    <row r="165" spans="1:168" x14ac:dyDescent="0.45">
      <c r="A165" t="s">
        <v>851</v>
      </c>
      <c r="B165">
        <f>_xlfn.MAXIFS(allFYsTable[year2], allFYsTable[Code], SummaryTable[[#This Row],[Code]])</f>
        <v>2011</v>
      </c>
      <c r="C165" t="str">
        <f>_xlfn.XLOOKUP(SummaryTable[[#This Row],[Code]], NameCodingTable[Code], NameCodingTable[Most Recent Category per allFYs])</f>
        <v>Governmental direction support</v>
      </c>
      <c r="D165" t="str">
        <f>_xlfn.XLOOKUP(SummaryTable[[#This Row],[Code]], NameCodingTable[Code], NameCodingTable[Unit Display Name])</f>
        <v>Municipal   facilities:   non-capital</v>
      </c>
      <c r="E165" t="str">
        <f>_xlfn.XLOOKUP(SummaryTable[[#This Row],[Code]], NameCodingTable[Code], NameCodingTable[Type])</f>
        <v>untyped</v>
      </c>
      <c r="F16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6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65" s="54">
        <f>SummaryTable[[#This Row],['# Over]]/SummaryTable[[#This Row],[Count]]</f>
        <v>1</v>
      </c>
      <c r="I16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65" s="54">
        <f>SummaryTable[[#This Row],['# Under]]/SummaryTable[[#This Row],[Count]]</f>
        <v>0</v>
      </c>
      <c r="K16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65" s="54">
        <f>SummaryTable[[#This Row],['# Equal]]/SummaryTable[[#This Row],[Count]]</f>
        <v>0</v>
      </c>
      <c r="M165" s="61">
        <f>SUMIFS(allFYsTable[OriginalBudget],allFYsTable[Code],SummaryTable[[#This Row],[Code]])/SummaryTable[[#This Row],[Count]]</f>
        <v>120439</v>
      </c>
      <c r="N165" s="61">
        <f>SUMIFS(allFYsTable[Actual],allFYsTable[Code],SummaryTable[[#This Row],[Code]])/SummaryTable[[#This Row],[Count]]</f>
        <v>122657</v>
      </c>
      <c r="O165" s="61">
        <f>SummaryTable[[#This Row],[AvgActAmt]]-SummaryTable[[#This Row],[AvgBudAmt]]</f>
        <v>2218</v>
      </c>
      <c r="P165" s="54">
        <f>IF(SummaryTable[[#This Row],[AvgBudAmt]]=0, IF(SummaryTable[[#This Row],[AvgDiff'#]]=0, 0, NamedFields!$C$3), SummaryTable[[#This Row],[AvgDiff'#]]/SummaryTable[[#This Row],[AvgBudAmt]])</f>
        <v>1.8415961607120616E-2</v>
      </c>
      <c r="Q165" s="61">
        <f>IFERROR(SUMIFS(allFYsTable[OriginalBudget],allFYsTable[Code],SummaryTable[[#This Row],[Code]],allFYsTable[DiffAmount], "&gt;0")/SummaryTable[[#This Row],['# Over]], 0)</f>
        <v>120439</v>
      </c>
      <c r="R165" s="61">
        <f>IFERROR(SUMIFS(allFYsTable[Actual],allFYsTable[Code],SummaryTable[[#This Row],[Code]],allFYsTable[DiffAmount], "&gt;0")/SummaryTable[[#This Row],['# Over]], 0)</f>
        <v>122657</v>
      </c>
      <c r="S165" s="61">
        <f>SummaryTable[[#This Row],[OverAvgAct]]-SummaryTable[[#This Row],[OverAvgBud]]</f>
        <v>2218</v>
      </c>
      <c r="T165" s="54">
        <f>IF(SummaryTable[[#This Row],[OverAvgBud]]=0, IF(SummaryTable[[#This Row],[OverAvgDiff'#]]=0, ZeroBudgetNoSpending, ZeroBudgetWithSpending), SummaryTable[[#This Row],[OverAvgDiff'#]]/SummaryTable[[#This Row],[OverAvgBud]])</f>
        <v>1.8415961607120616E-2</v>
      </c>
      <c r="U165" s="61">
        <f>IFERROR(SUMIFS(allFYsTable[OriginalBudget],allFYsTable[Code],SummaryTable[[#This Row],[Code]],allFYsTable[DiffAmount], "&lt;0")/SummaryTable[[#This Row],['# Under]], 0)</f>
        <v>0</v>
      </c>
      <c r="V165" s="61">
        <f>IFERROR( SUMIFS(allFYsTable[Actual],allFYsTable[Code],SummaryTable[[#This Row],[Code]],allFYsTable[DiffAmount], "&lt;0")/SummaryTable[[#This Row],['# Under]], 0)</f>
        <v>0</v>
      </c>
      <c r="W165" s="61">
        <f>SummaryTable[[#This Row],[UnderAvgAct]]-SummaryTable[[#This Row],[UnderAvgBud]]</f>
        <v>0</v>
      </c>
      <c r="X165" s="54">
        <f>IF(SummaryTable[[#This Row],[UnderAvgBud]]=0, IF(SummaryTable[[#This Row],[UnderAvgDiff'#]]=0, ZeroBudgetNoSpending, NamedFields!$C$3), SummaryTable[[#This Row],[UnderAvgDiff'#]]/SummaryTable[[#This Row],[UnderAvgBud]])</f>
        <v>0</v>
      </c>
      <c r="Y16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6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65" s="54">
        <f>IF(SummaryTable[[#This Row],[IncreaseYears]]=0, ZeroBudgetNoSpending, SummaryTable[[#This Row],[OSinIncreaseYear'#]]/SummaryTable[[#This Row],[IncreaseYears]])</f>
        <v>0</v>
      </c>
      <c r="AB165" s="58" t="str">
        <f>SummaryTable[[#This Row],[Code]]</f>
        <v>ZX0</v>
      </c>
      <c r="AC165" s="62" t="e">
        <f>IF(COUNTIFS(allFYsTable[Code], SummaryTable[[#This Row],[Code]], allFYsTable[year2], AC$3)=0, NotFound, SUMIFS(allFYsTable[OriginalBudget], allFYsTable[Code], SummaryTable[[#This Row],[Code]], allFYsTable[year2], AC$3))</f>
        <v>#N/A</v>
      </c>
      <c r="AD165" s="61" t="e">
        <f>SummaryTable[[#This Row],[OriginalBudget25]]-SummaryTable[[#This Row],[OriginalBudget24]]</f>
        <v>#N/A</v>
      </c>
      <c r="AE165" s="54" t="e">
        <f>SummaryTable[[#This Row],[BudgetIncreaseAmount25]]/SummaryTable[[#This Row],[OriginalBudget24]]</f>
        <v>#N/A</v>
      </c>
      <c r="AF165" s="61" t="e">
        <f>IF(COUNTIFS(allFYsTable[Code], SummaryTable[[#This Row],[Code]], allFYsTable[year2], AC$3)=0, NotFound, SUMIFS(allFYsTable[RevisedBudget], allFYsTable[Code], SummaryTable[[#This Row],[Code]], allFYsTable[year2], AC$3))</f>
        <v>#N/A</v>
      </c>
      <c r="AG165" s="61" t="e">
        <f>IF(COUNTIFS(allFYsTable[Code], SummaryTable[[#This Row],[Code]], allFYsTable[year2], AC$3)=0, NotFound, SUMIFS(allFYsTable[Actual], allFYsTable[Code], SummaryTable[[#This Row],[Code]], allFYsTable[year2], AC$3))</f>
        <v>#N/A</v>
      </c>
      <c r="AH165" s="61" t="e">
        <f>IF(COUNTIFS(allFYsTable[Code], SummaryTable[[#This Row],[Code]], allFYsTable[year2], AC$3)=0, NotFound, SUMIFS(allFYsTable[DiffAmount], allFYsTable[Code], SummaryTable[[#This Row],[Code]], allFYsTable[year2], AC$3))</f>
        <v>#N/A</v>
      </c>
      <c r="AI165" s="63" t="e">
        <f>IF(SummaryTable[[#This Row],[OriginalBudget25]]=0, IF(SummaryTable[[#This Row],[DiffAmount25]]=0, ZeroBudgetNoSpending, ZeroBudgetWithSpending), SummaryTable[[#This Row],[DiffAmount25]]/SummaryTable[[#This Row],[OriginalBudget25]])</f>
        <v>#N/A</v>
      </c>
      <c r="AJ165" s="62" t="e">
        <f>IF(COUNTIFS(allFYsTable[Code], SummaryTable[[#This Row],[Code]], allFYsTable[year2], AJ$3)=0, NotFound, SUMIFS(allFYsTable[OriginalBudget], allFYsTable[Code], SummaryTable[[#This Row],[Code]], allFYsTable[year2], AJ$3))</f>
        <v>#N/A</v>
      </c>
      <c r="AK165" s="61" t="e">
        <f>SummaryTable[[#This Row],[OriginalBudget24]]-SummaryTable[[#This Row],[OriginalBudget23]]</f>
        <v>#N/A</v>
      </c>
      <c r="AL165" s="54" t="e">
        <f>SummaryTable[[#This Row],[BudgetIncreaseAmount24]]/SummaryTable[[#This Row],[OriginalBudget23]]</f>
        <v>#N/A</v>
      </c>
      <c r="AM165" s="61" t="e">
        <f>IF(COUNTIFS(allFYsTable[Code], SummaryTable[[#This Row],[Code]], allFYsTable[year2], AK$3)=0, NotFound, SUMIFS(allFYsTable[RevisedBudget], allFYsTable[Code], SummaryTable[[#This Row],[Code]], allFYsTable[year2], AJ$3))</f>
        <v>#N/A</v>
      </c>
      <c r="AN165" s="61" t="e">
        <f>IF(COUNTIFS(allFYsTable[Code], SummaryTable[[#This Row],[Code]], allFYsTable[year2], AJ$3)=0, NotFound, SUMIFS(allFYsTable[Actual], allFYsTable[Code], SummaryTable[[#This Row],[Code]], allFYsTable[year2], AJ$3))</f>
        <v>#N/A</v>
      </c>
      <c r="AO165" s="61" t="e">
        <f>IF(COUNTIFS(allFYsTable[Code], SummaryTable[[#This Row],[Code]], allFYsTable[year2], AJ$3)=0, NotFound, SUMIFS(allFYsTable[DiffAmount], allFYsTable[Code], SummaryTable[[#This Row],[Code]], allFYsTable[year2], AJ$3))</f>
        <v>#N/A</v>
      </c>
      <c r="AP165" s="63" t="e">
        <f>IF(SummaryTable[[#This Row],[OriginalBudget24]]=0, IF(SummaryTable[[#This Row],[DiffAmount24]]=0, ZeroBudgetNoSpending, ZeroBudgetWithSpending), SummaryTable[[#This Row],[DiffAmount24]]/SummaryTable[[#This Row],[OriginalBudget24]])</f>
        <v>#N/A</v>
      </c>
      <c r="AQ165" s="62" t="e">
        <f>IF(COUNTIFS(allFYsTable[Code], SummaryTable[[#This Row],[Code]], allFYsTable[year2], AQ$3)=0, NotFound, SUMIFS(allFYsTable[OriginalBudget], allFYsTable[Code], SummaryTable[[#This Row],[Code]], allFYsTable[year2], AQ$3))</f>
        <v>#N/A</v>
      </c>
      <c r="AR165" s="61" t="e">
        <f>SummaryTable[[#This Row],[OriginalBudget23]]-SummaryTable[[#This Row],[OriginalBudget22]]</f>
        <v>#N/A</v>
      </c>
      <c r="AS165" s="54" t="e">
        <f>SummaryTable[[#This Row],[BudgetIncreaseAmount23]]/SummaryTable[[#This Row],[OriginalBudget22]]</f>
        <v>#N/A</v>
      </c>
      <c r="AT165" s="61" t="e">
        <f>IF(COUNTIFS(allFYsTable[Code], SummaryTable[[#This Row],[Code]], allFYsTable[year2], AQ$3)=0, NotFound, SUMIFS(allFYsTable[RevisedBudget], allFYsTable[Code], SummaryTable[[#This Row],[Code]], allFYsTable[year2], AQ$3))</f>
        <v>#N/A</v>
      </c>
      <c r="AU165" s="61" t="e">
        <f>IF(COUNTIFS(allFYsTable[Code], SummaryTable[[#This Row],[Code]], allFYsTable[year2], AQ$3)=0, NotFound, SUMIFS(allFYsTable[Actual], allFYsTable[Code], SummaryTable[[#This Row],[Code]], allFYsTable[year2], AQ$3))</f>
        <v>#N/A</v>
      </c>
      <c r="AV165" s="61" t="e">
        <f>IF(COUNTIFS(allFYsTable[Code], SummaryTable[[#This Row],[Code]], allFYsTable[year2], AQ$3)=0, NotFound, SUMIFS(allFYsTable[DiffAmount], allFYsTable[Code], SummaryTable[[#This Row],[Code]], allFYsTable[year2], AQ$3))</f>
        <v>#N/A</v>
      </c>
      <c r="AW165" s="63" t="e">
        <f>IF(SummaryTable[[#This Row],[OriginalBudget23]]=0, IF(SummaryTable[[#This Row],[DiffAmount23]]=0, ZeroBudgetNoSpending, ZeroBudgetWithSpending), SummaryTable[[#This Row],[DiffAmount23]]/SummaryTable[[#This Row],[OriginalBudget23]])</f>
        <v>#N/A</v>
      </c>
      <c r="AX165" s="62" t="e">
        <f>IF(COUNTIFS(allFYsTable[Code], SummaryTable[[#This Row],[Code]], allFYsTable[year2], AX$3)=0, NotFound, SUMIFS(allFYsTable[OriginalBudget], allFYsTable[Code], SummaryTable[[#This Row],[Code]], allFYsTable[year2], AX$3))</f>
        <v>#N/A</v>
      </c>
      <c r="AY165" s="61" t="e">
        <f>SummaryTable[[#This Row],[OriginalBudget22]]-SummaryTable[[#This Row],[OriginalBudget21]]</f>
        <v>#N/A</v>
      </c>
      <c r="AZ165" s="54" t="e">
        <f>SummaryTable[[#This Row],[BudgetIncreaseAmount22]]/SummaryTable[[#This Row],[OriginalBudget21]]</f>
        <v>#N/A</v>
      </c>
      <c r="BA165" s="61" t="e">
        <f>IF(COUNTIFS(allFYsTable[Code], SummaryTable[[#This Row],[Code]], allFYsTable[year2], AX$3)=0, NotFound, SUMIFS(allFYsTable[RevisedBudget], allFYsTable[Code], SummaryTable[[#This Row],[Code]], allFYsTable[year2], AX$3))</f>
        <v>#N/A</v>
      </c>
      <c r="BB165" s="61" t="e">
        <f>IF(COUNTIFS(allFYsTable[Code], SummaryTable[[#This Row],[Code]], allFYsTable[year2], AX$3)=0, NotFound, SUMIFS(allFYsTable[Actual], allFYsTable[Code], SummaryTable[[#This Row],[Code]], allFYsTable[year2], AX$3))</f>
        <v>#N/A</v>
      </c>
      <c r="BC165" s="61" t="e">
        <f>IF(COUNTIFS(allFYsTable[Code], SummaryTable[[#This Row],[Code]], allFYsTable[year2], AX$3)=0, NotFound, SUMIFS(allFYsTable[DiffAmount], allFYsTable[Code], SummaryTable[[#This Row],[Code]], allFYsTable[year2], AX$3))</f>
        <v>#N/A</v>
      </c>
      <c r="BD165" s="63" t="e">
        <f>IF(SummaryTable[[#This Row],[OriginalBudget22]]=0, IF(SummaryTable[[#This Row],[DiffAmount22]]=0, ZeroBudgetNoSpending, ZeroBudgetWithSpending), SummaryTable[[#This Row],[DiffAmount22]]/SummaryTable[[#This Row],[OriginalBudget22]])</f>
        <v>#N/A</v>
      </c>
      <c r="BE165" s="62" t="e">
        <f>IF(COUNTIFS(allFYsTable[Code], SummaryTable[[#This Row],[Code]], allFYsTable[year2], BE$3)=0, NotFound, SUMIFS(allFYsTable[OriginalBudget], allFYsTable[Code], SummaryTable[[#This Row],[Code]], allFYsTable[year2], BE$3))</f>
        <v>#N/A</v>
      </c>
      <c r="BF165" s="61" t="e">
        <f>SummaryTable[[#This Row],[OriginalBudget21]]-SummaryTable[[#This Row],[OriginalBudget20]]</f>
        <v>#N/A</v>
      </c>
      <c r="BG165" s="54" t="e">
        <f>SummaryTable[[#This Row],[BudgetIncreaseAmount21]]/SummaryTable[[#This Row],[OriginalBudget20]]</f>
        <v>#N/A</v>
      </c>
      <c r="BH165" s="61" t="e">
        <f>IF(COUNTIFS(allFYsTable[Code], SummaryTable[[#This Row],[Code]], allFYsTable[year2], BE$3)=0, NotFound, SUMIFS(allFYsTable[RevisedBudget], allFYsTable[Code], SummaryTable[[#This Row],[Code]], allFYsTable[year2], BE$3))</f>
        <v>#N/A</v>
      </c>
      <c r="BI165" s="61" t="e">
        <f>IF(COUNTIFS(allFYsTable[Code], SummaryTable[[#This Row],[Code]], allFYsTable[year2], BE$3)=0, NotFound, SUMIFS(allFYsTable[Actual], allFYsTable[Code], SummaryTable[[#This Row],[Code]], allFYsTable[year2], BE$3))</f>
        <v>#N/A</v>
      </c>
      <c r="BJ165" s="61" t="e">
        <f>IF(COUNTIFS(allFYsTable[Code], SummaryTable[[#This Row],[Code]], allFYsTable[year2], BE$3)=0, NotFound, SUMIFS(allFYsTable[DiffAmount], allFYsTable[Code], SummaryTable[[#This Row],[Code]], allFYsTable[year2], BE$3))</f>
        <v>#N/A</v>
      </c>
      <c r="BK165" s="63" t="e">
        <f>IF(SummaryTable[[#This Row],[OriginalBudget21]]=0, IF(SummaryTable[[#This Row],[DiffAmount21]]=0, ZeroBudgetNoSpending, ZeroBudgetWithSpending), SummaryTable[[#This Row],[DiffAmount21]]/SummaryTable[[#This Row],[OriginalBudget21]])</f>
        <v>#N/A</v>
      </c>
      <c r="BL165" s="62" t="e">
        <f>IF(COUNTIFS(allFYsTable[Code], SummaryTable[[#This Row],[Code]], allFYsTable[year2], BL$3)=0, NotFound, SUMIFS(allFYsTable[OriginalBudget], allFYsTable[Code], SummaryTable[[#This Row],[Code]], allFYsTable[year2], BL$3))</f>
        <v>#N/A</v>
      </c>
      <c r="BM165" s="61" t="e">
        <f>SummaryTable[[#This Row],[OriginalBudget20]]-SummaryTable[[#This Row],[OriginalBudget19]]</f>
        <v>#N/A</v>
      </c>
      <c r="BN165" s="54" t="e">
        <f>SummaryTable[[#This Row],[BudgetIncreaseAmount20]]/SummaryTable[[#This Row],[OriginalBudget19]]</f>
        <v>#N/A</v>
      </c>
      <c r="BO165" s="61" t="e">
        <f>IF(COUNTIFS(allFYsTable[Code], SummaryTable[[#This Row],[Code]], allFYsTable[year2], BL$3)=0, NotFound, SUMIFS(allFYsTable[RevisedBudget], allFYsTable[Code], SummaryTable[[#This Row],[Code]], allFYsTable[year2], BL$3))</f>
        <v>#N/A</v>
      </c>
      <c r="BP165" s="61" t="e">
        <f>IF(COUNTIFS(allFYsTable[Code], SummaryTable[[#This Row],[Code]], allFYsTable[year2], BL$3)=0, NotFound, SUMIFS(allFYsTable[Actual], allFYsTable[Code], SummaryTable[[#This Row],[Code]], allFYsTable[year2], BL$3))</f>
        <v>#N/A</v>
      </c>
      <c r="BQ165" s="61" t="e">
        <f>IF(COUNTIFS(allFYsTable[Code], SummaryTable[[#This Row],[Code]], allFYsTable[year2], BL$3)=0, NotFound, SUMIFS(allFYsTable[DiffAmount], allFYsTable[Code], SummaryTable[[#This Row],[Code]], allFYsTable[year2], BL$3))</f>
        <v>#N/A</v>
      </c>
      <c r="BR165" s="63" t="e">
        <f>IF(SummaryTable[[#This Row],[OriginalBudget20]]=0, IF(SummaryTable[[#This Row],[DiffAmount20]]=0, ZeroBudgetNoSpending, ZeroBudgetWithSpending), SummaryTable[[#This Row],[DiffAmount20]]/SummaryTable[[#This Row],[OriginalBudget20]])</f>
        <v>#N/A</v>
      </c>
      <c r="BS165" s="62" t="e">
        <f>IF(COUNTIFS(allFYsTable[Code], SummaryTable[[#This Row],[Code]], allFYsTable[year2], BS$3)=0, NotFound, SUMIFS(allFYsTable[OriginalBudget], allFYsTable[Code], SummaryTable[[#This Row],[Code]], allFYsTable[year2], BS$3))</f>
        <v>#N/A</v>
      </c>
      <c r="BT165" s="61" t="e">
        <f>SummaryTable[[#This Row],[OriginalBudget19]]-SummaryTable[[#This Row],[OriginalBudget18]]</f>
        <v>#N/A</v>
      </c>
      <c r="BU165" s="54" t="e">
        <f>SummaryTable[[#This Row],[BudgetIncreaseAmount19]]/SummaryTable[[#This Row],[OriginalBudget18]]</f>
        <v>#N/A</v>
      </c>
      <c r="BV165" s="61" t="e">
        <f>IF(COUNTIFS(allFYsTable[Code], SummaryTable[[#This Row],[Code]], allFYsTable[year2], BS$3)=0, NotFound, SUMIFS(allFYsTable[RevisedBudget], allFYsTable[Code], SummaryTable[[#This Row],[Code]], allFYsTable[year2], BS$3))</f>
        <v>#N/A</v>
      </c>
      <c r="BW165" s="61" t="e">
        <f>IF(COUNTIFS(allFYsTable[Code], SummaryTable[[#This Row],[Code]], allFYsTable[year2], BS$3)=0, NotFound, SUMIFS(allFYsTable[Actual], allFYsTable[Code], SummaryTable[[#This Row],[Code]], allFYsTable[year2], BS$3))</f>
        <v>#N/A</v>
      </c>
      <c r="BX165" s="61" t="e">
        <f>IF(COUNTIFS(allFYsTable[Code], SummaryTable[[#This Row],[Code]], allFYsTable[year2], BS$3)=0, NotFound, SUMIFS(allFYsTable[DiffAmount], allFYsTable[Code], SummaryTable[[#This Row],[Code]], allFYsTable[year2], BS$3))</f>
        <v>#N/A</v>
      </c>
      <c r="BY165" s="63" t="e">
        <f>IF(SummaryTable[[#This Row],[OriginalBudget19]]=0, IF(SummaryTable[[#This Row],[DiffAmount19]]=0, ZeroBudgetNoSpending, ZeroBudgetWithSpending), SummaryTable[[#This Row],[DiffAmount19]]/SummaryTable[[#This Row],[OriginalBudget19]])</f>
        <v>#N/A</v>
      </c>
      <c r="BZ165" s="62" t="e">
        <f>IF(COUNTIFS(allFYsTable[Code], SummaryTable[[#This Row],[Code]], allFYsTable[year2], BZ$3)=0, NotFound, SUMIFS(allFYsTable[OriginalBudget], allFYsTable[Code], SummaryTable[[#This Row],[Code]], allFYsTable[year2], BZ$3))</f>
        <v>#N/A</v>
      </c>
      <c r="CA165" s="61" t="e">
        <f>SummaryTable[[#This Row],[OriginalBudget18]]-SummaryTable[[#This Row],[OriginalBudget17]]</f>
        <v>#N/A</v>
      </c>
      <c r="CB165" s="54" t="e">
        <f>SummaryTable[[#This Row],[BudgetIncreaseAmount18]]/SummaryTable[[#This Row],[OriginalBudget17]]</f>
        <v>#N/A</v>
      </c>
      <c r="CC165" s="61" t="e">
        <f>IF(COUNTIFS(allFYsTable[Code], SummaryTable[[#This Row],[Code]], allFYsTable[year2], BZ$3)=0, NotFound, SUMIFS(allFYsTable[RevisedBudget], allFYsTable[Code], SummaryTable[[#This Row],[Code]], allFYsTable[year2], BZ$3))</f>
        <v>#N/A</v>
      </c>
      <c r="CD165" s="61" t="e">
        <f>IF(COUNTIFS(allFYsTable[Code], SummaryTable[[#This Row],[Code]], allFYsTable[year2], BZ$3)=0, NotFound, SUMIFS(allFYsTable[Actual], allFYsTable[Code], SummaryTable[[#This Row],[Code]], allFYsTable[year2], BZ$3))</f>
        <v>#N/A</v>
      </c>
      <c r="CE165" s="61" t="e">
        <f>IF(COUNTIFS(allFYsTable[Code], SummaryTable[[#This Row],[Code]], allFYsTable[year2], BZ$3)=0, NotFound, SUMIFS(allFYsTable[DiffAmount], allFYsTable[Code], SummaryTable[[#This Row],[Code]], allFYsTable[year2], BZ$3))</f>
        <v>#N/A</v>
      </c>
      <c r="CF165" s="63" t="e">
        <f>IF(SummaryTable[[#This Row],[OriginalBudget18]]=0, IF(SummaryTable[[#This Row],[DiffAmount18]]=0, ZeroBudgetNoSpending, ZeroBudgetWithSpending), SummaryTable[[#This Row],[DiffAmount18]]/SummaryTable[[#This Row],[OriginalBudget18]])</f>
        <v>#N/A</v>
      </c>
      <c r="CG165" s="62" t="e">
        <f>IF(COUNTIFS(allFYsTable[Code], SummaryTable[[#This Row],[Code]], allFYsTable[year2], CG$3)=0, NotFound, SUMIFS(allFYsTable[OriginalBudget], allFYsTable[Code], SummaryTable[[#This Row],[Code]], allFYsTable[year2], CG$3))</f>
        <v>#N/A</v>
      </c>
      <c r="CH165" s="61" t="e">
        <f>SummaryTable[[#This Row],[OriginalBudget17]]-SummaryTable[[#This Row],[OriginalBudget16]]</f>
        <v>#N/A</v>
      </c>
      <c r="CI165" s="54" t="e">
        <f>SummaryTable[[#This Row],[BudgetIncreaseAmount17]]/SummaryTable[[#This Row],[OriginalBudget16]]</f>
        <v>#N/A</v>
      </c>
      <c r="CJ165" s="61" t="e">
        <f>IF(COUNTIFS(allFYsTable[Code], SummaryTable[[#This Row],[Code]], allFYsTable[year2], CG$3)=0, NotFound, SUMIFS(allFYsTable[RevisedBudget], allFYsTable[Code], SummaryTable[[#This Row],[Code]], allFYsTable[year2], CG$3))</f>
        <v>#N/A</v>
      </c>
      <c r="CK165" s="61" t="e">
        <f>IF(COUNTIFS(allFYsTable[Code], SummaryTable[[#This Row],[Code]], allFYsTable[year2], CG$3)=0, NotFound, SUMIFS(allFYsTable[Actual], allFYsTable[Code], SummaryTable[[#This Row],[Code]], allFYsTable[year2], CG$3))</f>
        <v>#N/A</v>
      </c>
      <c r="CL165" s="61" t="e">
        <f>IF(COUNTIFS(allFYsTable[Code], SummaryTable[[#This Row],[Code]], allFYsTable[year2], CG$3)=0, NotFound, SUMIFS(allFYsTable[DiffAmount], allFYsTable[Code], SummaryTable[[#This Row],[Code]], allFYsTable[year2], CG$3))</f>
        <v>#N/A</v>
      </c>
      <c r="CM165" s="63" t="e">
        <f>IF(SummaryTable[[#This Row],[OriginalBudget17]]=0, IF(SummaryTable[[#This Row],[DiffAmount17]]=0, ZeroBudgetNoSpending, ZeroBudgetWithSpending), SummaryTable[[#This Row],[DiffAmount17]]/SummaryTable[[#This Row],[OriginalBudget17]])</f>
        <v>#N/A</v>
      </c>
      <c r="CN165" s="62" t="e">
        <f>IF(COUNTIFS(allFYsTable[Code], SummaryTable[[#This Row],[Code]], allFYsTable[year2], CN$3)=0, NotFound, SUMIFS(allFYsTable[OriginalBudget], allFYsTable[Code], SummaryTable[[#This Row],[Code]], allFYsTable[year2], CN$3))</f>
        <v>#N/A</v>
      </c>
      <c r="CO165" s="61" t="e">
        <f>SummaryTable[[#This Row],[OriginalBudget16]]-SummaryTable[[#This Row],[OriginalBudget15]]</f>
        <v>#N/A</v>
      </c>
      <c r="CP165" s="54" t="e">
        <f>SummaryTable[[#This Row],[BudgetIncreaseAmount16]]/SummaryTable[[#This Row],[OriginalBudget15]]</f>
        <v>#N/A</v>
      </c>
      <c r="CQ165" s="61" t="e">
        <f>IF(COUNTIFS(allFYsTable[Code], SummaryTable[[#This Row],[Code]], allFYsTable[year2], CN$3)=0, NotFound, SUMIFS(allFYsTable[RevisedBudget], allFYsTable[Code], SummaryTable[[#This Row],[Code]], allFYsTable[year2], CN$3))</f>
        <v>#N/A</v>
      </c>
      <c r="CR165" s="61" t="e">
        <f>IF(COUNTIFS(allFYsTable[Code], SummaryTable[[#This Row],[Code]], allFYsTable[year2], CN$3)=0, NotFound, SUMIFS(allFYsTable[Actual], allFYsTable[Code], SummaryTable[[#This Row],[Code]], allFYsTable[year2], CN$3))</f>
        <v>#N/A</v>
      </c>
      <c r="CS165" s="61" t="e">
        <f>IF(COUNTIFS(allFYsTable[Code], SummaryTable[[#This Row],[Code]], allFYsTable[year2], CN$3)=0, NotFound, SUMIFS(allFYsTable[DiffAmount], allFYsTable[Code], SummaryTable[[#This Row],[Code]], allFYsTable[year2], CN$3))</f>
        <v>#N/A</v>
      </c>
      <c r="CT165" s="63" t="e">
        <f>IF(SummaryTable[[#This Row],[OriginalBudget16]]=0, IF(SummaryTable[[#This Row],[DiffAmount16]]=0, ZeroBudgetNoSpending, ZeroBudgetWithSpending), SummaryTable[[#This Row],[DiffAmount16]]/SummaryTable[[#This Row],[OriginalBudget16]])</f>
        <v>#N/A</v>
      </c>
      <c r="CU165" s="62" t="e">
        <f>IF(COUNTIFS(allFYsTable[Code], SummaryTable[[#This Row],[Code]], allFYsTable[year2], CU$3)=0, NotFound, SUMIFS(allFYsTable[OriginalBudget], allFYsTable[Code], SummaryTable[[#This Row],[Code]], allFYsTable[year2], CU$3))</f>
        <v>#N/A</v>
      </c>
      <c r="CV165" s="61" t="e">
        <f>SummaryTable[[#This Row],[OriginalBudget15]]-SummaryTable[[#This Row],[OriginalBudget14]]</f>
        <v>#N/A</v>
      </c>
      <c r="CW165" s="54" t="e">
        <f>SummaryTable[[#This Row],[BudgetIncreaseAmount15]]/SummaryTable[[#This Row],[OriginalBudget14]]</f>
        <v>#N/A</v>
      </c>
      <c r="CX165" s="61" t="e">
        <f>IF(COUNTIFS(allFYsTable[Code], SummaryTable[[#This Row],[Code]], allFYsTable[year2], CU$3)=0, NotFound, SUMIFS(allFYsTable[RevisedBudget], allFYsTable[Code], SummaryTable[[#This Row],[Code]], allFYsTable[year2], CU$3))</f>
        <v>#N/A</v>
      </c>
      <c r="CY165" s="61" t="e">
        <f>IF(COUNTIFS(allFYsTable[Code], SummaryTable[[#This Row],[Code]], allFYsTable[year2], CU$3)=0, NotFound, SUMIFS(allFYsTable[Actual], allFYsTable[Code], SummaryTable[[#This Row],[Code]], allFYsTable[year2], CU$3))</f>
        <v>#N/A</v>
      </c>
      <c r="CZ165" s="61" t="e">
        <f>IF(COUNTIFS(allFYsTable[Code], SummaryTable[[#This Row],[Code]], allFYsTable[year2], CU$3)=0, NotFound, SUMIFS(allFYsTable[DiffAmount], allFYsTable[Code], SummaryTable[[#This Row],[Code]], allFYsTable[year2], CU$3))</f>
        <v>#N/A</v>
      </c>
      <c r="DA165" s="63" t="e">
        <f>IF(SummaryTable[[#This Row],[OriginalBudget15]]=0, IF(SummaryTable[[#This Row],[DiffAmount15]]=0, ZeroBudgetNoSpending, ZeroBudgetWithSpending), SummaryTable[[#This Row],[DiffAmount15]]/SummaryTable[[#This Row],[OriginalBudget15]])</f>
        <v>#N/A</v>
      </c>
      <c r="DB165" s="62" t="e">
        <f>IF(COUNTIFS(allFYsTable[Code], SummaryTable[[#This Row],[Code]], allFYsTable[year2], DB$3)=0, NotFound, SUMIFS(allFYsTable[OriginalBudget], allFYsTable[Code], SummaryTable[[#This Row],[Code]], allFYsTable[year2], DB$3))</f>
        <v>#N/A</v>
      </c>
      <c r="DC165" s="61" t="e">
        <f>SummaryTable[[#This Row],[OriginalBudget14]]-SummaryTable[[#This Row],[OriginalBudget13]]</f>
        <v>#N/A</v>
      </c>
      <c r="DD165" s="54" t="e">
        <f>SummaryTable[[#This Row],[BudgetIncreaseAmount14]]/SummaryTable[[#This Row],[OriginalBudget13]]</f>
        <v>#N/A</v>
      </c>
      <c r="DE165" s="61" t="e">
        <f>IF(COUNTIFS(allFYsTable[Code], SummaryTable[[#This Row],[Code]], allFYsTable[year2], DB$3)=0, NotFound, SUMIFS(allFYsTable[RevisedBudget], allFYsTable[Code], SummaryTable[[#This Row],[Code]], allFYsTable[year2], DB$3))</f>
        <v>#N/A</v>
      </c>
      <c r="DF165" s="61" t="e">
        <f>IF(COUNTIFS(allFYsTable[Code], SummaryTable[[#This Row],[Code]], allFYsTable[year2], DB$3)=0, NotFound, SUMIFS(allFYsTable[Actual], allFYsTable[Code], SummaryTable[[#This Row],[Code]], allFYsTable[year2], DB$3))</f>
        <v>#N/A</v>
      </c>
      <c r="DG165" s="61" t="e">
        <f>IF(COUNTIFS(allFYsTable[Code], SummaryTable[[#This Row],[Code]], allFYsTable[year2], DB$3)=0, NotFound, SUMIFS(allFYsTable[DiffAmount], allFYsTable[Code], SummaryTable[[#This Row],[Code]], allFYsTable[year2], DB$3))</f>
        <v>#N/A</v>
      </c>
      <c r="DH165" s="63" t="e">
        <f>IF(SummaryTable[[#This Row],[OriginalBudget14]]=0, IF(SummaryTable[[#This Row],[DiffAmount14]]=0, ZeroBudgetNoSpending, ZeroBudgetWithSpending), SummaryTable[[#This Row],[DiffAmount14]]/SummaryTable[[#This Row],[OriginalBudget14]])</f>
        <v>#N/A</v>
      </c>
      <c r="DI165" s="62" t="e">
        <f>IF(COUNTIFS(allFYsTable[Code], SummaryTable[[#This Row],[Code]], allFYsTable[year2], DI$3)=0, NotFound, SUMIFS(allFYsTable[OriginalBudget], allFYsTable[Code], SummaryTable[[#This Row],[Code]], allFYsTable[year2], DI$3))</f>
        <v>#N/A</v>
      </c>
      <c r="DJ165" s="61" t="e">
        <f>SummaryTable[[#This Row],[OriginalBudget13]]-SummaryTable[[#This Row],[OriginalBudget12]]</f>
        <v>#N/A</v>
      </c>
      <c r="DK165" s="54" t="e">
        <f>SummaryTable[[#This Row],[BudgetIncreaseAmount13]]/SummaryTable[[#This Row],[OriginalBudget12]]</f>
        <v>#N/A</v>
      </c>
      <c r="DL165" s="61" t="e">
        <f>IF(COUNTIFS(allFYsTable[Code], SummaryTable[[#This Row],[Code]], allFYsTable[year2], DI$3)=0, NotFound, SUMIFS(allFYsTable[RevisedBudget], allFYsTable[Code], SummaryTable[[#This Row],[Code]], allFYsTable[year2], DI$3))</f>
        <v>#N/A</v>
      </c>
      <c r="DM165" s="61" t="e">
        <f>IF(COUNTIFS(allFYsTable[Code], SummaryTable[[#This Row],[Code]], allFYsTable[year2], DI$3)=0, NotFound, SUMIFS(allFYsTable[Actual], allFYsTable[Code], SummaryTable[[#This Row],[Code]], allFYsTable[year2], DI$3))</f>
        <v>#N/A</v>
      </c>
      <c r="DN165" s="61" t="e">
        <f>IF(COUNTIFS(allFYsTable[Code], SummaryTable[[#This Row],[Code]], allFYsTable[year2], DI$3)=0, NotFound, SUMIFS(allFYsTable[DiffAmount], allFYsTable[Code], SummaryTable[[#This Row],[Code]], allFYsTable[year2], DI$3))</f>
        <v>#N/A</v>
      </c>
      <c r="DO165" s="63" t="e">
        <f>IF(SummaryTable[[#This Row],[OriginalBudget13]]=0, IF(SummaryTable[[#This Row],[DiffAmount13]]=0, ZeroBudgetNoSpending, ZeroBudgetWithSpending), SummaryTable[[#This Row],[DiffAmount13]]/SummaryTable[[#This Row],[OriginalBudget13]])</f>
        <v>#N/A</v>
      </c>
      <c r="DP165" s="62" t="e">
        <f>IF(COUNTIFS(allFYsTable[Code], SummaryTable[[#This Row],[Code]], allFYsTable[year2], DP$3)=0, NotFound, SUMIFS(allFYsTable[OriginalBudget], allFYsTable[Code], SummaryTable[[#This Row],[Code]], allFYsTable[year2], DP$3))</f>
        <v>#N/A</v>
      </c>
      <c r="DQ165" s="61" t="e">
        <f>SummaryTable[[#This Row],[OriginalBudget12]]-SummaryTable[[#This Row],[OriginalBudget11]]</f>
        <v>#N/A</v>
      </c>
      <c r="DR165" s="54" t="e">
        <f>SummaryTable[[#This Row],[BudgetIncreaseAmount12]]/SummaryTable[[#This Row],[OriginalBudget11]]</f>
        <v>#N/A</v>
      </c>
      <c r="DS165" s="61" t="e">
        <f>IF(COUNTIFS(allFYsTable[Code], SummaryTable[[#This Row],[Code]], allFYsTable[year2], DP$3)=0, NotFound, SUMIFS(allFYsTable[RevisedBudget], allFYsTable[Code], SummaryTable[[#This Row],[Code]], allFYsTable[year2], DP$3))</f>
        <v>#N/A</v>
      </c>
      <c r="DT165" s="61" t="e">
        <f>IF(COUNTIFS(allFYsTable[Code], SummaryTable[[#This Row],[Code]], allFYsTable[year2], DP$3)=0, NotFound, SUMIFS(allFYsTable[Actual], allFYsTable[Code], SummaryTable[[#This Row],[Code]], allFYsTable[year2], DP$3))</f>
        <v>#N/A</v>
      </c>
      <c r="DU165" s="61" t="e">
        <f>IF(COUNTIFS(allFYsTable[Code], SummaryTable[[#This Row],[Code]], allFYsTable[year2], DP$3)=0, NotFound, SUMIFS(allFYsTable[DiffAmount], allFYsTable[Code], SummaryTable[[#This Row],[Code]], allFYsTable[year2], DP$3))</f>
        <v>#N/A</v>
      </c>
      <c r="DV165" s="63" t="e">
        <f>IF(SummaryTable[[#This Row],[OriginalBudget12]]=0, IF(SummaryTable[[#This Row],[DiffAmount12]]=0, ZeroBudgetNoSpending, ZeroBudgetWithSpending), SummaryTable[[#This Row],[DiffAmount12]]/SummaryTable[[#This Row],[OriginalBudget12]])</f>
        <v>#N/A</v>
      </c>
      <c r="DW165" s="62">
        <f>IF(COUNTIFS(allFYsTable[Code], SummaryTable[[#This Row],[Code]], allFYsTable[year2], DW$3)=0, NotFound, SUMIFS(allFYsTable[OriginalBudget], allFYsTable[Code], SummaryTable[[#This Row],[Code]], allFYsTable[year2], DW$3))</f>
        <v>120439</v>
      </c>
      <c r="DX165" s="61" t="e">
        <f>SummaryTable[[#This Row],[OriginalBudget11]]-SummaryTable[[#This Row],[OriginalBudget10]]</f>
        <v>#N/A</v>
      </c>
      <c r="DY165" s="54" t="e">
        <f>SummaryTable[[#This Row],[BudgetIncreaseAmount11]]/SummaryTable[[#This Row],[OriginalBudget10]]</f>
        <v>#N/A</v>
      </c>
      <c r="DZ165" s="61">
        <f>IF(COUNTIFS(allFYsTable[Code], SummaryTable[[#This Row],[Code]], allFYsTable[year2], DW$3)=0, NotFound, SUMIFS(allFYsTable[RevisedBudget], allFYsTable[Code], SummaryTable[[#This Row],[Code]], allFYsTable[year2], DW$3))</f>
        <v>123657</v>
      </c>
      <c r="EA165" s="61">
        <f>IF(COUNTIFS(allFYsTable[Code], SummaryTable[[#This Row],[Code]], allFYsTable[year2], DW$3)=0, NotFound, SUMIFS(allFYsTable[Actual], allFYsTable[Code], SummaryTable[[#This Row],[Code]], allFYsTable[year2], DW$3))</f>
        <v>122657</v>
      </c>
      <c r="EB165" s="61">
        <f>IF(COUNTIFS(allFYsTable[Code], SummaryTable[[#This Row],[Code]], allFYsTable[year2], DW$3)=0, NotFound, SUMIFS(allFYsTable[DiffAmount], allFYsTable[Code], SummaryTable[[#This Row],[Code]], allFYsTable[year2], DW$3))</f>
        <v>2218</v>
      </c>
      <c r="EC165" s="63">
        <f>IF(SummaryTable[[#This Row],[OriginalBudget11]]=0, IF(SummaryTable[[#This Row],[DiffAmount11]]=0, ZeroBudgetNoSpending, ZeroBudgetWithSpending), SummaryTable[[#This Row],[DiffAmount11]]/SummaryTable[[#This Row],[OriginalBudget11]])</f>
        <v>1.8415961607120616E-2</v>
      </c>
      <c r="ED165" s="62" t="e">
        <f>IF(COUNTIFS(allFYsTable[Code], SummaryTable[[#This Row],[Code]], allFYsTable[year2], ED$3)=0, NotFound, SUMIFS(allFYsTable[OriginalBudget], allFYsTable[Code], SummaryTable[[#This Row],[Code]], allFYsTable[year2], ED$3))</f>
        <v>#N/A</v>
      </c>
      <c r="EE165" s="61" t="e">
        <f>SummaryTable[[#This Row],[OriginalBudget10]]-SummaryTable[[#This Row],[OriginalBudget09]]</f>
        <v>#N/A</v>
      </c>
      <c r="EF165" s="54" t="e">
        <f>SummaryTable[[#This Row],[BudgetIncreaseAmount10]]/SummaryTable[[#This Row],[OriginalBudget09]]</f>
        <v>#N/A</v>
      </c>
      <c r="EG165" s="61" t="e">
        <f>IF(COUNTIFS(allFYsTable[Code], SummaryTable[[#This Row],[Code]], allFYsTable[year2], ED$3)=0, NotFound, SUMIFS(allFYsTable[RevisedBudget], allFYsTable[Code], SummaryTable[[#This Row],[Code]], allFYsTable[year2], ED$3))</f>
        <v>#N/A</v>
      </c>
      <c r="EH165" s="61" t="e">
        <f>IF(COUNTIFS(allFYsTable[Code], SummaryTable[[#This Row],[Code]], allFYsTable[year2], ED$3)=0, NotFound, SUMIFS(allFYsTable[Actual], allFYsTable[Code], SummaryTable[[#This Row],[Code]], allFYsTable[year2], ED$3))</f>
        <v>#N/A</v>
      </c>
      <c r="EI165" s="61" t="e">
        <f>IF(COUNTIFS(allFYsTable[Code], SummaryTable[[#This Row],[Code]], allFYsTable[year2], ED$3)=0, NotFound, SUMIFS(allFYsTable[DiffAmount], allFYsTable[Code], SummaryTable[[#This Row],[Code]], allFYsTable[year2], ED$3))</f>
        <v>#N/A</v>
      </c>
      <c r="EJ165" s="63" t="e">
        <f>IF(SummaryTable[[#This Row],[OriginalBudget10]]=0, IF(SummaryTable[[#This Row],[DiffAmount10]]=0, ZeroBudgetNoSpending, ZeroBudgetWithSpending), SummaryTable[[#This Row],[DiffAmount10]]/SummaryTable[[#This Row],[OriginalBudget10]])</f>
        <v>#N/A</v>
      </c>
      <c r="EK165" s="62" t="e">
        <f>IF(COUNTIFS(allFYsTable[Code], SummaryTable[[#This Row],[Code]], allFYsTable[year2], EK$3)=0, NotFound, SUMIFS(allFYsTable[OriginalBudget], allFYsTable[Code], SummaryTable[[#This Row],[Code]], allFYsTable[year2], EK$3))</f>
        <v>#N/A</v>
      </c>
      <c r="EL165" s="61" t="e">
        <f>SummaryTable[[#This Row],[OriginalBudget09]]-SummaryTable[[#This Row],[OriginalBudget08]]</f>
        <v>#N/A</v>
      </c>
      <c r="EM165" s="54" t="e">
        <f>SummaryTable[[#This Row],[BudgetIncreaseAmount09]]/SummaryTable[[#This Row],[OriginalBudget08]]</f>
        <v>#N/A</v>
      </c>
      <c r="EN165" s="61" t="e">
        <f>IF(COUNTIFS(allFYsTable[Code], SummaryTable[[#This Row],[Code]], allFYsTable[year2], EK$3)=0, NotFound, SUMIFS(allFYsTable[RevisedBudget], allFYsTable[Code], SummaryTable[[#This Row],[Code]], allFYsTable[year2], EK$3))</f>
        <v>#N/A</v>
      </c>
      <c r="EO165" s="61" t="e">
        <f>IF(COUNTIFS(allFYsTable[Code], SummaryTable[[#This Row],[Code]], allFYsTable[year2], EK$3)=0, NotFound, SUMIFS(allFYsTable[Actual], allFYsTable[Code], SummaryTable[[#This Row],[Code]], allFYsTable[year2], EK$3))</f>
        <v>#N/A</v>
      </c>
      <c r="EP165" s="61" t="e">
        <f>IF(COUNTIFS(allFYsTable[Code], SummaryTable[[#This Row],[Code]], allFYsTable[year2], EK$3)=0, NotFound, SUMIFS(allFYsTable[DiffAmount], allFYsTable[Code], SummaryTable[[#This Row],[Code]], allFYsTable[year2], EK$3))</f>
        <v>#N/A</v>
      </c>
      <c r="EQ165" s="63" t="e">
        <f>IF(SummaryTable[[#This Row],[OriginalBudget09]]=0, IF(SummaryTable[[#This Row],[DiffAmount09]]=0, ZeroBudgetNoSpending, ZeroBudgetWithSpending), SummaryTable[[#This Row],[DiffAmount09]]/SummaryTable[[#This Row],[OriginalBudget09]])</f>
        <v>#N/A</v>
      </c>
      <c r="ER165" s="62" t="e">
        <f>IF(COUNTIFS(allFYsTable[Code], SummaryTable[[#This Row],[Code]], allFYsTable[year2], ER$3)=0, NotFound, SUMIFS(allFYsTable[OriginalBudget], allFYsTable[Code], SummaryTable[[#This Row],[Code]], allFYsTable[year2], ER$3))</f>
        <v>#N/A</v>
      </c>
      <c r="ES165" s="61" t="e">
        <f>SummaryTable[[#This Row],[OriginalBudget08]]-SummaryTable[[#This Row],[OriginalBudget07]]</f>
        <v>#N/A</v>
      </c>
      <c r="ET165" s="54" t="e">
        <f>SummaryTable[[#This Row],[BudgetIncreaseAmount08]]/SummaryTable[[#This Row],[OriginalBudget07]]</f>
        <v>#N/A</v>
      </c>
      <c r="EU165" s="61" t="e">
        <f>IF(COUNTIFS(allFYsTable[Code], SummaryTable[[#This Row],[Code]], allFYsTable[year2], ER$3)=0, NotFound, SUMIFS(allFYsTable[RevisedBudget], allFYsTable[Code], SummaryTable[[#This Row],[Code]], allFYsTable[year2], ER$3))</f>
        <v>#N/A</v>
      </c>
      <c r="EV165" s="61" t="e">
        <f>IF(COUNTIFS(allFYsTable[Code], SummaryTable[[#This Row],[Code]], allFYsTable[year2], ER$3)=0, NotFound, SUMIFS(allFYsTable[Actual], allFYsTable[Code], SummaryTable[[#This Row],[Code]], allFYsTable[year2], ER$3))</f>
        <v>#N/A</v>
      </c>
      <c r="EW165" s="61" t="e">
        <f>IF(COUNTIFS(allFYsTable[Code], SummaryTable[[#This Row],[Code]], allFYsTable[year2], ER$3)=0, NotFound, SUMIFS(allFYsTable[DiffAmount], allFYsTable[Code], SummaryTable[[#This Row],[Code]], allFYsTable[year2], ER$3))</f>
        <v>#N/A</v>
      </c>
      <c r="EX165" s="63" t="e">
        <f>IF(SummaryTable[[#This Row],[OriginalBudget08]]=0, IF(SummaryTable[[#This Row],[DiffAmount08]]=0, ZeroBudgetNoSpending, ZeroBudgetWithSpending), SummaryTable[[#This Row],[DiffAmount08]]/SummaryTable[[#This Row],[OriginalBudget08]])</f>
        <v>#N/A</v>
      </c>
      <c r="EY165" s="62" t="e">
        <f>IF(COUNTIFS(allFYsTable[Code], SummaryTable[[#This Row],[Code]], allFYsTable[year2], EY$3)=0, NotFound, SUMIFS(allFYsTable[OriginalBudget], allFYsTable[Code], SummaryTable[[#This Row],[Code]], allFYsTable[year2], EY$3))</f>
        <v>#N/A</v>
      </c>
      <c r="EZ165" s="61" t="e">
        <f>SummaryTable[[#This Row],[OriginalBudget07]]-SummaryTable[[#This Row],[OriginalBudget06]]</f>
        <v>#N/A</v>
      </c>
      <c r="FA165" s="54" t="e">
        <f>SummaryTable[[#This Row],[BudgetIncreaseAmount07]]/SummaryTable[[#This Row],[OriginalBudget06]]</f>
        <v>#N/A</v>
      </c>
      <c r="FB165" s="61" t="e">
        <f>IF(COUNTIFS(allFYsTable[Code], SummaryTable[[#This Row],[Code]], allFYsTable[year2], EY$3)=0, NotFound, SUMIFS(allFYsTable[RevisedBudget], allFYsTable[Code], SummaryTable[[#This Row],[Code]], allFYsTable[year2], EY$3))</f>
        <v>#N/A</v>
      </c>
      <c r="FC165" s="61" t="e">
        <f>IF(COUNTIFS(allFYsTable[Code], SummaryTable[[#This Row],[Code]], allFYsTable[year2], EY$3)=0, NotFound, SUMIFS(allFYsTable[Actual], allFYsTable[Code], SummaryTable[[#This Row],[Code]], allFYsTable[year2], EY$3))</f>
        <v>#N/A</v>
      </c>
      <c r="FD165" s="61" t="e">
        <f>IF(COUNTIFS(allFYsTable[Code], SummaryTable[[#This Row],[Code]], allFYsTable[year2], EY$3)=0, NotFound, SUMIFS(allFYsTable[DiffAmount], allFYsTable[Code], SummaryTable[[#This Row],[Code]], allFYsTable[year2], EY$3))</f>
        <v>#N/A</v>
      </c>
      <c r="FE165" s="63" t="e">
        <f>IF(SummaryTable[[#This Row],[OriginalBudget07]]=0, IF(SummaryTable[[#This Row],[DiffAmount07]]=0, ZeroBudgetNoSpending, ZeroBudgetWithSpending), SummaryTable[[#This Row],[DiffAmount07]]/SummaryTable[[#This Row],[OriginalBudget07]])</f>
        <v>#N/A</v>
      </c>
      <c r="FF165" s="62" t="e">
        <f>IF(COUNTIFS(allFYsTable[Code], SummaryTable[[#This Row],[Code]], allFYsTable[year2], FF$3)=0, NotFound, SUMIFS(allFYsTable[OriginalBudget], allFYsTable[Code], SummaryTable[[#This Row],[Code]], allFYsTable[year2], FF$3))</f>
        <v>#N/A</v>
      </c>
      <c r="FI165" s="61" t="e">
        <f>IF(COUNTIFS(allFYsTable[Code], SummaryTable[[#This Row],[Code]], allFYsTable[year2], FF$3)=0, NotFound, SUMIFS(allFYsTable[RevisedBudget], allFYsTable[Code], SummaryTable[[#This Row],[Code]], allFYsTable[year2], FF$3))</f>
        <v>#N/A</v>
      </c>
      <c r="FJ165" s="61" t="e">
        <f>IF(COUNTIFS(allFYsTable[Code], SummaryTable[[#This Row],[Code]], allFYsTable[year2], FF$3)=0, NotFound, SUMIFS(allFYsTable[Actual], allFYsTable[Code], SummaryTable[[#This Row],[Code]], allFYsTable[year2], FF$3))</f>
        <v>#N/A</v>
      </c>
      <c r="FK165" s="61" t="e">
        <f>IF(COUNTIFS(allFYsTable[Code], SummaryTable[[#This Row],[Code]], allFYsTable[year2], FF$3)=0, NotFound, SUMIFS(allFYsTable[DiffAmount], allFYsTable[Code], SummaryTable[[#This Row],[Code]], allFYsTable[year2], FF$3))</f>
        <v>#N/A</v>
      </c>
      <c r="FL165" s="63" t="e">
        <f>IF(SummaryTable[[#This Row],[OriginalBudget06]]=0, IF(SummaryTable[[#This Row],[DiffAmount06]]=0, ZeroBudgetNoSpending, ZeroBudgetWithSpending), SummaryTable[[#This Row],[DiffAmount06]]/SummaryTable[[#This Row],[OriginalBudget06]])</f>
        <v>#N/A</v>
      </c>
    </row>
    <row r="166" spans="1:168" x14ac:dyDescent="0.45">
      <c r="A166" t="s">
        <v>855</v>
      </c>
      <c r="B166">
        <f>_xlfn.MAXIFS(allFYsTable[year2], allFYsTable[Code], SummaryTable[[#This Row],[Code]])</f>
        <v>2011</v>
      </c>
      <c r="C166" t="str">
        <f>_xlfn.XLOOKUP(SummaryTable[[#This Row],[Code]], NameCodingTable[Code], NameCodingTable[Most Recent Category per allFYs])</f>
        <v>Public education system</v>
      </c>
      <c r="D166" t="str">
        <f>_xlfn.XLOOKUP(SummaryTable[[#This Row],[Code]], NameCodingTable[Code], NameCodingTable[Unit Display Name])</f>
        <v>Office  of   public   education   facilities  modernization</v>
      </c>
      <c r="E166" t="str">
        <f>_xlfn.XLOOKUP(SummaryTable[[#This Row],[Code]], NameCodingTable[Code], NameCodingTable[Type])</f>
        <v>untyped</v>
      </c>
      <c r="F16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5</v>
      </c>
      <c r="G16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3</v>
      </c>
      <c r="H166" s="54">
        <f>SummaryTable[[#This Row],['# Over]]/SummaryTable[[#This Row],[Count]]</f>
        <v>0.6</v>
      </c>
      <c r="I16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v>
      </c>
      <c r="J166" s="54">
        <f>SummaryTable[[#This Row],['# Under]]/SummaryTable[[#This Row],[Count]]</f>
        <v>0.4</v>
      </c>
      <c r="K16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66" s="54">
        <f>SummaryTable[[#This Row],['# Equal]]/SummaryTable[[#This Row],[Count]]</f>
        <v>0</v>
      </c>
      <c r="M166" s="61">
        <f>SUMIFS(allFYsTable[OriginalBudget],allFYsTable[Code],SummaryTable[[#This Row],[Code]])/SummaryTable[[#This Row],[Count]]</f>
        <v>16697</v>
      </c>
      <c r="N166" s="61">
        <f>SUMIFS(allFYsTable[Actual],allFYsTable[Code],SummaryTable[[#This Row],[Code]])/SummaryTable[[#This Row],[Count]]</f>
        <v>23057.200000000001</v>
      </c>
      <c r="O166" s="61">
        <f>SummaryTable[[#This Row],[AvgActAmt]]-SummaryTable[[#This Row],[AvgBudAmt]]</f>
        <v>6360.2000000000007</v>
      </c>
      <c r="P166" s="54">
        <f>IF(SummaryTable[[#This Row],[AvgBudAmt]]=0, IF(SummaryTable[[#This Row],[AvgDiff'#]]=0, 0, NamedFields!$C$3), SummaryTable[[#This Row],[AvgDiff'#]]/SummaryTable[[#This Row],[AvgBudAmt]])</f>
        <v>0.38091872791519438</v>
      </c>
      <c r="Q166" s="61">
        <f>IFERROR(SUMIFS(allFYsTable[OriginalBudget],allFYsTable[Code],SummaryTable[[#This Row],[Code]],allFYsTable[DiffAmount], "&gt;0")/SummaryTable[[#This Row],['# Over]], 0)</f>
        <v>9456</v>
      </c>
      <c r="R166" s="61">
        <f>IFERROR(SUMIFS(allFYsTable[Actual],allFYsTable[Code],SummaryTable[[#This Row],[Code]],allFYsTable[DiffAmount], "&gt;0")/SummaryTable[[#This Row],['# Over]], 0)</f>
        <v>20327.333333333332</v>
      </c>
      <c r="S166" s="61">
        <f>SummaryTable[[#This Row],[OverAvgAct]]-SummaryTable[[#This Row],[OverAvgBud]]</f>
        <v>10871.333333333332</v>
      </c>
      <c r="T166" s="54">
        <f>IF(SummaryTable[[#This Row],[OverAvgBud]]=0, IF(SummaryTable[[#This Row],[OverAvgDiff'#]]=0, ZeroBudgetNoSpending, ZeroBudgetWithSpending), SummaryTable[[#This Row],[OverAvgDiff'#]]/SummaryTable[[#This Row],[OverAvgBud]])</f>
        <v>1.1496756909193455</v>
      </c>
      <c r="U166" s="61">
        <f>IFERROR(SUMIFS(allFYsTable[OriginalBudget],allFYsTable[Code],SummaryTable[[#This Row],[Code]],allFYsTable[DiffAmount], "&lt;0")/SummaryTable[[#This Row],['# Under]], 0)</f>
        <v>27558.5</v>
      </c>
      <c r="V166" s="61">
        <f>IFERROR( SUMIFS(allFYsTable[Actual],allFYsTable[Code],SummaryTable[[#This Row],[Code]],allFYsTable[DiffAmount], "&lt;0")/SummaryTable[[#This Row],['# Under]], 0)</f>
        <v>27152</v>
      </c>
      <c r="W166" s="61">
        <f>SummaryTable[[#This Row],[UnderAvgAct]]-SummaryTable[[#This Row],[UnderAvgBud]]</f>
        <v>-406.5</v>
      </c>
      <c r="X166" s="54">
        <f>IF(SummaryTable[[#This Row],[UnderAvgBud]]=0, IF(SummaryTable[[#This Row],[UnderAvgDiff'#]]=0, ZeroBudgetNoSpending, NamedFields!$C$3), SummaryTable[[#This Row],[UnderAvgDiff'#]]/SummaryTable[[#This Row],[UnderAvgBud]])</f>
        <v>-1.475043997314803E-2</v>
      </c>
      <c r="Y16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2</v>
      </c>
      <c r="Z16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1</v>
      </c>
      <c r="AA166" s="54">
        <f>IF(SummaryTable[[#This Row],[IncreaseYears]]=0, ZeroBudgetNoSpending, SummaryTable[[#This Row],[OSinIncreaseYear'#]]/SummaryTable[[#This Row],[IncreaseYears]])</f>
        <v>0.5</v>
      </c>
      <c r="AB166" s="58" t="str">
        <f>SummaryTable[[#This Row],[Code]]</f>
        <v>GM0</v>
      </c>
      <c r="AC166" s="62" t="e">
        <f>IF(COUNTIFS(allFYsTable[Code], SummaryTable[[#This Row],[Code]], allFYsTable[year2], AC$3)=0, NotFound, SUMIFS(allFYsTable[OriginalBudget], allFYsTable[Code], SummaryTable[[#This Row],[Code]], allFYsTable[year2], AC$3))</f>
        <v>#N/A</v>
      </c>
      <c r="AD166" s="61" t="e">
        <f>SummaryTable[[#This Row],[OriginalBudget25]]-SummaryTable[[#This Row],[OriginalBudget24]]</f>
        <v>#N/A</v>
      </c>
      <c r="AE166" s="54" t="e">
        <f>SummaryTable[[#This Row],[BudgetIncreaseAmount25]]/SummaryTable[[#This Row],[OriginalBudget24]]</f>
        <v>#N/A</v>
      </c>
      <c r="AF166" s="61" t="e">
        <f>IF(COUNTIFS(allFYsTable[Code], SummaryTable[[#This Row],[Code]], allFYsTable[year2], AC$3)=0, NotFound, SUMIFS(allFYsTable[RevisedBudget], allFYsTable[Code], SummaryTable[[#This Row],[Code]], allFYsTable[year2], AC$3))</f>
        <v>#N/A</v>
      </c>
      <c r="AG166" s="61" t="e">
        <f>IF(COUNTIFS(allFYsTable[Code], SummaryTable[[#This Row],[Code]], allFYsTable[year2], AC$3)=0, NotFound, SUMIFS(allFYsTable[Actual], allFYsTable[Code], SummaryTable[[#This Row],[Code]], allFYsTable[year2], AC$3))</f>
        <v>#N/A</v>
      </c>
      <c r="AH166" s="61" t="e">
        <f>IF(COUNTIFS(allFYsTable[Code], SummaryTable[[#This Row],[Code]], allFYsTable[year2], AC$3)=0, NotFound, SUMIFS(allFYsTable[DiffAmount], allFYsTable[Code], SummaryTable[[#This Row],[Code]], allFYsTable[year2], AC$3))</f>
        <v>#N/A</v>
      </c>
      <c r="AI166" s="63" t="e">
        <f>IF(SummaryTable[[#This Row],[OriginalBudget25]]=0, IF(SummaryTable[[#This Row],[DiffAmount25]]=0, ZeroBudgetNoSpending, ZeroBudgetWithSpending), SummaryTable[[#This Row],[DiffAmount25]]/SummaryTable[[#This Row],[OriginalBudget25]])</f>
        <v>#N/A</v>
      </c>
      <c r="AJ166" s="62" t="e">
        <f>IF(COUNTIFS(allFYsTable[Code], SummaryTable[[#This Row],[Code]], allFYsTable[year2], AJ$3)=0, NotFound, SUMIFS(allFYsTable[OriginalBudget], allFYsTable[Code], SummaryTable[[#This Row],[Code]], allFYsTable[year2], AJ$3))</f>
        <v>#N/A</v>
      </c>
      <c r="AK166" s="61" t="e">
        <f>SummaryTable[[#This Row],[OriginalBudget24]]-SummaryTable[[#This Row],[OriginalBudget23]]</f>
        <v>#N/A</v>
      </c>
      <c r="AL166" s="54" t="e">
        <f>SummaryTable[[#This Row],[BudgetIncreaseAmount24]]/SummaryTable[[#This Row],[OriginalBudget23]]</f>
        <v>#N/A</v>
      </c>
      <c r="AM166" s="61" t="e">
        <f>IF(COUNTIFS(allFYsTable[Code], SummaryTable[[#This Row],[Code]], allFYsTable[year2], AK$3)=0, NotFound, SUMIFS(allFYsTable[RevisedBudget], allFYsTable[Code], SummaryTable[[#This Row],[Code]], allFYsTable[year2], AJ$3))</f>
        <v>#N/A</v>
      </c>
      <c r="AN166" s="61" t="e">
        <f>IF(COUNTIFS(allFYsTable[Code], SummaryTable[[#This Row],[Code]], allFYsTable[year2], AJ$3)=0, NotFound, SUMIFS(allFYsTable[Actual], allFYsTable[Code], SummaryTable[[#This Row],[Code]], allFYsTable[year2], AJ$3))</f>
        <v>#N/A</v>
      </c>
      <c r="AO166" s="61" t="e">
        <f>IF(COUNTIFS(allFYsTable[Code], SummaryTable[[#This Row],[Code]], allFYsTable[year2], AJ$3)=0, NotFound, SUMIFS(allFYsTable[DiffAmount], allFYsTable[Code], SummaryTable[[#This Row],[Code]], allFYsTable[year2], AJ$3))</f>
        <v>#N/A</v>
      </c>
      <c r="AP166" s="63" t="e">
        <f>IF(SummaryTable[[#This Row],[OriginalBudget24]]=0, IF(SummaryTable[[#This Row],[DiffAmount24]]=0, ZeroBudgetNoSpending, ZeroBudgetWithSpending), SummaryTable[[#This Row],[DiffAmount24]]/SummaryTable[[#This Row],[OriginalBudget24]])</f>
        <v>#N/A</v>
      </c>
      <c r="AQ166" s="62" t="e">
        <f>IF(COUNTIFS(allFYsTable[Code], SummaryTable[[#This Row],[Code]], allFYsTable[year2], AQ$3)=0, NotFound, SUMIFS(allFYsTable[OriginalBudget], allFYsTable[Code], SummaryTable[[#This Row],[Code]], allFYsTable[year2], AQ$3))</f>
        <v>#N/A</v>
      </c>
      <c r="AR166" s="61" t="e">
        <f>SummaryTable[[#This Row],[OriginalBudget23]]-SummaryTable[[#This Row],[OriginalBudget22]]</f>
        <v>#N/A</v>
      </c>
      <c r="AS166" s="54" t="e">
        <f>SummaryTable[[#This Row],[BudgetIncreaseAmount23]]/SummaryTable[[#This Row],[OriginalBudget22]]</f>
        <v>#N/A</v>
      </c>
      <c r="AT166" s="61" t="e">
        <f>IF(COUNTIFS(allFYsTable[Code], SummaryTable[[#This Row],[Code]], allFYsTable[year2], AQ$3)=0, NotFound, SUMIFS(allFYsTable[RevisedBudget], allFYsTable[Code], SummaryTable[[#This Row],[Code]], allFYsTable[year2], AQ$3))</f>
        <v>#N/A</v>
      </c>
      <c r="AU166" s="61" t="e">
        <f>IF(COUNTIFS(allFYsTable[Code], SummaryTable[[#This Row],[Code]], allFYsTable[year2], AQ$3)=0, NotFound, SUMIFS(allFYsTable[Actual], allFYsTable[Code], SummaryTable[[#This Row],[Code]], allFYsTable[year2], AQ$3))</f>
        <v>#N/A</v>
      </c>
      <c r="AV166" s="61" t="e">
        <f>IF(COUNTIFS(allFYsTable[Code], SummaryTable[[#This Row],[Code]], allFYsTable[year2], AQ$3)=0, NotFound, SUMIFS(allFYsTable[DiffAmount], allFYsTable[Code], SummaryTable[[#This Row],[Code]], allFYsTable[year2], AQ$3))</f>
        <v>#N/A</v>
      </c>
      <c r="AW166" s="63" t="e">
        <f>IF(SummaryTable[[#This Row],[OriginalBudget23]]=0, IF(SummaryTable[[#This Row],[DiffAmount23]]=0, ZeroBudgetNoSpending, ZeroBudgetWithSpending), SummaryTable[[#This Row],[DiffAmount23]]/SummaryTable[[#This Row],[OriginalBudget23]])</f>
        <v>#N/A</v>
      </c>
      <c r="AX166" s="62" t="e">
        <f>IF(COUNTIFS(allFYsTable[Code], SummaryTable[[#This Row],[Code]], allFYsTable[year2], AX$3)=0, NotFound, SUMIFS(allFYsTable[OriginalBudget], allFYsTable[Code], SummaryTable[[#This Row],[Code]], allFYsTable[year2], AX$3))</f>
        <v>#N/A</v>
      </c>
      <c r="AY166" s="61" t="e">
        <f>SummaryTable[[#This Row],[OriginalBudget22]]-SummaryTable[[#This Row],[OriginalBudget21]]</f>
        <v>#N/A</v>
      </c>
      <c r="AZ166" s="54" t="e">
        <f>SummaryTable[[#This Row],[BudgetIncreaseAmount22]]/SummaryTable[[#This Row],[OriginalBudget21]]</f>
        <v>#N/A</v>
      </c>
      <c r="BA166" s="61" t="e">
        <f>IF(COUNTIFS(allFYsTable[Code], SummaryTable[[#This Row],[Code]], allFYsTable[year2], AX$3)=0, NotFound, SUMIFS(allFYsTable[RevisedBudget], allFYsTable[Code], SummaryTable[[#This Row],[Code]], allFYsTable[year2], AX$3))</f>
        <v>#N/A</v>
      </c>
      <c r="BB166" s="61" t="e">
        <f>IF(COUNTIFS(allFYsTable[Code], SummaryTable[[#This Row],[Code]], allFYsTable[year2], AX$3)=0, NotFound, SUMIFS(allFYsTable[Actual], allFYsTable[Code], SummaryTable[[#This Row],[Code]], allFYsTable[year2], AX$3))</f>
        <v>#N/A</v>
      </c>
      <c r="BC166" s="61" t="e">
        <f>IF(COUNTIFS(allFYsTable[Code], SummaryTable[[#This Row],[Code]], allFYsTable[year2], AX$3)=0, NotFound, SUMIFS(allFYsTable[DiffAmount], allFYsTable[Code], SummaryTable[[#This Row],[Code]], allFYsTable[year2], AX$3))</f>
        <v>#N/A</v>
      </c>
      <c r="BD166" s="63" t="e">
        <f>IF(SummaryTable[[#This Row],[OriginalBudget22]]=0, IF(SummaryTable[[#This Row],[DiffAmount22]]=0, ZeroBudgetNoSpending, ZeroBudgetWithSpending), SummaryTable[[#This Row],[DiffAmount22]]/SummaryTable[[#This Row],[OriginalBudget22]])</f>
        <v>#N/A</v>
      </c>
      <c r="BE166" s="62" t="e">
        <f>IF(COUNTIFS(allFYsTable[Code], SummaryTable[[#This Row],[Code]], allFYsTable[year2], BE$3)=0, NotFound, SUMIFS(allFYsTable[OriginalBudget], allFYsTable[Code], SummaryTable[[#This Row],[Code]], allFYsTable[year2], BE$3))</f>
        <v>#N/A</v>
      </c>
      <c r="BF166" s="61" t="e">
        <f>SummaryTable[[#This Row],[OriginalBudget21]]-SummaryTable[[#This Row],[OriginalBudget20]]</f>
        <v>#N/A</v>
      </c>
      <c r="BG166" s="54" t="e">
        <f>SummaryTable[[#This Row],[BudgetIncreaseAmount21]]/SummaryTable[[#This Row],[OriginalBudget20]]</f>
        <v>#N/A</v>
      </c>
      <c r="BH166" s="61" t="e">
        <f>IF(COUNTIFS(allFYsTable[Code], SummaryTable[[#This Row],[Code]], allFYsTable[year2], BE$3)=0, NotFound, SUMIFS(allFYsTable[RevisedBudget], allFYsTable[Code], SummaryTable[[#This Row],[Code]], allFYsTable[year2], BE$3))</f>
        <v>#N/A</v>
      </c>
      <c r="BI166" s="61" t="e">
        <f>IF(COUNTIFS(allFYsTable[Code], SummaryTable[[#This Row],[Code]], allFYsTable[year2], BE$3)=0, NotFound, SUMIFS(allFYsTable[Actual], allFYsTable[Code], SummaryTable[[#This Row],[Code]], allFYsTable[year2], BE$3))</f>
        <v>#N/A</v>
      </c>
      <c r="BJ166" s="61" t="e">
        <f>IF(COUNTIFS(allFYsTable[Code], SummaryTable[[#This Row],[Code]], allFYsTable[year2], BE$3)=0, NotFound, SUMIFS(allFYsTable[DiffAmount], allFYsTable[Code], SummaryTable[[#This Row],[Code]], allFYsTable[year2], BE$3))</f>
        <v>#N/A</v>
      </c>
      <c r="BK166" s="63" t="e">
        <f>IF(SummaryTable[[#This Row],[OriginalBudget21]]=0, IF(SummaryTable[[#This Row],[DiffAmount21]]=0, ZeroBudgetNoSpending, ZeroBudgetWithSpending), SummaryTable[[#This Row],[DiffAmount21]]/SummaryTable[[#This Row],[OriginalBudget21]])</f>
        <v>#N/A</v>
      </c>
      <c r="BL166" s="62" t="e">
        <f>IF(COUNTIFS(allFYsTable[Code], SummaryTable[[#This Row],[Code]], allFYsTable[year2], BL$3)=0, NotFound, SUMIFS(allFYsTable[OriginalBudget], allFYsTable[Code], SummaryTable[[#This Row],[Code]], allFYsTable[year2], BL$3))</f>
        <v>#N/A</v>
      </c>
      <c r="BM166" s="61" t="e">
        <f>SummaryTable[[#This Row],[OriginalBudget20]]-SummaryTable[[#This Row],[OriginalBudget19]]</f>
        <v>#N/A</v>
      </c>
      <c r="BN166" s="54" t="e">
        <f>SummaryTable[[#This Row],[BudgetIncreaseAmount20]]/SummaryTable[[#This Row],[OriginalBudget19]]</f>
        <v>#N/A</v>
      </c>
      <c r="BO166" s="61" t="e">
        <f>IF(COUNTIFS(allFYsTable[Code], SummaryTable[[#This Row],[Code]], allFYsTable[year2], BL$3)=0, NotFound, SUMIFS(allFYsTable[RevisedBudget], allFYsTable[Code], SummaryTable[[#This Row],[Code]], allFYsTable[year2], BL$3))</f>
        <v>#N/A</v>
      </c>
      <c r="BP166" s="61" t="e">
        <f>IF(COUNTIFS(allFYsTable[Code], SummaryTable[[#This Row],[Code]], allFYsTable[year2], BL$3)=0, NotFound, SUMIFS(allFYsTable[Actual], allFYsTable[Code], SummaryTable[[#This Row],[Code]], allFYsTable[year2], BL$3))</f>
        <v>#N/A</v>
      </c>
      <c r="BQ166" s="61" t="e">
        <f>IF(COUNTIFS(allFYsTable[Code], SummaryTable[[#This Row],[Code]], allFYsTable[year2], BL$3)=0, NotFound, SUMIFS(allFYsTable[DiffAmount], allFYsTable[Code], SummaryTable[[#This Row],[Code]], allFYsTable[year2], BL$3))</f>
        <v>#N/A</v>
      </c>
      <c r="BR166" s="63" t="e">
        <f>IF(SummaryTable[[#This Row],[OriginalBudget20]]=0, IF(SummaryTable[[#This Row],[DiffAmount20]]=0, ZeroBudgetNoSpending, ZeroBudgetWithSpending), SummaryTable[[#This Row],[DiffAmount20]]/SummaryTable[[#This Row],[OriginalBudget20]])</f>
        <v>#N/A</v>
      </c>
      <c r="BS166" s="62" t="e">
        <f>IF(COUNTIFS(allFYsTable[Code], SummaryTable[[#This Row],[Code]], allFYsTable[year2], BS$3)=0, NotFound, SUMIFS(allFYsTable[OriginalBudget], allFYsTable[Code], SummaryTable[[#This Row],[Code]], allFYsTable[year2], BS$3))</f>
        <v>#N/A</v>
      </c>
      <c r="BT166" s="61" t="e">
        <f>SummaryTable[[#This Row],[OriginalBudget19]]-SummaryTable[[#This Row],[OriginalBudget18]]</f>
        <v>#N/A</v>
      </c>
      <c r="BU166" s="54" t="e">
        <f>SummaryTable[[#This Row],[BudgetIncreaseAmount19]]/SummaryTable[[#This Row],[OriginalBudget18]]</f>
        <v>#N/A</v>
      </c>
      <c r="BV166" s="61" t="e">
        <f>IF(COUNTIFS(allFYsTable[Code], SummaryTable[[#This Row],[Code]], allFYsTable[year2], BS$3)=0, NotFound, SUMIFS(allFYsTable[RevisedBudget], allFYsTable[Code], SummaryTable[[#This Row],[Code]], allFYsTable[year2], BS$3))</f>
        <v>#N/A</v>
      </c>
      <c r="BW166" s="61" t="e">
        <f>IF(COUNTIFS(allFYsTable[Code], SummaryTable[[#This Row],[Code]], allFYsTable[year2], BS$3)=0, NotFound, SUMIFS(allFYsTable[Actual], allFYsTable[Code], SummaryTable[[#This Row],[Code]], allFYsTable[year2], BS$3))</f>
        <v>#N/A</v>
      </c>
      <c r="BX166" s="61" t="e">
        <f>IF(COUNTIFS(allFYsTable[Code], SummaryTable[[#This Row],[Code]], allFYsTable[year2], BS$3)=0, NotFound, SUMIFS(allFYsTable[DiffAmount], allFYsTable[Code], SummaryTable[[#This Row],[Code]], allFYsTable[year2], BS$3))</f>
        <v>#N/A</v>
      </c>
      <c r="BY166" s="63" t="e">
        <f>IF(SummaryTable[[#This Row],[OriginalBudget19]]=0, IF(SummaryTable[[#This Row],[DiffAmount19]]=0, ZeroBudgetNoSpending, ZeroBudgetWithSpending), SummaryTable[[#This Row],[DiffAmount19]]/SummaryTable[[#This Row],[OriginalBudget19]])</f>
        <v>#N/A</v>
      </c>
      <c r="BZ166" s="62" t="e">
        <f>IF(COUNTIFS(allFYsTable[Code], SummaryTable[[#This Row],[Code]], allFYsTable[year2], BZ$3)=0, NotFound, SUMIFS(allFYsTable[OriginalBudget], allFYsTable[Code], SummaryTable[[#This Row],[Code]], allFYsTable[year2], BZ$3))</f>
        <v>#N/A</v>
      </c>
      <c r="CA166" s="61" t="e">
        <f>SummaryTable[[#This Row],[OriginalBudget18]]-SummaryTable[[#This Row],[OriginalBudget17]]</f>
        <v>#N/A</v>
      </c>
      <c r="CB166" s="54" t="e">
        <f>SummaryTable[[#This Row],[BudgetIncreaseAmount18]]/SummaryTable[[#This Row],[OriginalBudget17]]</f>
        <v>#N/A</v>
      </c>
      <c r="CC166" s="61" t="e">
        <f>IF(COUNTIFS(allFYsTable[Code], SummaryTable[[#This Row],[Code]], allFYsTable[year2], BZ$3)=0, NotFound, SUMIFS(allFYsTable[RevisedBudget], allFYsTable[Code], SummaryTable[[#This Row],[Code]], allFYsTable[year2], BZ$3))</f>
        <v>#N/A</v>
      </c>
      <c r="CD166" s="61" t="e">
        <f>IF(COUNTIFS(allFYsTable[Code], SummaryTable[[#This Row],[Code]], allFYsTable[year2], BZ$3)=0, NotFound, SUMIFS(allFYsTable[Actual], allFYsTable[Code], SummaryTable[[#This Row],[Code]], allFYsTable[year2], BZ$3))</f>
        <v>#N/A</v>
      </c>
      <c r="CE166" s="61" t="e">
        <f>IF(COUNTIFS(allFYsTable[Code], SummaryTable[[#This Row],[Code]], allFYsTable[year2], BZ$3)=0, NotFound, SUMIFS(allFYsTable[DiffAmount], allFYsTable[Code], SummaryTable[[#This Row],[Code]], allFYsTable[year2], BZ$3))</f>
        <v>#N/A</v>
      </c>
      <c r="CF166" s="63" t="e">
        <f>IF(SummaryTable[[#This Row],[OriginalBudget18]]=0, IF(SummaryTable[[#This Row],[DiffAmount18]]=0, ZeroBudgetNoSpending, ZeroBudgetWithSpending), SummaryTable[[#This Row],[DiffAmount18]]/SummaryTable[[#This Row],[OriginalBudget18]])</f>
        <v>#N/A</v>
      </c>
      <c r="CG166" s="62" t="e">
        <f>IF(COUNTIFS(allFYsTable[Code], SummaryTable[[#This Row],[Code]], allFYsTable[year2], CG$3)=0, NotFound, SUMIFS(allFYsTable[OriginalBudget], allFYsTable[Code], SummaryTable[[#This Row],[Code]], allFYsTable[year2], CG$3))</f>
        <v>#N/A</v>
      </c>
      <c r="CH166" s="61" t="e">
        <f>SummaryTable[[#This Row],[OriginalBudget17]]-SummaryTable[[#This Row],[OriginalBudget16]]</f>
        <v>#N/A</v>
      </c>
      <c r="CI166" s="54" t="e">
        <f>SummaryTable[[#This Row],[BudgetIncreaseAmount17]]/SummaryTable[[#This Row],[OriginalBudget16]]</f>
        <v>#N/A</v>
      </c>
      <c r="CJ166" s="61" t="e">
        <f>IF(COUNTIFS(allFYsTable[Code], SummaryTable[[#This Row],[Code]], allFYsTable[year2], CG$3)=0, NotFound, SUMIFS(allFYsTable[RevisedBudget], allFYsTable[Code], SummaryTable[[#This Row],[Code]], allFYsTable[year2], CG$3))</f>
        <v>#N/A</v>
      </c>
      <c r="CK166" s="61" t="e">
        <f>IF(COUNTIFS(allFYsTable[Code], SummaryTable[[#This Row],[Code]], allFYsTable[year2], CG$3)=0, NotFound, SUMIFS(allFYsTable[Actual], allFYsTable[Code], SummaryTable[[#This Row],[Code]], allFYsTable[year2], CG$3))</f>
        <v>#N/A</v>
      </c>
      <c r="CL166" s="61" t="e">
        <f>IF(COUNTIFS(allFYsTable[Code], SummaryTable[[#This Row],[Code]], allFYsTable[year2], CG$3)=0, NotFound, SUMIFS(allFYsTable[DiffAmount], allFYsTable[Code], SummaryTable[[#This Row],[Code]], allFYsTable[year2], CG$3))</f>
        <v>#N/A</v>
      </c>
      <c r="CM166" s="63" t="e">
        <f>IF(SummaryTable[[#This Row],[OriginalBudget17]]=0, IF(SummaryTable[[#This Row],[DiffAmount17]]=0, ZeroBudgetNoSpending, ZeroBudgetWithSpending), SummaryTable[[#This Row],[DiffAmount17]]/SummaryTable[[#This Row],[OriginalBudget17]])</f>
        <v>#N/A</v>
      </c>
      <c r="CN166" s="62" t="e">
        <f>IF(COUNTIFS(allFYsTable[Code], SummaryTable[[#This Row],[Code]], allFYsTable[year2], CN$3)=0, NotFound, SUMIFS(allFYsTable[OriginalBudget], allFYsTable[Code], SummaryTable[[#This Row],[Code]], allFYsTable[year2], CN$3))</f>
        <v>#N/A</v>
      </c>
      <c r="CO166" s="61" t="e">
        <f>SummaryTable[[#This Row],[OriginalBudget16]]-SummaryTable[[#This Row],[OriginalBudget15]]</f>
        <v>#N/A</v>
      </c>
      <c r="CP166" s="54" t="e">
        <f>SummaryTable[[#This Row],[BudgetIncreaseAmount16]]/SummaryTable[[#This Row],[OriginalBudget15]]</f>
        <v>#N/A</v>
      </c>
      <c r="CQ166" s="61" t="e">
        <f>IF(COUNTIFS(allFYsTable[Code], SummaryTable[[#This Row],[Code]], allFYsTable[year2], CN$3)=0, NotFound, SUMIFS(allFYsTable[RevisedBudget], allFYsTable[Code], SummaryTable[[#This Row],[Code]], allFYsTable[year2], CN$3))</f>
        <v>#N/A</v>
      </c>
      <c r="CR166" s="61" t="e">
        <f>IF(COUNTIFS(allFYsTable[Code], SummaryTable[[#This Row],[Code]], allFYsTable[year2], CN$3)=0, NotFound, SUMIFS(allFYsTable[Actual], allFYsTable[Code], SummaryTable[[#This Row],[Code]], allFYsTable[year2], CN$3))</f>
        <v>#N/A</v>
      </c>
      <c r="CS166" s="61" t="e">
        <f>IF(COUNTIFS(allFYsTable[Code], SummaryTable[[#This Row],[Code]], allFYsTable[year2], CN$3)=0, NotFound, SUMIFS(allFYsTable[DiffAmount], allFYsTable[Code], SummaryTable[[#This Row],[Code]], allFYsTable[year2], CN$3))</f>
        <v>#N/A</v>
      </c>
      <c r="CT166" s="63" t="e">
        <f>IF(SummaryTable[[#This Row],[OriginalBudget16]]=0, IF(SummaryTable[[#This Row],[DiffAmount16]]=0, ZeroBudgetNoSpending, ZeroBudgetWithSpending), SummaryTable[[#This Row],[DiffAmount16]]/SummaryTable[[#This Row],[OriginalBudget16]])</f>
        <v>#N/A</v>
      </c>
      <c r="CU166" s="62" t="e">
        <f>IF(COUNTIFS(allFYsTable[Code], SummaryTable[[#This Row],[Code]], allFYsTable[year2], CU$3)=0, NotFound, SUMIFS(allFYsTable[OriginalBudget], allFYsTable[Code], SummaryTable[[#This Row],[Code]], allFYsTable[year2], CU$3))</f>
        <v>#N/A</v>
      </c>
      <c r="CV166" s="61" t="e">
        <f>SummaryTable[[#This Row],[OriginalBudget15]]-SummaryTable[[#This Row],[OriginalBudget14]]</f>
        <v>#N/A</v>
      </c>
      <c r="CW166" s="54" t="e">
        <f>SummaryTable[[#This Row],[BudgetIncreaseAmount15]]/SummaryTable[[#This Row],[OriginalBudget14]]</f>
        <v>#N/A</v>
      </c>
      <c r="CX166" s="61" t="e">
        <f>IF(COUNTIFS(allFYsTable[Code], SummaryTable[[#This Row],[Code]], allFYsTable[year2], CU$3)=0, NotFound, SUMIFS(allFYsTable[RevisedBudget], allFYsTable[Code], SummaryTable[[#This Row],[Code]], allFYsTable[year2], CU$3))</f>
        <v>#N/A</v>
      </c>
      <c r="CY166" s="61" t="e">
        <f>IF(COUNTIFS(allFYsTable[Code], SummaryTable[[#This Row],[Code]], allFYsTable[year2], CU$3)=0, NotFound, SUMIFS(allFYsTable[Actual], allFYsTable[Code], SummaryTable[[#This Row],[Code]], allFYsTable[year2], CU$3))</f>
        <v>#N/A</v>
      </c>
      <c r="CZ166" s="61" t="e">
        <f>IF(COUNTIFS(allFYsTable[Code], SummaryTable[[#This Row],[Code]], allFYsTable[year2], CU$3)=0, NotFound, SUMIFS(allFYsTable[DiffAmount], allFYsTable[Code], SummaryTable[[#This Row],[Code]], allFYsTable[year2], CU$3))</f>
        <v>#N/A</v>
      </c>
      <c r="DA166" s="63" t="e">
        <f>IF(SummaryTable[[#This Row],[OriginalBudget15]]=0, IF(SummaryTable[[#This Row],[DiffAmount15]]=0, ZeroBudgetNoSpending, ZeroBudgetWithSpending), SummaryTable[[#This Row],[DiffAmount15]]/SummaryTable[[#This Row],[OriginalBudget15]])</f>
        <v>#N/A</v>
      </c>
      <c r="DB166" s="62" t="e">
        <f>IF(COUNTIFS(allFYsTable[Code], SummaryTable[[#This Row],[Code]], allFYsTable[year2], DB$3)=0, NotFound, SUMIFS(allFYsTable[OriginalBudget], allFYsTable[Code], SummaryTable[[#This Row],[Code]], allFYsTable[year2], DB$3))</f>
        <v>#N/A</v>
      </c>
      <c r="DC166" s="61" t="e">
        <f>SummaryTable[[#This Row],[OriginalBudget14]]-SummaryTable[[#This Row],[OriginalBudget13]]</f>
        <v>#N/A</v>
      </c>
      <c r="DD166" s="54" t="e">
        <f>SummaryTable[[#This Row],[BudgetIncreaseAmount14]]/SummaryTable[[#This Row],[OriginalBudget13]]</f>
        <v>#N/A</v>
      </c>
      <c r="DE166" s="61" t="e">
        <f>IF(COUNTIFS(allFYsTable[Code], SummaryTable[[#This Row],[Code]], allFYsTable[year2], DB$3)=0, NotFound, SUMIFS(allFYsTable[RevisedBudget], allFYsTable[Code], SummaryTable[[#This Row],[Code]], allFYsTable[year2], DB$3))</f>
        <v>#N/A</v>
      </c>
      <c r="DF166" s="61" t="e">
        <f>IF(COUNTIFS(allFYsTable[Code], SummaryTable[[#This Row],[Code]], allFYsTable[year2], DB$3)=0, NotFound, SUMIFS(allFYsTable[Actual], allFYsTable[Code], SummaryTable[[#This Row],[Code]], allFYsTable[year2], DB$3))</f>
        <v>#N/A</v>
      </c>
      <c r="DG166" s="61" t="e">
        <f>IF(COUNTIFS(allFYsTable[Code], SummaryTable[[#This Row],[Code]], allFYsTable[year2], DB$3)=0, NotFound, SUMIFS(allFYsTable[DiffAmount], allFYsTable[Code], SummaryTable[[#This Row],[Code]], allFYsTable[year2], DB$3))</f>
        <v>#N/A</v>
      </c>
      <c r="DH166" s="63" t="e">
        <f>IF(SummaryTable[[#This Row],[OriginalBudget14]]=0, IF(SummaryTable[[#This Row],[DiffAmount14]]=0, ZeroBudgetNoSpending, ZeroBudgetWithSpending), SummaryTable[[#This Row],[DiffAmount14]]/SummaryTable[[#This Row],[OriginalBudget14]])</f>
        <v>#N/A</v>
      </c>
      <c r="DI166" s="62" t="e">
        <f>IF(COUNTIFS(allFYsTable[Code], SummaryTable[[#This Row],[Code]], allFYsTable[year2], DI$3)=0, NotFound, SUMIFS(allFYsTable[OriginalBudget], allFYsTable[Code], SummaryTable[[#This Row],[Code]], allFYsTable[year2], DI$3))</f>
        <v>#N/A</v>
      </c>
      <c r="DJ166" s="61" t="e">
        <f>SummaryTable[[#This Row],[OriginalBudget13]]-SummaryTable[[#This Row],[OriginalBudget12]]</f>
        <v>#N/A</v>
      </c>
      <c r="DK166" s="54" t="e">
        <f>SummaryTable[[#This Row],[BudgetIncreaseAmount13]]/SummaryTable[[#This Row],[OriginalBudget12]]</f>
        <v>#N/A</v>
      </c>
      <c r="DL166" s="61" t="e">
        <f>IF(COUNTIFS(allFYsTable[Code], SummaryTable[[#This Row],[Code]], allFYsTable[year2], DI$3)=0, NotFound, SUMIFS(allFYsTable[RevisedBudget], allFYsTable[Code], SummaryTable[[#This Row],[Code]], allFYsTable[year2], DI$3))</f>
        <v>#N/A</v>
      </c>
      <c r="DM166" s="61" t="e">
        <f>IF(COUNTIFS(allFYsTable[Code], SummaryTable[[#This Row],[Code]], allFYsTable[year2], DI$3)=0, NotFound, SUMIFS(allFYsTable[Actual], allFYsTable[Code], SummaryTable[[#This Row],[Code]], allFYsTable[year2], DI$3))</f>
        <v>#N/A</v>
      </c>
      <c r="DN166" s="61" t="e">
        <f>IF(COUNTIFS(allFYsTable[Code], SummaryTable[[#This Row],[Code]], allFYsTable[year2], DI$3)=0, NotFound, SUMIFS(allFYsTable[DiffAmount], allFYsTable[Code], SummaryTable[[#This Row],[Code]], allFYsTable[year2], DI$3))</f>
        <v>#N/A</v>
      </c>
      <c r="DO166" s="63" t="e">
        <f>IF(SummaryTable[[#This Row],[OriginalBudget13]]=0, IF(SummaryTable[[#This Row],[DiffAmount13]]=0, ZeroBudgetNoSpending, ZeroBudgetWithSpending), SummaryTable[[#This Row],[DiffAmount13]]/SummaryTable[[#This Row],[OriginalBudget13]])</f>
        <v>#N/A</v>
      </c>
      <c r="DP166" s="62" t="e">
        <f>IF(COUNTIFS(allFYsTable[Code], SummaryTable[[#This Row],[Code]], allFYsTable[year2], DP$3)=0, NotFound, SUMIFS(allFYsTable[OriginalBudget], allFYsTable[Code], SummaryTable[[#This Row],[Code]], allFYsTable[year2], DP$3))</f>
        <v>#N/A</v>
      </c>
      <c r="DQ166" s="61" t="e">
        <f>SummaryTable[[#This Row],[OriginalBudget12]]-SummaryTable[[#This Row],[OriginalBudget11]]</f>
        <v>#N/A</v>
      </c>
      <c r="DR166" s="54" t="e">
        <f>SummaryTable[[#This Row],[BudgetIncreaseAmount12]]/SummaryTable[[#This Row],[OriginalBudget11]]</f>
        <v>#N/A</v>
      </c>
      <c r="DS166" s="61" t="e">
        <f>IF(COUNTIFS(allFYsTable[Code], SummaryTable[[#This Row],[Code]], allFYsTable[year2], DP$3)=0, NotFound, SUMIFS(allFYsTable[RevisedBudget], allFYsTable[Code], SummaryTable[[#This Row],[Code]], allFYsTable[year2], DP$3))</f>
        <v>#N/A</v>
      </c>
      <c r="DT166" s="61" t="e">
        <f>IF(COUNTIFS(allFYsTable[Code], SummaryTable[[#This Row],[Code]], allFYsTable[year2], DP$3)=0, NotFound, SUMIFS(allFYsTable[Actual], allFYsTable[Code], SummaryTable[[#This Row],[Code]], allFYsTable[year2], DP$3))</f>
        <v>#N/A</v>
      </c>
      <c r="DU166" s="61" t="e">
        <f>IF(COUNTIFS(allFYsTable[Code], SummaryTable[[#This Row],[Code]], allFYsTable[year2], DP$3)=0, NotFound, SUMIFS(allFYsTable[DiffAmount], allFYsTable[Code], SummaryTable[[#This Row],[Code]], allFYsTable[year2], DP$3))</f>
        <v>#N/A</v>
      </c>
      <c r="DV166" s="63" t="e">
        <f>IF(SummaryTable[[#This Row],[OriginalBudget12]]=0, IF(SummaryTable[[#This Row],[DiffAmount12]]=0, ZeroBudgetNoSpending, ZeroBudgetWithSpending), SummaryTable[[#This Row],[DiffAmount12]]/SummaryTable[[#This Row],[OriginalBudget12]])</f>
        <v>#N/A</v>
      </c>
      <c r="DW166" s="62">
        <f>IF(COUNTIFS(allFYsTable[Code], SummaryTable[[#This Row],[Code]], allFYsTable[year2], DW$3)=0, NotFound, SUMIFS(allFYsTable[OriginalBudget], allFYsTable[Code], SummaryTable[[#This Row],[Code]], allFYsTable[year2], DW$3))</f>
        <v>26203</v>
      </c>
      <c r="DX166" s="61">
        <f>SummaryTable[[#This Row],[OriginalBudget11]]-SummaryTable[[#This Row],[OriginalBudget10]]</f>
        <v>-2711</v>
      </c>
      <c r="DY166" s="54">
        <f>SummaryTable[[#This Row],[BudgetIncreaseAmount11]]/SummaryTable[[#This Row],[OriginalBudget10]]</f>
        <v>-9.3760807913121677E-2</v>
      </c>
      <c r="DZ166" s="61">
        <f>IF(COUNTIFS(allFYsTable[Code], SummaryTable[[#This Row],[Code]], allFYsTable[year2], DW$3)=0, NotFound, SUMIFS(allFYsTable[RevisedBudget], allFYsTable[Code], SummaryTable[[#This Row],[Code]], allFYsTable[year2], DW$3))</f>
        <v>26454</v>
      </c>
      <c r="EA166" s="61">
        <f>IF(COUNTIFS(allFYsTable[Code], SummaryTable[[#This Row],[Code]], allFYsTable[year2], DW$3)=0, NotFound, SUMIFS(allFYsTable[Actual], allFYsTable[Code], SummaryTable[[#This Row],[Code]], allFYsTable[year2], DW$3))</f>
        <v>25543</v>
      </c>
      <c r="EB166" s="61">
        <f>IF(COUNTIFS(allFYsTable[Code], SummaryTable[[#This Row],[Code]], allFYsTable[year2], DW$3)=0, NotFound, SUMIFS(allFYsTable[DiffAmount], allFYsTable[Code], SummaryTable[[#This Row],[Code]], allFYsTable[year2], DW$3))</f>
        <v>-660</v>
      </c>
      <c r="EC166" s="63">
        <f>IF(SummaryTable[[#This Row],[OriginalBudget11]]=0, IF(SummaryTable[[#This Row],[DiffAmount11]]=0, ZeroBudgetNoSpending, ZeroBudgetWithSpending), SummaryTable[[#This Row],[DiffAmount11]]/SummaryTable[[#This Row],[OriginalBudget11]])</f>
        <v>-2.5187955577605618E-2</v>
      </c>
      <c r="ED166" s="62">
        <f>IF(COUNTIFS(allFYsTable[Code], SummaryTable[[#This Row],[Code]], allFYsTable[year2], ED$3)=0, NotFound, SUMIFS(allFYsTable[OriginalBudget], allFYsTable[Code], SummaryTable[[#This Row],[Code]], allFYsTable[year2], ED$3))</f>
        <v>28914</v>
      </c>
      <c r="EE166" s="61">
        <f>SummaryTable[[#This Row],[OriginalBudget10]]-SummaryTable[[#This Row],[OriginalBudget09]]</f>
        <v>6546</v>
      </c>
      <c r="EF166" s="54">
        <f>SummaryTable[[#This Row],[BudgetIncreaseAmount10]]/SummaryTable[[#This Row],[OriginalBudget09]]</f>
        <v>0.29265021459227469</v>
      </c>
      <c r="EG166" s="61">
        <f>IF(COUNTIFS(allFYsTable[Code], SummaryTable[[#This Row],[Code]], allFYsTable[year2], ED$3)=0, NotFound, SUMIFS(allFYsTable[RevisedBudget], allFYsTable[Code], SummaryTable[[#This Row],[Code]], allFYsTable[year2], ED$3))</f>
        <v>28768</v>
      </c>
      <c r="EH166" s="61">
        <f>IF(COUNTIFS(allFYsTable[Code], SummaryTable[[#This Row],[Code]], allFYsTable[year2], ED$3)=0, NotFound, SUMIFS(allFYsTable[Actual], allFYsTable[Code], SummaryTable[[#This Row],[Code]], allFYsTable[year2], ED$3))</f>
        <v>28761</v>
      </c>
      <c r="EI166" s="61">
        <f>IF(COUNTIFS(allFYsTable[Code], SummaryTable[[#This Row],[Code]], allFYsTable[year2], ED$3)=0, NotFound, SUMIFS(allFYsTable[DiffAmount], allFYsTable[Code], SummaryTable[[#This Row],[Code]], allFYsTable[year2], ED$3))</f>
        <v>-153</v>
      </c>
      <c r="EJ166" s="63">
        <f>IF(SummaryTable[[#This Row],[OriginalBudget10]]=0, IF(SummaryTable[[#This Row],[DiffAmount10]]=0, ZeroBudgetNoSpending, ZeroBudgetWithSpending), SummaryTable[[#This Row],[DiffAmount10]]/SummaryTable[[#This Row],[OriginalBudget10]])</f>
        <v>-5.2915542643702015E-3</v>
      </c>
      <c r="EK166" s="62">
        <f>IF(COUNTIFS(allFYsTable[Code], SummaryTable[[#This Row],[Code]], allFYsTable[year2], EK$3)=0, NotFound, SUMIFS(allFYsTable[OriginalBudget], allFYsTable[Code], SummaryTable[[#This Row],[Code]], allFYsTable[year2], EK$3))</f>
        <v>22368</v>
      </c>
      <c r="EL166" s="61">
        <f>SummaryTable[[#This Row],[OriginalBudget09]]-SummaryTable[[#This Row],[OriginalBudget08]]</f>
        <v>16368</v>
      </c>
      <c r="EM166" s="54">
        <f>SummaryTable[[#This Row],[BudgetIncreaseAmount09]]/SummaryTable[[#This Row],[OriginalBudget08]]</f>
        <v>2.7280000000000002</v>
      </c>
      <c r="EN166" s="61">
        <f>IF(COUNTIFS(allFYsTable[Code], SummaryTable[[#This Row],[Code]], allFYsTable[year2], EK$3)=0, NotFound, SUMIFS(allFYsTable[RevisedBudget], allFYsTable[Code], SummaryTable[[#This Row],[Code]], allFYsTable[year2], EK$3))</f>
        <v>24868</v>
      </c>
      <c r="EO166" s="61">
        <f>IF(COUNTIFS(allFYsTable[Code], SummaryTable[[#This Row],[Code]], allFYsTable[year2], EK$3)=0, NotFound, SUMIFS(allFYsTable[Actual], allFYsTable[Code], SummaryTable[[#This Row],[Code]], allFYsTable[year2], EK$3))</f>
        <v>24720</v>
      </c>
      <c r="EP166" s="61">
        <f>IF(COUNTIFS(allFYsTable[Code], SummaryTable[[#This Row],[Code]], allFYsTable[year2], EK$3)=0, NotFound, SUMIFS(allFYsTable[DiffAmount], allFYsTable[Code], SummaryTable[[#This Row],[Code]], allFYsTable[year2], EK$3))</f>
        <v>2352</v>
      </c>
      <c r="EQ166" s="63">
        <f>IF(SummaryTable[[#This Row],[OriginalBudget09]]=0, IF(SummaryTable[[#This Row],[DiffAmount09]]=0, ZeroBudgetNoSpending, ZeroBudgetWithSpending), SummaryTable[[#This Row],[DiffAmount09]]/SummaryTable[[#This Row],[OriginalBudget09]])</f>
        <v>0.10515021459227468</v>
      </c>
      <c r="ER166" s="62">
        <f>IF(COUNTIFS(allFYsTable[Code], SummaryTable[[#This Row],[Code]], allFYsTable[year2], ER$3)=0, NotFound, SUMIFS(allFYsTable[OriginalBudget], allFYsTable[Code], SummaryTable[[#This Row],[Code]], allFYsTable[year2], ER$3))</f>
        <v>6000</v>
      </c>
      <c r="ES166" s="61">
        <f>SummaryTable[[#This Row],[OriginalBudget08]]-SummaryTable[[#This Row],[OriginalBudget07]]</f>
        <v>6000</v>
      </c>
      <c r="ET166" s="54" t="e">
        <f>SummaryTable[[#This Row],[BudgetIncreaseAmount08]]/SummaryTable[[#This Row],[OriginalBudget07]]</f>
        <v>#DIV/0!</v>
      </c>
      <c r="EU166" s="61">
        <f>IF(COUNTIFS(allFYsTable[Code], SummaryTable[[#This Row],[Code]], allFYsTable[year2], ER$3)=0, NotFound, SUMIFS(allFYsTable[RevisedBudget], allFYsTable[Code], SummaryTable[[#This Row],[Code]], allFYsTable[year2], ER$3))</f>
        <v>35118</v>
      </c>
      <c r="EV166" s="61">
        <f>IF(COUNTIFS(allFYsTable[Code], SummaryTable[[#This Row],[Code]], allFYsTable[year2], ER$3)=0, NotFound, SUMIFS(allFYsTable[Actual], allFYsTable[Code], SummaryTable[[#This Row],[Code]], allFYsTable[year2], ER$3))</f>
        <v>34981</v>
      </c>
      <c r="EW166" s="61">
        <f>IF(COUNTIFS(allFYsTable[Code], SummaryTable[[#This Row],[Code]], allFYsTable[year2], ER$3)=0, NotFound, SUMIFS(allFYsTable[DiffAmount], allFYsTable[Code], SummaryTable[[#This Row],[Code]], allFYsTable[year2], ER$3))</f>
        <v>28981</v>
      </c>
      <c r="EX166" s="63">
        <f>IF(SummaryTable[[#This Row],[OriginalBudget08]]=0, IF(SummaryTable[[#This Row],[DiffAmount08]]=0, ZeroBudgetNoSpending, ZeroBudgetWithSpending), SummaryTable[[#This Row],[DiffAmount08]]/SummaryTable[[#This Row],[OriginalBudget08]])</f>
        <v>4.8301666666666669</v>
      </c>
      <c r="EY166" s="62">
        <f>IF(COUNTIFS(allFYsTable[Code], SummaryTable[[#This Row],[Code]], allFYsTable[year2], EY$3)=0, NotFound, SUMIFS(allFYsTable[OriginalBudget], allFYsTable[Code], SummaryTable[[#This Row],[Code]], allFYsTable[year2], EY$3))</f>
        <v>0</v>
      </c>
      <c r="EZ166" s="61" t="e">
        <f>SummaryTable[[#This Row],[OriginalBudget07]]-SummaryTable[[#This Row],[OriginalBudget06]]</f>
        <v>#N/A</v>
      </c>
      <c r="FA166" s="54" t="e">
        <f>SummaryTable[[#This Row],[BudgetIncreaseAmount07]]/SummaryTable[[#This Row],[OriginalBudget06]]</f>
        <v>#N/A</v>
      </c>
      <c r="FB166" s="61">
        <f>IF(COUNTIFS(allFYsTable[Code], SummaryTable[[#This Row],[Code]], allFYsTable[year2], EY$3)=0, NotFound, SUMIFS(allFYsTable[RevisedBudget], allFYsTable[Code], SummaryTable[[#This Row],[Code]], allFYsTable[year2], EY$3))</f>
        <v>2569</v>
      </c>
      <c r="FC166" s="61">
        <f>IF(COUNTIFS(allFYsTable[Code], SummaryTable[[#This Row],[Code]], allFYsTable[year2], EY$3)=0, NotFound, SUMIFS(allFYsTable[Actual], allFYsTable[Code], SummaryTable[[#This Row],[Code]], allFYsTable[year2], EY$3))</f>
        <v>1281</v>
      </c>
      <c r="FD166" s="61">
        <f>IF(COUNTIFS(allFYsTable[Code], SummaryTable[[#This Row],[Code]], allFYsTable[year2], EY$3)=0, NotFound, SUMIFS(allFYsTable[DiffAmount], allFYsTable[Code], SummaryTable[[#This Row],[Code]], allFYsTable[year2], EY$3))</f>
        <v>1281</v>
      </c>
      <c r="FE166" s="63">
        <f>IF(SummaryTable[[#This Row],[OriginalBudget07]]=0, IF(SummaryTable[[#This Row],[DiffAmount07]]=0, ZeroBudgetNoSpending, ZeroBudgetWithSpending), SummaryTable[[#This Row],[DiffAmount07]]/SummaryTable[[#This Row],[OriginalBudget07]])</f>
        <v>99.99</v>
      </c>
      <c r="FF166" s="62" t="e">
        <f>IF(COUNTIFS(allFYsTable[Code], SummaryTable[[#This Row],[Code]], allFYsTable[year2], FF$3)=0, NotFound, SUMIFS(allFYsTable[OriginalBudget], allFYsTable[Code], SummaryTable[[#This Row],[Code]], allFYsTable[year2], FF$3))</f>
        <v>#N/A</v>
      </c>
      <c r="FI166" s="61" t="e">
        <f>IF(COUNTIFS(allFYsTable[Code], SummaryTable[[#This Row],[Code]], allFYsTable[year2], FF$3)=0, NotFound, SUMIFS(allFYsTable[RevisedBudget], allFYsTable[Code], SummaryTable[[#This Row],[Code]], allFYsTable[year2], FF$3))</f>
        <v>#N/A</v>
      </c>
      <c r="FJ166" s="61" t="e">
        <f>IF(COUNTIFS(allFYsTable[Code], SummaryTable[[#This Row],[Code]], allFYsTable[year2], FF$3)=0, NotFound, SUMIFS(allFYsTable[Actual], allFYsTable[Code], SummaryTable[[#This Row],[Code]], allFYsTable[year2], FF$3))</f>
        <v>#N/A</v>
      </c>
      <c r="FK166" s="61" t="e">
        <f>IF(COUNTIFS(allFYsTable[Code], SummaryTable[[#This Row],[Code]], allFYsTable[year2], FF$3)=0, NotFound, SUMIFS(allFYsTable[DiffAmount], allFYsTable[Code], SummaryTable[[#This Row],[Code]], allFYsTable[year2], FF$3))</f>
        <v>#N/A</v>
      </c>
      <c r="FL166" s="63" t="e">
        <f>IF(SummaryTable[[#This Row],[OriginalBudget06]]=0, IF(SummaryTable[[#This Row],[DiffAmount06]]=0, ZeroBudgetNoSpending, ZeroBudgetWithSpending), SummaryTable[[#This Row],[DiffAmount06]]/SummaryTable[[#This Row],[OriginalBudget06]])</f>
        <v>#N/A</v>
      </c>
    </row>
    <row r="167" spans="1:168" x14ac:dyDescent="0.45">
      <c r="A167" t="s">
        <v>1036</v>
      </c>
      <c r="B167">
        <f>_xlfn.MAXIFS(allFYsTable[year2], allFYsTable[Code], SummaryTable[[#This Row],[Code]])</f>
        <v>2010</v>
      </c>
      <c r="C167" t="str">
        <f>_xlfn.XLOOKUP(SummaryTable[[#This Row],[Code]], NameCodingTable[Code], NameCodingTable[Most Recent Category per allFYs])</f>
        <v>Public education system</v>
      </c>
      <c r="D167" t="str">
        <f>_xlfn.XLOOKUP(SummaryTable[[#This Row],[Code]], NameCodingTable[Code], NameCodingTable[Unit Display Name])</f>
        <v>AY11 advance  appropriations</v>
      </c>
      <c r="E167" t="str">
        <f>_xlfn.XLOOKUP(SummaryTable[[#This Row],[Code]], NameCodingTable[Code], NameCodingTable[Type])</f>
        <v>untyped</v>
      </c>
      <c r="F16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6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67" s="54">
        <f>SummaryTable[[#This Row],['# Over]]/SummaryTable[[#This Row],[Count]]</f>
        <v>1</v>
      </c>
      <c r="I16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67" s="54">
        <f>SummaryTable[[#This Row],['# Under]]/SummaryTable[[#This Row],[Count]]</f>
        <v>0</v>
      </c>
      <c r="K16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67" s="54">
        <f>SummaryTable[[#This Row],['# Equal]]/SummaryTable[[#This Row],[Count]]</f>
        <v>0</v>
      </c>
      <c r="M167" s="61">
        <f>SUMIFS(allFYsTable[OriginalBudget],allFYsTable[Code],SummaryTable[[#This Row],[Code]])/SummaryTable[[#This Row],[Count]]</f>
        <v>0</v>
      </c>
      <c r="N167" s="61">
        <f>SUMIFS(allFYsTable[Actual],allFYsTable[Code],SummaryTable[[#This Row],[Code]])/SummaryTable[[#This Row],[Count]]</f>
        <v>315</v>
      </c>
      <c r="O167" s="61">
        <f>SummaryTable[[#This Row],[AvgActAmt]]-SummaryTable[[#This Row],[AvgBudAmt]]</f>
        <v>315</v>
      </c>
      <c r="P167" s="54">
        <f>IF(SummaryTable[[#This Row],[AvgBudAmt]]=0, IF(SummaryTable[[#This Row],[AvgDiff'#]]=0, 0, NamedFields!$C$3), SummaryTable[[#This Row],[AvgDiff'#]]/SummaryTable[[#This Row],[AvgBudAmt]])</f>
        <v>99.99</v>
      </c>
      <c r="Q167" s="61">
        <f>IFERROR(SUMIFS(allFYsTable[OriginalBudget],allFYsTable[Code],SummaryTable[[#This Row],[Code]],allFYsTable[DiffAmount], "&gt;0")/SummaryTable[[#This Row],['# Over]], 0)</f>
        <v>0</v>
      </c>
      <c r="R167" s="61">
        <f>IFERROR(SUMIFS(allFYsTable[Actual],allFYsTable[Code],SummaryTable[[#This Row],[Code]],allFYsTable[DiffAmount], "&gt;0")/SummaryTable[[#This Row],['# Over]], 0)</f>
        <v>315</v>
      </c>
      <c r="S167" s="61">
        <f>SummaryTable[[#This Row],[OverAvgAct]]-SummaryTable[[#This Row],[OverAvgBud]]</f>
        <v>315</v>
      </c>
      <c r="T167" s="54">
        <f>IF(SummaryTable[[#This Row],[OverAvgBud]]=0, IF(SummaryTable[[#This Row],[OverAvgDiff'#]]=0, ZeroBudgetNoSpending, ZeroBudgetWithSpending), SummaryTable[[#This Row],[OverAvgDiff'#]]/SummaryTable[[#This Row],[OverAvgBud]])</f>
        <v>99.99</v>
      </c>
      <c r="U167" s="61">
        <f>IFERROR(SUMIFS(allFYsTable[OriginalBudget],allFYsTable[Code],SummaryTable[[#This Row],[Code]],allFYsTable[DiffAmount], "&lt;0")/SummaryTable[[#This Row],['# Under]], 0)</f>
        <v>0</v>
      </c>
      <c r="V167" s="61">
        <f>IFERROR( SUMIFS(allFYsTable[Actual],allFYsTable[Code],SummaryTable[[#This Row],[Code]],allFYsTable[DiffAmount], "&lt;0")/SummaryTable[[#This Row],['# Under]], 0)</f>
        <v>0</v>
      </c>
      <c r="W167" s="61">
        <f>SummaryTable[[#This Row],[UnderAvgAct]]-SummaryTable[[#This Row],[UnderAvgBud]]</f>
        <v>0</v>
      </c>
      <c r="X167" s="54">
        <f>IF(SummaryTable[[#This Row],[UnderAvgBud]]=0, IF(SummaryTable[[#This Row],[UnderAvgDiff'#]]=0, ZeroBudgetNoSpending, NamedFields!$C$3), SummaryTable[[#This Row],[UnderAvgDiff'#]]/SummaryTable[[#This Row],[UnderAvgBud]])</f>
        <v>0</v>
      </c>
      <c r="Y16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6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67" s="54">
        <f>IF(SummaryTable[[#This Row],[IncreaseYears]]=0, ZeroBudgetNoSpending, SummaryTable[[#This Row],[OSinIncreaseYear'#]]/SummaryTable[[#This Row],[IncreaseYears]])</f>
        <v>0</v>
      </c>
      <c r="AB167" s="58" t="str">
        <f>SummaryTable[[#This Row],[Code]]</f>
        <v>XAA</v>
      </c>
      <c r="AC167" s="62" t="e">
        <f>IF(COUNTIFS(allFYsTable[Code], SummaryTable[[#This Row],[Code]], allFYsTable[year2], AC$3)=0, NotFound, SUMIFS(allFYsTable[OriginalBudget], allFYsTable[Code], SummaryTable[[#This Row],[Code]], allFYsTable[year2], AC$3))</f>
        <v>#N/A</v>
      </c>
      <c r="AD167" s="61" t="e">
        <f>SummaryTable[[#This Row],[OriginalBudget25]]-SummaryTable[[#This Row],[OriginalBudget24]]</f>
        <v>#N/A</v>
      </c>
      <c r="AE167" s="54" t="e">
        <f>SummaryTable[[#This Row],[BudgetIncreaseAmount25]]/SummaryTable[[#This Row],[OriginalBudget24]]</f>
        <v>#N/A</v>
      </c>
      <c r="AF167" s="61" t="e">
        <f>IF(COUNTIFS(allFYsTable[Code], SummaryTable[[#This Row],[Code]], allFYsTable[year2], AC$3)=0, NotFound, SUMIFS(allFYsTable[RevisedBudget], allFYsTable[Code], SummaryTable[[#This Row],[Code]], allFYsTable[year2], AC$3))</f>
        <v>#N/A</v>
      </c>
      <c r="AG167" s="61" t="e">
        <f>IF(COUNTIFS(allFYsTable[Code], SummaryTable[[#This Row],[Code]], allFYsTable[year2], AC$3)=0, NotFound, SUMIFS(allFYsTable[Actual], allFYsTable[Code], SummaryTable[[#This Row],[Code]], allFYsTable[year2], AC$3))</f>
        <v>#N/A</v>
      </c>
      <c r="AH167" s="61" t="e">
        <f>IF(COUNTIFS(allFYsTable[Code], SummaryTable[[#This Row],[Code]], allFYsTable[year2], AC$3)=0, NotFound, SUMIFS(allFYsTable[DiffAmount], allFYsTable[Code], SummaryTable[[#This Row],[Code]], allFYsTable[year2], AC$3))</f>
        <v>#N/A</v>
      </c>
      <c r="AI167" s="63" t="e">
        <f>IF(SummaryTable[[#This Row],[OriginalBudget25]]=0, IF(SummaryTable[[#This Row],[DiffAmount25]]=0, ZeroBudgetNoSpending, ZeroBudgetWithSpending), SummaryTable[[#This Row],[DiffAmount25]]/SummaryTable[[#This Row],[OriginalBudget25]])</f>
        <v>#N/A</v>
      </c>
      <c r="AJ167" s="62" t="e">
        <f>IF(COUNTIFS(allFYsTable[Code], SummaryTable[[#This Row],[Code]], allFYsTable[year2], AJ$3)=0, NotFound, SUMIFS(allFYsTable[OriginalBudget], allFYsTable[Code], SummaryTable[[#This Row],[Code]], allFYsTable[year2], AJ$3))</f>
        <v>#N/A</v>
      </c>
      <c r="AK167" s="61" t="e">
        <f>SummaryTable[[#This Row],[OriginalBudget24]]-SummaryTable[[#This Row],[OriginalBudget23]]</f>
        <v>#N/A</v>
      </c>
      <c r="AL167" s="54" t="e">
        <f>SummaryTable[[#This Row],[BudgetIncreaseAmount24]]/SummaryTable[[#This Row],[OriginalBudget23]]</f>
        <v>#N/A</v>
      </c>
      <c r="AM167" s="61" t="e">
        <f>IF(COUNTIFS(allFYsTable[Code], SummaryTable[[#This Row],[Code]], allFYsTable[year2], AK$3)=0, NotFound, SUMIFS(allFYsTable[RevisedBudget], allFYsTable[Code], SummaryTable[[#This Row],[Code]], allFYsTable[year2], AJ$3))</f>
        <v>#N/A</v>
      </c>
      <c r="AN167" s="61" t="e">
        <f>IF(COUNTIFS(allFYsTable[Code], SummaryTable[[#This Row],[Code]], allFYsTable[year2], AJ$3)=0, NotFound, SUMIFS(allFYsTable[Actual], allFYsTable[Code], SummaryTable[[#This Row],[Code]], allFYsTable[year2], AJ$3))</f>
        <v>#N/A</v>
      </c>
      <c r="AO167" s="61" t="e">
        <f>IF(COUNTIFS(allFYsTable[Code], SummaryTable[[#This Row],[Code]], allFYsTable[year2], AJ$3)=0, NotFound, SUMIFS(allFYsTable[DiffAmount], allFYsTable[Code], SummaryTable[[#This Row],[Code]], allFYsTable[year2], AJ$3))</f>
        <v>#N/A</v>
      </c>
      <c r="AP167" s="63" t="e">
        <f>IF(SummaryTable[[#This Row],[OriginalBudget24]]=0, IF(SummaryTable[[#This Row],[DiffAmount24]]=0, ZeroBudgetNoSpending, ZeroBudgetWithSpending), SummaryTable[[#This Row],[DiffAmount24]]/SummaryTable[[#This Row],[OriginalBudget24]])</f>
        <v>#N/A</v>
      </c>
      <c r="AQ167" s="62" t="e">
        <f>IF(COUNTIFS(allFYsTable[Code], SummaryTable[[#This Row],[Code]], allFYsTable[year2], AQ$3)=0, NotFound, SUMIFS(allFYsTable[OriginalBudget], allFYsTable[Code], SummaryTable[[#This Row],[Code]], allFYsTable[year2], AQ$3))</f>
        <v>#N/A</v>
      </c>
      <c r="AR167" s="61" t="e">
        <f>SummaryTable[[#This Row],[OriginalBudget23]]-SummaryTable[[#This Row],[OriginalBudget22]]</f>
        <v>#N/A</v>
      </c>
      <c r="AS167" s="54" t="e">
        <f>SummaryTable[[#This Row],[BudgetIncreaseAmount23]]/SummaryTable[[#This Row],[OriginalBudget22]]</f>
        <v>#N/A</v>
      </c>
      <c r="AT167" s="61" t="e">
        <f>IF(COUNTIFS(allFYsTable[Code], SummaryTable[[#This Row],[Code]], allFYsTable[year2], AQ$3)=0, NotFound, SUMIFS(allFYsTable[RevisedBudget], allFYsTable[Code], SummaryTable[[#This Row],[Code]], allFYsTable[year2], AQ$3))</f>
        <v>#N/A</v>
      </c>
      <c r="AU167" s="61" t="e">
        <f>IF(COUNTIFS(allFYsTable[Code], SummaryTable[[#This Row],[Code]], allFYsTable[year2], AQ$3)=0, NotFound, SUMIFS(allFYsTable[Actual], allFYsTable[Code], SummaryTable[[#This Row],[Code]], allFYsTable[year2], AQ$3))</f>
        <v>#N/A</v>
      </c>
      <c r="AV167" s="61" t="e">
        <f>IF(COUNTIFS(allFYsTable[Code], SummaryTable[[#This Row],[Code]], allFYsTable[year2], AQ$3)=0, NotFound, SUMIFS(allFYsTable[DiffAmount], allFYsTable[Code], SummaryTable[[#This Row],[Code]], allFYsTable[year2], AQ$3))</f>
        <v>#N/A</v>
      </c>
      <c r="AW167" s="63" t="e">
        <f>IF(SummaryTable[[#This Row],[OriginalBudget23]]=0, IF(SummaryTable[[#This Row],[DiffAmount23]]=0, ZeroBudgetNoSpending, ZeroBudgetWithSpending), SummaryTable[[#This Row],[DiffAmount23]]/SummaryTable[[#This Row],[OriginalBudget23]])</f>
        <v>#N/A</v>
      </c>
      <c r="AX167" s="62" t="e">
        <f>IF(COUNTIFS(allFYsTable[Code], SummaryTable[[#This Row],[Code]], allFYsTable[year2], AX$3)=0, NotFound, SUMIFS(allFYsTable[OriginalBudget], allFYsTable[Code], SummaryTable[[#This Row],[Code]], allFYsTable[year2], AX$3))</f>
        <v>#N/A</v>
      </c>
      <c r="AY167" s="61" t="e">
        <f>SummaryTable[[#This Row],[OriginalBudget22]]-SummaryTable[[#This Row],[OriginalBudget21]]</f>
        <v>#N/A</v>
      </c>
      <c r="AZ167" s="54" t="e">
        <f>SummaryTable[[#This Row],[BudgetIncreaseAmount22]]/SummaryTable[[#This Row],[OriginalBudget21]]</f>
        <v>#N/A</v>
      </c>
      <c r="BA167" s="61" t="e">
        <f>IF(COUNTIFS(allFYsTable[Code], SummaryTable[[#This Row],[Code]], allFYsTable[year2], AX$3)=0, NotFound, SUMIFS(allFYsTable[RevisedBudget], allFYsTable[Code], SummaryTable[[#This Row],[Code]], allFYsTable[year2], AX$3))</f>
        <v>#N/A</v>
      </c>
      <c r="BB167" s="61" t="e">
        <f>IF(COUNTIFS(allFYsTable[Code], SummaryTable[[#This Row],[Code]], allFYsTable[year2], AX$3)=0, NotFound, SUMIFS(allFYsTable[Actual], allFYsTable[Code], SummaryTable[[#This Row],[Code]], allFYsTable[year2], AX$3))</f>
        <v>#N/A</v>
      </c>
      <c r="BC167" s="61" t="e">
        <f>IF(COUNTIFS(allFYsTable[Code], SummaryTable[[#This Row],[Code]], allFYsTable[year2], AX$3)=0, NotFound, SUMIFS(allFYsTable[DiffAmount], allFYsTable[Code], SummaryTable[[#This Row],[Code]], allFYsTable[year2], AX$3))</f>
        <v>#N/A</v>
      </c>
      <c r="BD167" s="63" t="e">
        <f>IF(SummaryTable[[#This Row],[OriginalBudget22]]=0, IF(SummaryTable[[#This Row],[DiffAmount22]]=0, ZeroBudgetNoSpending, ZeroBudgetWithSpending), SummaryTable[[#This Row],[DiffAmount22]]/SummaryTable[[#This Row],[OriginalBudget22]])</f>
        <v>#N/A</v>
      </c>
      <c r="BE167" s="62" t="e">
        <f>IF(COUNTIFS(allFYsTable[Code], SummaryTable[[#This Row],[Code]], allFYsTable[year2], BE$3)=0, NotFound, SUMIFS(allFYsTable[OriginalBudget], allFYsTable[Code], SummaryTable[[#This Row],[Code]], allFYsTable[year2], BE$3))</f>
        <v>#N/A</v>
      </c>
      <c r="BF167" s="61" t="e">
        <f>SummaryTable[[#This Row],[OriginalBudget21]]-SummaryTable[[#This Row],[OriginalBudget20]]</f>
        <v>#N/A</v>
      </c>
      <c r="BG167" s="54" t="e">
        <f>SummaryTable[[#This Row],[BudgetIncreaseAmount21]]/SummaryTable[[#This Row],[OriginalBudget20]]</f>
        <v>#N/A</v>
      </c>
      <c r="BH167" s="61" t="e">
        <f>IF(COUNTIFS(allFYsTable[Code], SummaryTable[[#This Row],[Code]], allFYsTable[year2], BE$3)=0, NotFound, SUMIFS(allFYsTable[RevisedBudget], allFYsTable[Code], SummaryTable[[#This Row],[Code]], allFYsTable[year2], BE$3))</f>
        <v>#N/A</v>
      </c>
      <c r="BI167" s="61" t="e">
        <f>IF(COUNTIFS(allFYsTable[Code], SummaryTable[[#This Row],[Code]], allFYsTable[year2], BE$3)=0, NotFound, SUMIFS(allFYsTable[Actual], allFYsTable[Code], SummaryTable[[#This Row],[Code]], allFYsTable[year2], BE$3))</f>
        <v>#N/A</v>
      </c>
      <c r="BJ167" s="61" t="e">
        <f>IF(COUNTIFS(allFYsTable[Code], SummaryTable[[#This Row],[Code]], allFYsTable[year2], BE$3)=0, NotFound, SUMIFS(allFYsTable[DiffAmount], allFYsTable[Code], SummaryTable[[#This Row],[Code]], allFYsTable[year2], BE$3))</f>
        <v>#N/A</v>
      </c>
      <c r="BK167" s="63" t="e">
        <f>IF(SummaryTable[[#This Row],[OriginalBudget21]]=0, IF(SummaryTable[[#This Row],[DiffAmount21]]=0, ZeroBudgetNoSpending, ZeroBudgetWithSpending), SummaryTable[[#This Row],[DiffAmount21]]/SummaryTable[[#This Row],[OriginalBudget21]])</f>
        <v>#N/A</v>
      </c>
      <c r="BL167" s="62" t="e">
        <f>IF(COUNTIFS(allFYsTable[Code], SummaryTable[[#This Row],[Code]], allFYsTable[year2], BL$3)=0, NotFound, SUMIFS(allFYsTable[OriginalBudget], allFYsTable[Code], SummaryTable[[#This Row],[Code]], allFYsTable[year2], BL$3))</f>
        <v>#N/A</v>
      </c>
      <c r="BM167" s="61" t="e">
        <f>SummaryTable[[#This Row],[OriginalBudget20]]-SummaryTable[[#This Row],[OriginalBudget19]]</f>
        <v>#N/A</v>
      </c>
      <c r="BN167" s="54" t="e">
        <f>SummaryTable[[#This Row],[BudgetIncreaseAmount20]]/SummaryTable[[#This Row],[OriginalBudget19]]</f>
        <v>#N/A</v>
      </c>
      <c r="BO167" s="61" t="e">
        <f>IF(COUNTIFS(allFYsTable[Code], SummaryTable[[#This Row],[Code]], allFYsTable[year2], BL$3)=0, NotFound, SUMIFS(allFYsTable[RevisedBudget], allFYsTable[Code], SummaryTable[[#This Row],[Code]], allFYsTable[year2], BL$3))</f>
        <v>#N/A</v>
      </c>
      <c r="BP167" s="61" t="e">
        <f>IF(COUNTIFS(allFYsTable[Code], SummaryTable[[#This Row],[Code]], allFYsTable[year2], BL$3)=0, NotFound, SUMIFS(allFYsTable[Actual], allFYsTable[Code], SummaryTable[[#This Row],[Code]], allFYsTable[year2], BL$3))</f>
        <v>#N/A</v>
      </c>
      <c r="BQ167" s="61" t="e">
        <f>IF(COUNTIFS(allFYsTable[Code], SummaryTable[[#This Row],[Code]], allFYsTable[year2], BL$3)=0, NotFound, SUMIFS(allFYsTable[DiffAmount], allFYsTable[Code], SummaryTable[[#This Row],[Code]], allFYsTable[year2], BL$3))</f>
        <v>#N/A</v>
      </c>
      <c r="BR167" s="63" t="e">
        <f>IF(SummaryTable[[#This Row],[OriginalBudget20]]=0, IF(SummaryTable[[#This Row],[DiffAmount20]]=0, ZeroBudgetNoSpending, ZeroBudgetWithSpending), SummaryTable[[#This Row],[DiffAmount20]]/SummaryTable[[#This Row],[OriginalBudget20]])</f>
        <v>#N/A</v>
      </c>
      <c r="BS167" s="62" t="e">
        <f>IF(COUNTIFS(allFYsTable[Code], SummaryTable[[#This Row],[Code]], allFYsTable[year2], BS$3)=0, NotFound, SUMIFS(allFYsTable[OriginalBudget], allFYsTable[Code], SummaryTable[[#This Row],[Code]], allFYsTable[year2], BS$3))</f>
        <v>#N/A</v>
      </c>
      <c r="BT167" s="61" t="e">
        <f>SummaryTable[[#This Row],[OriginalBudget19]]-SummaryTable[[#This Row],[OriginalBudget18]]</f>
        <v>#N/A</v>
      </c>
      <c r="BU167" s="54" t="e">
        <f>SummaryTable[[#This Row],[BudgetIncreaseAmount19]]/SummaryTable[[#This Row],[OriginalBudget18]]</f>
        <v>#N/A</v>
      </c>
      <c r="BV167" s="61" t="e">
        <f>IF(COUNTIFS(allFYsTable[Code], SummaryTable[[#This Row],[Code]], allFYsTable[year2], BS$3)=0, NotFound, SUMIFS(allFYsTable[RevisedBudget], allFYsTable[Code], SummaryTable[[#This Row],[Code]], allFYsTable[year2], BS$3))</f>
        <v>#N/A</v>
      </c>
      <c r="BW167" s="61" t="e">
        <f>IF(COUNTIFS(allFYsTable[Code], SummaryTable[[#This Row],[Code]], allFYsTable[year2], BS$3)=0, NotFound, SUMIFS(allFYsTable[Actual], allFYsTable[Code], SummaryTable[[#This Row],[Code]], allFYsTable[year2], BS$3))</f>
        <v>#N/A</v>
      </c>
      <c r="BX167" s="61" t="e">
        <f>IF(COUNTIFS(allFYsTable[Code], SummaryTable[[#This Row],[Code]], allFYsTable[year2], BS$3)=0, NotFound, SUMIFS(allFYsTable[DiffAmount], allFYsTable[Code], SummaryTable[[#This Row],[Code]], allFYsTable[year2], BS$3))</f>
        <v>#N/A</v>
      </c>
      <c r="BY167" s="63" t="e">
        <f>IF(SummaryTable[[#This Row],[OriginalBudget19]]=0, IF(SummaryTable[[#This Row],[DiffAmount19]]=0, ZeroBudgetNoSpending, ZeroBudgetWithSpending), SummaryTable[[#This Row],[DiffAmount19]]/SummaryTable[[#This Row],[OriginalBudget19]])</f>
        <v>#N/A</v>
      </c>
      <c r="BZ167" s="62" t="e">
        <f>IF(COUNTIFS(allFYsTable[Code], SummaryTable[[#This Row],[Code]], allFYsTable[year2], BZ$3)=0, NotFound, SUMIFS(allFYsTable[OriginalBudget], allFYsTable[Code], SummaryTable[[#This Row],[Code]], allFYsTable[year2], BZ$3))</f>
        <v>#N/A</v>
      </c>
      <c r="CA167" s="61" t="e">
        <f>SummaryTable[[#This Row],[OriginalBudget18]]-SummaryTable[[#This Row],[OriginalBudget17]]</f>
        <v>#N/A</v>
      </c>
      <c r="CB167" s="54" t="e">
        <f>SummaryTable[[#This Row],[BudgetIncreaseAmount18]]/SummaryTable[[#This Row],[OriginalBudget17]]</f>
        <v>#N/A</v>
      </c>
      <c r="CC167" s="61" t="e">
        <f>IF(COUNTIFS(allFYsTable[Code], SummaryTable[[#This Row],[Code]], allFYsTable[year2], BZ$3)=0, NotFound, SUMIFS(allFYsTable[RevisedBudget], allFYsTable[Code], SummaryTable[[#This Row],[Code]], allFYsTable[year2], BZ$3))</f>
        <v>#N/A</v>
      </c>
      <c r="CD167" s="61" t="e">
        <f>IF(COUNTIFS(allFYsTable[Code], SummaryTable[[#This Row],[Code]], allFYsTable[year2], BZ$3)=0, NotFound, SUMIFS(allFYsTable[Actual], allFYsTable[Code], SummaryTable[[#This Row],[Code]], allFYsTable[year2], BZ$3))</f>
        <v>#N/A</v>
      </c>
      <c r="CE167" s="61" t="e">
        <f>IF(COUNTIFS(allFYsTable[Code], SummaryTable[[#This Row],[Code]], allFYsTable[year2], BZ$3)=0, NotFound, SUMIFS(allFYsTable[DiffAmount], allFYsTable[Code], SummaryTable[[#This Row],[Code]], allFYsTable[year2], BZ$3))</f>
        <v>#N/A</v>
      </c>
      <c r="CF167" s="63" t="e">
        <f>IF(SummaryTable[[#This Row],[OriginalBudget18]]=0, IF(SummaryTable[[#This Row],[DiffAmount18]]=0, ZeroBudgetNoSpending, ZeroBudgetWithSpending), SummaryTable[[#This Row],[DiffAmount18]]/SummaryTable[[#This Row],[OriginalBudget18]])</f>
        <v>#N/A</v>
      </c>
      <c r="CG167" s="62" t="e">
        <f>IF(COUNTIFS(allFYsTable[Code], SummaryTable[[#This Row],[Code]], allFYsTable[year2], CG$3)=0, NotFound, SUMIFS(allFYsTable[OriginalBudget], allFYsTable[Code], SummaryTable[[#This Row],[Code]], allFYsTable[year2], CG$3))</f>
        <v>#N/A</v>
      </c>
      <c r="CH167" s="61" t="e">
        <f>SummaryTable[[#This Row],[OriginalBudget17]]-SummaryTable[[#This Row],[OriginalBudget16]]</f>
        <v>#N/A</v>
      </c>
      <c r="CI167" s="54" t="e">
        <f>SummaryTable[[#This Row],[BudgetIncreaseAmount17]]/SummaryTable[[#This Row],[OriginalBudget16]]</f>
        <v>#N/A</v>
      </c>
      <c r="CJ167" s="61" t="e">
        <f>IF(COUNTIFS(allFYsTable[Code], SummaryTable[[#This Row],[Code]], allFYsTable[year2], CG$3)=0, NotFound, SUMIFS(allFYsTable[RevisedBudget], allFYsTable[Code], SummaryTable[[#This Row],[Code]], allFYsTable[year2], CG$3))</f>
        <v>#N/A</v>
      </c>
      <c r="CK167" s="61" t="e">
        <f>IF(COUNTIFS(allFYsTable[Code], SummaryTable[[#This Row],[Code]], allFYsTable[year2], CG$3)=0, NotFound, SUMIFS(allFYsTable[Actual], allFYsTable[Code], SummaryTable[[#This Row],[Code]], allFYsTable[year2], CG$3))</f>
        <v>#N/A</v>
      </c>
      <c r="CL167" s="61" t="e">
        <f>IF(COUNTIFS(allFYsTable[Code], SummaryTable[[#This Row],[Code]], allFYsTable[year2], CG$3)=0, NotFound, SUMIFS(allFYsTable[DiffAmount], allFYsTable[Code], SummaryTable[[#This Row],[Code]], allFYsTable[year2], CG$3))</f>
        <v>#N/A</v>
      </c>
      <c r="CM167" s="63" t="e">
        <f>IF(SummaryTable[[#This Row],[OriginalBudget17]]=0, IF(SummaryTable[[#This Row],[DiffAmount17]]=0, ZeroBudgetNoSpending, ZeroBudgetWithSpending), SummaryTable[[#This Row],[DiffAmount17]]/SummaryTable[[#This Row],[OriginalBudget17]])</f>
        <v>#N/A</v>
      </c>
      <c r="CN167" s="62" t="e">
        <f>IF(COUNTIFS(allFYsTable[Code], SummaryTable[[#This Row],[Code]], allFYsTable[year2], CN$3)=0, NotFound, SUMIFS(allFYsTable[OriginalBudget], allFYsTable[Code], SummaryTable[[#This Row],[Code]], allFYsTable[year2], CN$3))</f>
        <v>#N/A</v>
      </c>
      <c r="CO167" s="61" t="e">
        <f>SummaryTable[[#This Row],[OriginalBudget16]]-SummaryTable[[#This Row],[OriginalBudget15]]</f>
        <v>#N/A</v>
      </c>
      <c r="CP167" s="54" t="e">
        <f>SummaryTable[[#This Row],[BudgetIncreaseAmount16]]/SummaryTable[[#This Row],[OriginalBudget15]]</f>
        <v>#N/A</v>
      </c>
      <c r="CQ167" s="61" t="e">
        <f>IF(COUNTIFS(allFYsTable[Code], SummaryTable[[#This Row],[Code]], allFYsTable[year2], CN$3)=0, NotFound, SUMIFS(allFYsTable[RevisedBudget], allFYsTable[Code], SummaryTable[[#This Row],[Code]], allFYsTable[year2], CN$3))</f>
        <v>#N/A</v>
      </c>
      <c r="CR167" s="61" t="e">
        <f>IF(COUNTIFS(allFYsTable[Code], SummaryTable[[#This Row],[Code]], allFYsTable[year2], CN$3)=0, NotFound, SUMIFS(allFYsTable[Actual], allFYsTable[Code], SummaryTable[[#This Row],[Code]], allFYsTable[year2], CN$3))</f>
        <v>#N/A</v>
      </c>
      <c r="CS167" s="61" t="e">
        <f>IF(COUNTIFS(allFYsTable[Code], SummaryTable[[#This Row],[Code]], allFYsTable[year2], CN$3)=0, NotFound, SUMIFS(allFYsTable[DiffAmount], allFYsTable[Code], SummaryTable[[#This Row],[Code]], allFYsTable[year2], CN$3))</f>
        <v>#N/A</v>
      </c>
      <c r="CT167" s="63" t="e">
        <f>IF(SummaryTable[[#This Row],[OriginalBudget16]]=0, IF(SummaryTable[[#This Row],[DiffAmount16]]=0, ZeroBudgetNoSpending, ZeroBudgetWithSpending), SummaryTable[[#This Row],[DiffAmount16]]/SummaryTable[[#This Row],[OriginalBudget16]])</f>
        <v>#N/A</v>
      </c>
      <c r="CU167" s="62" t="e">
        <f>IF(COUNTIFS(allFYsTable[Code], SummaryTable[[#This Row],[Code]], allFYsTable[year2], CU$3)=0, NotFound, SUMIFS(allFYsTable[OriginalBudget], allFYsTable[Code], SummaryTable[[#This Row],[Code]], allFYsTable[year2], CU$3))</f>
        <v>#N/A</v>
      </c>
      <c r="CV167" s="61" t="e">
        <f>SummaryTable[[#This Row],[OriginalBudget15]]-SummaryTable[[#This Row],[OriginalBudget14]]</f>
        <v>#N/A</v>
      </c>
      <c r="CW167" s="54" t="e">
        <f>SummaryTable[[#This Row],[BudgetIncreaseAmount15]]/SummaryTable[[#This Row],[OriginalBudget14]]</f>
        <v>#N/A</v>
      </c>
      <c r="CX167" s="61" t="e">
        <f>IF(COUNTIFS(allFYsTable[Code], SummaryTable[[#This Row],[Code]], allFYsTable[year2], CU$3)=0, NotFound, SUMIFS(allFYsTable[RevisedBudget], allFYsTable[Code], SummaryTable[[#This Row],[Code]], allFYsTable[year2], CU$3))</f>
        <v>#N/A</v>
      </c>
      <c r="CY167" s="61" t="e">
        <f>IF(COUNTIFS(allFYsTable[Code], SummaryTable[[#This Row],[Code]], allFYsTable[year2], CU$3)=0, NotFound, SUMIFS(allFYsTable[Actual], allFYsTable[Code], SummaryTable[[#This Row],[Code]], allFYsTable[year2], CU$3))</f>
        <v>#N/A</v>
      </c>
      <c r="CZ167" s="61" t="e">
        <f>IF(COUNTIFS(allFYsTable[Code], SummaryTable[[#This Row],[Code]], allFYsTable[year2], CU$3)=0, NotFound, SUMIFS(allFYsTable[DiffAmount], allFYsTable[Code], SummaryTable[[#This Row],[Code]], allFYsTable[year2], CU$3))</f>
        <v>#N/A</v>
      </c>
      <c r="DA167" s="63" t="e">
        <f>IF(SummaryTable[[#This Row],[OriginalBudget15]]=0, IF(SummaryTable[[#This Row],[DiffAmount15]]=0, ZeroBudgetNoSpending, ZeroBudgetWithSpending), SummaryTable[[#This Row],[DiffAmount15]]/SummaryTable[[#This Row],[OriginalBudget15]])</f>
        <v>#N/A</v>
      </c>
      <c r="DB167" s="62" t="e">
        <f>IF(COUNTIFS(allFYsTable[Code], SummaryTable[[#This Row],[Code]], allFYsTable[year2], DB$3)=0, NotFound, SUMIFS(allFYsTable[OriginalBudget], allFYsTable[Code], SummaryTable[[#This Row],[Code]], allFYsTable[year2], DB$3))</f>
        <v>#N/A</v>
      </c>
      <c r="DC167" s="61" t="e">
        <f>SummaryTable[[#This Row],[OriginalBudget14]]-SummaryTable[[#This Row],[OriginalBudget13]]</f>
        <v>#N/A</v>
      </c>
      <c r="DD167" s="54" t="e">
        <f>SummaryTable[[#This Row],[BudgetIncreaseAmount14]]/SummaryTable[[#This Row],[OriginalBudget13]]</f>
        <v>#N/A</v>
      </c>
      <c r="DE167" s="61" t="e">
        <f>IF(COUNTIFS(allFYsTable[Code], SummaryTable[[#This Row],[Code]], allFYsTable[year2], DB$3)=0, NotFound, SUMIFS(allFYsTable[RevisedBudget], allFYsTable[Code], SummaryTable[[#This Row],[Code]], allFYsTable[year2], DB$3))</f>
        <v>#N/A</v>
      </c>
      <c r="DF167" s="61" t="e">
        <f>IF(COUNTIFS(allFYsTable[Code], SummaryTable[[#This Row],[Code]], allFYsTable[year2], DB$3)=0, NotFound, SUMIFS(allFYsTable[Actual], allFYsTable[Code], SummaryTable[[#This Row],[Code]], allFYsTable[year2], DB$3))</f>
        <v>#N/A</v>
      </c>
      <c r="DG167" s="61" t="e">
        <f>IF(COUNTIFS(allFYsTable[Code], SummaryTable[[#This Row],[Code]], allFYsTable[year2], DB$3)=0, NotFound, SUMIFS(allFYsTable[DiffAmount], allFYsTable[Code], SummaryTable[[#This Row],[Code]], allFYsTable[year2], DB$3))</f>
        <v>#N/A</v>
      </c>
      <c r="DH167" s="63" t="e">
        <f>IF(SummaryTable[[#This Row],[OriginalBudget14]]=0, IF(SummaryTable[[#This Row],[DiffAmount14]]=0, ZeroBudgetNoSpending, ZeroBudgetWithSpending), SummaryTable[[#This Row],[DiffAmount14]]/SummaryTable[[#This Row],[OriginalBudget14]])</f>
        <v>#N/A</v>
      </c>
      <c r="DI167" s="62" t="e">
        <f>IF(COUNTIFS(allFYsTable[Code], SummaryTable[[#This Row],[Code]], allFYsTable[year2], DI$3)=0, NotFound, SUMIFS(allFYsTable[OriginalBudget], allFYsTable[Code], SummaryTable[[#This Row],[Code]], allFYsTable[year2], DI$3))</f>
        <v>#N/A</v>
      </c>
      <c r="DJ167" s="61" t="e">
        <f>SummaryTable[[#This Row],[OriginalBudget13]]-SummaryTable[[#This Row],[OriginalBudget12]]</f>
        <v>#N/A</v>
      </c>
      <c r="DK167" s="54" t="e">
        <f>SummaryTable[[#This Row],[BudgetIncreaseAmount13]]/SummaryTable[[#This Row],[OriginalBudget12]]</f>
        <v>#N/A</v>
      </c>
      <c r="DL167" s="61" t="e">
        <f>IF(COUNTIFS(allFYsTable[Code], SummaryTable[[#This Row],[Code]], allFYsTable[year2], DI$3)=0, NotFound, SUMIFS(allFYsTable[RevisedBudget], allFYsTable[Code], SummaryTable[[#This Row],[Code]], allFYsTable[year2], DI$3))</f>
        <v>#N/A</v>
      </c>
      <c r="DM167" s="61" t="e">
        <f>IF(COUNTIFS(allFYsTable[Code], SummaryTable[[#This Row],[Code]], allFYsTable[year2], DI$3)=0, NotFound, SUMIFS(allFYsTable[Actual], allFYsTable[Code], SummaryTable[[#This Row],[Code]], allFYsTable[year2], DI$3))</f>
        <v>#N/A</v>
      </c>
      <c r="DN167" s="61" t="e">
        <f>IF(COUNTIFS(allFYsTable[Code], SummaryTable[[#This Row],[Code]], allFYsTable[year2], DI$3)=0, NotFound, SUMIFS(allFYsTable[DiffAmount], allFYsTable[Code], SummaryTable[[#This Row],[Code]], allFYsTable[year2], DI$3))</f>
        <v>#N/A</v>
      </c>
      <c r="DO167" s="63" t="e">
        <f>IF(SummaryTable[[#This Row],[OriginalBudget13]]=0, IF(SummaryTable[[#This Row],[DiffAmount13]]=0, ZeroBudgetNoSpending, ZeroBudgetWithSpending), SummaryTable[[#This Row],[DiffAmount13]]/SummaryTable[[#This Row],[OriginalBudget13]])</f>
        <v>#N/A</v>
      </c>
      <c r="DP167" s="62" t="e">
        <f>IF(COUNTIFS(allFYsTable[Code], SummaryTable[[#This Row],[Code]], allFYsTable[year2], DP$3)=0, NotFound, SUMIFS(allFYsTable[OriginalBudget], allFYsTable[Code], SummaryTable[[#This Row],[Code]], allFYsTable[year2], DP$3))</f>
        <v>#N/A</v>
      </c>
      <c r="DQ167" s="61" t="e">
        <f>SummaryTable[[#This Row],[OriginalBudget12]]-SummaryTable[[#This Row],[OriginalBudget11]]</f>
        <v>#N/A</v>
      </c>
      <c r="DR167" s="54" t="e">
        <f>SummaryTable[[#This Row],[BudgetIncreaseAmount12]]/SummaryTable[[#This Row],[OriginalBudget11]]</f>
        <v>#N/A</v>
      </c>
      <c r="DS167" s="61" t="e">
        <f>IF(COUNTIFS(allFYsTable[Code], SummaryTable[[#This Row],[Code]], allFYsTable[year2], DP$3)=0, NotFound, SUMIFS(allFYsTable[RevisedBudget], allFYsTable[Code], SummaryTable[[#This Row],[Code]], allFYsTable[year2], DP$3))</f>
        <v>#N/A</v>
      </c>
      <c r="DT167" s="61" t="e">
        <f>IF(COUNTIFS(allFYsTable[Code], SummaryTable[[#This Row],[Code]], allFYsTable[year2], DP$3)=0, NotFound, SUMIFS(allFYsTable[Actual], allFYsTable[Code], SummaryTable[[#This Row],[Code]], allFYsTable[year2], DP$3))</f>
        <v>#N/A</v>
      </c>
      <c r="DU167" s="61" t="e">
        <f>IF(COUNTIFS(allFYsTable[Code], SummaryTable[[#This Row],[Code]], allFYsTable[year2], DP$3)=0, NotFound, SUMIFS(allFYsTable[DiffAmount], allFYsTable[Code], SummaryTable[[#This Row],[Code]], allFYsTable[year2], DP$3))</f>
        <v>#N/A</v>
      </c>
      <c r="DV167" s="63" t="e">
        <f>IF(SummaryTable[[#This Row],[OriginalBudget12]]=0, IF(SummaryTable[[#This Row],[DiffAmount12]]=0, ZeroBudgetNoSpending, ZeroBudgetWithSpending), SummaryTable[[#This Row],[DiffAmount12]]/SummaryTable[[#This Row],[OriginalBudget12]])</f>
        <v>#N/A</v>
      </c>
      <c r="DW167" s="62" t="e">
        <f>IF(COUNTIFS(allFYsTable[Code], SummaryTable[[#This Row],[Code]], allFYsTable[year2], DW$3)=0, NotFound, SUMIFS(allFYsTable[OriginalBudget], allFYsTable[Code], SummaryTable[[#This Row],[Code]], allFYsTable[year2], DW$3))</f>
        <v>#N/A</v>
      </c>
      <c r="DX167" s="61" t="e">
        <f>SummaryTable[[#This Row],[OriginalBudget11]]-SummaryTable[[#This Row],[OriginalBudget10]]</f>
        <v>#N/A</v>
      </c>
      <c r="DY167" s="54" t="e">
        <f>SummaryTable[[#This Row],[BudgetIncreaseAmount11]]/SummaryTable[[#This Row],[OriginalBudget10]]</f>
        <v>#N/A</v>
      </c>
      <c r="DZ167" s="61" t="e">
        <f>IF(COUNTIFS(allFYsTable[Code], SummaryTable[[#This Row],[Code]], allFYsTable[year2], DW$3)=0, NotFound, SUMIFS(allFYsTable[RevisedBudget], allFYsTable[Code], SummaryTable[[#This Row],[Code]], allFYsTable[year2], DW$3))</f>
        <v>#N/A</v>
      </c>
      <c r="EA167" s="61" t="e">
        <f>IF(COUNTIFS(allFYsTable[Code], SummaryTable[[#This Row],[Code]], allFYsTable[year2], DW$3)=0, NotFound, SUMIFS(allFYsTable[Actual], allFYsTable[Code], SummaryTable[[#This Row],[Code]], allFYsTable[year2], DW$3))</f>
        <v>#N/A</v>
      </c>
      <c r="EB167" s="61" t="e">
        <f>IF(COUNTIFS(allFYsTable[Code], SummaryTable[[#This Row],[Code]], allFYsTable[year2], DW$3)=0, NotFound, SUMIFS(allFYsTable[DiffAmount], allFYsTable[Code], SummaryTable[[#This Row],[Code]], allFYsTable[year2], DW$3))</f>
        <v>#N/A</v>
      </c>
      <c r="EC167" s="63" t="e">
        <f>IF(SummaryTable[[#This Row],[OriginalBudget11]]=0, IF(SummaryTable[[#This Row],[DiffAmount11]]=0, ZeroBudgetNoSpending, ZeroBudgetWithSpending), SummaryTable[[#This Row],[DiffAmount11]]/SummaryTable[[#This Row],[OriginalBudget11]])</f>
        <v>#N/A</v>
      </c>
      <c r="ED167" s="62">
        <f>IF(COUNTIFS(allFYsTable[Code], SummaryTable[[#This Row],[Code]], allFYsTable[year2], ED$3)=0, NotFound, SUMIFS(allFYsTable[OriginalBudget], allFYsTable[Code], SummaryTable[[#This Row],[Code]], allFYsTable[year2], ED$3))</f>
        <v>0</v>
      </c>
      <c r="EE167" s="61" t="e">
        <f>SummaryTable[[#This Row],[OriginalBudget10]]-SummaryTable[[#This Row],[OriginalBudget09]]</f>
        <v>#N/A</v>
      </c>
      <c r="EF167" s="54" t="e">
        <f>SummaryTable[[#This Row],[BudgetIncreaseAmount10]]/SummaryTable[[#This Row],[OriginalBudget09]]</f>
        <v>#N/A</v>
      </c>
      <c r="EG167" s="61">
        <f>IF(COUNTIFS(allFYsTable[Code], SummaryTable[[#This Row],[Code]], allFYsTable[year2], ED$3)=0, NotFound, SUMIFS(allFYsTable[RevisedBudget], allFYsTable[Code], SummaryTable[[#This Row],[Code]], allFYsTable[year2], ED$3))</f>
        <v>315</v>
      </c>
      <c r="EH167" s="61">
        <f>IF(COUNTIFS(allFYsTable[Code], SummaryTable[[#This Row],[Code]], allFYsTable[year2], ED$3)=0, NotFound, SUMIFS(allFYsTable[Actual], allFYsTable[Code], SummaryTable[[#This Row],[Code]], allFYsTable[year2], ED$3))</f>
        <v>315</v>
      </c>
      <c r="EI167" s="61">
        <f>IF(COUNTIFS(allFYsTable[Code], SummaryTable[[#This Row],[Code]], allFYsTable[year2], ED$3)=0, NotFound, SUMIFS(allFYsTable[DiffAmount], allFYsTable[Code], SummaryTable[[#This Row],[Code]], allFYsTable[year2], ED$3))</f>
        <v>315</v>
      </c>
      <c r="EJ167" s="63">
        <f>IF(SummaryTable[[#This Row],[OriginalBudget10]]=0, IF(SummaryTable[[#This Row],[DiffAmount10]]=0, ZeroBudgetNoSpending, ZeroBudgetWithSpending), SummaryTable[[#This Row],[DiffAmount10]]/SummaryTable[[#This Row],[OriginalBudget10]])</f>
        <v>99.99</v>
      </c>
      <c r="EK167" s="62" t="e">
        <f>IF(COUNTIFS(allFYsTable[Code], SummaryTable[[#This Row],[Code]], allFYsTable[year2], EK$3)=0, NotFound, SUMIFS(allFYsTable[OriginalBudget], allFYsTable[Code], SummaryTable[[#This Row],[Code]], allFYsTable[year2], EK$3))</f>
        <v>#N/A</v>
      </c>
      <c r="EL167" s="61" t="e">
        <f>SummaryTable[[#This Row],[OriginalBudget09]]-SummaryTable[[#This Row],[OriginalBudget08]]</f>
        <v>#N/A</v>
      </c>
      <c r="EM167" s="54" t="e">
        <f>SummaryTable[[#This Row],[BudgetIncreaseAmount09]]/SummaryTable[[#This Row],[OriginalBudget08]]</f>
        <v>#N/A</v>
      </c>
      <c r="EN167" s="61" t="e">
        <f>IF(COUNTIFS(allFYsTable[Code], SummaryTable[[#This Row],[Code]], allFYsTable[year2], EK$3)=0, NotFound, SUMIFS(allFYsTable[RevisedBudget], allFYsTable[Code], SummaryTable[[#This Row],[Code]], allFYsTable[year2], EK$3))</f>
        <v>#N/A</v>
      </c>
      <c r="EO167" s="61" t="e">
        <f>IF(COUNTIFS(allFYsTable[Code], SummaryTable[[#This Row],[Code]], allFYsTable[year2], EK$3)=0, NotFound, SUMIFS(allFYsTable[Actual], allFYsTable[Code], SummaryTable[[#This Row],[Code]], allFYsTable[year2], EK$3))</f>
        <v>#N/A</v>
      </c>
      <c r="EP167" s="61" t="e">
        <f>IF(COUNTIFS(allFYsTable[Code], SummaryTable[[#This Row],[Code]], allFYsTable[year2], EK$3)=0, NotFound, SUMIFS(allFYsTable[DiffAmount], allFYsTable[Code], SummaryTable[[#This Row],[Code]], allFYsTable[year2], EK$3))</f>
        <v>#N/A</v>
      </c>
      <c r="EQ167" s="63" t="e">
        <f>IF(SummaryTable[[#This Row],[OriginalBudget09]]=0, IF(SummaryTable[[#This Row],[DiffAmount09]]=0, ZeroBudgetNoSpending, ZeroBudgetWithSpending), SummaryTable[[#This Row],[DiffAmount09]]/SummaryTable[[#This Row],[OriginalBudget09]])</f>
        <v>#N/A</v>
      </c>
      <c r="ER167" s="62" t="e">
        <f>IF(COUNTIFS(allFYsTable[Code], SummaryTable[[#This Row],[Code]], allFYsTable[year2], ER$3)=0, NotFound, SUMIFS(allFYsTable[OriginalBudget], allFYsTable[Code], SummaryTable[[#This Row],[Code]], allFYsTable[year2], ER$3))</f>
        <v>#N/A</v>
      </c>
      <c r="ES167" s="61" t="e">
        <f>SummaryTable[[#This Row],[OriginalBudget08]]-SummaryTable[[#This Row],[OriginalBudget07]]</f>
        <v>#N/A</v>
      </c>
      <c r="ET167" s="54" t="e">
        <f>SummaryTable[[#This Row],[BudgetIncreaseAmount08]]/SummaryTable[[#This Row],[OriginalBudget07]]</f>
        <v>#N/A</v>
      </c>
      <c r="EU167" s="61" t="e">
        <f>IF(COUNTIFS(allFYsTable[Code], SummaryTable[[#This Row],[Code]], allFYsTable[year2], ER$3)=0, NotFound, SUMIFS(allFYsTable[RevisedBudget], allFYsTable[Code], SummaryTable[[#This Row],[Code]], allFYsTable[year2], ER$3))</f>
        <v>#N/A</v>
      </c>
      <c r="EV167" s="61" t="e">
        <f>IF(COUNTIFS(allFYsTable[Code], SummaryTable[[#This Row],[Code]], allFYsTable[year2], ER$3)=0, NotFound, SUMIFS(allFYsTable[Actual], allFYsTable[Code], SummaryTable[[#This Row],[Code]], allFYsTable[year2], ER$3))</f>
        <v>#N/A</v>
      </c>
      <c r="EW167" s="61" t="e">
        <f>IF(COUNTIFS(allFYsTable[Code], SummaryTable[[#This Row],[Code]], allFYsTable[year2], ER$3)=0, NotFound, SUMIFS(allFYsTable[DiffAmount], allFYsTable[Code], SummaryTable[[#This Row],[Code]], allFYsTable[year2], ER$3))</f>
        <v>#N/A</v>
      </c>
      <c r="EX167" s="63" t="e">
        <f>IF(SummaryTable[[#This Row],[OriginalBudget08]]=0, IF(SummaryTable[[#This Row],[DiffAmount08]]=0, ZeroBudgetNoSpending, ZeroBudgetWithSpending), SummaryTable[[#This Row],[DiffAmount08]]/SummaryTable[[#This Row],[OriginalBudget08]])</f>
        <v>#N/A</v>
      </c>
      <c r="EY167" s="62" t="e">
        <f>IF(COUNTIFS(allFYsTable[Code], SummaryTable[[#This Row],[Code]], allFYsTable[year2], EY$3)=0, NotFound, SUMIFS(allFYsTable[OriginalBudget], allFYsTable[Code], SummaryTable[[#This Row],[Code]], allFYsTable[year2], EY$3))</f>
        <v>#N/A</v>
      </c>
      <c r="EZ167" s="61" t="e">
        <f>SummaryTable[[#This Row],[OriginalBudget07]]-SummaryTable[[#This Row],[OriginalBudget06]]</f>
        <v>#N/A</v>
      </c>
      <c r="FA167" s="54" t="e">
        <f>SummaryTable[[#This Row],[BudgetIncreaseAmount07]]/SummaryTable[[#This Row],[OriginalBudget06]]</f>
        <v>#N/A</v>
      </c>
      <c r="FB167" s="61" t="e">
        <f>IF(COUNTIFS(allFYsTable[Code], SummaryTable[[#This Row],[Code]], allFYsTable[year2], EY$3)=0, NotFound, SUMIFS(allFYsTable[RevisedBudget], allFYsTable[Code], SummaryTable[[#This Row],[Code]], allFYsTable[year2], EY$3))</f>
        <v>#N/A</v>
      </c>
      <c r="FC167" s="61" t="e">
        <f>IF(COUNTIFS(allFYsTable[Code], SummaryTable[[#This Row],[Code]], allFYsTable[year2], EY$3)=0, NotFound, SUMIFS(allFYsTable[Actual], allFYsTable[Code], SummaryTable[[#This Row],[Code]], allFYsTable[year2], EY$3))</f>
        <v>#N/A</v>
      </c>
      <c r="FD167" s="61" t="e">
        <f>IF(COUNTIFS(allFYsTable[Code], SummaryTable[[#This Row],[Code]], allFYsTable[year2], EY$3)=0, NotFound, SUMIFS(allFYsTable[DiffAmount], allFYsTable[Code], SummaryTable[[#This Row],[Code]], allFYsTable[year2], EY$3))</f>
        <v>#N/A</v>
      </c>
      <c r="FE167" s="63" t="e">
        <f>IF(SummaryTable[[#This Row],[OriginalBudget07]]=0, IF(SummaryTable[[#This Row],[DiffAmount07]]=0, ZeroBudgetNoSpending, ZeroBudgetWithSpending), SummaryTable[[#This Row],[DiffAmount07]]/SummaryTable[[#This Row],[OriginalBudget07]])</f>
        <v>#N/A</v>
      </c>
      <c r="FF167" s="62" t="e">
        <f>IF(COUNTIFS(allFYsTable[Code], SummaryTable[[#This Row],[Code]], allFYsTable[year2], FF$3)=0, NotFound, SUMIFS(allFYsTable[OriginalBudget], allFYsTable[Code], SummaryTable[[#This Row],[Code]], allFYsTable[year2], FF$3))</f>
        <v>#N/A</v>
      </c>
      <c r="FI167" s="61" t="e">
        <f>IF(COUNTIFS(allFYsTable[Code], SummaryTable[[#This Row],[Code]], allFYsTable[year2], FF$3)=0, NotFound, SUMIFS(allFYsTable[RevisedBudget], allFYsTable[Code], SummaryTable[[#This Row],[Code]], allFYsTable[year2], FF$3))</f>
        <v>#N/A</v>
      </c>
      <c r="FJ167" s="61" t="e">
        <f>IF(COUNTIFS(allFYsTable[Code], SummaryTable[[#This Row],[Code]], allFYsTable[year2], FF$3)=0, NotFound, SUMIFS(allFYsTable[Actual], allFYsTable[Code], SummaryTable[[#This Row],[Code]], allFYsTable[year2], FF$3))</f>
        <v>#N/A</v>
      </c>
      <c r="FK167" s="61" t="e">
        <f>IF(COUNTIFS(allFYsTable[Code], SummaryTable[[#This Row],[Code]], allFYsTable[year2], FF$3)=0, NotFound, SUMIFS(allFYsTable[DiffAmount], allFYsTable[Code], SummaryTable[[#This Row],[Code]], allFYsTable[year2], FF$3))</f>
        <v>#N/A</v>
      </c>
      <c r="FL167" s="63" t="e">
        <f>IF(SummaryTable[[#This Row],[OriginalBudget06]]=0, IF(SummaryTable[[#This Row],[DiffAmount06]]=0, ZeroBudgetNoSpending, ZeroBudgetWithSpending), SummaryTable[[#This Row],[DiffAmount06]]/SummaryTable[[#This Row],[OriginalBudget06]])</f>
        <v>#N/A</v>
      </c>
    </row>
    <row r="168" spans="1:168" x14ac:dyDescent="0.45">
      <c r="A168" t="s">
        <v>834</v>
      </c>
      <c r="B168">
        <f>_xlfn.MAXIFS(allFYsTable[year2], allFYsTable[Code], SummaryTable[[#This Row],[Code]])</f>
        <v>2010</v>
      </c>
      <c r="C168" t="str">
        <f>_xlfn.XLOOKUP(SummaryTable[[#This Row],[Code]], NameCodingTable[Code], NameCodingTable[Most Recent Category per allFYs])</f>
        <v>Other</v>
      </c>
      <c r="D168" t="str">
        <f>_xlfn.XLOOKUP(SummaryTable[[#This Row],[Code]], NameCodingTable[Code], NameCodingTable[Unit Display Name])</f>
        <v>Cash reserve</v>
      </c>
      <c r="E168" t="str">
        <f>_xlfn.XLOOKUP(SummaryTable[[#This Row],[Code]], NameCodingTable[Code], NameCodingTable[Type])</f>
        <v>untyped</v>
      </c>
      <c r="F16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5</v>
      </c>
      <c r="G16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68" s="54">
        <f>SummaryTable[[#This Row],['# Over]]/SummaryTable[[#This Row],[Count]]</f>
        <v>0</v>
      </c>
      <c r="I16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4</v>
      </c>
      <c r="J168" s="54">
        <f>SummaryTable[[#This Row],['# Under]]/SummaryTable[[#This Row],[Count]]</f>
        <v>0.8</v>
      </c>
      <c r="K16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68" s="54">
        <f>SummaryTable[[#This Row],['# Equal]]/SummaryTable[[#This Row],[Count]]</f>
        <v>0.2</v>
      </c>
      <c r="M168" s="61">
        <f>SUMIFS(allFYsTable[OriginalBudget],allFYsTable[Code],SummaryTable[[#This Row],[Code]])/SummaryTable[[#This Row],[Count]]</f>
        <v>49200</v>
      </c>
      <c r="N168" s="61">
        <f>SUMIFS(allFYsTable[Actual],allFYsTable[Code],SummaryTable[[#This Row],[Code]])/SummaryTable[[#This Row],[Count]]</f>
        <v>0</v>
      </c>
      <c r="O168" s="61">
        <f>SummaryTable[[#This Row],[AvgActAmt]]-SummaryTable[[#This Row],[AvgBudAmt]]</f>
        <v>-49200</v>
      </c>
      <c r="P168" s="54">
        <f>IF(SummaryTable[[#This Row],[AvgBudAmt]]=0, IF(SummaryTable[[#This Row],[AvgDiff'#]]=0, 0, NamedFields!$C$3), SummaryTable[[#This Row],[AvgDiff'#]]/SummaryTable[[#This Row],[AvgBudAmt]])</f>
        <v>-1</v>
      </c>
      <c r="Q168" s="61">
        <f>IFERROR(SUMIFS(allFYsTable[OriginalBudget],allFYsTable[Code],SummaryTable[[#This Row],[Code]],allFYsTable[DiffAmount], "&gt;0")/SummaryTable[[#This Row],['# Over]], 0)</f>
        <v>0</v>
      </c>
      <c r="R168" s="61">
        <f>IFERROR(SUMIFS(allFYsTable[Actual],allFYsTable[Code],SummaryTable[[#This Row],[Code]],allFYsTable[DiffAmount], "&gt;0")/SummaryTable[[#This Row],['# Over]], 0)</f>
        <v>0</v>
      </c>
      <c r="S168" s="61">
        <f>SummaryTable[[#This Row],[OverAvgAct]]-SummaryTable[[#This Row],[OverAvgBud]]</f>
        <v>0</v>
      </c>
      <c r="T168" s="54">
        <f>IF(SummaryTable[[#This Row],[OverAvgBud]]=0, IF(SummaryTable[[#This Row],[OverAvgDiff'#]]=0, ZeroBudgetNoSpending, ZeroBudgetWithSpending), SummaryTable[[#This Row],[OverAvgDiff'#]]/SummaryTable[[#This Row],[OverAvgBud]])</f>
        <v>0</v>
      </c>
      <c r="U168" s="61">
        <f>IFERROR(SUMIFS(allFYsTable[OriginalBudget],allFYsTable[Code],SummaryTable[[#This Row],[Code]],allFYsTable[DiffAmount], "&lt;0")/SummaryTable[[#This Row],['# Under]], 0)</f>
        <v>61500</v>
      </c>
      <c r="V168" s="61">
        <f>IFERROR( SUMIFS(allFYsTable[Actual],allFYsTable[Code],SummaryTable[[#This Row],[Code]],allFYsTable[DiffAmount], "&lt;0")/SummaryTable[[#This Row],['# Under]], 0)</f>
        <v>0</v>
      </c>
      <c r="W168" s="61">
        <f>SummaryTable[[#This Row],[UnderAvgAct]]-SummaryTable[[#This Row],[UnderAvgBud]]</f>
        <v>-61500</v>
      </c>
      <c r="X168" s="54">
        <f>IF(SummaryTable[[#This Row],[UnderAvgBud]]=0, IF(SummaryTable[[#This Row],[UnderAvgDiff'#]]=0, ZeroBudgetNoSpending, NamedFields!$C$3), SummaryTable[[#This Row],[UnderAvgDiff'#]]/SummaryTable[[#This Row],[UnderAvgBud]])</f>
        <v>-1</v>
      </c>
      <c r="Y16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6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68" s="54">
        <f>IF(SummaryTable[[#This Row],[IncreaseYears]]=0, ZeroBudgetNoSpending, SummaryTable[[#This Row],[OSinIncreaseYear'#]]/SummaryTable[[#This Row],[IncreaseYears]])</f>
        <v>0</v>
      </c>
      <c r="AB168" s="58" t="str">
        <f>SummaryTable[[#This Row],[Code]]</f>
        <v>CS0</v>
      </c>
      <c r="AC168" s="62" t="e">
        <f>IF(COUNTIFS(allFYsTable[Code], SummaryTable[[#This Row],[Code]], allFYsTable[year2], AC$3)=0, NotFound, SUMIFS(allFYsTable[OriginalBudget], allFYsTable[Code], SummaryTable[[#This Row],[Code]], allFYsTable[year2], AC$3))</f>
        <v>#N/A</v>
      </c>
      <c r="AD168" s="61" t="e">
        <f>SummaryTable[[#This Row],[OriginalBudget25]]-SummaryTable[[#This Row],[OriginalBudget24]]</f>
        <v>#N/A</v>
      </c>
      <c r="AE168" s="54" t="e">
        <f>SummaryTable[[#This Row],[BudgetIncreaseAmount25]]/SummaryTable[[#This Row],[OriginalBudget24]]</f>
        <v>#N/A</v>
      </c>
      <c r="AF168" s="61" t="e">
        <f>IF(COUNTIFS(allFYsTable[Code], SummaryTable[[#This Row],[Code]], allFYsTable[year2], AC$3)=0, NotFound, SUMIFS(allFYsTable[RevisedBudget], allFYsTable[Code], SummaryTable[[#This Row],[Code]], allFYsTable[year2], AC$3))</f>
        <v>#N/A</v>
      </c>
      <c r="AG168" s="61" t="e">
        <f>IF(COUNTIFS(allFYsTable[Code], SummaryTable[[#This Row],[Code]], allFYsTable[year2], AC$3)=0, NotFound, SUMIFS(allFYsTable[Actual], allFYsTable[Code], SummaryTable[[#This Row],[Code]], allFYsTable[year2], AC$3))</f>
        <v>#N/A</v>
      </c>
      <c r="AH168" s="61" t="e">
        <f>IF(COUNTIFS(allFYsTable[Code], SummaryTable[[#This Row],[Code]], allFYsTable[year2], AC$3)=0, NotFound, SUMIFS(allFYsTable[DiffAmount], allFYsTable[Code], SummaryTable[[#This Row],[Code]], allFYsTable[year2], AC$3))</f>
        <v>#N/A</v>
      </c>
      <c r="AI168" s="63" t="e">
        <f>IF(SummaryTable[[#This Row],[OriginalBudget25]]=0, IF(SummaryTable[[#This Row],[DiffAmount25]]=0, ZeroBudgetNoSpending, ZeroBudgetWithSpending), SummaryTable[[#This Row],[DiffAmount25]]/SummaryTable[[#This Row],[OriginalBudget25]])</f>
        <v>#N/A</v>
      </c>
      <c r="AJ168" s="62" t="e">
        <f>IF(COUNTIFS(allFYsTable[Code], SummaryTable[[#This Row],[Code]], allFYsTable[year2], AJ$3)=0, NotFound, SUMIFS(allFYsTable[OriginalBudget], allFYsTable[Code], SummaryTable[[#This Row],[Code]], allFYsTable[year2], AJ$3))</f>
        <v>#N/A</v>
      </c>
      <c r="AK168" s="61" t="e">
        <f>SummaryTable[[#This Row],[OriginalBudget24]]-SummaryTable[[#This Row],[OriginalBudget23]]</f>
        <v>#N/A</v>
      </c>
      <c r="AL168" s="54" t="e">
        <f>SummaryTable[[#This Row],[BudgetIncreaseAmount24]]/SummaryTable[[#This Row],[OriginalBudget23]]</f>
        <v>#N/A</v>
      </c>
      <c r="AM168" s="61" t="e">
        <f>IF(COUNTIFS(allFYsTable[Code], SummaryTable[[#This Row],[Code]], allFYsTable[year2], AK$3)=0, NotFound, SUMIFS(allFYsTable[RevisedBudget], allFYsTable[Code], SummaryTable[[#This Row],[Code]], allFYsTable[year2], AJ$3))</f>
        <v>#N/A</v>
      </c>
      <c r="AN168" s="61" t="e">
        <f>IF(COUNTIFS(allFYsTable[Code], SummaryTable[[#This Row],[Code]], allFYsTable[year2], AJ$3)=0, NotFound, SUMIFS(allFYsTable[Actual], allFYsTable[Code], SummaryTable[[#This Row],[Code]], allFYsTable[year2], AJ$3))</f>
        <v>#N/A</v>
      </c>
      <c r="AO168" s="61" t="e">
        <f>IF(COUNTIFS(allFYsTable[Code], SummaryTable[[#This Row],[Code]], allFYsTable[year2], AJ$3)=0, NotFound, SUMIFS(allFYsTable[DiffAmount], allFYsTable[Code], SummaryTable[[#This Row],[Code]], allFYsTable[year2], AJ$3))</f>
        <v>#N/A</v>
      </c>
      <c r="AP168" s="63" t="e">
        <f>IF(SummaryTable[[#This Row],[OriginalBudget24]]=0, IF(SummaryTable[[#This Row],[DiffAmount24]]=0, ZeroBudgetNoSpending, ZeroBudgetWithSpending), SummaryTable[[#This Row],[DiffAmount24]]/SummaryTable[[#This Row],[OriginalBudget24]])</f>
        <v>#N/A</v>
      </c>
      <c r="AQ168" s="62" t="e">
        <f>IF(COUNTIFS(allFYsTable[Code], SummaryTable[[#This Row],[Code]], allFYsTable[year2], AQ$3)=0, NotFound, SUMIFS(allFYsTable[OriginalBudget], allFYsTable[Code], SummaryTable[[#This Row],[Code]], allFYsTable[year2], AQ$3))</f>
        <v>#N/A</v>
      </c>
      <c r="AR168" s="61" t="e">
        <f>SummaryTable[[#This Row],[OriginalBudget23]]-SummaryTable[[#This Row],[OriginalBudget22]]</f>
        <v>#N/A</v>
      </c>
      <c r="AS168" s="54" t="e">
        <f>SummaryTable[[#This Row],[BudgetIncreaseAmount23]]/SummaryTable[[#This Row],[OriginalBudget22]]</f>
        <v>#N/A</v>
      </c>
      <c r="AT168" s="61" t="e">
        <f>IF(COUNTIFS(allFYsTable[Code], SummaryTable[[#This Row],[Code]], allFYsTable[year2], AQ$3)=0, NotFound, SUMIFS(allFYsTable[RevisedBudget], allFYsTable[Code], SummaryTable[[#This Row],[Code]], allFYsTable[year2], AQ$3))</f>
        <v>#N/A</v>
      </c>
      <c r="AU168" s="61" t="e">
        <f>IF(COUNTIFS(allFYsTable[Code], SummaryTable[[#This Row],[Code]], allFYsTable[year2], AQ$3)=0, NotFound, SUMIFS(allFYsTable[Actual], allFYsTable[Code], SummaryTable[[#This Row],[Code]], allFYsTable[year2], AQ$3))</f>
        <v>#N/A</v>
      </c>
      <c r="AV168" s="61" t="e">
        <f>IF(COUNTIFS(allFYsTable[Code], SummaryTable[[#This Row],[Code]], allFYsTable[year2], AQ$3)=0, NotFound, SUMIFS(allFYsTable[DiffAmount], allFYsTable[Code], SummaryTable[[#This Row],[Code]], allFYsTable[year2], AQ$3))</f>
        <v>#N/A</v>
      </c>
      <c r="AW168" s="63" t="e">
        <f>IF(SummaryTable[[#This Row],[OriginalBudget23]]=0, IF(SummaryTable[[#This Row],[DiffAmount23]]=0, ZeroBudgetNoSpending, ZeroBudgetWithSpending), SummaryTable[[#This Row],[DiffAmount23]]/SummaryTable[[#This Row],[OriginalBudget23]])</f>
        <v>#N/A</v>
      </c>
      <c r="AX168" s="62" t="e">
        <f>IF(COUNTIFS(allFYsTable[Code], SummaryTable[[#This Row],[Code]], allFYsTable[year2], AX$3)=0, NotFound, SUMIFS(allFYsTable[OriginalBudget], allFYsTable[Code], SummaryTable[[#This Row],[Code]], allFYsTable[year2], AX$3))</f>
        <v>#N/A</v>
      </c>
      <c r="AY168" s="61" t="e">
        <f>SummaryTable[[#This Row],[OriginalBudget22]]-SummaryTable[[#This Row],[OriginalBudget21]]</f>
        <v>#N/A</v>
      </c>
      <c r="AZ168" s="54" t="e">
        <f>SummaryTable[[#This Row],[BudgetIncreaseAmount22]]/SummaryTable[[#This Row],[OriginalBudget21]]</f>
        <v>#N/A</v>
      </c>
      <c r="BA168" s="61" t="e">
        <f>IF(COUNTIFS(allFYsTable[Code], SummaryTable[[#This Row],[Code]], allFYsTable[year2], AX$3)=0, NotFound, SUMIFS(allFYsTable[RevisedBudget], allFYsTable[Code], SummaryTable[[#This Row],[Code]], allFYsTable[year2], AX$3))</f>
        <v>#N/A</v>
      </c>
      <c r="BB168" s="61" t="e">
        <f>IF(COUNTIFS(allFYsTable[Code], SummaryTable[[#This Row],[Code]], allFYsTable[year2], AX$3)=0, NotFound, SUMIFS(allFYsTable[Actual], allFYsTable[Code], SummaryTable[[#This Row],[Code]], allFYsTable[year2], AX$3))</f>
        <v>#N/A</v>
      </c>
      <c r="BC168" s="61" t="e">
        <f>IF(COUNTIFS(allFYsTable[Code], SummaryTable[[#This Row],[Code]], allFYsTable[year2], AX$3)=0, NotFound, SUMIFS(allFYsTable[DiffAmount], allFYsTable[Code], SummaryTable[[#This Row],[Code]], allFYsTable[year2], AX$3))</f>
        <v>#N/A</v>
      </c>
      <c r="BD168" s="63" t="e">
        <f>IF(SummaryTable[[#This Row],[OriginalBudget22]]=0, IF(SummaryTable[[#This Row],[DiffAmount22]]=0, ZeroBudgetNoSpending, ZeroBudgetWithSpending), SummaryTable[[#This Row],[DiffAmount22]]/SummaryTable[[#This Row],[OriginalBudget22]])</f>
        <v>#N/A</v>
      </c>
      <c r="BE168" s="62" t="e">
        <f>IF(COUNTIFS(allFYsTable[Code], SummaryTable[[#This Row],[Code]], allFYsTable[year2], BE$3)=0, NotFound, SUMIFS(allFYsTable[OriginalBudget], allFYsTable[Code], SummaryTable[[#This Row],[Code]], allFYsTable[year2], BE$3))</f>
        <v>#N/A</v>
      </c>
      <c r="BF168" s="61" t="e">
        <f>SummaryTable[[#This Row],[OriginalBudget21]]-SummaryTable[[#This Row],[OriginalBudget20]]</f>
        <v>#N/A</v>
      </c>
      <c r="BG168" s="54" t="e">
        <f>SummaryTable[[#This Row],[BudgetIncreaseAmount21]]/SummaryTable[[#This Row],[OriginalBudget20]]</f>
        <v>#N/A</v>
      </c>
      <c r="BH168" s="61" t="e">
        <f>IF(COUNTIFS(allFYsTable[Code], SummaryTable[[#This Row],[Code]], allFYsTable[year2], BE$3)=0, NotFound, SUMIFS(allFYsTable[RevisedBudget], allFYsTable[Code], SummaryTable[[#This Row],[Code]], allFYsTable[year2], BE$3))</f>
        <v>#N/A</v>
      </c>
      <c r="BI168" s="61" t="e">
        <f>IF(COUNTIFS(allFYsTable[Code], SummaryTable[[#This Row],[Code]], allFYsTable[year2], BE$3)=0, NotFound, SUMIFS(allFYsTable[Actual], allFYsTable[Code], SummaryTable[[#This Row],[Code]], allFYsTable[year2], BE$3))</f>
        <v>#N/A</v>
      </c>
      <c r="BJ168" s="61" t="e">
        <f>IF(COUNTIFS(allFYsTable[Code], SummaryTable[[#This Row],[Code]], allFYsTable[year2], BE$3)=0, NotFound, SUMIFS(allFYsTable[DiffAmount], allFYsTable[Code], SummaryTable[[#This Row],[Code]], allFYsTable[year2], BE$3))</f>
        <v>#N/A</v>
      </c>
      <c r="BK168" s="63" t="e">
        <f>IF(SummaryTable[[#This Row],[OriginalBudget21]]=0, IF(SummaryTable[[#This Row],[DiffAmount21]]=0, ZeroBudgetNoSpending, ZeroBudgetWithSpending), SummaryTable[[#This Row],[DiffAmount21]]/SummaryTable[[#This Row],[OriginalBudget21]])</f>
        <v>#N/A</v>
      </c>
      <c r="BL168" s="62" t="e">
        <f>IF(COUNTIFS(allFYsTable[Code], SummaryTable[[#This Row],[Code]], allFYsTable[year2], BL$3)=0, NotFound, SUMIFS(allFYsTable[OriginalBudget], allFYsTable[Code], SummaryTable[[#This Row],[Code]], allFYsTable[year2], BL$3))</f>
        <v>#N/A</v>
      </c>
      <c r="BM168" s="61" t="e">
        <f>SummaryTable[[#This Row],[OriginalBudget20]]-SummaryTable[[#This Row],[OriginalBudget19]]</f>
        <v>#N/A</v>
      </c>
      <c r="BN168" s="54" t="e">
        <f>SummaryTable[[#This Row],[BudgetIncreaseAmount20]]/SummaryTable[[#This Row],[OriginalBudget19]]</f>
        <v>#N/A</v>
      </c>
      <c r="BO168" s="61" t="e">
        <f>IF(COUNTIFS(allFYsTable[Code], SummaryTable[[#This Row],[Code]], allFYsTable[year2], BL$3)=0, NotFound, SUMIFS(allFYsTable[RevisedBudget], allFYsTable[Code], SummaryTable[[#This Row],[Code]], allFYsTable[year2], BL$3))</f>
        <v>#N/A</v>
      </c>
      <c r="BP168" s="61" t="e">
        <f>IF(COUNTIFS(allFYsTable[Code], SummaryTable[[#This Row],[Code]], allFYsTable[year2], BL$3)=0, NotFound, SUMIFS(allFYsTable[Actual], allFYsTable[Code], SummaryTable[[#This Row],[Code]], allFYsTable[year2], BL$3))</f>
        <v>#N/A</v>
      </c>
      <c r="BQ168" s="61" t="e">
        <f>IF(COUNTIFS(allFYsTable[Code], SummaryTable[[#This Row],[Code]], allFYsTable[year2], BL$3)=0, NotFound, SUMIFS(allFYsTable[DiffAmount], allFYsTable[Code], SummaryTable[[#This Row],[Code]], allFYsTable[year2], BL$3))</f>
        <v>#N/A</v>
      </c>
      <c r="BR168" s="63" t="e">
        <f>IF(SummaryTable[[#This Row],[OriginalBudget20]]=0, IF(SummaryTable[[#This Row],[DiffAmount20]]=0, ZeroBudgetNoSpending, ZeroBudgetWithSpending), SummaryTable[[#This Row],[DiffAmount20]]/SummaryTable[[#This Row],[OriginalBudget20]])</f>
        <v>#N/A</v>
      </c>
      <c r="BS168" s="62" t="e">
        <f>IF(COUNTIFS(allFYsTable[Code], SummaryTable[[#This Row],[Code]], allFYsTable[year2], BS$3)=0, NotFound, SUMIFS(allFYsTable[OriginalBudget], allFYsTable[Code], SummaryTable[[#This Row],[Code]], allFYsTable[year2], BS$3))</f>
        <v>#N/A</v>
      </c>
      <c r="BT168" s="61" t="e">
        <f>SummaryTable[[#This Row],[OriginalBudget19]]-SummaryTable[[#This Row],[OriginalBudget18]]</f>
        <v>#N/A</v>
      </c>
      <c r="BU168" s="54" t="e">
        <f>SummaryTable[[#This Row],[BudgetIncreaseAmount19]]/SummaryTable[[#This Row],[OriginalBudget18]]</f>
        <v>#N/A</v>
      </c>
      <c r="BV168" s="61" t="e">
        <f>IF(COUNTIFS(allFYsTable[Code], SummaryTable[[#This Row],[Code]], allFYsTable[year2], BS$3)=0, NotFound, SUMIFS(allFYsTable[RevisedBudget], allFYsTable[Code], SummaryTable[[#This Row],[Code]], allFYsTable[year2], BS$3))</f>
        <v>#N/A</v>
      </c>
      <c r="BW168" s="61" t="e">
        <f>IF(COUNTIFS(allFYsTable[Code], SummaryTable[[#This Row],[Code]], allFYsTable[year2], BS$3)=0, NotFound, SUMIFS(allFYsTable[Actual], allFYsTable[Code], SummaryTable[[#This Row],[Code]], allFYsTable[year2], BS$3))</f>
        <v>#N/A</v>
      </c>
      <c r="BX168" s="61" t="e">
        <f>IF(COUNTIFS(allFYsTable[Code], SummaryTable[[#This Row],[Code]], allFYsTable[year2], BS$3)=0, NotFound, SUMIFS(allFYsTable[DiffAmount], allFYsTable[Code], SummaryTable[[#This Row],[Code]], allFYsTable[year2], BS$3))</f>
        <v>#N/A</v>
      </c>
      <c r="BY168" s="63" t="e">
        <f>IF(SummaryTable[[#This Row],[OriginalBudget19]]=0, IF(SummaryTable[[#This Row],[DiffAmount19]]=0, ZeroBudgetNoSpending, ZeroBudgetWithSpending), SummaryTable[[#This Row],[DiffAmount19]]/SummaryTable[[#This Row],[OriginalBudget19]])</f>
        <v>#N/A</v>
      </c>
      <c r="BZ168" s="62" t="e">
        <f>IF(COUNTIFS(allFYsTable[Code], SummaryTable[[#This Row],[Code]], allFYsTable[year2], BZ$3)=0, NotFound, SUMIFS(allFYsTable[OriginalBudget], allFYsTable[Code], SummaryTable[[#This Row],[Code]], allFYsTable[year2], BZ$3))</f>
        <v>#N/A</v>
      </c>
      <c r="CA168" s="61" t="e">
        <f>SummaryTable[[#This Row],[OriginalBudget18]]-SummaryTable[[#This Row],[OriginalBudget17]]</f>
        <v>#N/A</v>
      </c>
      <c r="CB168" s="54" t="e">
        <f>SummaryTable[[#This Row],[BudgetIncreaseAmount18]]/SummaryTable[[#This Row],[OriginalBudget17]]</f>
        <v>#N/A</v>
      </c>
      <c r="CC168" s="61" t="e">
        <f>IF(COUNTIFS(allFYsTable[Code], SummaryTable[[#This Row],[Code]], allFYsTable[year2], BZ$3)=0, NotFound, SUMIFS(allFYsTable[RevisedBudget], allFYsTable[Code], SummaryTable[[#This Row],[Code]], allFYsTable[year2], BZ$3))</f>
        <v>#N/A</v>
      </c>
      <c r="CD168" s="61" t="e">
        <f>IF(COUNTIFS(allFYsTable[Code], SummaryTable[[#This Row],[Code]], allFYsTable[year2], BZ$3)=0, NotFound, SUMIFS(allFYsTable[Actual], allFYsTable[Code], SummaryTable[[#This Row],[Code]], allFYsTable[year2], BZ$3))</f>
        <v>#N/A</v>
      </c>
      <c r="CE168" s="61" t="e">
        <f>IF(COUNTIFS(allFYsTable[Code], SummaryTable[[#This Row],[Code]], allFYsTable[year2], BZ$3)=0, NotFound, SUMIFS(allFYsTable[DiffAmount], allFYsTable[Code], SummaryTable[[#This Row],[Code]], allFYsTable[year2], BZ$3))</f>
        <v>#N/A</v>
      </c>
      <c r="CF168" s="63" t="e">
        <f>IF(SummaryTable[[#This Row],[OriginalBudget18]]=0, IF(SummaryTable[[#This Row],[DiffAmount18]]=0, ZeroBudgetNoSpending, ZeroBudgetWithSpending), SummaryTable[[#This Row],[DiffAmount18]]/SummaryTable[[#This Row],[OriginalBudget18]])</f>
        <v>#N/A</v>
      </c>
      <c r="CG168" s="62" t="e">
        <f>IF(COUNTIFS(allFYsTable[Code], SummaryTable[[#This Row],[Code]], allFYsTable[year2], CG$3)=0, NotFound, SUMIFS(allFYsTable[OriginalBudget], allFYsTable[Code], SummaryTable[[#This Row],[Code]], allFYsTable[year2], CG$3))</f>
        <v>#N/A</v>
      </c>
      <c r="CH168" s="61" t="e">
        <f>SummaryTable[[#This Row],[OriginalBudget17]]-SummaryTable[[#This Row],[OriginalBudget16]]</f>
        <v>#N/A</v>
      </c>
      <c r="CI168" s="54" t="e">
        <f>SummaryTable[[#This Row],[BudgetIncreaseAmount17]]/SummaryTable[[#This Row],[OriginalBudget16]]</f>
        <v>#N/A</v>
      </c>
      <c r="CJ168" s="61" t="e">
        <f>IF(COUNTIFS(allFYsTable[Code], SummaryTable[[#This Row],[Code]], allFYsTable[year2], CG$3)=0, NotFound, SUMIFS(allFYsTable[RevisedBudget], allFYsTable[Code], SummaryTable[[#This Row],[Code]], allFYsTable[year2], CG$3))</f>
        <v>#N/A</v>
      </c>
      <c r="CK168" s="61" t="e">
        <f>IF(COUNTIFS(allFYsTable[Code], SummaryTable[[#This Row],[Code]], allFYsTable[year2], CG$3)=0, NotFound, SUMIFS(allFYsTable[Actual], allFYsTable[Code], SummaryTable[[#This Row],[Code]], allFYsTable[year2], CG$3))</f>
        <v>#N/A</v>
      </c>
      <c r="CL168" s="61" t="e">
        <f>IF(COUNTIFS(allFYsTable[Code], SummaryTable[[#This Row],[Code]], allFYsTable[year2], CG$3)=0, NotFound, SUMIFS(allFYsTable[DiffAmount], allFYsTable[Code], SummaryTable[[#This Row],[Code]], allFYsTable[year2], CG$3))</f>
        <v>#N/A</v>
      </c>
      <c r="CM168" s="63" t="e">
        <f>IF(SummaryTable[[#This Row],[OriginalBudget17]]=0, IF(SummaryTable[[#This Row],[DiffAmount17]]=0, ZeroBudgetNoSpending, ZeroBudgetWithSpending), SummaryTable[[#This Row],[DiffAmount17]]/SummaryTable[[#This Row],[OriginalBudget17]])</f>
        <v>#N/A</v>
      </c>
      <c r="CN168" s="62" t="e">
        <f>IF(COUNTIFS(allFYsTable[Code], SummaryTable[[#This Row],[Code]], allFYsTable[year2], CN$3)=0, NotFound, SUMIFS(allFYsTable[OriginalBudget], allFYsTable[Code], SummaryTable[[#This Row],[Code]], allFYsTable[year2], CN$3))</f>
        <v>#N/A</v>
      </c>
      <c r="CO168" s="61" t="e">
        <f>SummaryTable[[#This Row],[OriginalBudget16]]-SummaryTable[[#This Row],[OriginalBudget15]]</f>
        <v>#N/A</v>
      </c>
      <c r="CP168" s="54" t="e">
        <f>SummaryTable[[#This Row],[BudgetIncreaseAmount16]]/SummaryTable[[#This Row],[OriginalBudget15]]</f>
        <v>#N/A</v>
      </c>
      <c r="CQ168" s="61" t="e">
        <f>IF(COUNTIFS(allFYsTable[Code], SummaryTable[[#This Row],[Code]], allFYsTable[year2], CN$3)=0, NotFound, SUMIFS(allFYsTable[RevisedBudget], allFYsTable[Code], SummaryTable[[#This Row],[Code]], allFYsTable[year2], CN$3))</f>
        <v>#N/A</v>
      </c>
      <c r="CR168" s="61" t="e">
        <f>IF(COUNTIFS(allFYsTable[Code], SummaryTable[[#This Row],[Code]], allFYsTable[year2], CN$3)=0, NotFound, SUMIFS(allFYsTable[Actual], allFYsTable[Code], SummaryTable[[#This Row],[Code]], allFYsTable[year2], CN$3))</f>
        <v>#N/A</v>
      </c>
      <c r="CS168" s="61" t="e">
        <f>IF(COUNTIFS(allFYsTable[Code], SummaryTable[[#This Row],[Code]], allFYsTable[year2], CN$3)=0, NotFound, SUMIFS(allFYsTable[DiffAmount], allFYsTable[Code], SummaryTable[[#This Row],[Code]], allFYsTable[year2], CN$3))</f>
        <v>#N/A</v>
      </c>
      <c r="CT168" s="63" t="e">
        <f>IF(SummaryTable[[#This Row],[OriginalBudget16]]=0, IF(SummaryTable[[#This Row],[DiffAmount16]]=0, ZeroBudgetNoSpending, ZeroBudgetWithSpending), SummaryTable[[#This Row],[DiffAmount16]]/SummaryTable[[#This Row],[OriginalBudget16]])</f>
        <v>#N/A</v>
      </c>
      <c r="CU168" s="62" t="e">
        <f>IF(COUNTIFS(allFYsTable[Code], SummaryTable[[#This Row],[Code]], allFYsTable[year2], CU$3)=0, NotFound, SUMIFS(allFYsTable[OriginalBudget], allFYsTable[Code], SummaryTable[[#This Row],[Code]], allFYsTable[year2], CU$3))</f>
        <v>#N/A</v>
      </c>
      <c r="CV168" s="61" t="e">
        <f>SummaryTable[[#This Row],[OriginalBudget15]]-SummaryTable[[#This Row],[OriginalBudget14]]</f>
        <v>#N/A</v>
      </c>
      <c r="CW168" s="54" t="e">
        <f>SummaryTable[[#This Row],[BudgetIncreaseAmount15]]/SummaryTable[[#This Row],[OriginalBudget14]]</f>
        <v>#N/A</v>
      </c>
      <c r="CX168" s="61" t="e">
        <f>IF(COUNTIFS(allFYsTable[Code], SummaryTable[[#This Row],[Code]], allFYsTable[year2], CU$3)=0, NotFound, SUMIFS(allFYsTable[RevisedBudget], allFYsTable[Code], SummaryTable[[#This Row],[Code]], allFYsTable[year2], CU$3))</f>
        <v>#N/A</v>
      </c>
      <c r="CY168" s="61" t="e">
        <f>IF(COUNTIFS(allFYsTable[Code], SummaryTable[[#This Row],[Code]], allFYsTable[year2], CU$3)=0, NotFound, SUMIFS(allFYsTable[Actual], allFYsTable[Code], SummaryTable[[#This Row],[Code]], allFYsTable[year2], CU$3))</f>
        <v>#N/A</v>
      </c>
      <c r="CZ168" s="61" t="e">
        <f>IF(COUNTIFS(allFYsTable[Code], SummaryTable[[#This Row],[Code]], allFYsTable[year2], CU$3)=0, NotFound, SUMIFS(allFYsTable[DiffAmount], allFYsTable[Code], SummaryTable[[#This Row],[Code]], allFYsTable[year2], CU$3))</f>
        <v>#N/A</v>
      </c>
      <c r="DA168" s="63" t="e">
        <f>IF(SummaryTable[[#This Row],[OriginalBudget15]]=0, IF(SummaryTable[[#This Row],[DiffAmount15]]=0, ZeroBudgetNoSpending, ZeroBudgetWithSpending), SummaryTable[[#This Row],[DiffAmount15]]/SummaryTable[[#This Row],[OriginalBudget15]])</f>
        <v>#N/A</v>
      </c>
      <c r="DB168" s="62" t="e">
        <f>IF(COUNTIFS(allFYsTable[Code], SummaryTable[[#This Row],[Code]], allFYsTable[year2], DB$3)=0, NotFound, SUMIFS(allFYsTable[OriginalBudget], allFYsTable[Code], SummaryTable[[#This Row],[Code]], allFYsTable[year2], DB$3))</f>
        <v>#N/A</v>
      </c>
      <c r="DC168" s="61" t="e">
        <f>SummaryTable[[#This Row],[OriginalBudget14]]-SummaryTable[[#This Row],[OriginalBudget13]]</f>
        <v>#N/A</v>
      </c>
      <c r="DD168" s="54" t="e">
        <f>SummaryTable[[#This Row],[BudgetIncreaseAmount14]]/SummaryTable[[#This Row],[OriginalBudget13]]</f>
        <v>#N/A</v>
      </c>
      <c r="DE168" s="61" t="e">
        <f>IF(COUNTIFS(allFYsTable[Code], SummaryTable[[#This Row],[Code]], allFYsTable[year2], DB$3)=0, NotFound, SUMIFS(allFYsTable[RevisedBudget], allFYsTable[Code], SummaryTable[[#This Row],[Code]], allFYsTable[year2], DB$3))</f>
        <v>#N/A</v>
      </c>
      <c r="DF168" s="61" t="e">
        <f>IF(COUNTIFS(allFYsTable[Code], SummaryTable[[#This Row],[Code]], allFYsTable[year2], DB$3)=0, NotFound, SUMIFS(allFYsTable[Actual], allFYsTable[Code], SummaryTable[[#This Row],[Code]], allFYsTable[year2], DB$3))</f>
        <v>#N/A</v>
      </c>
      <c r="DG168" s="61" t="e">
        <f>IF(COUNTIFS(allFYsTable[Code], SummaryTable[[#This Row],[Code]], allFYsTable[year2], DB$3)=0, NotFound, SUMIFS(allFYsTable[DiffAmount], allFYsTable[Code], SummaryTable[[#This Row],[Code]], allFYsTable[year2], DB$3))</f>
        <v>#N/A</v>
      </c>
      <c r="DH168" s="63" t="e">
        <f>IF(SummaryTable[[#This Row],[OriginalBudget14]]=0, IF(SummaryTable[[#This Row],[DiffAmount14]]=0, ZeroBudgetNoSpending, ZeroBudgetWithSpending), SummaryTable[[#This Row],[DiffAmount14]]/SummaryTable[[#This Row],[OriginalBudget14]])</f>
        <v>#N/A</v>
      </c>
      <c r="DI168" s="62" t="e">
        <f>IF(COUNTIFS(allFYsTable[Code], SummaryTable[[#This Row],[Code]], allFYsTable[year2], DI$3)=0, NotFound, SUMIFS(allFYsTable[OriginalBudget], allFYsTable[Code], SummaryTable[[#This Row],[Code]], allFYsTable[year2], DI$3))</f>
        <v>#N/A</v>
      </c>
      <c r="DJ168" s="61" t="e">
        <f>SummaryTable[[#This Row],[OriginalBudget13]]-SummaryTable[[#This Row],[OriginalBudget12]]</f>
        <v>#N/A</v>
      </c>
      <c r="DK168" s="54" t="e">
        <f>SummaryTable[[#This Row],[BudgetIncreaseAmount13]]/SummaryTable[[#This Row],[OriginalBudget12]]</f>
        <v>#N/A</v>
      </c>
      <c r="DL168" s="61" t="e">
        <f>IF(COUNTIFS(allFYsTable[Code], SummaryTable[[#This Row],[Code]], allFYsTable[year2], DI$3)=0, NotFound, SUMIFS(allFYsTable[RevisedBudget], allFYsTable[Code], SummaryTable[[#This Row],[Code]], allFYsTable[year2], DI$3))</f>
        <v>#N/A</v>
      </c>
      <c r="DM168" s="61" t="e">
        <f>IF(COUNTIFS(allFYsTable[Code], SummaryTable[[#This Row],[Code]], allFYsTable[year2], DI$3)=0, NotFound, SUMIFS(allFYsTable[Actual], allFYsTable[Code], SummaryTable[[#This Row],[Code]], allFYsTable[year2], DI$3))</f>
        <v>#N/A</v>
      </c>
      <c r="DN168" s="61" t="e">
        <f>IF(COUNTIFS(allFYsTable[Code], SummaryTable[[#This Row],[Code]], allFYsTable[year2], DI$3)=0, NotFound, SUMIFS(allFYsTable[DiffAmount], allFYsTable[Code], SummaryTable[[#This Row],[Code]], allFYsTable[year2], DI$3))</f>
        <v>#N/A</v>
      </c>
      <c r="DO168" s="63" t="e">
        <f>IF(SummaryTable[[#This Row],[OriginalBudget13]]=0, IF(SummaryTable[[#This Row],[DiffAmount13]]=0, ZeroBudgetNoSpending, ZeroBudgetWithSpending), SummaryTable[[#This Row],[DiffAmount13]]/SummaryTable[[#This Row],[OriginalBudget13]])</f>
        <v>#N/A</v>
      </c>
      <c r="DP168" s="62" t="e">
        <f>IF(COUNTIFS(allFYsTable[Code], SummaryTable[[#This Row],[Code]], allFYsTable[year2], DP$3)=0, NotFound, SUMIFS(allFYsTable[OriginalBudget], allFYsTable[Code], SummaryTable[[#This Row],[Code]], allFYsTable[year2], DP$3))</f>
        <v>#N/A</v>
      </c>
      <c r="DQ168" s="61" t="e">
        <f>SummaryTable[[#This Row],[OriginalBudget12]]-SummaryTable[[#This Row],[OriginalBudget11]]</f>
        <v>#N/A</v>
      </c>
      <c r="DR168" s="54" t="e">
        <f>SummaryTable[[#This Row],[BudgetIncreaseAmount12]]/SummaryTable[[#This Row],[OriginalBudget11]]</f>
        <v>#N/A</v>
      </c>
      <c r="DS168" s="61" t="e">
        <f>IF(COUNTIFS(allFYsTable[Code], SummaryTable[[#This Row],[Code]], allFYsTable[year2], DP$3)=0, NotFound, SUMIFS(allFYsTable[RevisedBudget], allFYsTable[Code], SummaryTable[[#This Row],[Code]], allFYsTable[year2], DP$3))</f>
        <v>#N/A</v>
      </c>
      <c r="DT168" s="61" t="e">
        <f>IF(COUNTIFS(allFYsTable[Code], SummaryTable[[#This Row],[Code]], allFYsTable[year2], DP$3)=0, NotFound, SUMIFS(allFYsTable[Actual], allFYsTable[Code], SummaryTable[[#This Row],[Code]], allFYsTable[year2], DP$3))</f>
        <v>#N/A</v>
      </c>
      <c r="DU168" s="61" t="e">
        <f>IF(COUNTIFS(allFYsTable[Code], SummaryTable[[#This Row],[Code]], allFYsTable[year2], DP$3)=0, NotFound, SUMIFS(allFYsTable[DiffAmount], allFYsTable[Code], SummaryTable[[#This Row],[Code]], allFYsTable[year2], DP$3))</f>
        <v>#N/A</v>
      </c>
      <c r="DV168" s="63" t="e">
        <f>IF(SummaryTable[[#This Row],[OriginalBudget12]]=0, IF(SummaryTable[[#This Row],[DiffAmount12]]=0, ZeroBudgetNoSpending, ZeroBudgetWithSpending), SummaryTable[[#This Row],[DiffAmount12]]/SummaryTable[[#This Row],[OriginalBudget12]])</f>
        <v>#N/A</v>
      </c>
      <c r="DW168" s="62" t="e">
        <f>IF(COUNTIFS(allFYsTable[Code], SummaryTable[[#This Row],[Code]], allFYsTable[year2], DW$3)=0, NotFound, SUMIFS(allFYsTable[OriginalBudget], allFYsTable[Code], SummaryTable[[#This Row],[Code]], allFYsTable[year2], DW$3))</f>
        <v>#N/A</v>
      </c>
      <c r="DX168" s="61" t="e">
        <f>SummaryTable[[#This Row],[OriginalBudget11]]-SummaryTable[[#This Row],[OriginalBudget10]]</f>
        <v>#N/A</v>
      </c>
      <c r="DY168" s="54" t="e">
        <f>SummaryTable[[#This Row],[BudgetIncreaseAmount11]]/SummaryTable[[#This Row],[OriginalBudget10]]</f>
        <v>#N/A</v>
      </c>
      <c r="DZ168" s="61" t="e">
        <f>IF(COUNTIFS(allFYsTable[Code], SummaryTable[[#This Row],[Code]], allFYsTable[year2], DW$3)=0, NotFound, SUMIFS(allFYsTable[RevisedBudget], allFYsTable[Code], SummaryTable[[#This Row],[Code]], allFYsTable[year2], DW$3))</f>
        <v>#N/A</v>
      </c>
      <c r="EA168" s="61" t="e">
        <f>IF(COUNTIFS(allFYsTable[Code], SummaryTable[[#This Row],[Code]], allFYsTable[year2], DW$3)=0, NotFound, SUMIFS(allFYsTable[Actual], allFYsTable[Code], SummaryTable[[#This Row],[Code]], allFYsTable[year2], DW$3))</f>
        <v>#N/A</v>
      </c>
      <c r="EB168" s="61" t="e">
        <f>IF(COUNTIFS(allFYsTable[Code], SummaryTable[[#This Row],[Code]], allFYsTable[year2], DW$3)=0, NotFound, SUMIFS(allFYsTable[DiffAmount], allFYsTable[Code], SummaryTable[[#This Row],[Code]], allFYsTable[year2], DW$3))</f>
        <v>#N/A</v>
      </c>
      <c r="EC168" s="63" t="e">
        <f>IF(SummaryTable[[#This Row],[OriginalBudget11]]=0, IF(SummaryTable[[#This Row],[DiffAmount11]]=0, ZeroBudgetNoSpending, ZeroBudgetWithSpending), SummaryTable[[#This Row],[DiffAmount11]]/SummaryTable[[#This Row],[OriginalBudget11]])</f>
        <v>#N/A</v>
      </c>
      <c r="ED168" s="62">
        <f>IF(COUNTIFS(allFYsTable[Code], SummaryTable[[#This Row],[Code]], allFYsTable[year2], ED$3)=0, NotFound, SUMIFS(allFYsTable[OriginalBudget], allFYsTable[Code], SummaryTable[[#This Row],[Code]], allFYsTable[year2], ED$3))</f>
        <v>0</v>
      </c>
      <c r="EE168" s="61">
        <f>SummaryTable[[#This Row],[OriginalBudget10]]-SummaryTable[[#This Row],[OriginalBudget09]]</f>
        <v>-46000</v>
      </c>
      <c r="EF168" s="54">
        <f>SummaryTable[[#This Row],[BudgetIncreaseAmount10]]/SummaryTable[[#This Row],[OriginalBudget09]]</f>
        <v>-1</v>
      </c>
      <c r="EG168" s="61">
        <f>IF(COUNTIFS(allFYsTable[Code], SummaryTable[[#This Row],[Code]], allFYsTable[year2], ED$3)=0, NotFound, SUMIFS(allFYsTable[RevisedBudget], allFYsTable[Code], SummaryTable[[#This Row],[Code]], allFYsTable[year2], ED$3))</f>
        <v>53</v>
      </c>
      <c r="EH168" s="61">
        <f>IF(COUNTIFS(allFYsTable[Code], SummaryTable[[#This Row],[Code]], allFYsTable[year2], ED$3)=0, NotFound, SUMIFS(allFYsTable[Actual], allFYsTable[Code], SummaryTable[[#This Row],[Code]], allFYsTable[year2], ED$3))</f>
        <v>0</v>
      </c>
      <c r="EI168" s="61">
        <f>IF(COUNTIFS(allFYsTable[Code], SummaryTable[[#This Row],[Code]], allFYsTable[year2], ED$3)=0, NotFound, SUMIFS(allFYsTable[DiffAmount], allFYsTable[Code], SummaryTable[[#This Row],[Code]], allFYsTable[year2], ED$3))</f>
        <v>0</v>
      </c>
      <c r="EJ168" s="63">
        <f>IF(SummaryTable[[#This Row],[OriginalBudget10]]=0, IF(SummaryTable[[#This Row],[DiffAmount10]]=0, ZeroBudgetNoSpending, ZeroBudgetWithSpending), SummaryTable[[#This Row],[DiffAmount10]]/SummaryTable[[#This Row],[OriginalBudget10]])</f>
        <v>0</v>
      </c>
      <c r="EK168" s="62">
        <f>IF(COUNTIFS(allFYsTable[Code], SummaryTable[[#This Row],[Code]], allFYsTable[year2], EK$3)=0, NotFound, SUMIFS(allFYsTable[OriginalBudget], allFYsTable[Code], SummaryTable[[#This Row],[Code]], allFYsTable[year2], EK$3))</f>
        <v>46000</v>
      </c>
      <c r="EL168" s="61">
        <f>SummaryTable[[#This Row],[OriginalBudget09]]-SummaryTable[[#This Row],[OriginalBudget08]]</f>
        <v>-4000</v>
      </c>
      <c r="EM168" s="54">
        <f>SummaryTable[[#This Row],[BudgetIncreaseAmount09]]/SummaryTable[[#This Row],[OriginalBudget08]]</f>
        <v>-0.08</v>
      </c>
      <c r="EN168" s="61">
        <f>IF(COUNTIFS(allFYsTable[Code], SummaryTable[[#This Row],[Code]], allFYsTable[year2], EK$3)=0, NotFound, SUMIFS(allFYsTable[RevisedBudget], allFYsTable[Code], SummaryTable[[#This Row],[Code]], allFYsTable[year2], EK$3))</f>
        <v>0</v>
      </c>
      <c r="EO168" s="61">
        <f>IF(COUNTIFS(allFYsTable[Code], SummaryTable[[#This Row],[Code]], allFYsTable[year2], EK$3)=0, NotFound, SUMIFS(allFYsTable[Actual], allFYsTable[Code], SummaryTable[[#This Row],[Code]], allFYsTable[year2], EK$3))</f>
        <v>0</v>
      </c>
      <c r="EP168" s="61">
        <f>IF(COUNTIFS(allFYsTable[Code], SummaryTable[[#This Row],[Code]], allFYsTable[year2], EK$3)=0, NotFound, SUMIFS(allFYsTable[DiffAmount], allFYsTable[Code], SummaryTable[[#This Row],[Code]], allFYsTable[year2], EK$3))</f>
        <v>-46000</v>
      </c>
      <c r="EQ168" s="63">
        <f>IF(SummaryTable[[#This Row],[OriginalBudget09]]=0, IF(SummaryTable[[#This Row],[DiffAmount09]]=0, ZeroBudgetNoSpending, ZeroBudgetWithSpending), SummaryTable[[#This Row],[DiffAmount09]]/SummaryTable[[#This Row],[OriginalBudget09]])</f>
        <v>-1</v>
      </c>
      <c r="ER168" s="62">
        <f>IF(COUNTIFS(allFYsTable[Code], SummaryTable[[#This Row],[Code]], allFYsTable[year2], ER$3)=0, NotFound, SUMIFS(allFYsTable[OriginalBudget], allFYsTable[Code], SummaryTable[[#This Row],[Code]], allFYsTable[year2], ER$3))</f>
        <v>50000</v>
      </c>
      <c r="ES168" s="61">
        <f>SummaryTable[[#This Row],[OriginalBudget08]]-SummaryTable[[#This Row],[OriginalBudget07]]</f>
        <v>0</v>
      </c>
      <c r="ET168" s="54">
        <f>SummaryTable[[#This Row],[BudgetIncreaseAmount08]]/SummaryTable[[#This Row],[OriginalBudget07]]</f>
        <v>0</v>
      </c>
      <c r="EU168" s="61">
        <f>IF(COUNTIFS(allFYsTable[Code], SummaryTable[[#This Row],[Code]], allFYsTable[year2], ER$3)=0, NotFound, SUMIFS(allFYsTable[RevisedBudget], allFYsTable[Code], SummaryTable[[#This Row],[Code]], allFYsTable[year2], ER$3))</f>
        <v>36525</v>
      </c>
      <c r="EV168" s="61">
        <f>IF(COUNTIFS(allFYsTable[Code], SummaryTable[[#This Row],[Code]], allFYsTable[year2], ER$3)=0, NotFound, SUMIFS(allFYsTable[Actual], allFYsTable[Code], SummaryTable[[#This Row],[Code]], allFYsTable[year2], ER$3))</f>
        <v>0</v>
      </c>
      <c r="EW168" s="61">
        <f>IF(COUNTIFS(allFYsTable[Code], SummaryTable[[#This Row],[Code]], allFYsTable[year2], ER$3)=0, NotFound, SUMIFS(allFYsTable[DiffAmount], allFYsTable[Code], SummaryTable[[#This Row],[Code]], allFYsTable[year2], ER$3))</f>
        <v>-50000</v>
      </c>
      <c r="EX168" s="63">
        <f>IF(SummaryTable[[#This Row],[OriginalBudget08]]=0, IF(SummaryTable[[#This Row],[DiffAmount08]]=0, ZeroBudgetNoSpending, ZeroBudgetWithSpending), SummaryTable[[#This Row],[DiffAmount08]]/SummaryTable[[#This Row],[OriginalBudget08]])</f>
        <v>-1</v>
      </c>
      <c r="EY168" s="62">
        <f>IF(COUNTIFS(allFYsTable[Code], SummaryTable[[#This Row],[Code]], allFYsTable[year2], EY$3)=0, NotFound, SUMIFS(allFYsTable[OriginalBudget], allFYsTable[Code], SummaryTable[[#This Row],[Code]], allFYsTable[year2], EY$3))</f>
        <v>50000</v>
      </c>
      <c r="EZ168" s="61">
        <f>SummaryTable[[#This Row],[OriginalBudget07]]-SummaryTable[[#This Row],[OriginalBudget06]]</f>
        <v>0</v>
      </c>
      <c r="FA168" s="54">
        <f>SummaryTable[[#This Row],[BudgetIncreaseAmount07]]/SummaryTable[[#This Row],[OriginalBudget06]]</f>
        <v>0</v>
      </c>
      <c r="FB168" s="61">
        <f>IF(COUNTIFS(allFYsTable[Code], SummaryTable[[#This Row],[Code]], allFYsTable[year2], EY$3)=0, NotFound, SUMIFS(allFYsTable[RevisedBudget], allFYsTable[Code], SummaryTable[[#This Row],[Code]], allFYsTable[year2], EY$3))</f>
        <v>500</v>
      </c>
      <c r="FC168" s="61">
        <f>IF(COUNTIFS(allFYsTable[Code], SummaryTable[[#This Row],[Code]], allFYsTable[year2], EY$3)=0, NotFound, SUMIFS(allFYsTable[Actual], allFYsTable[Code], SummaryTable[[#This Row],[Code]], allFYsTable[year2], EY$3))</f>
        <v>0</v>
      </c>
      <c r="FD168" s="61">
        <f>IF(COUNTIFS(allFYsTable[Code], SummaryTable[[#This Row],[Code]], allFYsTable[year2], EY$3)=0, NotFound, SUMIFS(allFYsTable[DiffAmount], allFYsTable[Code], SummaryTable[[#This Row],[Code]], allFYsTable[year2], EY$3))</f>
        <v>-50000</v>
      </c>
      <c r="FE168" s="63">
        <f>IF(SummaryTable[[#This Row],[OriginalBudget07]]=0, IF(SummaryTable[[#This Row],[DiffAmount07]]=0, ZeroBudgetNoSpending, ZeroBudgetWithSpending), SummaryTable[[#This Row],[DiffAmount07]]/SummaryTable[[#This Row],[OriginalBudget07]])</f>
        <v>-1</v>
      </c>
      <c r="FF168" s="62">
        <f>IF(COUNTIFS(allFYsTable[Code], SummaryTable[[#This Row],[Code]], allFYsTable[year2], FF$3)=0, NotFound, SUMIFS(allFYsTable[OriginalBudget], allFYsTable[Code], SummaryTable[[#This Row],[Code]], allFYsTable[year2], FF$3))</f>
        <v>50000</v>
      </c>
      <c r="FI168" s="61">
        <f>IF(COUNTIFS(allFYsTable[Code], SummaryTable[[#This Row],[Code]], allFYsTable[year2], FF$3)=0, NotFound, SUMIFS(allFYsTable[RevisedBudget], allFYsTable[Code], SummaryTable[[#This Row],[Code]], allFYsTable[year2], FF$3))</f>
        <v>2269</v>
      </c>
      <c r="FJ168" s="61">
        <f>IF(COUNTIFS(allFYsTable[Code], SummaryTable[[#This Row],[Code]], allFYsTable[year2], FF$3)=0, NotFound, SUMIFS(allFYsTable[Actual], allFYsTable[Code], SummaryTable[[#This Row],[Code]], allFYsTable[year2], FF$3))</f>
        <v>0</v>
      </c>
      <c r="FK168" s="61">
        <f>IF(COUNTIFS(allFYsTable[Code], SummaryTable[[#This Row],[Code]], allFYsTable[year2], FF$3)=0, NotFound, SUMIFS(allFYsTable[DiffAmount], allFYsTable[Code], SummaryTable[[#This Row],[Code]], allFYsTable[year2], FF$3))</f>
        <v>-50000</v>
      </c>
      <c r="FL168" s="63">
        <f>IF(SummaryTable[[#This Row],[OriginalBudget06]]=0, IF(SummaryTable[[#This Row],[DiffAmount06]]=0, ZeroBudgetNoSpending, ZeroBudgetWithSpending), SummaryTable[[#This Row],[DiffAmount06]]/SummaryTable[[#This Row],[OriginalBudget06]])</f>
        <v>-1</v>
      </c>
    </row>
    <row r="169" spans="1:168" x14ac:dyDescent="0.45">
      <c r="A169" t="s">
        <v>880</v>
      </c>
      <c r="B169">
        <f>_xlfn.MAXIFS(allFYsTable[year2], allFYsTable[Code], SummaryTable[[#This Row],[Code]])</f>
        <v>2010</v>
      </c>
      <c r="C169" t="str">
        <f>_xlfn.XLOOKUP(SummaryTable[[#This Row],[Code]], NameCodingTable[Code], NameCodingTable[Most Recent Category per allFYs])</f>
        <v>Governmental direction and support</v>
      </c>
      <c r="D169" t="str">
        <f>_xlfn.XLOOKUP(SummaryTable[[#This Row],[Code]], NameCodingTable[Code], NameCodingTable[Unit Display Name])</f>
        <v>Not  for  profit  hospital</v>
      </c>
      <c r="E169" t="str">
        <f>_xlfn.XLOOKUP(SummaryTable[[#This Row],[Code]], NameCodingTable[Code], NameCodingTable[Type])</f>
        <v>untyped</v>
      </c>
      <c r="F16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6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69" s="54">
        <f>SummaryTable[[#This Row],['# Over]]/SummaryTable[[#This Row],[Count]]</f>
        <v>1</v>
      </c>
      <c r="I16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69" s="54">
        <f>SummaryTable[[#This Row],['# Under]]/SummaryTable[[#This Row],[Count]]</f>
        <v>0</v>
      </c>
      <c r="K16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69" s="54">
        <f>SummaryTable[[#This Row],['# Equal]]/SummaryTable[[#This Row],[Count]]</f>
        <v>0</v>
      </c>
      <c r="M169" s="61">
        <f>SUMIFS(allFYsTable[OriginalBudget],allFYsTable[Code],SummaryTable[[#This Row],[Code]])/SummaryTable[[#This Row],[Count]]</f>
        <v>0</v>
      </c>
      <c r="N169" s="61">
        <f>SUMIFS(allFYsTable[Actual],allFYsTable[Code],SummaryTable[[#This Row],[Code]])/SummaryTable[[#This Row],[Count]]</f>
        <v>26000</v>
      </c>
      <c r="O169" s="61">
        <f>SummaryTable[[#This Row],[AvgActAmt]]-SummaryTable[[#This Row],[AvgBudAmt]]</f>
        <v>26000</v>
      </c>
      <c r="P169" s="54">
        <f>IF(SummaryTable[[#This Row],[AvgBudAmt]]=0, IF(SummaryTable[[#This Row],[AvgDiff'#]]=0, 0, NamedFields!$C$3), SummaryTable[[#This Row],[AvgDiff'#]]/SummaryTable[[#This Row],[AvgBudAmt]])</f>
        <v>99.99</v>
      </c>
      <c r="Q169" s="61">
        <f>IFERROR(SUMIFS(allFYsTable[OriginalBudget],allFYsTable[Code],SummaryTable[[#This Row],[Code]],allFYsTable[DiffAmount], "&gt;0")/SummaryTable[[#This Row],['# Over]], 0)</f>
        <v>0</v>
      </c>
      <c r="R169" s="61">
        <f>IFERROR(SUMIFS(allFYsTable[Actual],allFYsTable[Code],SummaryTable[[#This Row],[Code]],allFYsTable[DiffAmount], "&gt;0")/SummaryTable[[#This Row],['# Over]], 0)</f>
        <v>26000</v>
      </c>
      <c r="S169" s="61">
        <f>SummaryTable[[#This Row],[OverAvgAct]]-SummaryTable[[#This Row],[OverAvgBud]]</f>
        <v>26000</v>
      </c>
      <c r="T169" s="54">
        <f>IF(SummaryTable[[#This Row],[OverAvgBud]]=0, IF(SummaryTable[[#This Row],[OverAvgDiff'#]]=0, ZeroBudgetNoSpending, ZeroBudgetWithSpending), SummaryTable[[#This Row],[OverAvgDiff'#]]/SummaryTable[[#This Row],[OverAvgBud]])</f>
        <v>99.99</v>
      </c>
      <c r="U169" s="61">
        <f>IFERROR(SUMIFS(allFYsTable[OriginalBudget],allFYsTable[Code],SummaryTable[[#This Row],[Code]],allFYsTable[DiffAmount], "&lt;0")/SummaryTable[[#This Row],['# Under]], 0)</f>
        <v>0</v>
      </c>
      <c r="V169" s="61">
        <f>IFERROR( SUMIFS(allFYsTable[Actual],allFYsTable[Code],SummaryTable[[#This Row],[Code]],allFYsTable[DiffAmount], "&lt;0")/SummaryTable[[#This Row],['# Under]], 0)</f>
        <v>0</v>
      </c>
      <c r="W169" s="61">
        <f>SummaryTable[[#This Row],[UnderAvgAct]]-SummaryTable[[#This Row],[UnderAvgBud]]</f>
        <v>0</v>
      </c>
      <c r="X169" s="54">
        <f>IF(SummaryTable[[#This Row],[UnderAvgBud]]=0, IF(SummaryTable[[#This Row],[UnderAvgDiff'#]]=0, ZeroBudgetNoSpending, NamedFields!$C$3), SummaryTable[[#This Row],[UnderAvgDiff'#]]/SummaryTable[[#This Row],[UnderAvgBud]])</f>
        <v>0</v>
      </c>
      <c r="Y16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6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69" s="54">
        <f>IF(SummaryTable[[#This Row],[IncreaseYears]]=0, ZeroBudgetNoSpending, SummaryTable[[#This Row],[OSinIncreaseYear'#]]/SummaryTable[[#This Row],[IncreaseYears]])</f>
        <v>0</v>
      </c>
      <c r="AB169" s="58" t="str">
        <f>SummaryTable[[#This Row],[Code]]</f>
        <v>XNP</v>
      </c>
      <c r="AC169" s="62" t="e">
        <f>IF(COUNTIFS(allFYsTable[Code], SummaryTable[[#This Row],[Code]], allFYsTable[year2], AC$3)=0, NotFound, SUMIFS(allFYsTable[OriginalBudget], allFYsTable[Code], SummaryTable[[#This Row],[Code]], allFYsTable[year2], AC$3))</f>
        <v>#N/A</v>
      </c>
      <c r="AD169" s="61" t="e">
        <f>SummaryTable[[#This Row],[OriginalBudget25]]-SummaryTable[[#This Row],[OriginalBudget24]]</f>
        <v>#N/A</v>
      </c>
      <c r="AE169" s="54" t="e">
        <f>SummaryTable[[#This Row],[BudgetIncreaseAmount25]]/SummaryTable[[#This Row],[OriginalBudget24]]</f>
        <v>#N/A</v>
      </c>
      <c r="AF169" s="61" t="e">
        <f>IF(COUNTIFS(allFYsTable[Code], SummaryTable[[#This Row],[Code]], allFYsTable[year2], AC$3)=0, NotFound, SUMIFS(allFYsTable[RevisedBudget], allFYsTable[Code], SummaryTable[[#This Row],[Code]], allFYsTable[year2], AC$3))</f>
        <v>#N/A</v>
      </c>
      <c r="AG169" s="61" t="e">
        <f>IF(COUNTIFS(allFYsTable[Code], SummaryTable[[#This Row],[Code]], allFYsTable[year2], AC$3)=0, NotFound, SUMIFS(allFYsTable[Actual], allFYsTable[Code], SummaryTable[[#This Row],[Code]], allFYsTable[year2], AC$3))</f>
        <v>#N/A</v>
      </c>
      <c r="AH169" s="61" t="e">
        <f>IF(COUNTIFS(allFYsTable[Code], SummaryTable[[#This Row],[Code]], allFYsTable[year2], AC$3)=0, NotFound, SUMIFS(allFYsTable[DiffAmount], allFYsTable[Code], SummaryTable[[#This Row],[Code]], allFYsTable[year2], AC$3))</f>
        <v>#N/A</v>
      </c>
      <c r="AI169" s="63" t="e">
        <f>IF(SummaryTable[[#This Row],[OriginalBudget25]]=0, IF(SummaryTable[[#This Row],[DiffAmount25]]=0, ZeroBudgetNoSpending, ZeroBudgetWithSpending), SummaryTable[[#This Row],[DiffAmount25]]/SummaryTable[[#This Row],[OriginalBudget25]])</f>
        <v>#N/A</v>
      </c>
      <c r="AJ169" s="62" t="e">
        <f>IF(COUNTIFS(allFYsTable[Code], SummaryTable[[#This Row],[Code]], allFYsTable[year2], AJ$3)=0, NotFound, SUMIFS(allFYsTable[OriginalBudget], allFYsTable[Code], SummaryTable[[#This Row],[Code]], allFYsTable[year2], AJ$3))</f>
        <v>#N/A</v>
      </c>
      <c r="AK169" s="61" t="e">
        <f>SummaryTable[[#This Row],[OriginalBudget24]]-SummaryTable[[#This Row],[OriginalBudget23]]</f>
        <v>#N/A</v>
      </c>
      <c r="AL169" s="54" t="e">
        <f>SummaryTable[[#This Row],[BudgetIncreaseAmount24]]/SummaryTable[[#This Row],[OriginalBudget23]]</f>
        <v>#N/A</v>
      </c>
      <c r="AM169" s="61" t="e">
        <f>IF(COUNTIFS(allFYsTable[Code], SummaryTable[[#This Row],[Code]], allFYsTable[year2], AK$3)=0, NotFound, SUMIFS(allFYsTable[RevisedBudget], allFYsTable[Code], SummaryTable[[#This Row],[Code]], allFYsTable[year2], AJ$3))</f>
        <v>#N/A</v>
      </c>
      <c r="AN169" s="61" t="e">
        <f>IF(COUNTIFS(allFYsTable[Code], SummaryTable[[#This Row],[Code]], allFYsTable[year2], AJ$3)=0, NotFound, SUMIFS(allFYsTable[Actual], allFYsTable[Code], SummaryTable[[#This Row],[Code]], allFYsTable[year2], AJ$3))</f>
        <v>#N/A</v>
      </c>
      <c r="AO169" s="61" t="e">
        <f>IF(COUNTIFS(allFYsTable[Code], SummaryTable[[#This Row],[Code]], allFYsTable[year2], AJ$3)=0, NotFound, SUMIFS(allFYsTable[DiffAmount], allFYsTable[Code], SummaryTable[[#This Row],[Code]], allFYsTable[year2], AJ$3))</f>
        <v>#N/A</v>
      </c>
      <c r="AP169" s="63" t="e">
        <f>IF(SummaryTable[[#This Row],[OriginalBudget24]]=0, IF(SummaryTable[[#This Row],[DiffAmount24]]=0, ZeroBudgetNoSpending, ZeroBudgetWithSpending), SummaryTable[[#This Row],[DiffAmount24]]/SummaryTable[[#This Row],[OriginalBudget24]])</f>
        <v>#N/A</v>
      </c>
      <c r="AQ169" s="62" t="e">
        <f>IF(COUNTIFS(allFYsTable[Code], SummaryTable[[#This Row],[Code]], allFYsTable[year2], AQ$3)=0, NotFound, SUMIFS(allFYsTable[OriginalBudget], allFYsTable[Code], SummaryTable[[#This Row],[Code]], allFYsTable[year2], AQ$3))</f>
        <v>#N/A</v>
      </c>
      <c r="AR169" s="61" t="e">
        <f>SummaryTable[[#This Row],[OriginalBudget23]]-SummaryTable[[#This Row],[OriginalBudget22]]</f>
        <v>#N/A</v>
      </c>
      <c r="AS169" s="54" t="e">
        <f>SummaryTable[[#This Row],[BudgetIncreaseAmount23]]/SummaryTable[[#This Row],[OriginalBudget22]]</f>
        <v>#N/A</v>
      </c>
      <c r="AT169" s="61" t="e">
        <f>IF(COUNTIFS(allFYsTable[Code], SummaryTable[[#This Row],[Code]], allFYsTable[year2], AQ$3)=0, NotFound, SUMIFS(allFYsTable[RevisedBudget], allFYsTable[Code], SummaryTable[[#This Row],[Code]], allFYsTable[year2], AQ$3))</f>
        <v>#N/A</v>
      </c>
      <c r="AU169" s="61" t="e">
        <f>IF(COUNTIFS(allFYsTable[Code], SummaryTable[[#This Row],[Code]], allFYsTable[year2], AQ$3)=0, NotFound, SUMIFS(allFYsTable[Actual], allFYsTable[Code], SummaryTable[[#This Row],[Code]], allFYsTable[year2], AQ$3))</f>
        <v>#N/A</v>
      </c>
      <c r="AV169" s="61" t="e">
        <f>IF(COUNTIFS(allFYsTable[Code], SummaryTable[[#This Row],[Code]], allFYsTable[year2], AQ$3)=0, NotFound, SUMIFS(allFYsTable[DiffAmount], allFYsTable[Code], SummaryTable[[#This Row],[Code]], allFYsTable[year2], AQ$3))</f>
        <v>#N/A</v>
      </c>
      <c r="AW169" s="63" t="e">
        <f>IF(SummaryTable[[#This Row],[OriginalBudget23]]=0, IF(SummaryTable[[#This Row],[DiffAmount23]]=0, ZeroBudgetNoSpending, ZeroBudgetWithSpending), SummaryTable[[#This Row],[DiffAmount23]]/SummaryTable[[#This Row],[OriginalBudget23]])</f>
        <v>#N/A</v>
      </c>
      <c r="AX169" s="62" t="e">
        <f>IF(COUNTIFS(allFYsTable[Code], SummaryTable[[#This Row],[Code]], allFYsTable[year2], AX$3)=0, NotFound, SUMIFS(allFYsTable[OriginalBudget], allFYsTable[Code], SummaryTable[[#This Row],[Code]], allFYsTable[year2], AX$3))</f>
        <v>#N/A</v>
      </c>
      <c r="AY169" s="61" t="e">
        <f>SummaryTable[[#This Row],[OriginalBudget22]]-SummaryTable[[#This Row],[OriginalBudget21]]</f>
        <v>#N/A</v>
      </c>
      <c r="AZ169" s="54" t="e">
        <f>SummaryTable[[#This Row],[BudgetIncreaseAmount22]]/SummaryTable[[#This Row],[OriginalBudget21]]</f>
        <v>#N/A</v>
      </c>
      <c r="BA169" s="61" t="e">
        <f>IF(COUNTIFS(allFYsTable[Code], SummaryTable[[#This Row],[Code]], allFYsTable[year2], AX$3)=0, NotFound, SUMIFS(allFYsTable[RevisedBudget], allFYsTable[Code], SummaryTable[[#This Row],[Code]], allFYsTable[year2], AX$3))</f>
        <v>#N/A</v>
      </c>
      <c r="BB169" s="61" t="e">
        <f>IF(COUNTIFS(allFYsTable[Code], SummaryTable[[#This Row],[Code]], allFYsTable[year2], AX$3)=0, NotFound, SUMIFS(allFYsTable[Actual], allFYsTable[Code], SummaryTable[[#This Row],[Code]], allFYsTable[year2], AX$3))</f>
        <v>#N/A</v>
      </c>
      <c r="BC169" s="61" t="e">
        <f>IF(COUNTIFS(allFYsTable[Code], SummaryTable[[#This Row],[Code]], allFYsTable[year2], AX$3)=0, NotFound, SUMIFS(allFYsTable[DiffAmount], allFYsTable[Code], SummaryTable[[#This Row],[Code]], allFYsTable[year2], AX$3))</f>
        <v>#N/A</v>
      </c>
      <c r="BD169" s="63" t="e">
        <f>IF(SummaryTable[[#This Row],[OriginalBudget22]]=0, IF(SummaryTable[[#This Row],[DiffAmount22]]=0, ZeroBudgetNoSpending, ZeroBudgetWithSpending), SummaryTable[[#This Row],[DiffAmount22]]/SummaryTable[[#This Row],[OriginalBudget22]])</f>
        <v>#N/A</v>
      </c>
      <c r="BE169" s="62" t="e">
        <f>IF(COUNTIFS(allFYsTable[Code], SummaryTable[[#This Row],[Code]], allFYsTable[year2], BE$3)=0, NotFound, SUMIFS(allFYsTable[OriginalBudget], allFYsTable[Code], SummaryTable[[#This Row],[Code]], allFYsTable[year2], BE$3))</f>
        <v>#N/A</v>
      </c>
      <c r="BF169" s="61" t="e">
        <f>SummaryTable[[#This Row],[OriginalBudget21]]-SummaryTable[[#This Row],[OriginalBudget20]]</f>
        <v>#N/A</v>
      </c>
      <c r="BG169" s="54" t="e">
        <f>SummaryTable[[#This Row],[BudgetIncreaseAmount21]]/SummaryTable[[#This Row],[OriginalBudget20]]</f>
        <v>#N/A</v>
      </c>
      <c r="BH169" s="61" t="e">
        <f>IF(COUNTIFS(allFYsTable[Code], SummaryTable[[#This Row],[Code]], allFYsTable[year2], BE$3)=0, NotFound, SUMIFS(allFYsTable[RevisedBudget], allFYsTable[Code], SummaryTable[[#This Row],[Code]], allFYsTable[year2], BE$3))</f>
        <v>#N/A</v>
      </c>
      <c r="BI169" s="61" t="e">
        <f>IF(COUNTIFS(allFYsTable[Code], SummaryTable[[#This Row],[Code]], allFYsTable[year2], BE$3)=0, NotFound, SUMIFS(allFYsTable[Actual], allFYsTable[Code], SummaryTable[[#This Row],[Code]], allFYsTable[year2], BE$3))</f>
        <v>#N/A</v>
      </c>
      <c r="BJ169" s="61" t="e">
        <f>IF(COUNTIFS(allFYsTable[Code], SummaryTable[[#This Row],[Code]], allFYsTable[year2], BE$3)=0, NotFound, SUMIFS(allFYsTable[DiffAmount], allFYsTable[Code], SummaryTable[[#This Row],[Code]], allFYsTable[year2], BE$3))</f>
        <v>#N/A</v>
      </c>
      <c r="BK169" s="63" t="e">
        <f>IF(SummaryTable[[#This Row],[OriginalBudget21]]=0, IF(SummaryTable[[#This Row],[DiffAmount21]]=0, ZeroBudgetNoSpending, ZeroBudgetWithSpending), SummaryTable[[#This Row],[DiffAmount21]]/SummaryTable[[#This Row],[OriginalBudget21]])</f>
        <v>#N/A</v>
      </c>
      <c r="BL169" s="62" t="e">
        <f>IF(COUNTIFS(allFYsTable[Code], SummaryTable[[#This Row],[Code]], allFYsTable[year2], BL$3)=0, NotFound, SUMIFS(allFYsTable[OriginalBudget], allFYsTable[Code], SummaryTable[[#This Row],[Code]], allFYsTable[year2], BL$3))</f>
        <v>#N/A</v>
      </c>
      <c r="BM169" s="61" t="e">
        <f>SummaryTable[[#This Row],[OriginalBudget20]]-SummaryTable[[#This Row],[OriginalBudget19]]</f>
        <v>#N/A</v>
      </c>
      <c r="BN169" s="54" t="e">
        <f>SummaryTable[[#This Row],[BudgetIncreaseAmount20]]/SummaryTable[[#This Row],[OriginalBudget19]]</f>
        <v>#N/A</v>
      </c>
      <c r="BO169" s="61" t="e">
        <f>IF(COUNTIFS(allFYsTable[Code], SummaryTable[[#This Row],[Code]], allFYsTable[year2], BL$3)=0, NotFound, SUMIFS(allFYsTable[RevisedBudget], allFYsTable[Code], SummaryTable[[#This Row],[Code]], allFYsTable[year2], BL$3))</f>
        <v>#N/A</v>
      </c>
      <c r="BP169" s="61" t="e">
        <f>IF(COUNTIFS(allFYsTable[Code], SummaryTable[[#This Row],[Code]], allFYsTable[year2], BL$3)=0, NotFound, SUMIFS(allFYsTable[Actual], allFYsTable[Code], SummaryTable[[#This Row],[Code]], allFYsTable[year2], BL$3))</f>
        <v>#N/A</v>
      </c>
      <c r="BQ169" s="61" t="e">
        <f>IF(COUNTIFS(allFYsTable[Code], SummaryTable[[#This Row],[Code]], allFYsTable[year2], BL$3)=0, NotFound, SUMIFS(allFYsTable[DiffAmount], allFYsTable[Code], SummaryTable[[#This Row],[Code]], allFYsTable[year2], BL$3))</f>
        <v>#N/A</v>
      </c>
      <c r="BR169" s="63" t="e">
        <f>IF(SummaryTable[[#This Row],[OriginalBudget20]]=0, IF(SummaryTable[[#This Row],[DiffAmount20]]=0, ZeroBudgetNoSpending, ZeroBudgetWithSpending), SummaryTable[[#This Row],[DiffAmount20]]/SummaryTable[[#This Row],[OriginalBudget20]])</f>
        <v>#N/A</v>
      </c>
      <c r="BS169" s="62" t="e">
        <f>IF(COUNTIFS(allFYsTable[Code], SummaryTable[[#This Row],[Code]], allFYsTable[year2], BS$3)=0, NotFound, SUMIFS(allFYsTable[OriginalBudget], allFYsTable[Code], SummaryTable[[#This Row],[Code]], allFYsTable[year2], BS$3))</f>
        <v>#N/A</v>
      </c>
      <c r="BT169" s="61" t="e">
        <f>SummaryTable[[#This Row],[OriginalBudget19]]-SummaryTable[[#This Row],[OriginalBudget18]]</f>
        <v>#N/A</v>
      </c>
      <c r="BU169" s="54" t="e">
        <f>SummaryTable[[#This Row],[BudgetIncreaseAmount19]]/SummaryTable[[#This Row],[OriginalBudget18]]</f>
        <v>#N/A</v>
      </c>
      <c r="BV169" s="61" t="e">
        <f>IF(COUNTIFS(allFYsTable[Code], SummaryTable[[#This Row],[Code]], allFYsTable[year2], BS$3)=0, NotFound, SUMIFS(allFYsTable[RevisedBudget], allFYsTable[Code], SummaryTable[[#This Row],[Code]], allFYsTable[year2], BS$3))</f>
        <v>#N/A</v>
      </c>
      <c r="BW169" s="61" t="e">
        <f>IF(COUNTIFS(allFYsTable[Code], SummaryTable[[#This Row],[Code]], allFYsTable[year2], BS$3)=0, NotFound, SUMIFS(allFYsTable[Actual], allFYsTable[Code], SummaryTable[[#This Row],[Code]], allFYsTable[year2], BS$3))</f>
        <v>#N/A</v>
      </c>
      <c r="BX169" s="61" t="e">
        <f>IF(COUNTIFS(allFYsTable[Code], SummaryTable[[#This Row],[Code]], allFYsTable[year2], BS$3)=0, NotFound, SUMIFS(allFYsTable[DiffAmount], allFYsTable[Code], SummaryTable[[#This Row],[Code]], allFYsTable[year2], BS$3))</f>
        <v>#N/A</v>
      </c>
      <c r="BY169" s="63" t="e">
        <f>IF(SummaryTable[[#This Row],[OriginalBudget19]]=0, IF(SummaryTable[[#This Row],[DiffAmount19]]=0, ZeroBudgetNoSpending, ZeroBudgetWithSpending), SummaryTable[[#This Row],[DiffAmount19]]/SummaryTable[[#This Row],[OriginalBudget19]])</f>
        <v>#N/A</v>
      </c>
      <c r="BZ169" s="62" t="e">
        <f>IF(COUNTIFS(allFYsTable[Code], SummaryTable[[#This Row],[Code]], allFYsTable[year2], BZ$3)=0, NotFound, SUMIFS(allFYsTable[OriginalBudget], allFYsTable[Code], SummaryTable[[#This Row],[Code]], allFYsTable[year2], BZ$3))</f>
        <v>#N/A</v>
      </c>
      <c r="CA169" s="61" t="e">
        <f>SummaryTable[[#This Row],[OriginalBudget18]]-SummaryTable[[#This Row],[OriginalBudget17]]</f>
        <v>#N/A</v>
      </c>
      <c r="CB169" s="54" t="e">
        <f>SummaryTable[[#This Row],[BudgetIncreaseAmount18]]/SummaryTable[[#This Row],[OriginalBudget17]]</f>
        <v>#N/A</v>
      </c>
      <c r="CC169" s="61" t="e">
        <f>IF(COUNTIFS(allFYsTable[Code], SummaryTable[[#This Row],[Code]], allFYsTable[year2], BZ$3)=0, NotFound, SUMIFS(allFYsTable[RevisedBudget], allFYsTable[Code], SummaryTable[[#This Row],[Code]], allFYsTable[year2], BZ$3))</f>
        <v>#N/A</v>
      </c>
      <c r="CD169" s="61" t="e">
        <f>IF(COUNTIFS(allFYsTable[Code], SummaryTable[[#This Row],[Code]], allFYsTable[year2], BZ$3)=0, NotFound, SUMIFS(allFYsTable[Actual], allFYsTable[Code], SummaryTable[[#This Row],[Code]], allFYsTable[year2], BZ$3))</f>
        <v>#N/A</v>
      </c>
      <c r="CE169" s="61" t="e">
        <f>IF(COUNTIFS(allFYsTable[Code], SummaryTable[[#This Row],[Code]], allFYsTable[year2], BZ$3)=0, NotFound, SUMIFS(allFYsTable[DiffAmount], allFYsTable[Code], SummaryTable[[#This Row],[Code]], allFYsTable[year2], BZ$3))</f>
        <v>#N/A</v>
      </c>
      <c r="CF169" s="63" t="e">
        <f>IF(SummaryTable[[#This Row],[OriginalBudget18]]=0, IF(SummaryTable[[#This Row],[DiffAmount18]]=0, ZeroBudgetNoSpending, ZeroBudgetWithSpending), SummaryTable[[#This Row],[DiffAmount18]]/SummaryTable[[#This Row],[OriginalBudget18]])</f>
        <v>#N/A</v>
      </c>
      <c r="CG169" s="62" t="e">
        <f>IF(COUNTIFS(allFYsTable[Code], SummaryTable[[#This Row],[Code]], allFYsTable[year2], CG$3)=0, NotFound, SUMIFS(allFYsTable[OriginalBudget], allFYsTable[Code], SummaryTable[[#This Row],[Code]], allFYsTable[year2], CG$3))</f>
        <v>#N/A</v>
      </c>
      <c r="CH169" s="61" t="e">
        <f>SummaryTable[[#This Row],[OriginalBudget17]]-SummaryTable[[#This Row],[OriginalBudget16]]</f>
        <v>#N/A</v>
      </c>
      <c r="CI169" s="54" t="e">
        <f>SummaryTable[[#This Row],[BudgetIncreaseAmount17]]/SummaryTable[[#This Row],[OriginalBudget16]]</f>
        <v>#N/A</v>
      </c>
      <c r="CJ169" s="61" t="e">
        <f>IF(COUNTIFS(allFYsTable[Code], SummaryTable[[#This Row],[Code]], allFYsTable[year2], CG$3)=0, NotFound, SUMIFS(allFYsTable[RevisedBudget], allFYsTable[Code], SummaryTable[[#This Row],[Code]], allFYsTable[year2], CG$3))</f>
        <v>#N/A</v>
      </c>
      <c r="CK169" s="61" t="e">
        <f>IF(COUNTIFS(allFYsTable[Code], SummaryTable[[#This Row],[Code]], allFYsTable[year2], CG$3)=0, NotFound, SUMIFS(allFYsTable[Actual], allFYsTable[Code], SummaryTable[[#This Row],[Code]], allFYsTable[year2], CG$3))</f>
        <v>#N/A</v>
      </c>
      <c r="CL169" s="61" t="e">
        <f>IF(COUNTIFS(allFYsTable[Code], SummaryTable[[#This Row],[Code]], allFYsTable[year2], CG$3)=0, NotFound, SUMIFS(allFYsTable[DiffAmount], allFYsTable[Code], SummaryTable[[#This Row],[Code]], allFYsTable[year2], CG$3))</f>
        <v>#N/A</v>
      </c>
      <c r="CM169" s="63" t="e">
        <f>IF(SummaryTable[[#This Row],[OriginalBudget17]]=0, IF(SummaryTable[[#This Row],[DiffAmount17]]=0, ZeroBudgetNoSpending, ZeroBudgetWithSpending), SummaryTable[[#This Row],[DiffAmount17]]/SummaryTable[[#This Row],[OriginalBudget17]])</f>
        <v>#N/A</v>
      </c>
      <c r="CN169" s="62" t="e">
        <f>IF(COUNTIFS(allFYsTable[Code], SummaryTable[[#This Row],[Code]], allFYsTable[year2], CN$3)=0, NotFound, SUMIFS(allFYsTable[OriginalBudget], allFYsTable[Code], SummaryTable[[#This Row],[Code]], allFYsTable[year2], CN$3))</f>
        <v>#N/A</v>
      </c>
      <c r="CO169" s="61" t="e">
        <f>SummaryTable[[#This Row],[OriginalBudget16]]-SummaryTable[[#This Row],[OriginalBudget15]]</f>
        <v>#N/A</v>
      </c>
      <c r="CP169" s="54" t="e">
        <f>SummaryTable[[#This Row],[BudgetIncreaseAmount16]]/SummaryTable[[#This Row],[OriginalBudget15]]</f>
        <v>#N/A</v>
      </c>
      <c r="CQ169" s="61" t="e">
        <f>IF(COUNTIFS(allFYsTable[Code], SummaryTable[[#This Row],[Code]], allFYsTable[year2], CN$3)=0, NotFound, SUMIFS(allFYsTable[RevisedBudget], allFYsTable[Code], SummaryTable[[#This Row],[Code]], allFYsTable[year2], CN$3))</f>
        <v>#N/A</v>
      </c>
      <c r="CR169" s="61" t="e">
        <f>IF(COUNTIFS(allFYsTable[Code], SummaryTable[[#This Row],[Code]], allFYsTable[year2], CN$3)=0, NotFound, SUMIFS(allFYsTable[Actual], allFYsTable[Code], SummaryTable[[#This Row],[Code]], allFYsTable[year2], CN$3))</f>
        <v>#N/A</v>
      </c>
      <c r="CS169" s="61" t="e">
        <f>IF(COUNTIFS(allFYsTable[Code], SummaryTable[[#This Row],[Code]], allFYsTable[year2], CN$3)=0, NotFound, SUMIFS(allFYsTable[DiffAmount], allFYsTable[Code], SummaryTable[[#This Row],[Code]], allFYsTable[year2], CN$3))</f>
        <v>#N/A</v>
      </c>
      <c r="CT169" s="63" t="e">
        <f>IF(SummaryTable[[#This Row],[OriginalBudget16]]=0, IF(SummaryTable[[#This Row],[DiffAmount16]]=0, ZeroBudgetNoSpending, ZeroBudgetWithSpending), SummaryTable[[#This Row],[DiffAmount16]]/SummaryTable[[#This Row],[OriginalBudget16]])</f>
        <v>#N/A</v>
      </c>
      <c r="CU169" s="62" t="e">
        <f>IF(COUNTIFS(allFYsTable[Code], SummaryTable[[#This Row],[Code]], allFYsTable[year2], CU$3)=0, NotFound, SUMIFS(allFYsTable[OriginalBudget], allFYsTable[Code], SummaryTable[[#This Row],[Code]], allFYsTable[year2], CU$3))</f>
        <v>#N/A</v>
      </c>
      <c r="CV169" s="61" t="e">
        <f>SummaryTable[[#This Row],[OriginalBudget15]]-SummaryTable[[#This Row],[OriginalBudget14]]</f>
        <v>#N/A</v>
      </c>
      <c r="CW169" s="54" t="e">
        <f>SummaryTable[[#This Row],[BudgetIncreaseAmount15]]/SummaryTable[[#This Row],[OriginalBudget14]]</f>
        <v>#N/A</v>
      </c>
      <c r="CX169" s="61" t="e">
        <f>IF(COUNTIFS(allFYsTable[Code], SummaryTable[[#This Row],[Code]], allFYsTable[year2], CU$3)=0, NotFound, SUMIFS(allFYsTable[RevisedBudget], allFYsTable[Code], SummaryTable[[#This Row],[Code]], allFYsTable[year2], CU$3))</f>
        <v>#N/A</v>
      </c>
      <c r="CY169" s="61" t="e">
        <f>IF(COUNTIFS(allFYsTable[Code], SummaryTable[[#This Row],[Code]], allFYsTable[year2], CU$3)=0, NotFound, SUMIFS(allFYsTable[Actual], allFYsTable[Code], SummaryTable[[#This Row],[Code]], allFYsTable[year2], CU$3))</f>
        <v>#N/A</v>
      </c>
      <c r="CZ169" s="61" t="e">
        <f>IF(COUNTIFS(allFYsTable[Code], SummaryTable[[#This Row],[Code]], allFYsTable[year2], CU$3)=0, NotFound, SUMIFS(allFYsTable[DiffAmount], allFYsTable[Code], SummaryTable[[#This Row],[Code]], allFYsTable[year2], CU$3))</f>
        <v>#N/A</v>
      </c>
      <c r="DA169" s="63" t="e">
        <f>IF(SummaryTable[[#This Row],[OriginalBudget15]]=0, IF(SummaryTable[[#This Row],[DiffAmount15]]=0, ZeroBudgetNoSpending, ZeroBudgetWithSpending), SummaryTable[[#This Row],[DiffAmount15]]/SummaryTable[[#This Row],[OriginalBudget15]])</f>
        <v>#N/A</v>
      </c>
      <c r="DB169" s="62" t="e">
        <f>IF(COUNTIFS(allFYsTable[Code], SummaryTable[[#This Row],[Code]], allFYsTable[year2], DB$3)=0, NotFound, SUMIFS(allFYsTable[OriginalBudget], allFYsTable[Code], SummaryTable[[#This Row],[Code]], allFYsTable[year2], DB$3))</f>
        <v>#N/A</v>
      </c>
      <c r="DC169" s="61" t="e">
        <f>SummaryTable[[#This Row],[OriginalBudget14]]-SummaryTable[[#This Row],[OriginalBudget13]]</f>
        <v>#N/A</v>
      </c>
      <c r="DD169" s="54" t="e">
        <f>SummaryTable[[#This Row],[BudgetIncreaseAmount14]]/SummaryTable[[#This Row],[OriginalBudget13]]</f>
        <v>#N/A</v>
      </c>
      <c r="DE169" s="61" t="e">
        <f>IF(COUNTIFS(allFYsTable[Code], SummaryTable[[#This Row],[Code]], allFYsTable[year2], DB$3)=0, NotFound, SUMIFS(allFYsTable[RevisedBudget], allFYsTable[Code], SummaryTable[[#This Row],[Code]], allFYsTable[year2], DB$3))</f>
        <v>#N/A</v>
      </c>
      <c r="DF169" s="61" t="e">
        <f>IF(COUNTIFS(allFYsTable[Code], SummaryTable[[#This Row],[Code]], allFYsTable[year2], DB$3)=0, NotFound, SUMIFS(allFYsTable[Actual], allFYsTable[Code], SummaryTable[[#This Row],[Code]], allFYsTable[year2], DB$3))</f>
        <v>#N/A</v>
      </c>
      <c r="DG169" s="61" t="e">
        <f>IF(COUNTIFS(allFYsTable[Code], SummaryTable[[#This Row],[Code]], allFYsTable[year2], DB$3)=0, NotFound, SUMIFS(allFYsTable[DiffAmount], allFYsTable[Code], SummaryTable[[#This Row],[Code]], allFYsTable[year2], DB$3))</f>
        <v>#N/A</v>
      </c>
      <c r="DH169" s="63" t="e">
        <f>IF(SummaryTable[[#This Row],[OriginalBudget14]]=0, IF(SummaryTable[[#This Row],[DiffAmount14]]=0, ZeroBudgetNoSpending, ZeroBudgetWithSpending), SummaryTable[[#This Row],[DiffAmount14]]/SummaryTable[[#This Row],[OriginalBudget14]])</f>
        <v>#N/A</v>
      </c>
      <c r="DI169" s="62" t="e">
        <f>IF(COUNTIFS(allFYsTable[Code], SummaryTable[[#This Row],[Code]], allFYsTable[year2], DI$3)=0, NotFound, SUMIFS(allFYsTable[OriginalBudget], allFYsTable[Code], SummaryTable[[#This Row],[Code]], allFYsTable[year2], DI$3))</f>
        <v>#N/A</v>
      </c>
      <c r="DJ169" s="61" t="e">
        <f>SummaryTable[[#This Row],[OriginalBudget13]]-SummaryTable[[#This Row],[OriginalBudget12]]</f>
        <v>#N/A</v>
      </c>
      <c r="DK169" s="54" t="e">
        <f>SummaryTable[[#This Row],[BudgetIncreaseAmount13]]/SummaryTable[[#This Row],[OriginalBudget12]]</f>
        <v>#N/A</v>
      </c>
      <c r="DL169" s="61" t="e">
        <f>IF(COUNTIFS(allFYsTable[Code], SummaryTable[[#This Row],[Code]], allFYsTable[year2], DI$3)=0, NotFound, SUMIFS(allFYsTable[RevisedBudget], allFYsTable[Code], SummaryTable[[#This Row],[Code]], allFYsTable[year2], DI$3))</f>
        <v>#N/A</v>
      </c>
      <c r="DM169" s="61" t="e">
        <f>IF(COUNTIFS(allFYsTable[Code], SummaryTable[[#This Row],[Code]], allFYsTable[year2], DI$3)=0, NotFound, SUMIFS(allFYsTable[Actual], allFYsTable[Code], SummaryTable[[#This Row],[Code]], allFYsTable[year2], DI$3))</f>
        <v>#N/A</v>
      </c>
      <c r="DN169" s="61" t="e">
        <f>IF(COUNTIFS(allFYsTable[Code], SummaryTable[[#This Row],[Code]], allFYsTable[year2], DI$3)=0, NotFound, SUMIFS(allFYsTable[DiffAmount], allFYsTable[Code], SummaryTable[[#This Row],[Code]], allFYsTable[year2], DI$3))</f>
        <v>#N/A</v>
      </c>
      <c r="DO169" s="63" t="e">
        <f>IF(SummaryTable[[#This Row],[OriginalBudget13]]=0, IF(SummaryTable[[#This Row],[DiffAmount13]]=0, ZeroBudgetNoSpending, ZeroBudgetWithSpending), SummaryTable[[#This Row],[DiffAmount13]]/SummaryTable[[#This Row],[OriginalBudget13]])</f>
        <v>#N/A</v>
      </c>
      <c r="DP169" s="62" t="e">
        <f>IF(COUNTIFS(allFYsTable[Code], SummaryTable[[#This Row],[Code]], allFYsTable[year2], DP$3)=0, NotFound, SUMIFS(allFYsTable[OriginalBudget], allFYsTable[Code], SummaryTable[[#This Row],[Code]], allFYsTable[year2], DP$3))</f>
        <v>#N/A</v>
      </c>
      <c r="DQ169" s="61" t="e">
        <f>SummaryTable[[#This Row],[OriginalBudget12]]-SummaryTable[[#This Row],[OriginalBudget11]]</f>
        <v>#N/A</v>
      </c>
      <c r="DR169" s="54" t="e">
        <f>SummaryTable[[#This Row],[BudgetIncreaseAmount12]]/SummaryTable[[#This Row],[OriginalBudget11]]</f>
        <v>#N/A</v>
      </c>
      <c r="DS169" s="61" t="e">
        <f>IF(COUNTIFS(allFYsTable[Code], SummaryTable[[#This Row],[Code]], allFYsTable[year2], DP$3)=0, NotFound, SUMIFS(allFYsTable[RevisedBudget], allFYsTable[Code], SummaryTable[[#This Row],[Code]], allFYsTable[year2], DP$3))</f>
        <v>#N/A</v>
      </c>
      <c r="DT169" s="61" t="e">
        <f>IF(COUNTIFS(allFYsTable[Code], SummaryTable[[#This Row],[Code]], allFYsTable[year2], DP$3)=0, NotFound, SUMIFS(allFYsTable[Actual], allFYsTable[Code], SummaryTable[[#This Row],[Code]], allFYsTable[year2], DP$3))</f>
        <v>#N/A</v>
      </c>
      <c r="DU169" s="61" t="e">
        <f>IF(COUNTIFS(allFYsTable[Code], SummaryTable[[#This Row],[Code]], allFYsTable[year2], DP$3)=0, NotFound, SUMIFS(allFYsTable[DiffAmount], allFYsTable[Code], SummaryTable[[#This Row],[Code]], allFYsTable[year2], DP$3))</f>
        <v>#N/A</v>
      </c>
      <c r="DV169" s="63" t="e">
        <f>IF(SummaryTable[[#This Row],[OriginalBudget12]]=0, IF(SummaryTable[[#This Row],[DiffAmount12]]=0, ZeroBudgetNoSpending, ZeroBudgetWithSpending), SummaryTable[[#This Row],[DiffAmount12]]/SummaryTable[[#This Row],[OriginalBudget12]])</f>
        <v>#N/A</v>
      </c>
      <c r="DW169" s="62" t="e">
        <f>IF(COUNTIFS(allFYsTable[Code], SummaryTable[[#This Row],[Code]], allFYsTable[year2], DW$3)=0, NotFound, SUMIFS(allFYsTable[OriginalBudget], allFYsTable[Code], SummaryTable[[#This Row],[Code]], allFYsTable[year2], DW$3))</f>
        <v>#N/A</v>
      </c>
      <c r="DX169" s="61" t="e">
        <f>SummaryTable[[#This Row],[OriginalBudget11]]-SummaryTable[[#This Row],[OriginalBudget10]]</f>
        <v>#N/A</v>
      </c>
      <c r="DY169" s="54" t="e">
        <f>SummaryTable[[#This Row],[BudgetIncreaseAmount11]]/SummaryTable[[#This Row],[OriginalBudget10]]</f>
        <v>#N/A</v>
      </c>
      <c r="DZ169" s="61" t="e">
        <f>IF(COUNTIFS(allFYsTable[Code], SummaryTable[[#This Row],[Code]], allFYsTable[year2], DW$3)=0, NotFound, SUMIFS(allFYsTable[RevisedBudget], allFYsTable[Code], SummaryTable[[#This Row],[Code]], allFYsTable[year2], DW$3))</f>
        <v>#N/A</v>
      </c>
      <c r="EA169" s="61" t="e">
        <f>IF(COUNTIFS(allFYsTable[Code], SummaryTable[[#This Row],[Code]], allFYsTable[year2], DW$3)=0, NotFound, SUMIFS(allFYsTable[Actual], allFYsTable[Code], SummaryTable[[#This Row],[Code]], allFYsTable[year2], DW$3))</f>
        <v>#N/A</v>
      </c>
      <c r="EB169" s="61" t="e">
        <f>IF(COUNTIFS(allFYsTable[Code], SummaryTable[[#This Row],[Code]], allFYsTable[year2], DW$3)=0, NotFound, SUMIFS(allFYsTable[DiffAmount], allFYsTable[Code], SummaryTable[[#This Row],[Code]], allFYsTable[year2], DW$3))</f>
        <v>#N/A</v>
      </c>
      <c r="EC169" s="63" t="e">
        <f>IF(SummaryTable[[#This Row],[OriginalBudget11]]=0, IF(SummaryTable[[#This Row],[DiffAmount11]]=0, ZeroBudgetNoSpending, ZeroBudgetWithSpending), SummaryTable[[#This Row],[DiffAmount11]]/SummaryTable[[#This Row],[OriginalBudget11]])</f>
        <v>#N/A</v>
      </c>
      <c r="ED169" s="62">
        <f>IF(COUNTIFS(allFYsTable[Code], SummaryTable[[#This Row],[Code]], allFYsTable[year2], ED$3)=0, NotFound, SUMIFS(allFYsTable[OriginalBudget], allFYsTable[Code], SummaryTable[[#This Row],[Code]], allFYsTable[year2], ED$3))</f>
        <v>0</v>
      </c>
      <c r="EE169" s="61" t="e">
        <f>SummaryTable[[#This Row],[OriginalBudget10]]-SummaryTable[[#This Row],[OriginalBudget09]]</f>
        <v>#N/A</v>
      </c>
      <c r="EF169" s="54" t="e">
        <f>SummaryTable[[#This Row],[BudgetIncreaseAmount10]]/SummaryTable[[#This Row],[OriginalBudget09]]</f>
        <v>#N/A</v>
      </c>
      <c r="EG169" s="61">
        <f>IF(COUNTIFS(allFYsTable[Code], SummaryTable[[#This Row],[Code]], allFYsTable[year2], ED$3)=0, NotFound, SUMIFS(allFYsTable[RevisedBudget], allFYsTable[Code], SummaryTable[[#This Row],[Code]], allFYsTable[year2], ED$3))</f>
        <v>26000</v>
      </c>
      <c r="EH169" s="61">
        <f>IF(COUNTIFS(allFYsTable[Code], SummaryTable[[#This Row],[Code]], allFYsTable[year2], ED$3)=0, NotFound, SUMIFS(allFYsTable[Actual], allFYsTable[Code], SummaryTable[[#This Row],[Code]], allFYsTable[year2], ED$3))</f>
        <v>26000</v>
      </c>
      <c r="EI169" s="61">
        <f>IF(COUNTIFS(allFYsTable[Code], SummaryTable[[#This Row],[Code]], allFYsTable[year2], ED$3)=0, NotFound, SUMIFS(allFYsTable[DiffAmount], allFYsTable[Code], SummaryTable[[#This Row],[Code]], allFYsTable[year2], ED$3))</f>
        <v>26000</v>
      </c>
      <c r="EJ169" s="63">
        <f>IF(SummaryTable[[#This Row],[OriginalBudget10]]=0, IF(SummaryTable[[#This Row],[DiffAmount10]]=0, ZeroBudgetNoSpending, ZeroBudgetWithSpending), SummaryTable[[#This Row],[DiffAmount10]]/SummaryTable[[#This Row],[OriginalBudget10]])</f>
        <v>99.99</v>
      </c>
      <c r="EK169" s="62" t="e">
        <f>IF(COUNTIFS(allFYsTable[Code], SummaryTable[[#This Row],[Code]], allFYsTable[year2], EK$3)=0, NotFound, SUMIFS(allFYsTable[OriginalBudget], allFYsTable[Code], SummaryTable[[#This Row],[Code]], allFYsTable[year2], EK$3))</f>
        <v>#N/A</v>
      </c>
      <c r="EL169" s="61" t="e">
        <f>SummaryTable[[#This Row],[OriginalBudget09]]-SummaryTable[[#This Row],[OriginalBudget08]]</f>
        <v>#N/A</v>
      </c>
      <c r="EM169" s="54" t="e">
        <f>SummaryTable[[#This Row],[BudgetIncreaseAmount09]]/SummaryTable[[#This Row],[OriginalBudget08]]</f>
        <v>#N/A</v>
      </c>
      <c r="EN169" s="61" t="e">
        <f>IF(COUNTIFS(allFYsTable[Code], SummaryTable[[#This Row],[Code]], allFYsTable[year2], EK$3)=0, NotFound, SUMIFS(allFYsTable[RevisedBudget], allFYsTable[Code], SummaryTable[[#This Row],[Code]], allFYsTable[year2], EK$3))</f>
        <v>#N/A</v>
      </c>
      <c r="EO169" s="61" t="e">
        <f>IF(COUNTIFS(allFYsTable[Code], SummaryTable[[#This Row],[Code]], allFYsTable[year2], EK$3)=0, NotFound, SUMIFS(allFYsTable[Actual], allFYsTable[Code], SummaryTable[[#This Row],[Code]], allFYsTable[year2], EK$3))</f>
        <v>#N/A</v>
      </c>
      <c r="EP169" s="61" t="e">
        <f>IF(COUNTIFS(allFYsTable[Code], SummaryTable[[#This Row],[Code]], allFYsTable[year2], EK$3)=0, NotFound, SUMIFS(allFYsTable[DiffAmount], allFYsTable[Code], SummaryTable[[#This Row],[Code]], allFYsTable[year2], EK$3))</f>
        <v>#N/A</v>
      </c>
      <c r="EQ169" s="63" t="e">
        <f>IF(SummaryTable[[#This Row],[OriginalBudget09]]=0, IF(SummaryTable[[#This Row],[DiffAmount09]]=0, ZeroBudgetNoSpending, ZeroBudgetWithSpending), SummaryTable[[#This Row],[DiffAmount09]]/SummaryTable[[#This Row],[OriginalBudget09]])</f>
        <v>#N/A</v>
      </c>
      <c r="ER169" s="62" t="e">
        <f>IF(COUNTIFS(allFYsTable[Code], SummaryTable[[#This Row],[Code]], allFYsTable[year2], ER$3)=0, NotFound, SUMIFS(allFYsTable[OriginalBudget], allFYsTable[Code], SummaryTable[[#This Row],[Code]], allFYsTable[year2], ER$3))</f>
        <v>#N/A</v>
      </c>
      <c r="ES169" s="61" t="e">
        <f>SummaryTable[[#This Row],[OriginalBudget08]]-SummaryTable[[#This Row],[OriginalBudget07]]</f>
        <v>#N/A</v>
      </c>
      <c r="ET169" s="54" t="e">
        <f>SummaryTable[[#This Row],[BudgetIncreaseAmount08]]/SummaryTable[[#This Row],[OriginalBudget07]]</f>
        <v>#N/A</v>
      </c>
      <c r="EU169" s="61" t="e">
        <f>IF(COUNTIFS(allFYsTable[Code], SummaryTable[[#This Row],[Code]], allFYsTable[year2], ER$3)=0, NotFound, SUMIFS(allFYsTable[RevisedBudget], allFYsTable[Code], SummaryTable[[#This Row],[Code]], allFYsTable[year2], ER$3))</f>
        <v>#N/A</v>
      </c>
      <c r="EV169" s="61" t="e">
        <f>IF(COUNTIFS(allFYsTable[Code], SummaryTable[[#This Row],[Code]], allFYsTable[year2], ER$3)=0, NotFound, SUMIFS(allFYsTable[Actual], allFYsTable[Code], SummaryTable[[#This Row],[Code]], allFYsTable[year2], ER$3))</f>
        <v>#N/A</v>
      </c>
      <c r="EW169" s="61" t="e">
        <f>IF(COUNTIFS(allFYsTable[Code], SummaryTable[[#This Row],[Code]], allFYsTable[year2], ER$3)=0, NotFound, SUMIFS(allFYsTable[DiffAmount], allFYsTable[Code], SummaryTable[[#This Row],[Code]], allFYsTable[year2], ER$3))</f>
        <v>#N/A</v>
      </c>
      <c r="EX169" s="63" t="e">
        <f>IF(SummaryTable[[#This Row],[OriginalBudget08]]=0, IF(SummaryTable[[#This Row],[DiffAmount08]]=0, ZeroBudgetNoSpending, ZeroBudgetWithSpending), SummaryTable[[#This Row],[DiffAmount08]]/SummaryTable[[#This Row],[OriginalBudget08]])</f>
        <v>#N/A</v>
      </c>
      <c r="EY169" s="62" t="e">
        <f>IF(COUNTIFS(allFYsTable[Code], SummaryTable[[#This Row],[Code]], allFYsTable[year2], EY$3)=0, NotFound, SUMIFS(allFYsTable[OriginalBudget], allFYsTable[Code], SummaryTable[[#This Row],[Code]], allFYsTable[year2], EY$3))</f>
        <v>#N/A</v>
      </c>
      <c r="EZ169" s="61" t="e">
        <f>SummaryTable[[#This Row],[OriginalBudget07]]-SummaryTable[[#This Row],[OriginalBudget06]]</f>
        <v>#N/A</v>
      </c>
      <c r="FA169" s="54" t="e">
        <f>SummaryTable[[#This Row],[BudgetIncreaseAmount07]]/SummaryTable[[#This Row],[OriginalBudget06]]</f>
        <v>#N/A</v>
      </c>
      <c r="FB169" s="61" t="e">
        <f>IF(COUNTIFS(allFYsTable[Code], SummaryTable[[#This Row],[Code]], allFYsTable[year2], EY$3)=0, NotFound, SUMIFS(allFYsTable[RevisedBudget], allFYsTable[Code], SummaryTable[[#This Row],[Code]], allFYsTable[year2], EY$3))</f>
        <v>#N/A</v>
      </c>
      <c r="FC169" s="61" t="e">
        <f>IF(COUNTIFS(allFYsTable[Code], SummaryTable[[#This Row],[Code]], allFYsTable[year2], EY$3)=0, NotFound, SUMIFS(allFYsTable[Actual], allFYsTable[Code], SummaryTable[[#This Row],[Code]], allFYsTable[year2], EY$3))</f>
        <v>#N/A</v>
      </c>
      <c r="FD169" s="61" t="e">
        <f>IF(COUNTIFS(allFYsTable[Code], SummaryTable[[#This Row],[Code]], allFYsTable[year2], EY$3)=0, NotFound, SUMIFS(allFYsTable[DiffAmount], allFYsTable[Code], SummaryTable[[#This Row],[Code]], allFYsTable[year2], EY$3))</f>
        <v>#N/A</v>
      </c>
      <c r="FE169" s="63" t="e">
        <f>IF(SummaryTable[[#This Row],[OriginalBudget07]]=0, IF(SummaryTable[[#This Row],[DiffAmount07]]=0, ZeroBudgetNoSpending, ZeroBudgetWithSpending), SummaryTable[[#This Row],[DiffAmount07]]/SummaryTable[[#This Row],[OriginalBudget07]])</f>
        <v>#N/A</v>
      </c>
      <c r="FF169" s="62" t="e">
        <f>IF(COUNTIFS(allFYsTable[Code], SummaryTable[[#This Row],[Code]], allFYsTable[year2], FF$3)=0, NotFound, SUMIFS(allFYsTable[OriginalBudget], allFYsTable[Code], SummaryTable[[#This Row],[Code]], allFYsTable[year2], FF$3))</f>
        <v>#N/A</v>
      </c>
      <c r="FI169" s="61" t="e">
        <f>IF(COUNTIFS(allFYsTable[Code], SummaryTable[[#This Row],[Code]], allFYsTable[year2], FF$3)=0, NotFound, SUMIFS(allFYsTable[RevisedBudget], allFYsTable[Code], SummaryTable[[#This Row],[Code]], allFYsTable[year2], FF$3))</f>
        <v>#N/A</v>
      </c>
      <c r="FJ169" s="61" t="e">
        <f>IF(COUNTIFS(allFYsTable[Code], SummaryTable[[#This Row],[Code]], allFYsTable[year2], FF$3)=0, NotFound, SUMIFS(allFYsTable[Actual], allFYsTable[Code], SummaryTable[[#This Row],[Code]], allFYsTable[year2], FF$3))</f>
        <v>#N/A</v>
      </c>
      <c r="FK169" s="61" t="e">
        <f>IF(COUNTIFS(allFYsTable[Code], SummaryTable[[#This Row],[Code]], allFYsTable[year2], FF$3)=0, NotFound, SUMIFS(allFYsTable[DiffAmount], allFYsTable[Code], SummaryTable[[#This Row],[Code]], allFYsTable[year2], FF$3))</f>
        <v>#N/A</v>
      </c>
      <c r="FL169" s="63" t="e">
        <f>IF(SummaryTable[[#This Row],[OriginalBudget06]]=0, IF(SummaryTable[[#This Row],[DiffAmount06]]=0, ZeroBudgetNoSpending, ZeroBudgetWithSpending), SummaryTable[[#This Row],[DiffAmount06]]/SummaryTable[[#This Row],[OriginalBudget06]])</f>
        <v>#N/A</v>
      </c>
    </row>
    <row r="170" spans="1:168" x14ac:dyDescent="0.45">
      <c r="A170" t="s">
        <v>856</v>
      </c>
      <c r="B170">
        <f>_xlfn.MAXIFS(allFYsTable[year2], allFYsTable[Code], SummaryTable[[#This Row],[Code]])</f>
        <v>2010</v>
      </c>
      <c r="C170" t="str">
        <f>_xlfn.XLOOKUP(SummaryTable[[#This Row],[Code]], NameCodingTable[Code], NameCodingTable[Most Recent Category per allFYs])</f>
        <v>Governmental direction and support</v>
      </c>
      <c r="D170" t="str">
        <f>_xlfn.XLOOKUP(SummaryTable[[#This Row],[Code]], NameCodingTable[Code], NameCodingTable[Unit Display Name])</f>
        <v>Office of community affairs</v>
      </c>
      <c r="E170" t="str">
        <f>_xlfn.XLOOKUP(SummaryTable[[#This Row],[Code]], NameCodingTable[Code], NameCodingTable[Type])</f>
        <v>untyped</v>
      </c>
      <c r="F17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3</v>
      </c>
      <c r="G17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70" s="54">
        <f>SummaryTable[[#This Row],['# Over]]/SummaryTable[[#This Row],[Count]]</f>
        <v>0</v>
      </c>
      <c r="I17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3</v>
      </c>
      <c r="J170" s="54">
        <f>SummaryTable[[#This Row],['# Under]]/SummaryTable[[#This Row],[Count]]</f>
        <v>1</v>
      </c>
      <c r="K17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70" s="54">
        <f>SummaryTable[[#This Row],['# Equal]]/SummaryTable[[#This Row],[Count]]</f>
        <v>0</v>
      </c>
      <c r="M170" s="61">
        <f>SUMIFS(allFYsTable[OriginalBudget],allFYsTable[Code],SummaryTable[[#This Row],[Code]])/SummaryTable[[#This Row],[Count]]</f>
        <v>3037</v>
      </c>
      <c r="N170" s="61">
        <f>SUMIFS(allFYsTable[Actual],allFYsTable[Code],SummaryTable[[#This Row],[Code]])/SummaryTable[[#This Row],[Count]]</f>
        <v>2696</v>
      </c>
      <c r="O170" s="61">
        <f>SummaryTable[[#This Row],[AvgActAmt]]-SummaryTable[[#This Row],[AvgBudAmt]]</f>
        <v>-341</v>
      </c>
      <c r="P170" s="54">
        <f>IF(SummaryTable[[#This Row],[AvgBudAmt]]=0, IF(SummaryTable[[#This Row],[AvgDiff'#]]=0, 0, NamedFields!$C$3), SummaryTable[[#This Row],[AvgDiff'#]]/SummaryTable[[#This Row],[AvgBudAmt]])</f>
        <v>-0.11228185709581824</v>
      </c>
      <c r="Q170" s="61">
        <f>IFERROR(SUMIFS(allFYsTable[OriginalBudget],allFYsTable[Code],SummaryTable[[#This Row],[Code]],allFYsTable[DiffAmount], "&gt;0")/SummaryTable[[#This Row],['# Over]], 0)</f>
        <v>0</v>
      </c>
      <c r="R170" s="61">
        <f>IFERROR(SUMIFS(allFYsTable[Actual],allFYsTable[Code],SummaryTable[[#This Row],[Code]],allFYsTable[DiffAmount], "&gt;0")/SummaryTable[[#This Row],['# Over]], 0)</f>
        <v>0</v>
      </c>
      <c r="S170" s="61">
        <f>SummaryTable[[#This Row],[OverAvgAct]]-SummaryTable[[#This Row],[OverAvgBud]]</f>
        <v>0</v>
      </c>
      <c r="T170" s="54">
        <f>IF(SummaryTable[[#This Row],[OverAvgBud]]=0, IF(SummaryTable[[#This Row],[OverAvgDiff'#]]=0, ZeroBudgetNoSpending, ZeroBudgetWithSpending), SummaryTable[[#This Row],[OverAvgDiff'#]]/SummaryTable[[#This Row],[OverAvgBud]])</f>
        <v>0</v>
      </c>
      <c r="U170" s="61">
        <f>IFERROR(SUMIFS(allFYsTable[OriginalBudget],allFYsTable[Code],SummaryTable[[#This Row],[Code]],allFYsTable[DiffAmount], "&lt;0")/SummaryTable[[#This Row],['# Under]], 0)</f>
        <v>3037</v>
      </c>
      <c r="V170" s="61">
        <f>IFERROR( SUMIFS(allFYsTable[Actual],allFYsTable[Code],SummaryTable[[#This Row],[Code]],allFYsTable[DiffAmount], "&lt;0")/SummaryTable[[#This Row],['# Under]], 0)</f>
        <v>2696</v>
      </c>
      <c r="W170" s="61">
        <f>SummaryTable[[#This Row],[UnderAvgAct]]-SummaryTable[[#This Row],[UnderAvgBud]]</f>
        <v>-341</v>
      </c>
      <c r="X170" s="54">
        <f>IF(SummaryTable[[#This Row],[UnderAvgBud]]=0, IF(SummaryTable[[#This Row],[UnderAvgDiff'#]]=0, ZeroBudgetNoSpending, NamedFields!$C$3), SummaryTable[[#This Row],[UnderAvgDiff'#]]/SummaryTable[[#This Row],[UnderAvgBud]])</f>
        <v>-0.11228185709581824</v>
      </c>
      <c r="Y17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7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0" s="54">
        <f>IF(SummaryTable[[#This Row],[IncreaseYears]]=0, ZeroBudgetNoSpending, SummaryTable[[#This Row],[OSinIncreaseYear'#]]/SummaryTable[[#This Row],[IncreaseYears]])</f>
        <v>0</v>
      </c>
      <c r="AB170" s="58" t="str">
        <f>SummaryTable[[#This Row],[Code]]</f>
        <v>RP0</v>
      </c>
      <c r="AC170" s="62" t="e">
        <f>IF(COUNTIFS(allFYsTable[Code], SummaryTable[[#This Row],[Code]], allFYsTable[year2], AC$3)=0, NotFound, SUMIFS(allFYsTable[OriginalBudget], allFYsTable[Code], SummaryTable[[#This Row],[Code]], allFYsTable[year2], AC$3))</f>
        <v>#N/A</v>
      </c>
      <c r="AD170" s="61" t="e">
        <f>SummaryTable[[#This Row],[OriginalBudget25]]-SummaryTable[[#This Row],[OriginalBudget24]]</f>
        <v>#N/A</v>
      </c>
      <c r="AE170" s="54" t="e">
        <f>SummaryTable[[#This Row],[BudgetIncreaseAmount25]]/SummaryTable[[#This Row],[OriginalBudget24]]</f>
        <v>#N/A</v>
      </c>
      <c r="AF170" s="61" t="e">
        <f>IF(COUNTIFS(allFYsTable[Code], SummaryTable[[#This Row],[Code]], allFYsTable[year2], AC$3)=0, NotFound, SUMIFS(allFYsTable[RevisedBudget], allFYsTable[Code], SummaryTable[[#This Row],[Code]], allFYsTable[year2], AC$3))</f>
        <v>#N/A</v>
      </c>
      <c r="AG170" s="61" t="e">
        <f>IF(COUNTIFS(allFYsTable[Code], SummaryTable[[#This Row],[Code]], allFYsTable[year2], AC$3)=0, NotFound, SUMIFS(allFYsTable[Actual], allFYsTable[Code], SummaryTable[[#This Row],[Code]], allFYsTable[year2], AC$3))</f>
        <v>#N/A</v>
      </c>
      <c r="AH170" s="61" t="e">
        <f>IF(COUNTIFS(allFYsTable[Code], SummaryTable[[#This Row],[Code]], allFYsTable[year2], AC$3)=0, NotFound, SUMIFS(allFYsTable[DiffAmount], allFYsTable[Code], SummaryTable[[#This Row],[Code]], allFYsTable[year2], AC$3))</f>
        <v>#N/A</v>
      </c>
      <c r="AI170" s="63" t="e">
        <f>IF(SummaryTable[[#This Row],[OriginalBudget25]]=0, IF(SummaryTable[[#This Row],[DiffAmount25]]=0, ZeroBudgetNoSpending, ZeroBudgetWithSpending), SummaryTable[[#This Row],[DiffAmount25]]/SummaryTable[[#This Row],[OriginalBudget25]])</f>
        <v>#N/A</v>
      </c>
      <c r="AJ170" s="62" t="e">
        <f>IF(COUNTIFS(allFYsTable[Code], SummaryTable[[#This Row],[Code]], allFYsTable[year2], AJ$3)=0, NotFound, SUMIFS(allFYsTable[OriginalBudget], allFYsTable[Code], SummaryTable[[#This Row],[Code]], allFYsTable[year2], AJ$3))</f>
        <v>#N/A</v>
      </c>
      <c r="AK170" s="61" t="e">
        <f>SummaryTable[[#This Row],[OriginalBudget24]]-SummaryTable[[#This Row],[OriginalBudget23]]</f>
        <v>#N/A</v>
      </c>
      <c r="AL170" s="54" t="e">
        <f>SummaryTable[[#This Row],[BudgetIncreaseAmount24]]/SummaryTable[[#This Row],[OriginalBudget23]]</f>
        <v>#N/A</v>
      </c>
      <c r="AM170" s="61" t="e">
        <f>IF(COUNTIFS(allFYsTable[Code], SummaryTable[[#This Row],[Code]], allFYsTable[year2], AK$3)=0, NotFound, SUMIFS(allFYsTable[RevisedBudget], allFYsTable[Code], SummaryTable[[#This Row],[Code]], allFYsTable[year2], AJ$3))</f>
        <v>#N/A</v>
      </c>
      <c r="AN170" s="61" t="e">
        <f>IF(COUNTIFS(allFYsTable[Code], SummaryTable[[#This Row],[Code]], allFYsTable[year2], AJ$3)=0, NotFound, SUMIFS(allFYsTable[Actual], allFYsTable[Code], SummaryTable[[#This Row],[Code]], allFYsTable[year2], AJ$3))</f>
        <v>#N/A</v>
      </c>
      <c r="AO170" s="61" t="e">
        <f>IF(COUNTIFS(allFYsTable[Code], SummaryTable[[#This Row],[Code]], allFYsTable[year2], AJ$3)=0, NotFound, SUMIFS(allFYsTable[DiffAmount], allFYsTable[Code], SummaryTable[[#This Row],[Code]], allFYsTable[year2], AJ$3))</f>
        <v>#N/A</v>
      </c>
      <c r="AP170" s="63" t="e">
        <f>IF(SummaryTable[[#This Row],[OriginalBudget24]]=0, IF(SummaryTable[[#This Row],[DiffAmount24]]=0, ZeroBudgetNoSpending, ZeroBudgetWithSpending), SummaryTable[[#This Row],[DiffAmount24]]/SummaryTable[[#This Row],[OriginalBudget24]])</f>
        <v>#N/A</v>
      </c>
      <c r="AQ170" s="62" t="e">
        <f>IF(COUNTIFS(allFYsTable[Code], SummaryTable[[#This Row],[Code]], allFYsTable[year2], AQ$3)=0, NotFound, SUMIFS(allFYsTable[OriginalBudget], allFYsTable[Code], SummaryTable[[#This Row],[Code]], allFYsTable[year2], AQ$3))</f>
        <v>#N/A</v>
      </c>
      <c r="AR170" s="61" t="e">
        <f>SummaryTable[[#This Row],[OriginalBudget23]]-SummaryTable[[#This Row],[OriginalBudget22]]</f>
        <v>#N/A</v>
      </c>
      <c r="AS170" s="54" t="e">
        <f>SummaryTable[[#This Row],[BudgetIncreaseAmount23]]/SummaryTable[[#This Row],[OriginalBudget22]]</f>
        <v>#N/A</v>
      </c>
      <c r="AT170" s="61" t="e">
        <f>IF(COUNTIFS(allFYsTable[Code], SummaryTable[[#This Row],[Code]], allFYsTable[year2], AQ$3)=0, NotFound, SUMIFS(allFYsTable[RevisedBudget], allFYsTable[Code], SummaryTable[[#This Row],[Code]], allFYsTable[year2], AQ$3))</f>
        <v>#N/A</v>
      </c>
      <c r="AU170" s="61" t="e">
        <f>IF(COUNTIFS(allFYsTable[Code], SummaryTable[[#This Row],[Code]], allFYsTable[year2], AQ$3)=0, NotFound, SUMIFS(allFYsTable[Actual], allFYsTable[Code], SummaryTable[[#This Row],[Code]], allFYsTable[year2], AQ$3))</f>
        <v>#N/A</v>
      </c>
      <c r="AV170" s="61" t="e">
        <f>IF(COUNTIFS(allFYsTable[Code], SummaryTable[[#This Row],[Code]], allFYsTable[year2], AQ$3)=0, NotFound, SUMIFS(allFYsTable[DiffAmount], allFYsTable[Code], SummaryTable[[#This Row],[Code]], allFYsTable[year2], AQ$3))</f>
        <v>#N/A</v>
      </c>
      <c r="AW170" s="63" t="e">
        <f>IF(SummaryTable[[#This Row],[OriginalBudget23]]=0, IF(SummaryTable[[#This Row],[DiffAmount23]]=0, ZeroBudgetNoSpending, ZeroBudgetWithSpending), SummaryTable[[#This Row],[DiffAmount23]]/SummaryTable[[#This Row],[OriginalBudget23]])</f>
        <v>#N/A</v>
      </c>
      <c r="AX170" s="62" t="e">
        <f>IF(COUNTIFS(allFYsTable[Code], SummaryTable[[#This Row],[Code]], allFYsTable[year2], AX$3)=0, NotFound, SUMIFS(allFYsTable[OriginalBudget], allFYsTable[Code], SummaryTable[[#This Row],[Code]], allFYsTable[year2], AX$3))</f>
        <v>#N/A</v>
      </c>
      <c r="AY170" s="61" t="e">
        <f>SummaryTable[[#This Row],[OriginalBudget22]]-SummaryTable[[#This Row],[OriginalBudget21]]</f>
        <v>#N/A</v>
      </c>
      <c r="AZ170" s="54" t="e">
        <f>SummaryTable[[#This Row],[BudgetIncreaseAmount22]]/SummaryTable[[#This Row],[OriginalBudget21]]</f>
        <v>#N/A</v>
      </c>
      <c r="BA170" s="61" t="e">
        <f>IF(COUNTIFS(allFYsTable[Code], SummaryTable[[#This Row],[Code]], allFYsTable[year2], AX$3)=0, NotFound, SUMIFS(allFYsTable[RevisedBudget], allFYsTable[Code], SummaryTable[[#This Row],[Code]], allFYsTable[year2], AX$3))</f>
        <v>#N/A</v>
      </c>
      <c r="BB170" s="61" t="e">
        <f>IF(COUNTIFS(allFYsTable[Code], SummaryTable[[#This Row],[Code]], allFYsTable[year2], AX$3)=0, NotFound, SUMIFS(allFYsTable[Actual], allFYsTable[Code], SummaryTable[[#This Row],[Code]], allFYsTable[year2], AX$3))</f>
        <v>#N/A</v>
      </c>
      <c r="BC170" s="61" t="e">
        <f>IF(COUNTIFS(allFYsTable[Code], SummaryTable[[#This Row],[Code]], allFYsTable[year2], AX$3)=0, NotFound, SUMIFS(allFYsTable[DiffAmount], allFYsTable[Code], SummaryTable[[#This Row],[Code]], allFYsTable[year2], AX$3))</f>
        <v>#N/A</v>
      </c>
      <c r="BD170" s="63" t="e">
        <f>IF(SummaryTable[[#This Row],[OriginalBudget22]]=0, IF(SummaryTable[[#This Row],[DiffAmount22]]=0, ZeroBudgetNoSpending, ZeroBudgetWithSpending), SummaryTable[[#This Row],[DiffAmount22]]/SummaryTable[[#This Row],[OriginalBudget22]])</f>
        <v>#N/A</v>
      </c>
      <c r="BE170" s="62" t="e">
        <f>IF(COUNTIFS(allFYsTable[Code], SummaryTable[[#This Row],[Code]], allFYsTable[year2], BE$3)=0, NotFound, SUMIFS(allFYsTable[OriginalBudget], allFYsTable[Code], SummaryTable[[#This Row],[Code]], allFYsTable[year2], BE$3))</f>
        <v>#N/A</v>
      </c>
      <c r="BF170" s="61" t="e">
        <f>SummaryTable[[#This Row],[OriginalBudget21]]-SummaryTable[[#This Row],[OriginalBudget20]]</f>
        <v>#N/A</v>
      </c>
      <c r="BG170" s="54" t="e">
        <f>SummaryTable[[#This Row],[BudgetIncreaseAmount21]]/SummaryTable[[#This Row],[OriginalBudget20]]</f>
        <v>#N/A</v>
      </c>
      <c r="BH170" s="61" t="e">
        <f>IF(COUNTIFS(allFYsTable[Code], SummaryTable[[#This Row],[Code]], allFYsTable[year2], BE$3)=0, NotFound, SUMIFS(allFYsTable[RevisedBudget], allFYsTable[Code], SummaryTable[[#This Row],[Code]], allFYsTable[year2], BE$3))</f>
        <v>#N/A</v>
      </c>
      <c r="BI170" s="61" t="e">
        <f>IF(COUNTIFS(allFYsTable[Code], SummaryTable[[#This Row],[Code]], allFYsTable[year2], BE$3)=0, NotFound, SUMIFS(allFYsTable[Actual], allFYsTable[Code], SummaryTable[[#This Row],[Code]], allFYsTable[year2], BE$3))</f>
        <v>#N/A</v>
      </c>
      <c r="BJ170" s="61" t="e">
        <f>IF(COUNTIFS(allFYsTable[Code], SummaryTable[[#This Row],[Code]], allFYsTable[year2], BE$3)=0, NotFound, SUMIFS(allFYsTable[DiffAmount], allFYsTable[Code], SummaryTable[[#This Row],[Code]], allFYsTable[year2], BE$3))</f>
        <v>#N/A</v>
      </c>
      <c r="BK170" s="63" t="e">
        <f>IF(SummaryTable[[#This Row],[OriginalBudget21]]=0, IF(SummaryTable[[#This Row],[DiffAmount21]]=0, ZeroBudgetNoSpending, ZeroBudgetWithSpending), SummaryTable[[#This Row],[DiffAmount21]]/SummaryTable[[#This Row],[OriginalBudget21]])</f>
        <v>#N/A</v>
      </c>
      <c r="BL170" s="62" t="e">
        <f>IF(COUNTIFS(allFYsTable[Code], SummaryTable[[#This Row],[Code]], allFYsTable[year2], BL$3)=0, NotFound, SUMIFS(allFYsTable[OriginalBudget], allFYsTable[Code], SummaryTable[[#This Row],[Code]], allFYsTable[year2], BL$3))</f>
        <v>#N/A</v>
      </c>
      <c r="BM170" s="61" t="e">
        <f>SummaryTable[[#This Row],[OriginalBudget20]]-SummaryTable[[#This Row],[OriginalBudget19]]</f>
        <v>#N/A</v>
      </c>
      <c r="BN170" s="54" t="e">
        <f>SummaryTable[[#This Row],[BudgetIncreaseAmount20]]/SummaryTable[[#This Row],[OriginalBudget19]]</f>
        <v>#N/A</v>
      </c>
      <c r="BO170" s="61" t="e">
        <f>IF(COUNTIFS(allFYsTable[Code], SummaryTable[[#This Row],[Code]], allFYsTable[year2], BL$3)=0, NotFound, SUMIFS(allFYsTable[RevisedBudget], allFYsTable[Code], SummaryTable[[#This Row],[Code]], allFYsTable[year2], BL$3))</f>
        <v>#N/A</v>
      </c>
      <c r="BP170" s="61" t="e">
        <f>IF(COUNTIFS(allFYsTable[Code], SummaryTable[[#This Row],[Code]], allFYsTable[year2], BL$3)=0, NotFound, SUMIFS(allFYsTable[Actual], allFYsTable[Code], SummaryTable[[#This Row],[Code]], allFYsTable[year2], BL$3))</f>
        <v>#N/A</v>
      </c>
      <c r="BQ170" s="61" t="e">
        <f>IF(COUNTIFS(allFYsTable[Code], SummaryTable[[#This Row],[Code]], allFYsTable[year2], BL$3)=0, NotFound, SUMIFS(allFYsTable[DiffAmount], allFYsTable[Code], SummaryTable[[#This Row],[Code]], allFYsTable[year2], BL$3))</f>
        <v>#N/A</v>
      </c>
      <c r="BR170" s="63" t="e">
        <f>IF(SummaryTable[[#This Row],[OriginalBudget20]]=0, IF(SummaryTable[[#This Row],[DiffAmount20]]=0, ZeroBudgetNoSpending, ZeroBudgetWithSpending), SummaryTable[[#This Row],[DiffAmount20]]/SummaryTable[[#This Row],[OriginalBudget20]])</f>
        <v>#N/A</v>
      </c>
      <c r="BS170" s="62" t="e">
        <f>IF(COUNTIFS(allFYsTable[Code], SummaryTable[[#This Row],[Code]], allFYsTable[year2], BS$3)=0, NotFound, SUMIFS(allFYsTable[OriginalBudget], allFYsTable[Code], SummaryTable[[#This Row],[Code]], allFYsTable[year2], BS$3))</f>
        <v>#N/A</v>
      </c>
      <c r="BT170" s="61" t="e">
        <f>SummaryTable[[#This Row],[OriginalBudget19]]-SummaryTable[[#This Row],[OriginalBudget18]]</f>
        <v>#N/A</v>
      </c>
      <c r="BU170" s="54" t="e">
        <f>SummaryTable[[#This Row],[BudgetIncreaseAmount19]]/SummaryTable[[#This Row],[OriginalBudget18]]</f>
        <v>#N/A</v>
      </c>
      <c r="BV170" s="61" t="e">
        <f>IF(COUNTIFS(allFYsTable[Code], SummaryTable[[#This Row],[Code]], allFYsTable[year2], BS$3)=0, NotFound, SUMIFS(allFYsTable[RevisedBudget], allFYsTable[Code], SummaryTable[[#This Row],[Code]], allFYsTable[year2], BS$3))</f>
        <v>#N/A</v>
      </c>
      <c r="BW170" s="61" t="e">
        <f>IF(COUNTIFS(allFYsTable[Code], SummaryTable[[#This Row],[Code]], allFYsTable[year2], BS$3)=0, NotFound, SUMIFS(allFYsTable[Actual], allFYsTable[Code], SummaryTable[[#This Row],[Code]], allFYsTable[year2], BS$3))</f>
        <v>#N/A</v>
      </c>
      <c r="BX170" s="61" t="e">
        <f>IF(COUNTIFS(allFYsTable[Code], SummaryTable[[#This Row],[Code]], allFYsTable[year2], BS$3)=0, NotFound, SUMIFS(allFYsTable[DiffAmount], allFYsTable[Code], SummaryTable[[#This Row],[Code]], allFYsTable[year2], BS$3))</f>
        <v>#N/A</v>
      </c>
      <c r="BY170" s="63" t="e">
        <f>IF(SummaryTable[[#This Row],[OriginalBudget19]]=0, IF(SummaryTable[[#This Row],[DiffAmount19]]=0, ZeroBudgetNoSpending, ZeroBudgetWithSpending), SummaryTable[[#This Row],[DiffAmount19]]/SummaryTable[[#This Row],[OriginalBudget19]])</f>
        <v>#N/A</v>
      </c>
      <c r="BZ170" s="62" t="e">
        <f>IF(COUNTIFS(allFYsTable[Code], SummaryTable[[#This Row],[Code]], allFYsTable[year2], BZ$3)=0, NotFound, SUMIFS(allFYsTable[OriginalBudget], allFYsTable[Code], SummaryTable[[#This Row],[Code]], allFYsTable[year2], BZ$3))</f>
        <v>#N/A</v>
      </c>
      <c r="CA170" s="61" t="e">
        <f>SummaryTable[[#This Row],[OriginalBudget18]]-SummaryTable[[#This Row],[OriginalBudget17]]</f>
        <v>#N/A</v>
      </c>
      <c r="CB170" s="54" t="e">
        <f>SummaryTable[[#This Row],[BudgetIncreaseAmount18]]/SummaryTable[[#This Row],[OriginalBudget17]]</f>
        <v>#N/A</v>
      </c>
      <c r="CC170" s="61" t="e">
        <f>IF(COUNTIFS(allFYsTable[Code], SummaryTable[[#This Row],[Code]], allFYsTable[year2], BZ$3)=0, NotFound, SUMIFS(allFYsTable[RevisedBudget], allFYsTable[Code], SummaryTable[[#This Row],[Code]], allFYsTable[year2], BZ$3))</f>
        <v>#N/A</v>
      </c>
      <c r="CD170" s="61" t="e">
        <f>IF(COUNTIFS(allFYsTable[Code], SummaryTable[[#This Row],[Code]], allFYsTable[year2], BZ$3)=0, NotFound, SUMIFS(allFYsTable[Actual], allFYsTable[Code], SummaryTable[[#This Row],[Code]], allFYsTable[year2], BZ$3))</f>
        <v>#N/A</v>
      </c>
      <c r="CE170" s="61" t="e">
        <f>IF(COUNTIFS(allFYsTable[Code], SummaryTable[[#This Row],[Code]], allFYsTable[year2], BZ$3)=0, NotFound, SUMIFS(allFYsTable[DiffAmount], allFYsTable[Code], SummaryTable[[#This Row],[Code]], allFYsTable[year2], BZ$3))</f>
        <v>#N/A</v>
      </c>
      <c r="CF170" s="63" t="e">
        <f>IF(SummaryTable[[#This Row],[OriginalBudget18]]=0, IF(SummaryTable[[#This Row],[DiffAmount18]]=0, ZeroBudgetNoSpending, ZeroBudgetWithSpending), SummaryTable[[#This Row],[DiffAmount18]]/SummaryTable[[#This Row],[OriginalBudget18]])</f>
        <v>#N/A</v>
      </c>
      <c r="CG170" s="62" t="e">
        <f>IF(COUNTIFS(allFYsTable[Code], SummaryTable[[#This Row],[Code]], allFYsTable[year2], CG$3)=0, NotFound, SUMIFS(allFYsTable[OriginalBudget], allFYsTable[Code], SummaryTable[[#This Row],[Code]], allFYsTable[year2], CG$3))</f>
        <v>#N/A</v>
      </c>
      <c r="CH170" s="61" t="e">
        <f>SummaryTable[[#This Row],[OriginalBudget17]]-SummaryTable[[#This Row],[OriginalBudget16]]</f>
        <v>#N/A</v>
      </c>
      <c r="CI170" s="54" t="e">
        <f>SummaryTable[[#This Row],[BudgetIncreaseAmount17]]/SummaryTable[[#This Row],[OriginalBudget16]]</f>
        <v>#N/A</v>
      </c>
      <c r="CJ170" s="61" t="e">
        <f>IF(COUNTIFS(allFYsTable[Code], SummaryTable[[#This Row],[Code]], allFYsTable[year2], CG$3)=0, NotFound, SUMIFS(allFYsTable[RevisedBudget], allFYsTable[Code], SummaryTable[[#This Row],[Code]], allFYsTable[year2], CG$3))</f>
        <v>#N/A</v>
      </c>
      <c r="CK170" s="61" t="e">
        <f>IF(COUNTIFS(allFYsTable[Code], SummaryTable[[#This Row],[Code]], allFYsTable[year2], CG$3)=0, NotFound, SUMIFS(allFYsTable[Actual], allFYsTable[Code], SummaryTable[[#This Row],[Code]], allFYsTable[year2], CG$3))</f>
        <v>#N/A</v>
      </c>
      <c r="CL170" s="61" t="e">
        <f>IF(COUNTIFS(allFYsTable[Code], SummaryTable[[#This Row],[Code]], allFYsTable[year2], CG$3)=0, NotFound, SUMIFS(allFYsTable[DiffAmount], allFYsTable[Code], SummaryTable[[#This Row],[Code]], allFYsTable[year2], CG$3))</f>
        <v>#N/A</v>
      </c>
      <c r="CM170" s="63" t="e">
        <f>IF(SummaryTable[[#This Row],[OriginalBudget17]]=0, IF(SummaryTable[[#This Row],[DiffAmount17]]=0, ZeroBudgetNoSpending, ZeroBudgetWithSpending), SummaryTable[[#This Row],[DiffAmount17]]/SummaryTable[[#This Row],[OriginalBudget17]])</f>
        <v>#N/A</v>
      </c>
      <c r="CN170" s="62" t="e">
        <f>IF(COUNTIFS(allFYsTable[Code], SummaryTable[[#This Row],[Code]], allFYsTable[year2], CN$3)=0, NotFound, SUMIFS(allFYsTable[OriginalBudget], allFYsTable[Code], SummaryTable[[#This Row],[Code]], allFYsTable[year2], CN$3))</f>
        <v>#N/A</v>
      </c>
      <c r="CO170" s="61" t="e">
        <f>SummaryTable[[#This Row],[OriginalBudget16]]-SummaryTable[[#This Row],[OriginalBudget15]]</f>
        <v>#N/A</v>
      </c>
      <c r="CP170" s="54" t="e">
        <f>SummaryTable[[#This Row],[BudgetIncreaseAmount16]]/SummaryTable[[#This Row],[OriginalBudget15]]</f>
        <v>#N/A</v>
      </c>
      <c r="CQ170" s="61" t="e">
        <f>IF(COUNTIFS(allFYsTable[Code], SummaryTable[[#This Row],[Code]], allFYsTable[year2], CN$3)=0, NotFound, SUMIFS(allFYsTable[RevisedBudget], allFYsTable[Code], SummaryTable[[#This Row],[Code]], allFYsTable[year2], CN$3))</f>
        <v>#N/A</v>
      </c>
      <c r="CR170" s="61" t="e">
        <f>IF(COUNTIFS(allFYsTable[Code], SummaryTable[[#This Row],[Code]], allFYsTable[year2], CN$3)=0, NotFound, SUMIFS(allFYsTable[Actual], allFYsTable[Code], SummaryTable[[#This Row],[Code]], allFYsTable[year2], CN$3))</f>
        <v>#N/A</v>
      </c>
      <c r="CS170" s="61" t="e">
        <f>IF(COUNTIFS(allFYsTable[Code], SummaryTable[[#This Row],[Code]], allFYsTable[year2], CN$3)=0, NotFound, SUMIFS(allFYsTable[DiffAmount], allFYsTable[Code], SummaryTable[[#This Row],[Code]], allFYsTable[year2], CN$3))</f>
        <v>#N/A</v>
      </c>
      <c r="CT170" s="63" t="e">
        <f>IF(SummaryTable[[#This Row],[OriginalBudget16]]=0, IF(SummaryTable[[#This Row],[DiffAmount16]]=0, ZeroBudgetNoSpending, ZeroBudgetWithSpending), SummaryTable[[#This Row],[DiffAmount16]]/SummaryTable[[#This Row],[OriginalBudget16]])</f>
        <v>#N/A</v>
      </c>
      <c r="CU170" s="62" t="e">
        <f>IF(COUNTIFS(allFYsTable[Code], SummaryTable[[#This Row],[Code]], allFYsTable[year2], CU$3)=0, NotFound, SUMIFS(allFYsTable[OriginalBudget], allFYsTable[Code], SummaryTable[[#This Row],[Code]], allFYsTable[year2], CU$3))</f>
        <v>#N/A</v>
      </c>
      <c r="CV170" s="61" t="e">
        <f>SummaryTable[[#This Row],[OriginalBudget15]]-SummaryTable[[#This Row],[OriginalBudget14]]</f>
        <v>#N/A</v>
      </c>
      <c r="CW170" s="54" t="e">
        <f>SummaryTable[[#This Row],[BudgetIncreaseAmount15]]/SummaryTable[[#This Row],[OriginalBudget14]]</f>
        <v>#N/A</v>
      </c>
      <c r="CX170" s="61" t="e">
        <f>IF(COUNTIFS(allFYsTable[Code], SummaryTable[[#This Row],[Code]], allFYsTable[year2], CU$3)=0, NotFound, SUMIFS(allFYsTable[RevisedBudget], allFYsTable[Code], SummaryTable[[#This Row],[Code]], allFYsTable[year2], CU$3))</f>
        <v>#N/A</v>
      </c>
      <c r="CY170" s="61" t="e">
        <f>IF(COUNTIFS(allFYsTable[Code], SummaryTable[[#This Row],[Code]], allFYsTable[year2], CU$3)=0, NotFound, SUMIFS(allFYsTable[Actual], allFYsTable[Code], SummaryTable[[#This Row],[Code]], allFYsTable[year2], CU$3))</f>
        <v>#N/A</v>
      </c>
      <c r="CZ170" s="61" t="e">
        <f>IF(COUNTIFS(allFYsTable[Code], SummaryTable[[#This Row],[Code]], allFYsTable[year2], CU$3)=0, NotFound, SUMIFS(allFYsTable[DiffAmount], allFYsTable[Code], SummaryTable[[#This Row],[Code]], allFYsTable[year2], CU$3))</f>
        <v>#N/A</v>
      </c>
      <c r="DA170" s="63" t="e">
        <f>IF(SummaryTable[[#This Row],[OriginalBudget15]]=0, IF(SummaryTable[[#This Row],[DiffAmount15]]=0, ZeroBudgetNoSpending, ZeroBudgetWithSpending), SummaryTable[[#This Row],[DiffAmount15]]/SummaryTable[[#This Row],[OriginalBudget15]])</f>
        <v>#N/A</v>
      </c>
      <c r="DB170" s="62" t="e">
        <f>IF(COUNTIFS(allFYsTable[Code], SummaryTable[[#This Row],[Code]], allFYsTable[year2], DB$3)=0, NotFound, SUMIFS(allFYsTable[OriginalBudget], allFYsTable[Code], SummaryTable[[#This Row],[Code]], allFYsTable[year2], DB$3))</f>
        <v>#N/A</v>
      </c>
      <c r="DC170" s="61" t="e">
        <f>SummaryTable[[#This Row],[OriginalBudget14]]-SummaryTable[[#This Row],[OriginalBudget13]]</f>
        <v>#N/A</v>
      </c>
      <c r="DD170" s="54" t="e">
        <f>SummaryTable[[#This Row],[BudgetIncreaseAmount14]]/SummaryTable[[#This Row],[OriginalBudget13]]</f>
        <v>#N/A</v>
      </c>
      <c r="DE170" s="61" t="e">
        <f>IF(COUNTIFS(allFYsTable[Code], SummaryTable[[#This Row],[Code]], allFYsTable[year2], DB$3)=0, NotFound, SUMIFS(allFYsTable[RevisedBudget], allFYsTable[Code], SummaryTable[[#This Row],[Code]], allFYsTable[year2], DB$3))</f>
        <v>#N/A</v>
      </c>
      <c r="DF170" s="61" t="e">
        <f>IF(COUNTIFS(allFYsTable[Code], SummaryTable[[#This Row],[Code]], allFYsTable[year2], DB$3)=0, NotFound, SUMIFS(allFYsTable[Actual], allFYsTable[Code], SummaryTable[[#This Row],[Code]], allFYsTable[year2], DB$3))</f>
        <v>#N/A</v>
      </c>
      <c r="DG170" s="61" t="e">
        <f>IF(COUNTIFS(allFYsTable[Code], SummaryTable[[#This Row],[Code]], allFYsTable[year2], DB$3)=0, NotFound, SUMIFS(allFYsTable[DiffAmount], allFYsTable[Code], SummaryTable[[#This Row],[Code]], allFYsTable[year2], DB$3))</f>
        <v>#N/A</v>
      </c>
      <c r="DH170" s="63" t="e">
        <f>IF(SummaryTable[[#This Row],[OriginalBudget14]]=0, IF(SummaryTable[[#This Row],[DiffAmount14]]=0, ZeroBudgetNoSpending, ZeroBudgetWithSpending), SummaryTable[[#This Row],[DiffAmount14]]/SummaryTable[[#This Row],[OriginalBudget14]])</f>
        <v>#N/A</v>
      </c>
      <c r="DI170" s="62" t="e">
        <f>IF(COUNTIFS(allFYsTable[Code], SummaryTable[[#This Row],[Code]], allFYsTable[year2], DI$3)=0, NotFound, SUMIFS(allFYsTable[OriginalBudget], allFYsTable[Code], SummaryTable[[#This Row],[Code]], allFYsTable[year2], DI$3))</f>
        <v>#N/A</v>
      </c>
      <c r="DJ170" s="61" t="e">
        <f>SummaryTable[[#This Row],[OriginalBudget13]]-SummaryTable[[#This Row],[OriginalBudget12]]</f>
        <v>#N/A</v>
      </c>
      <c r="DK170" s="54" t="e">
        <f>SummaryTable[[#This Row],[BudgetIncreaseAmount13]]/SummaryTable[[#This Row],[OriginalBudget12]]</f>
        <v>#N/A</v>
      </c>
      <c r="DL170" s="61" t="e">
        <f>IF(COUNTIFS(allFYsTable[Code], SummaryTable[[#This Row],[Code]], allFYsTable[year2], DI$3)=0, NotFound, SUMIFS(allFYsTable[RevisedBudget], allFYsTable[Code], SummaryTable[[#This Row],[Code]], allFYsTable[year2], DI$3))</f>
        <v>#N/A</v>
      </c>
      <c r="DM170" s="61" t="e">
        <f>IF(COUNTIFS(allFYsTable[Code], SummaryTable[[#This Row],[Code]], allFYsTable[year2], DI$3)=0, NotFound, SUMIFS(allFYsTable[Actual], allFYsTable[Code], SummaryTable[[#This Row],[Code]], allFYsTable[year2], DI$3))</f>
        <v>#N/A</v>
      </c>
      <c r="DN170" s="61" t="e">
        <f>IF(COUNTIFS(allFYsTable[Code], SummaryTable[[#This Row],[Code]], allFYsTable[year2], DI$3)=0, NotFound, SUMIFS(allFYsTable[DiffAmount], allFYsTable[Code], SummaryTable[[#This Row],[Code]], allFYsTable[year2], DI$3))</f>
        <v>#N/A</v>
      </c>
      <c r="DO170" s="63" t="e">
        <f>IF(SummaryTable[[#This Row],[OriginalBudget13]]=0, IF(SummaryTable[[#This Row],[DiffAmount13]]=0, ZeroBudgetNoSpending, ZeroBudgetWithSpending), SummaryTable[[#This Row],[DiffAmount13]]/SummaryTable[[#This Row],[OriginalBudget13]])</f>
        <v>#N/A</v>
      </c>
      <c r="DP170" s="62" t="e">
        <f>IF(COUNTIFS(allFYsTable[Code], SummaryTable[[#This Row],[Code]], allFYsTable[year2], DP$3)=0, NotFound, SUMIFS(allFYsTable[OriginalBudget], allFYsTable[Code], SummaryTable[[#This Row],[Code]], allFYsTable[year2], DP$3))</f>
        <v>#N/A</v>
      </c>
      <c r="DQ170" s="61" t="e">
        <f>SummaryTable[[#This Row],[OriginalBudget12]]-SummaryTable[[#This Row],[OriginalBudget11]]</f>
        <v>#N/A</v>
      </c>
      <c r="DR170" s="54" t="e">
        <f>SummaryTable[[#This Row],[BudgetIncreaseAmount12]]/SummaryTable[[#This Row],[OriginalBudget11]]</f>
        <v>#N/A</v>
      </c>
      <c r="DS170" s="61" t="e">
        <f>IF(COUNTIFS(allFYsTable[Code], SummaryTable[[#This Row],[Code]], allFYsTable[year2], DP$3)=0, NotFound, SUMIFS(allFYsTable[RevisedBudget], allFYsTable[Code], SummaryTable[[#This Row],[Code]], allFYsTable[year2], DP$3))</f>
        <v>#N/A</v>
      </c>
      <c r="DT170" s="61" t="e">
        <f>IF(COUNTIFS(allFYsTable[Code], SummaryTable[[#This Row],[Code]], allFYsTable[year2], DP$3)=0, NotFound, SUMIFS(allFYsTable[Actual], allFYsTable[Code], SummaryTable[[#This Row],[Code]], allFYsTable[year2], DP$3))</f>
        <v>#N/A</v>
      </c>
      <c r="DU170" s="61" t="e">
        <f>IF(COUNTIFS(allFYsTable[Code], SummaryTable[[#This Row],[Code]], allFYsTable[year2], DP$3)=0, NotFound, SUMIFS(allFYsTable[DiffAmount], allFYsTable[Code], SummaryTable[[#This Row],[Code]], allFYsTable[year2], DP$3))</f>
        <v>#N/A</v>
      </c>
      <c r="DV170" s="63" t="e">
        <f>IF(SummaryTable[[#This Row],[OriginalBudget12]]=0, IF(SummaryTable[[#This Row],[DiffAmount12]]=0, ZeroBudgetNoSpending, ZeroBudgetWithSpending), SummaryTable[[#This Row],[DiffAmount12]]/SummaryTable[[#This Row],[OriginalBudget12]])</f>
        <v>#N/A</v>
      </c>
      <c r="DW170" s="62" t="e">
        <f>IF(COUNTIFS(allFYsTable[Code], SummaryTable[[#This Row],[Code]], allFYsTable[year2], DW$3)=0, NotFound, SUMIFS(allFYsTable[OriginalBudget], allFYsTable[Code], SummaryTable[[#This Row],[Code]], allFYsTable[year2], DW$3))</f>
        <v>#N/A</v>
      </c>
      <c r="DX170" s="61" t="e">
        <f>SummaryTable[[#This Row],[OriginalBudget11]]-SummaryTable[[#This Row],[OriginalBudget10]]</f>
        <v>#N/A</v>
      </c>
      <c r="DY170" s="54" t="e">
        <f>SummaryTable[[#This Row],[BudgetIncreaseAmount11]]/SummaryTable[[#This Row],[OriginalBudget10]]</f>
        <v>#N/A</v>
      </c>
      <c r="DZ170" s="61" t="e">
        <f>IF(COUNTIFS(allFYsTable[Code], SummaryTable[[#This Row],[Code]], allFYsTable[year2], DW$3)=0, NotFound, SUMIFS(allFYsTable[RevisedBudget], allFYsTable[Code], SummaryTable[[#This Row],[Code]], allFYsTable[year2], DW$3))</f>
        <v>#N/A</v>
      </c>
      <c r="EA170" s="61" t="e">
        <f>IF(COUNTIFS(allFYsTable[Code], SummaryTable[[#This Row],[Code]], allFYsTable[year2], DW$3)=0, NotFound, SUMIFS(allFYsTable[Actual], allFYsTable[Code], SummaryTable[[#This Row],[Code]], allFYsTable[year2], DW$3))</f>
        <v>#N/A</v>
      </c>
      <c r="EB170" s="61" t="e">
        <f>IF(COUNTIFS(allFYsTable[Code], SummaryTable[[#This Row],[Code]], allFYsTable[year2], DW$3)=0, NotFound, SUMIFS(allFYsTable[DiffAmount], allFYsTable[Code], SummaryTable[[#This Row],[Code]], allFYsTable[year2], DW$3))</f>
        <v>#N/A</v>
      </c>
      <c r="EC170" s="63" t="e">
        <f>IF(SummaryTable[[#This Row],[OriginalBudget11]]=0, IF(SummaryTable[[#This Row],[DiffAmount11]]=0, ZeroBudgetNoSpending, ZeroBudgetWithSpending), SummaryTable[[#This Row],[DiffAmount11]]/SummaryTable[[#This Row],[OriginalBudget11]])</f>
        <v>#N/A</v>
      </c>
      <c r="ED170" s="62">
        <f>IF(COUNTIFS(allFYsTable[Code], SummaryTable[[#This Row],[Code]], allFYsTable[year2], ED$3)=0, NotFound, SUMIFS(allFYsTable[OriginalBudget], allFYsTable[Code], SummaryTable[[#This Row],[Code]], allFYsTable[year2], ED$3))</f>
        <v>3022</v>
      </c>
      <c r="EE170" s="61">
        <f>SummaryTable[[#This Row],[OriginalBudget10]]-SummaryTable[[#This Row],[OriginalBudget09]]</f>
        <v>-71</v>
      </c>
      <c r="EF170" s="54">
        <f>SummaryTable[[#This Row],[BudgetIncreaseAmount10]]/SummaryTable[[#This Row],[OriginalBudget09]]</f>
        <v>-2.2955059812479792E-2</v>
      </c>
      <c r="EG170" s="61">
        <f>IF(COUNTIFS(allFYsTable[Code], SummaryTable[[#This Row],[Code]], allFYsTable[year2], ED$3)=0, NotFound, SUMIFS(allFYsTable[RevisedBudget], allFYsTable[Code], SummaryTable[[#This Row],[Code]], allFYsTable[year2], ED$3))</f>
        <v>2722</v>
      </c>
      <c r="EH170" s="61">
        <f>IF(COUNTIFS(allFYsTable[Code], SummaryTable[[#This Row],[Code]], allFYsTable[year2], ED$3)=0, NotFound, SUMIFS(allFYsTable[Actual], allFYsTable[Code], SummaryTable[[#This Row],[Code]], allFYsTable[year2], ED$3))</f>
        <v>2678</v>
      </c>
      <c r="EI170" s="61">
        <f>IF(COUNTIFS(allFYsTable[Code], SummaryTable[[#This Row],[Code]], allFYsTable[year2], ED$3)=0, NotFound, SUMIFS(allFYsTable[DiffAmount], allFYsTable[Code], SummaryTable[[#This Row],[Code]], allFYsTable[year2], ED$3))</f>
        <v>-344</v>
      </c>
      <c r="EJ170" s="63">
        <f>IF(SummaryTable[[#This Row],[OriginalBudget10]]=0, IF(SummaryTable[[#This Row],[DiffAmount10]]=0, ZeroBudgetNoSpending, ZeroBudgetWithSpending), SummaryTable[[#This Row],[DiffAmount10]]/SummaryTable[[#This Row],[OriginalBudget10]])</f>
        <v>-0.11383189940436797</v>
      </c>
      <c r="EK170" s="62">
        <f>IF(COUNTIFS(allFYsTable[Code], SummaryTable[[#This Row],[Code]], allFYsTable[year2], EK$3)=0, NotFound, SUMIFS(allFYsTable[OriginalBudget], allFYsTable[Code], SummaryTable[[#This Row],[Code]], allFYsTable[year2], EK$3))</f>
        <v>3093</v>
      </c>
      <c r="EL170" s="61">
        <f>SummaryTable[[#This Row],[OriginalBudget09]]-SummaryTable[[#This Row],[OriginalBudget08]]</f>
        <v>97</v>
      </c>
      <c r="EM170" s="54">
        <f>SummaryTable[[#This Row],[BudgetIncreaseAmount09]]/SummaryTable[[#This Row],[OriginalBudget08]]</f>
        <v>3.2376502002670227E-2</v>
      </c>
      <c r="EN170" s="61">
        <f>IF(COUNTIFS(allFYsTable[Code], SummaryTable[[#This Row],[Code]], allFYsTable[year2], EK$3)=0, NotFound, SUMIFS(allFYsTable[RevisedBudget], allFYsTable[Code], SummaryTable[[#This Row],[Code]], allFYsTable[year2], EK$3))</f>
        <v>3049</v>
      </c>
      <c r="EO170" s="61">
        <f>IF(COUNTIFS(allFYsTable[Code], SummaryTable[[#This Row],[Code]], allFYsTable[year2], EK$3)=0, NotFound, SUMIFS(allFYsTable[Actual], allFYsTable[Code], SummaryTable[[#This Row],[Code]], allFYsTable[year2], EK$3))</f>
        <v>2708</v>
      </c>
      <c r="EP170" s="61">
        <f>IF(COUNTIFS(allFYsTable[Code], SummaryTable[[#This Row],[Code]], allFYsTable[year2], EK$3)=0, NotFound, SUMIFS(allFYsTable[DiffAmount], allFYsTable[Code], SummaryTable[[#This Row],[Code]], allFYsTable[year2], EK$3))</f>
        <v>-385</v>
      </c>
      <c r="EQ170" s="63">
        <f>IF(SummaryTable[[#This Row],[OriginalBudget09]]=0, IF(SummaryTable[[#This Row],[DiffAmount09]]=0, ZeroBudgetNoSpending, ZeroBudgetWithSpending), SummaryTable[[#This Row],[DiffAmount09]]/SummaryTable[[#This Row],[OriginalBudget09]])</f>
        <v>-0.12447462010992563</v>
      </c>
      <c r="ER170" s="62">
        <f>IF(COUNTIFS(allFYsTable[Code], SummaryTable[[#This Row],[Code]], allFYsTable[year2], ER$3)=0, NotFound, SUMIFS(allFYsTable[OriginalBudget], allFYsTable[Code], SummaryTable[[#This Row],[Code]], allFYsTable[year2], ER$3))</f>
        <v>2996</v>
      </c>
      <c r="ES170" s="61" t="e">
        <f>SummaryTable[[#This Row],[OriginalBudget08]]-SummaryTable[[#This Row],[OriginalBudget07]]</f>
        <v>#N/A</v>
      </c>
      <c r="ET170" s="54" t="e">
        <f>SummaryTable[[#This Row],[BudgetIncreaseAmount08]]/SummaryTable[[#This Row],[OriginalBudget07]]</f>
        <v>#N/A</v>
      </c>
      <c r="EU170" s="61">
        <f>IF(COUNTIFS(allFYsTable[Code], SummaryTable[[#This Row],[Code]], allFYsTable[year2], ER$3)=0, NotFound, SUMIFS(allFYsTable[RevisedBudget], allFYsTable[Code], SummaryTable[[#This Row],[Code]], allFYsTable[year2], ER$3))</f>
        <v>2996</v>
      </c>
      <c r="EV170" s="61">
        <f>IF(COUNTIFS(allFYsTable[Code], SummaryTable[[#This Row],[Code]], allFYsTable[year2], ER$3)=0, NotFound, SUMIFS(allFYsTable[Actual], allFYsTable[Code], SummaryTable[[#This Row],[Code]], allFYsTable[year2], ER$3))</f>
        <v>2702</v>
      </c>
      <c r="EW170" s="61">
        <f>IF(COUNTIFS(allFYsTable[Code], SummaryTable[[#This Row],[Code]], allFYsTable[year2], ER$3)=0, NotFound, SUMIFS(allFYsTable[DiffAmount], allFYsTable[Code], SummaryTable[[#This Row],[Code]], allFYsTable[year2], ER$3))</f>
        <v>-294</v>
      </c>
      <c r="EX170" s="63">
        <f>IF(SummaryTable[[#This Row],[OriginalBudget08]]=0, IF(SummaryTable[[#This Row],[DiffAmount08]]=0, ZeroBudgetNoSpending, ZeroBudgetWithSpending), SummaryTable[[#This Row],[DiffAmount08]]/SummaryTable[[#This Row],[OriginalBudget08]])</f>
        <v>-9.8130841121495324E-2</v>
      </c>
      <c r="EY170" s="62" t="e">
        <f>IF(COUNTIFS(allFYsTable[Code], SummaryTable[[#This Row],[Code]], allFYsTable[year2], EY$3)=0, NotFound, SUMIFS(allFYsTable[OriginalBudget], allFYsTable[Code], SummaryTable[[#This Row],[Code]], allFYsTable[year2], EY$3))</f>
        <v>#N/A</v>
      </c>
      <c r="EZ170" s="61" t="e">
        <f>SummaryTable[[#This Row],[OriginalBudget07]]-SummaryTable[[#This Row],[OriginalBudget06]]</f>
        <v>#N/A</v>
      </c>
      <c r="FA170" s="54" t="e">
        <f>SummaryTable[[#This Row],[BudgetIncreaseAmount07]]/SummaryTable[[#This Row],[OriginalBudget06]]</f>
        <v>#N/A</v>
      </c>
      <c r="FB170" s="61" t="e">
        <f>IF(COUNTIFS(allFYsTable[Code], SummaryTable[[#This Row],[Code]], allFYsTable[year2], EY$3)=0, NotFound, SUMIFS(allFYsTable[RevisedBudget], allFYsTable[Code], SummaryTable[[#This Row],[Code]], allFYsTable[year2], EY$3))</f>
        <v>#N/A</v>
      </c>
      <c r="FC170" s="61" t="e">
        <f>IF(COUNTIFS(allFYsTable[Code], SummaryTable[[#This Row],[Code]], allFYsTable[year2], EY$3)=0, NotFound, SUMIFS(allFYsTable[Actual], allFYsTable[Code], SummaryTable[[#This Row],[Code]], allFYsTable[year2], EY$3))</f>
        <v>#N/A</v>
      </c>
      <c r="FD170" s="61" t="e">
        <f>IF(COUNTIFS(allFYsTable[Code], SummaryTable[[#This Row],[Code]], allFYsTable[year2], EY$3)=0, NotFound, SUMIFS(allFYsTable[DiffAmount], allFYsTable[Code], SummaryTable[[#This Row],[Code]], allFYsTable[year2], EY$3))</f>
        <v>#N/A</v>
      </c>
      <c r="FE170" s="63" t="e">
        <f>IF(SummaryTable[[#This Row],[OriginalBudget07]]=0, IF(SummaryTable[[#This Row],[DiffAmount07]]=0, ZeroBudgetNoSpending, ZeroBudgetWithSpending), SummaryTable[[#This Row],[DiffAmount07]]/SummaryTable[[#This Row],[OriginalBudget07]])</f>
        <v>#N/A</v>
      </c>
      <c r="FF170" s="62" t="e">
        <f>IF(COUNTIFS(allFYsTable[Code], SummaryTable[[#This Row],[Code]], allFYsTable[year2], FF$3)=0, NotFound, SUMIFS(allFYsTable[OriginalBudget], allFYsTable[Code], SummaryTable[[#This Row],[Code]], allFYsTable[year2], FF$3))</f>
        <v>#N/A</v>
      </c>
      <c r="FI170" s="61" t="e">
        <f>IF(COUNTIFS(allFYsTable[Code], SummaryTable[[#This Row],[Code]], allFYsTable[year2], FF$3)=0, NotFound, SUMIFS(allFYsTable[RevisedBudget], allFYsTable[Code], SummaryTable[[#This Row],[Code]], allFYsTable[year2], FF$3))</f>
        <v>#N/A</v>
      </c>
      <c r="FJ170" s="61" t="e">
        <f>IF(COUNTIFS(allFYsTable[Code], SummaryTable[[#This Row],[Code]], allFYsTable[year2], FF$3)=0, NotFound, SUMIFS(allFYsTable[Actual], allFYsTable[Code], SummaryTable[[#This Row],[Code]], allFYsTable[year2], FF$3))</f>
        <v>#N/A</v>
      </c>
      <c r="FK170" s="61" t="e">
        <f>IF(COUNTIFS(allFYsTable[Code], SummaryTable[[#This Row],[Code]], allFYsTable[year2], FF$3)=0, NotFound, SUMIFS(allFYsTable[DiffAmount], allFYsTable[Code], SummaryTable[[#This Row],[Code]], allFYsTable[year2], FF$3))</f>
        <v>#N/A</v>
      </c>
      <c r="FL170" s="63" t="e">
        <f>IF(SummaryTable[[#This Row],[OriginalBudget06]]=0, IF(SummaryTable[[#This Row],[DiffAmount06]]=0, ZeroBudgetNoSpending, ZeroBudgetWithSpending), SummaryTable[[#This Row],[DiffAmount06]]/SummaryTable[[#This Row],[OriginalBudget06]])</f>
        <v>#N/A</v>
      </c>
    </row>
    <row r="171" spans="1:168" x14ac:dyDescent="0.45">
      <c r="A171" t="s">
        <v>858</v>
      </c>
      <c r="B171">
        <f>_xlfn.MAXIFS(allFYsTable[year2], allFYsTable[Code], SummaryTable[[#This Row],[Code]])</f>
        <v>2010</v>
      </c>
      <c r="C171" t="str">
        <f>_xlfn.XLOOKUP(SummaryTable[[#This Row],[Code]], NameCodingTable[Code], NameCodingTable[Most Recent Category per allFYs])</f>
        <v>Governmental direction and support</v>
      </c>
      <c r="D171" t="str">
        <f>_xlfn.XLOOKUP(SummaryTable[[#This Row],[Code]], NameCodingTable[Code], NameCodingTable[Unit Display Name])</f>
        <v>Office of partnership and grant services</v>
      </c>
      <c r="E171" t="str">
        <f>_xlfn.XLOOKUP(SummaryTable[[#This Row],[Code]], NameCodingTable[Code], NameCodingTable[Type])</f>
        <v>untyped</v>
      </c>
      <c r="F17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v>
      </c>
      <c r="G17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71" s="54">
        <f>SummaryTable[[#This Row],['# Over]]/SummaryTable[[#This Row],[Count]]</f>
        <v>0</v>
      </c>
      <c r="I17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v>
      </c>
      <c r="J171" s="54">
        <f>SummaryTable[[#This Row],['# Under]]/SummaryTable[[#This Row],[Count]]</f>
        <v>1</v>
      </c>
      <c r="K17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71" s="54">
        <f>SummaryTable[[#This Row],['# Equal]]/SummaryTable[[#This Row],[Count]]</f>
        <v>0</v>
      </c>
      <c r="M171" s="61">
        <f>SUMIFS(allFYsTable[OriginalBudget],allFYsTable[Code],SummaryTable[[#This Row],[Code]])/SummaryTable[[#This Row],[Count]]</f>
        <v>769.5</v>
      </c>
      <c r="N171" s="61">
        <f>SUMIFS(allFYsTable[Actual],allFYsTable[Code],SummaryTable[[#This Row],[Code]])/SummaryTable[[#This Row],[Count]]</f>
        <v>737</v>
      </c>
      <c r="O171" s="61">
        <f>SummaryTable[[#This Row],[AvgActAmt]]-SummaryTable[[#This Row],[AvgBudAmt]]</f>
        <v>-32.5</v>
      </c>
      <c r="P171" s="54">
        <f>IF(SummaryTable[[#This Row],[AvgBudAmt]]=0, IF(SummaryTable[[#This Row],[AvgDiff'#]]=0, 0, NamedFields!$C$3), SummaryTable[[#This Row],[AvgDiff'#]]/SummaryTable[[#This Row],[AvgBudAmt]])</f>
        <v>-4.2235217673814163E-2</v>
      </c>
      <c r="Q171" s="61">
        <f>IFERROR(SUMIFS(allFYsTable[OriginalBudget],allFYsTable[Code],SummaryTable[[#This Row],[Code]],allFYsTable[DiffAmount], "&gt;0")/SummaryTable[[#This Row],['# Over]], 0)</f>
        <v>0</v>
      </c>
      <c r="R171" s="61">
        <f>IFERROR(SUMIFS(allFYsTable[Actual],allFYsTable[Code],SummaryTable[[#This Row],[Code]],allFYsTable[DiffAmount], "&gt;0")/SummaryTable[[#This Row],['# Over]], 0)</f>
        <v>0</v>
      </c>
      <c r="S171" s="61">
        <f>SummaryTable[[#This Row],[OverAvgAct]]-SummaryTable[[#This Row],[OverAvgBud]]</f>
        <v>0</v>
      </c>
      <c r="T171" s="54">
        <f>IF(SummaryTable[[#This Row],[OverAvgBud]]=0, IF(SummaryTable[[#This Row],[OverAvgDiff'#]]=0, ZeroBudgetNoSpending, ZeroBudgetWithSpending), SummaryTable[[#This Row],[OverAvgDiff'#]]/SummaryTable[[#This Row],[OverAvgBud]])</f>
        <v>0</v>
      </c>
      <c r="U171" s="61">
        <f>IFERROR(SUMIFS(allFYsTable[OriginalBudget],allFYsTable[Code],SummaryTable[[#This Row],[Code]],allFYsTable[DiffAmount], "&lt;0")/SummaryTable[[#This Row],['# Under]], 0)</f>
        <v>769.5</v>
      </c>
      <c r="V171" s="61">
        <f>IFERROR( SUMIFS(allFYsTable[Actual],allFYsTable[Code],SummaryTable[[#This Row],[Code]],allFYsTable[DiffAmount], "&lt;0")/SummaryTable[[#This Row],['# Under]], 0)</f>
        <v>737</v>
      </c>
      <c r="W171" s="61">
        <f>SummaryTable[[#This Row],[UnderAvgAct]]-SummaryTable[[#This Row],[UnderAvgBud]]</f>
        <v>-32.5</v>
      </c>
      <c r="X171" s="54">
        <f>IF(SummaryTable[[#This Row],[UnderAvgBud]]=0, IF(SummaryTable[[#This Row],[UnderAvgDiff'#]]=0, ZeroBudgetNoSpending, NamedFields!$C$3), SummaryTable[[#This Row],[UnderAvgDiff'#]]/SummaryTable[[#This Row],[UnderAvgBud]])</f>
        <v>-4.2235217673814163E-2</v>
      </c>
      <c r="Y17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7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1" s="54">
        <f>IF(SummaryTable[[#This Row],[IncreaseYears]]=0, ZeroBudgetNoSpending, SummaryTable[[#This Row],[OSinIncreaseYear'#]]/SummaryTable[[#This Row],[IncreaseYears]])</f>
        <v>0</v>
      </c>
      <c r="AB171" s="58" t="str">
        <f>SummaryTable[[#This Row],[Code]]</f>
        <v>BU0</v>
      </c>
      <c r="AC171" s="62" t="e">
        <f>IF(COUNTIFS(allFYsTable[Code], SummaryTable[[#This Row],[Code]], allFYsTable[year2], AC$3)=0, NotFound, SUMIFS(allFYsTable[OriginalBudget], allFYsTable[Code], SummaryTable[[#This Row],[Code]], allFYsTable[year2], AC$3))</f>
        <v>#N/A</v>
      </c>
      <c r="AD171" s="61" t="e">
        <f>SummaryTable[[#This Row],[OriginalBudget25]]-SummaryTable[[#This Row],[OriginalBudget24]]</f>
        <v>#N/A</v>
      </c>
      <c r="AE171" s="54" t="e">
        <f>SummaryTable[[#This Row],[BudgetIncreaseAmount25]]/SummaryTable[[#This Row],[OriginalBudget24]]</f>
        <v>#N/A</v>
      </c>
      <c r="AF171" s="61" t="e">
        <f>IF(COUNTIFS(allFYsTable[Code], SummaryTable[[#This Row],[Code]], allFYsTable[year2], AC$3)=0, NotFound, SUMIFS(allFYsTable[RevisedBudget], allFYsTable[Code], SummaryTable[[#This Row],[Code]], allFYsTable[year2], AC$3))</f>
        <v>#N/A</v>
      </c>
      <c r="AG171" s="61" t="e">
        <f>IF(COUNTIFS(allFYsTable[Code], SummaryTable[[#This Row],[Code]], allFYsTable[year2], AC$3)=0, NotFound, SUMIFS(allFYsTable[Actual], allFYsTable[Code], SummaryTable[[#This Row],[Code]], allFYsTable[year2], AC$3))</f>
        <v>#N/A</v>
      </c>
      <c r="AH171" s="61" t="e">
        <f>IF(COUNTIFS(allFYsTable[Code], SummaryTable[[#This Row],[Code]], allFYsTable[year2], AC$3)=0, NotFound, SUMIFS(allFYsTable[DiffAmount], allFYsTable[Code], SummaryTable[[#This Row],[Code]], allFYsTable[year2], AC$3))</f>
        <v>#N/A</v>
      </c>
      <c r="AI171" s="63" t="e">
        <f>IF(SummaryTable[[#This Row],[OriginalBudget25]]=0, IF(SummaryTable[[#This Row],[DiffAmount25]]=0, ZeroBudgetNoSpending, ZeroBudgetWithSpending), SummaryTable[[#This Row],[DiffAmount25]]/SummaryTable[[#This Row],[OriginalBudget25]])</f>
        <v>#N/A</v>
      </c>
      <c r="AJ171" s="62" t="e">
        <f>IF(COUNTIFS(allFYsTable[Code], SummaryTable[[#This Row],[Code]], allFYsTable[year2], AJ$3)=0, NotFound, SUMIFS(allFYsTable[OriginalBudget], allFYsTable[Code], SummaryTable[[#This Row],[Code]], allFYsTable[year2], AJ$3))</f>
        <v>#N/A</v>
      </c>
      <c r="AK171" s="61" t="e">
        <f>SummaryTable[[#This Row],[OriginalBudget24]]-SummaryTable[[#This Row],[OriginalBudget23]]</f>
        <v>#N/A</v>
      </c>
      <c r="AL171" s="54" t="e">
        <f>SummaryTable[[#This Row],[BudgetIncreaseAmount24]]/SummaryTable[[#This Row],[OriginalBudget23]]</f>
        <v>#N/A</v>
      </c>
      <c r="AM171" s="61" t="e">
        <f>IF(COUNTIFS(allFYsTable[Code], SummaryTable[[#This Row],[Code]], allFYsTable[year2], AK$3)=0, NotFound, SUMIFS(allFYsTable[RevisedBudget], allFYsTable[Code], SummaryTable[[#This Row],[Code]], allFYsTable[year2], AJ$3))</f>
        <v>#N/A</v>
      </c>
      <c r="AN171" s="61" t="e">
        <f>IF(COUNTIFS(allFYsTable[Code], SummaryTable[[#This Row],[Code]], allFYsTable[year2], AJ$3)=0, NotFound, SUMIFS(allFYsTable[Actual], allFYsTable[Code], SummaryTable[[#This Row],[Code]], allFYsTable[year2], AJ$3))</f>
        <v>#N/A</v>
      </c>
      <c r="AO171" s="61" t="e">
        <f>IF(COUNTIFS(allFYsTable[Code], SummaryTable[[#This Row],[Code]], allFYsTable[year2], AJ$3)=0, NotFound, SUMIFS(allFYsTable[DiffAmount], allFYsTable[Code], SummaryTable[[#This Row],[Code]], allFYsTable[year2], AJ$3))</f>
        <v>#N/A</v>
      </c>
      <c r="AP171" s="63" t="e">
        <f>IF(SummaryTable[[#This Row],[OriginalBudget24]]=0, IF(SummaryTable[[#This Row],[DiffAmount24]]=0, ZeroBudgetNoSpending, ZeroBudgetWithSpending), SummaryTable[[#This Row],[DiffAmount24]]/SummaryTable[[#This Row],[OriginalBudget24]])</f>
        <v>#N/A</v>
      </c>
      <c r="AQ171" s="62" t="e">
        <f>IF(COUNTIFS(allFYsTable[Code], SummaryTable[[#This Row],[Code]], allFYsTable[year2], AQ$3)=0, NotFound, SUMIFS(allFYsTable[OriginalBudget], allFYsTable[Code], SummaryTable[[#This Row],[Code]], allFYsTable[year2], AQ$3))</f>
        <v>#N/A</v>
      </c>
      <c r="AR171" s="61" t="e">
        <f>SummaryTable[[#This Row],[OriginalBudget23]]-SummaryTable[[#This Row],[OriginalBudget22]]</f>
        <v>#N/A</v>
      </c>
      <c r="AS171" s="54" t="e">
        <f>SummaryTable[[#This Row],[BudgetIncreaseAmount23]]/SummaryTable[[#This Row],[OriginalBudget22]]</f>
        <v>#N/A</v>
      </c>
      <c r="AT171" s="61" t="e">
        <f>IF(COUNTIFS(allFYsTable[Code], SummaryTable[[#This Row],[Code]], allFYsTable[year2], AQ$3)=0, NotFound, SUMIFS(allFYsTable[RevisedBudget], allFYsTable[Code], SummaryTable[[#This Row],[Code]], allFYsTable[year2], AQ$3))</f>
        <v>#N/A</v>
      </c>
      <c r="AU171" s="61" t="e">
        <f>IF(COUNTIFS(allFYsTable[Code], SummaryTable[[#This Row],[Code]], allFYsTable[year2], AQ$3)=0, NotFound, SUMIFS(allFYsTable[Actual], allFYsTable[Code], SummaryTable[[#This Row],[Code]], allFYsTable[year2], AQ$3))</f>
        <v>#N/A</v>
      </c>
      <c r="AV171" s="61" t="e">
        <f>IF(COUNTIFS(allFYsTable[Code], SummaryTable[[#This Row],[Code]], allFYsTable[year2], AQ$3)=0, NotFound, SUMIFS(allFYsTable[DiffAmount], allFYsTable[Code], SummaryTable[[#This Row],[Code]], allFYsTable[year2], AQ$3))</f>
        <v>#N/A</v>
      </c>
      <c r="AW171" s="63" t="e">
        <f>IF(SummaryTable[[#This Row],[OriginalBudget23]]=0, IF(SummaryTable[[#This Row],[DiffAmount23]]=0, ZeroBudgetNoSpending, ZeroBudgetWithSpending), SummaryTable[[#This Row],[DiffAmount23]]/SummaryTable[[#This Row],[OriginalBudget23]])</f>
        <v>#N/A</v>
      </c>
      <c r="AX171" s="62" t="e">
        <f>IF(COUNTIFS(allFYsTable[Code], SummaryTable[[#This Row],[Code]], allFYsTable[year2], AX$3)=0, NotFound, SUMIFS(allFYsTable[OriginalBudget], allFYsTable[Code], SummaryTable[[#This Row],[Code]], allFYsTable[year2], AX$3))</f>
        <v>#N/A</v>
      </c>
      <c r="AY171" s="61" t="e">
        <f>SummaryTable[[#This Row],[OriginalBudget22]]-SummaryTable[[#This Row],[OriginalBudget21]]</f>
        <v>#N/A</v>
      </c>
      <c r="AZ171" s="54" t="e">
        <f>SummaryTable[[#This Row],[BudgetIncreaseAmount22]]/SummaryTable[[#This Row],[OriginalBudget21]]</f>
        <v>#N/A</v>
      </c>
      <c r="BA171" s="61" t="e">
        <f>IF(COUNTIFS(allFYsTable[Code], SummaryTable[[#This Row],[Code]], allFYsTable[year2], AX$3)=0, NotFound, SUMIFS(allFYsTable[RevisedBudget], allFYsTable[Code], SummaryTable[[#This Row],[Code]], allFYsTable[year2], AX$3))</f>
        <v>#N/A</v>
      </c>
      <c r="BB171" s="61" t="e">
        <f>IF(COUNTIFS(allFYsTable[Code], SummaryTable[[#This Row],[Code]], allFYsTable[year2], AX$3)=0, NotFound, SUMIFS(allFYsTable[Actual], allFYsTable[Code], SummaryTable[[#This Row],[Code]], allFYsTable[year2], AX$3))</f>
        <v>#N/A</v>
      </c>
      <c r="BC171" s="61" t="e">
        <f>IF(COUNTIFS(allFYsTable[Code], SummaryTable[[#This Row],[Code]], allFYsTable[year2], AX$3)=0, NotFound, SUMIFS(allFYsTable[DiffAmount], allFYsTable[Code], SummaryTable[[#This Row],[Code]], allFYsTable[year2], AX$3))</f>
        <v>#N/A</v>
      </c>
      <c r="BD171" s="63" t="e">
        <f>IF(SummaryTable[[#This Row],[OriginalBudget22]]=0, IF(SummaryTable[[#This Row],[DiffAmount22]]=0, ZeroBudgetNoSpending, ZeroBudgetWithSpending), SummaryTable[[#This Row],[DiffAmount22]]/SummaryTable[[#This Row],[OriginalBudget22]])</f>
        <v>#N/A</v>
      </c>
      <c r="BE171" s="62" t="e">
        <f>IF(COUNTIFS(allFYsTable[Code], SummaryTable[[#This Row],[Code]], allFYsTable[year2], BE$3)=0, NotFound, SUMIFS(allFYsTable[OriginalBudget], allFYsTable[Code], SummaryTable[[#This Row],[Code]], allFYsTable[year2], BE$3))</f>
        <v>#N/A</v>
      </c>
      <c r="BF171" s="61" t="e">
        <f>SummaryTable[[#This Row],[OriginalBudget21]]-SummaryTable[[#This Row],[OriginalBudget20]]</f>
        <v>#N/A</v>
      </c>
      <c r="BG171" s="54" t="e">
        <f>SummaryTable[[#This Row],[BudgetIncreaseAmount21]]/SummaryTable[[#This Row],[OriginalBudget20]]</f>
        <v>#N/A</v>
      </c>
      <c r="BH171" s="61" t="e">
        <f>IF(COUNTIFS(allFYsTable[Code], SummaryTable[[#This Row],[Code]], allFYsTable[year2], BE$3)=0, NotFound, SUMIFS(allFYsTable[RevisedBudget], allFYsTable[Code], SummaryTable[[#This Row],[Code]], allFYsTable[year2], BE$3))</f>
        <v>#N/A</v>
      </c>
      <c r="BI171" s="61" t="e">
        <f>IF(COUNTIFS(allFYsTable[Code], SummaryTable[[#This Row],[Code]], allFYsTable[year2], BE$3)=0, NotFound, SUMIFS(allFYsTable[Actual], allFYsTable[Code], SummaryTable[[#This Row],[Code]], allFYsTable[year2], BE$3))</f>
        <v>#N/A</v>
      </c>
      <c r="BJ171" s="61" t="e">
        <f>IF(COUNTIFS(allFYsTable[Code], SummaryTable[[#This Row],[Code]], allFYsTable[year2], BE$3)=0, NotFound, SUMIFS(allFYsTable[DiffAmount], allFYsTable[Code], SummaryTable[[#This Row],[Code]], allFYsTable[year2], BE$3))</f>
        <v>#N/A</v>
      </c>
      <c r="BK171" s="63" t="e">
        <f>IF(SummaryTable[[#This Row],[OriginalBudget21]]=0, IF(SummaryTable[[#This Row],[DiffAmount21]]=0, ZeroBudgetNoSpending, ZeroBudgetWithSpending), SummaryTable[[#This Row],[DiffAmount21]]/SummaryTable[[#This Row],[OriginalBudget21]])</f>
        <v>#N/A</v>
      </c>
      <c r="BL171" s="62" t="e">
        <f>IF(COUNTIFS(allFYsTable[Code], SummaryTable[[#This Row],[Code]], allFYsTable[year2], BL$3)=0, NotFound, SUMIFS(allFYsTable[OriginalBudget], allFYsTable[Code], SummaryTable[[#This Row],[Code]], allFYsTable[year2], BL$3))</f>
        <v>#N/A</v>
      </c>
      <c r="BM171" s="61" t="e">
        <f>SummaryTable[[#This Row],[OriginalBudget20]]-SummaryTable[[#This Row],[OriginalBudget19]]</f>
        <v>#N/A</v>
      </c>
      <c r="BN171" s="54" t="e">
        <f>SummaryTable[[#This Row],[BudgetIncreaseAmount20]]/SummaryTable[[#This Row],[OriginalBudget19]]</f>
        <v>#N/A</v>
      </c>
      <c r="BO171" s="61" t="e">
        <f>IF(COUNTIFS(allFYsTable[Code], SummaryTable[[#This Row],[Code]], allFYsTable[year2], BL$3)=0, NotFound, SUMIFS(allFYsTable[RevisedBudget], allFYsTable[Code], SummaryTable[[#This Row],[Code]], allFYsTable[year2], BL$3))</f>
        <v>#N/A</v>
      </c>
      <c r="BP171" s="61" t="e">
        <f>IF(COUNTIFS(allFYsTable[Code], SummaryTable[[#This Row],[Code]], allFYsTable[year2], BL$3)=0, NotFound, SUMIFS(allFYsTable[Actual], allFYsTable[Code], SummaryTable[[#This Row],[Code]], allFYsTable[year2], BL$3))</f>
        <v>#N/A</v>
      </c>
      <c r="BQ171" s="61" t="e">
        <f>IF(COUNTIFS(allFYsTable[Code], SummaryTable[[#This Row],[Code]], allFYsTable[year2], BL$3)=0, NotFound, SUMIFS(allFYsTable[DiffAmount], allFYsTable[Code], SummaryTable[[#This Row],[Code]], allFYsTable[year2], BL$3))</f>
        <v>#N/A</v>
      </c>
      <c r="BR171" s="63" t="e">
        <f>IF(SummaryTable[[#This Row],[OriginalBudget20]]=0, IF(SummaryTable[[#This Row],[DiffAmount20]]=0, ZeroBudgetNoSpending, ZeroBudgetWithSpending), SummaryTable[[#This Row],[DiffAmount20]]/SummaryTable[[#This Row],[OriginalBudget20]])</f>
        <v>#N/A</v>
      </c>
      <c r="BS171" s="62" t="e">
        <f>IF(COUNTIFS(allFYsTable[Code], SummaryTable[[#This Row],[Code]], allFYsTable[year2], BS$3)=0, NotFound, SUMIFS(allFYsTable[OriginalBudget], allFYsTable[Code], SummaryTable[[#This Row],[Code]], allFYsTable[year2], BS$3))</f>
        <v>#N/A</v>
      </c>
      <c r="BT171" s="61" t="e">
        <f>SummaryTable[[#This Row],[OriginalBudget19]]-SummaryTable[[#This Row],[OriginalBudget18]]</f>
        <v>#N/A</v>
      </c>
      <c r="BU171" s="54" t="e">
        <f>SummaryTable[[#This Row],[BudgetIncreaseAmount19]]/SummaryTable[[#This Row],[OriginalBudget18]]</f>
        <v>#N/A</v>
      </c>
      <c r="BV171" s="61" t="e">
        <f>IF(COUNTIFS(allFYsTable[Code], SummaryTable[[#This Row],[Code]], allFYsTable[year2], BS$3)=0, NotFound, SUMIFS(allFYsTable[RevisedBudget], allFYsTable[Code], SummaryTable[[#This Row],[Code]], allFYsTable[year2], BS$3))</f>
        <v>#N/A</v>
      </c>
      <c r="BW171" s="61" t="e">
        <f>IF(COUNTIFS(allFYsTable[Code], SummaryTable[[#This Row],[Code]], allFYsTable[year2], BS$3)=0, NotFound, SUMIFS(allFYsTable[Actual], allFYsTable[Code], SummaryTable[[#This Row],[Code]], allFYsTable[year2], BS$3))</f>
        <v>#N/A</v>
      </c>
      <c r="BX171" s="61" t="e">
        <f>IF(COUNTIFS(allFYsTable[Code], SummaryTable[[#This Row],[Code]], allFYsTable[year2], BS$3)=0, NotFound, SUMIFS(allFYsTable[DiffAmount], allFYsTable[Code], SummaryTable[[#This Row],[Code]], allFYsTable[year2], BS$3))</f>
        <v>#N/A</v>
      </c>
      <c r="BY171" s="63" t="e">
        <f>IF(SummaryTable[[#This Row],[OriginalBudget19]]=0, IF(SummaryTable[[#This Row],[DiffAmount19]]=0, ZeroBudgetNoSpending, ZeroBudgetWithSpending), SummaryTable[[#This Row],[DiffAmount19]]/SummaryTable[[#This Row],[OriginalBudget19]])</f>
        <v>#N/A</v>
      </c>
      <c r="BZ171" s="62" t="e">
        <f>IF(COUNTIFS(allFYsTable[Code], SummaryTable[[#This Row],[Code]], allFYsTable[year2], BZ$3)=0, NotFound, SUMIFS(allFYsTable[OriginalBudget], allFYsTable[Code], SummaryTable[[#This Row],[Code]], allFYsTable[year2], BZ$3))</f>
        <v>#N/A</v>
      </c>
      <c r="CA171" s="61" t="e">
        <f>SummaryTable[[#This Row],[OriginalBudget18]]-SummaryTable[[#This Row],[OriginalBudget17]]</f>
        <v>#N/A</v>
      </c>
      <c r="CB171" s="54" t="e">
        <f>SummaryTable[[#This Row],[BudgetIncreaseAmount18]]/SummaryTable[[#This Row],[OriginalBudget17]]</f>
        <v>#N/A</v>
      </c>
      <c r="CC171" s="61" t="e">
        <f>IF(COUNTIFS(allFYsTable[Code], SummaryTable[[#This Row],[Code]], allFYsTable[year2], BZ$3)=0, NotFound, SUMIFS(allFYsTable[RevisedBudget], allFYsTable[Code], SummaryTable[[#This Row],[Code]], allFYsTable[year2], BZ$3))</f>
        <v>#N/A</v>
      </c>
      <c r="CD171" s="61" t="e">
        <f>IF(COUNTIFS(allFYsTable[Code], SummaryTable[[#This Row],[Code]], allFYsTable[year2], BZ$3)=0, NotFound, SUMIFS(allFYsTable[Actual], allFYsTable[Code], SummaryTable[[#This Row],[Code]], allFYsTable[year2], BZ$3))</f>
        <v>#N/A</v>
      </c>
      <c r="CE171" s="61" t="e">
        <f>IF(COUNTIFS(allFYsTable[Code], SummaryTable[[#This Row],[Code]], allFYsTable[year2], BZ$3)=0, NotFound, SUMIFS(allFYsTable[DiffAmount], allFYsTable[Code], SummaryTable[[#This Row],[Code]], allFYsTable[year2], BZ$3))</f>
        <v>#N/A</v>
      </c>
      <c r="CF171" s="63" t="e">
        <f>IF(SummaryTable[[#This Row],[OriginalBudget18]]=0, IF(SummaryTable[[#This Row],[DiffAmount18]]=0, ZeroBudgetNoSpending, ZeroBudgetWithSpending), SummaryTable[[#This Row],[DiffAmount18]]/SummaryTable[[#This Row],[OriginalBudget18]])</f>
        <v>#N/A</v>
      </c>
      <c r="CG171" s="62" t="e">
        <f>IF(COUNTIFS(allFYsTable[Code], SummaryTable[[#This Row],[Code]], allFYsTable[year2], CG$3)=0, NotFound, SUMIFS(allFYsTable[OriginalBudget], allFYsTable[Code], SummaryTable[[#This Row],[Code]], allFYsTable[year2], CG$3))</f>
        <v>#N/A</v>
      </c>
      <c r="CH171" s="61" t="e">
        <f>SummaryTable[[#This Row],[OriginalBudget17]]-SummaryTable[[#This Row],[OriginalBudget16]]</f>
        <v>#N/A</v>
      </c>
      <c r="CI171" s="54" t="e">
        <f>SummaryTable[[#This Row],[BudgetIncreaseAmount17]]/SummaryTable[[#This Row],[OriginalBudget16]]</f>
        <v>#N/A</v>
      </c>
      <c r="CJ171" s="61" t="e">
        <f>IF(COUNTIFS(allFYsTable[Code], SummaryTable[[#This Row],[Code]], allFYsTable[year2], CG$3)=0, NotFound, SUMIFS(allFYsTable[RevisedBudget], allFYsTable[Code], SummaryTable[[#This Row],[Code]], allFYsTable[year2], CG$3))</f>
        <v>#N/A</v>
      </c>
      <c r="CK171" s="61" t="e">
        <f>IF(COUNTIFS(allFYsTable[Code], SummaryTable[[#This Row],[Code]], allFYsTable[year2], CG$3)=0, NotFound, SUMIFS(allFYsTable[Actual], allFYsTable[Code], SummaryTable[[#This Row],[Code]], allFYsTable[year2], CG$3))</f>
        <v>#N/A</v>
      </c>
      <c r="CL171" s="61" t="e">
        <f>IF(COUNTIFS(allFYsTable[Code], SummaryTable[[#This Row],[Code]], allFYsTable[year2], CG$3)=0, NotFound, SUMIFS(allFYsTable[DiffAmount], allFYsTable[Code], SummaryTable[[#This Row],[Code]], allFYsTable[year2], CG$3))</f>
        <v>#N/A</v>
      </c>
      <c r="CM171" s="63" t="e">
        <f>IF(SummaryTable[[#This Row],[OriginalBudget17]]=0, IF(SummaryTable[[#This Row],[DiffAmount17]]=0, ZeroBudgetNoSpending, ZeroBudgetWithSpending), SummaryTable[[#This Row],[DiffAmount17]]/SummaryTable[[#This Row],[OriginalBudget17]])</f>
        <v>#N/A</v>
      </c>
      <c r="CN171" s="62" t="e">
        <f>IF(COUNTIFS(allFYsTable[Code], SummaryTable[[#This Row],[Code]], allFYsTable[year2], CN$3)=0, NotFound, SUMIFS(allFYsTable[OriginalBudget], allFYsTable[Code], SummaryTable[[#This Row],[Code]], allFYsTable[year2], CN$3))</f>
        <v>#N/A</v>
      </c>
      <c r="CO171" s="61" t="e">
        <f>SummaryTable[[#This Row],[OriginalBudget16]]-SummaryTable[[#This Row],[OriginalBudget15]]</f>
        <v>#N/A</v>
      </c>
      <c r="CP171" s="54" t="e">
        <f>SummaryTable[[#This Row],[BudgetIncreaseAmount16]]/SummaryTable[[#This Row],[OriginalBudget15]]</f>
        <v>#N/A</v>
      </c>
      <c r="CQ171" s="61" t="e">
        <f>IF(COUNTIFS(allFYsTable[Code], SummaryTable[[#This Row],[Code]], allFYsTable[year2], CN$3)=0, NotFound, SUMIFS(allFYsTable[RevisedBudget], allFYsTable[Code], SummaryTable[[#This Row],[Code]], allFYsTable[year2], CN$3))</f>
        <v>#N/A</v>
      </c>
      <c r="CR171" s="61" t="e">
        <f>IF(COUNTIFS(allFYsTable[Code], SummaryTable[[#This Row],[Code]], allFYsTable[year2], CN$3)=0, NotFound, SUMIFS(allFYsTable[Actual], allFYsTable[Code], SummaryTable[[#This Row],[Code]], allFYsTable[year2], CN$3))</f>
        <v>#N/A</v>
      </c>
      <c r="CS171" s="61" t="e">
        <f>IF(COUNTIFS(allFYsTable[Code], SummaryTable[[#This Row],[Code]], allFYsTable[year2], CN$3)=0, NotFound, SUMIFS(allFYsTable[DiffAmount], allFYsTable[Code], SummaryTable[[#This Row],[Code]], allFYsTable[year2], CN$3))</f>
        <v>#N/A</v>
      </c>
      <c r="CT171" s="63" t="e">
        <f>IF(SummaryTable[[#This Row],[OriginalBudget16]]=0, IF(SummaryTable[[#This Row],[DiffAmount16]]=0, ZeroBudgetNoSpending, ZeroBudgetWithSpending), SummaryTable[[#This Row],[DiffAmount16]]/SummaryTable[[#This Row],[OriginalBudget16]])</f>
        <v>#N/A</v>
      </c>
      <c r="CU171" s="62" t="e">
        <f>IF(COUNTIFS(allFYsTable[Code], SummaryTable[[#This Row],[Code]], allFYsTable[year2], CU$3)=0, NotFound, SUMIFS(allFYsTable[OriginalBudget], allFYsTable[Code], SummaryTable[[#This Row],[Code]], allFYsTable[year2], CU$3))</f>
        <v>#N/A</v>
      </c>
      <c r="CV171" s="61" t="e">
        <f>SummaryTable[[#This Row],[OriginalBudget15]]-SummaryTable[[#This Row],[OriginalBudget14]]</f>
        <v>#N/A</v>
      </c>
      <c r="CW171" s="54" t="e">
        <f>SummaryTable[[#This Row],[BudgetIncreaseAmount15]]/SummaryTable[[#This Row],[OriginalBudget14]]</f>
        <v>#N/A</v>
      </c>
      <c r="CX171" s="61" t="e">
        <f>IF(COUNTIFS(allFYsTable[Code], SummaryTable[[#This Row],[Code]], allFYsTable[year2], CU$3)=0, NotFound, SUMIFS(allFYsTable[RevisedBudget], allFYsTable[Code], SummaryTable[[#This Row],[Code]], allFYsTable[year2], CU$3))</f>
        <v>#N/A</v>
      </c>
      <c r="CY171" s="61" t="e">
        <f>IF(COUNTIFS(allFYsTable[Code], SummaryTable[[#This Row],[Code]], allFYsTable[year2], CU$3)=0, NotFound, SUMIFS(allFYsTable[Actual], allFYsTable[Code], SummaryTable[[#This Row],[Code]], allFYsTable[year2], CU$3))</f>
        <v>#N/A</v>
      </c>
      <c r="CZ171" s="61" t="e">
        <f>IF(COUNTIFS(allFYsTable[Code], SummaryTable[[#This Row],[Code]], allFYsTable[year2], CU$3)=0, NotFound, SUMIFS(allFYsTable[DiffAmount], allFYsTable[Code], SummaryTable[[#This Row],[Code]], allFYsTable[year2], CU$3))</f>
        <v>#N/A</v>
      </c>
      <c r="DA171" s="63" t="e">
        <f>IF(SummaryTable[[#This Row],[OriginalBudget15]]=0, IF(SummaryTable[[#This Row],[DiffAmount15]]=0, ZeroBudgetNoSpending, ZeroBudgetWithSpending), SummaryTable[[#This Row],[DiffAmount15]]/SummaryTable[[#This Row],[OriginalBudget15]])</f>
        <v>#N/A</v>
      </c>
      <c r="DB171" s="62" t="e">
        <f>IF(COUNTIFS(allFYsTable[Code], SummaryTable[[#This Row],[Code]], allFYsTable[year2], DB$3)=0, NotFound, SUMIFS(allFYsTable[OriginalBudget], allFYsTable[Code], SummaryTable[[#This Row],[Code]], allFYsTable[year2], DB$3))</f>
        <v>#N/A</v>
      </c>
      <c r="DC171" s="61" t="e">
        <f>SummaryTable[[#This Row],[OriginalBudget14]]-SummaryTable[[#This Row],[OriginalBudget13]]</f>
        <v>#N/A</v>
      </c>
      <c r="DD171" s="54" t="e">
        <f>SummaryTable[[#This Row],[BudgetIncreaseAmount14]]/SummaryTable[[#This Row],[OriginalBudget13]]</f>
        <v>#N/A</v>
      </c>
      <c r="DE171" s="61" t="e">
        <f>IF(COUNTIFS(allFYsTable[Code], SummaryTable[[#This Row],[Code]], allFYsTable[year2], DB$3)=0, NotFound, SUMIFS(allFYsTable[RevisedBudget], allFYsTable[Code], SummaryTable[[#This Row],[Code]], allFYsTable[year2], DB$3))</f>
        <v>#N/A</v>
      </c>
      <c r="DF171" s="61" t="e">
        <f>IF(COUNTIFS(allFYsTable[Code], SummaryTable[[#This Row],[Code]], allFYsTable[year2], DB$3)=0, NotFound, SUMIFS(allFYsTable[Actual], allFYsTable[Code], SummaryTable[[#This Row],[Code]], allFYsTable[year2], DB$3))</f>
        <v>#N/A</v>
      </c>
      <c r="DG171" s="61" t="e">
        <f>IF(COUNTIFS(allFYsTable[Code], SummaryTable[[#This Row],[Code]], allFYsTable[year2], DB$3)=0, NotFound, SUMIFS(allFYsTable[DiffAmount], allFYsTable[Code], SummaryTable[[#This Row],[Code]], allFYsTable[year2], DB$3))</f>
        <v>#N/A</v>
      </c>
      <c r="DH171" s="63" t="e">
        <f>IF(SummaryTable[[#This Row],[OriginalBudget14]]=0, IF(SummaryTable[[#This Row],[DiffAmount14]]=0, ZeroBudgetNoSpending, ZeroBudgetWithSpending), SummaryTable[[#This Row],[DiffAmount14]]/SummaryTable[[#This Row],[OriginalBudget14]])</f>
        <v>#N/A</v>
      </c>
      <c r="DI171" s="62" t="e">
        <f>IF(COUNTIFS(allFYsTable[Code], SummaryTable[[#This Row],[Code]], allFYsTable[year2], DI$3)=0, NotFound, SUMIFS(allFYsTable[OriginalBudget], allFYsTable[Code], SummaryTable[[#This Row],[Code]], allFYsTable[year2], DI$3))</f>
        <v>#N/A</v>
      </c>
      <c r="DJ171" s="61" t="e">
        <f>SummaryTable[[#This Row],[OriginalBudget13]]-SummaryTable[[#This Row],[OriginalBudget12]]</f>
        <v>#N/A</v>
      </c>
      <c r="DK171" s="54" t="e">
        <f>SummaryTable[[#This Row],[BudgetIncreaseAmount13]]/SummaryTable[[#This Row],[OriginalBudget12]]</f>
        <v>#N/A</v>
      </c>
      <c r="DL171" s="61" t="e">
        <f>IF(COUNTIFS(allFYsTable[Code], SummaryTable[[#This Row],[Code]], allFYsTable[year2], DI$3)=0, NotFound, SUMIFS(allFYsTable[RevisedBudget], allFYsTable[Code], SummaryTable[[#This Row],[Code]], allFYsTable[year2], DI$3))</f>
        <v>#N/A</v>
      </c>
      <c r="DM171" s="61" t="e">
        <f>IF(COUNTIFS(allFYsTable[Code], SummaryTable[[#This Row],[Code]], allFYsTable[year2], DI$3)=0, NotFound, SUMIFS(allFYsTable[Actual], allFYsTable[Code], SummaryTable[[#This Row],[Code]], allFYsTable[year2], DI$3))</f>
        <v>#N/A</v>
      </c>
      <c r="DN171" s="61" t="e">
        <f>IF(COUNTIFS(allFYsTable[Code], SummaryTable[[#This Row],[Code]], allFYsTable[year2], DI$3)=0, NotFound, SUMIFS(allFYsTable[DiffAmount], allFYsTable[Code], SummaryTable[[#This Row],[Code]], allFYsTable[year2], DI$3))</f>
        <v>#N/A</v>
      </c>
      <c r="DO171" s="63" t="e">
        <f>IF(SummaryTable[[#This Row],[OriginalBudget13]]=0, IF(SummaryTable[[#This Row],[DiffAmount13]]=0, ZeroBudgetNoSpending, ZeroBudgetWithSpending), SummaryTable[[#This Row],[DiffAmount13]]/SummaryTable[[#This Row],[OriginalBudget13]])</f>
        <v>#N/A</v>
      </c>
      <c r="DP171" s="62" t="e">
        <f>IF(COUNTIFS(allFYsTable[Code], SummaryTable[[#This Row],[Code]], allFYsTable[year2], DP$3)=0, NotFound, SUMIFS(allFYsTable[OriginalBudget], allFYsTable[Code], SummaryTable[[#This Row],[Code]], allFYsTable[year2], DP$3))</f>
        <v>#N/A</v>
      </c>
      <c r="DQ171" s="61" t="e">
        <f>SummaryTable[[#This Row],[OriginalBudget12]]-SummaryTable[[#This Row],[OriginalBudget11]]</f>
        <v>#N/A</v>
      </c>
      <c r="DR171" s="54" t="e">
        <f>SummaryTable[[#This Row],[BudgetIncreaseAmount12]]/SummaryTable[[#This Row],[OriginalBudget11]]</f>
        <v>#N/A</v>
      </c>
      <c r="DS171" s="61" t="e">
        <f>IF(COUNTIFS(allFYsTable[Code], SummaryTable[[#This Row],[Code]], allFYsTable[year2], DP$3)=0, NotFound, SUMIFS(allFYsTable[RevisedBudget], allFYsTable[Code], SummaryTable[[#This Row],[Code]], allFYsTable[year2], DP$3))</f>
        <v>#N/A</v>
      </c>
      <c r="DT171" s="61" t="e">
        <f>IF(COUNTIFS(allFYsTable[Code], SummaryTable[[#This Row],[Code]], allFYsTable[year2], DP$3)=0, NotFound, SUMIFS(allFYsTable[Actual], allFYsTable[Code], SummaryTable[[#This Row],[Code]], allFYsTable[year2], DP$3))</f>
        <v>#N/A</v>
      </c>
      <c r="DU171" s="61" t="e">
        <f>IF(COUNTIFS(allFYsTable[Code], SummaryTable[[#This Row],[Code]], allFYsTable[year2], DP$3)=0, NotFound, SUMIFS(allFYsTable[DiffAmount], allFYsTable[Code], SummaryTable[[#This Row],[Code]], allFYsTable[year2], DP$3))</f>
        <v>#N/A</v>
      </c>
      <c r="DV171" s="63" t="e">
        <f>IF(SummaryTable[[#This Row],[OriginalBudget12]]=0, IF(SummaryTable[[#This Row],[DiffAmount12]]=0, ZeroBudgetNoSpending, ZeroBudgetWithSpending), SummaryTable[[#This Row],[DiffAmount12]]/SummaryTable[[#This Row],[OriginalBudget12]])</f>
        <v>#N/A</v>
      </c>
      <c r="DW171" s="62" t="e">
        <f>IF(COUNTIFS(allFYsTable[Code], SummaryTable[[#This Row],[Code]], allFYsTable[year2], DW$3)=0, NotFound, SUMIFS(allFYsTable[OriginalBudget], allFYsTable[Code], SummaryTable[[#This Row],[Code]], allFYsTable[year2], DW$3))</f>
        <v>#N/A</v>
      </c>
      <c r="DX171" s="61" t="e">
        <f>SummaryTable[[#This Row],[OriginalBudget11]]-SummaryTable[[#This Row],[OriginalBudget10]]</f>
        <v>#N/A</v>
      </c>
      <c r="DY171" s="54" t="e">
        <f>SummaryTable[[#This Row],[BudgetIncreaseAmount11]]/SummaryTable[[#This Row],[OriginalBudget10]]</f>
        <v>#N/A</v>
      </c>
      <c r="DZ171" s="61" t="e">
        <f>IF(COUNTIFS(allFYsTable[Code], SummaryTable[[#This Row],[Code]], allFYsTable[year2], DW$3)=0, NotFound, SUMIFS(allFYsTable[RevisedBudget], allFYsTable[Code], SummaryTable[[#This Row],[Code]], allFYsTable[year2], DW$3))</f>
        <v>#N/A</v>
      </c>
      <c r="EA171" s="61" t="e">
        <f>IF(COUNTIFS(allFYsTable[Code], SummaryTable[[#This Row],[Code]], allFYsTable[year2], DW$3)=0, NotFound, SUMIFS(allFYsTable[Actual], allFYsTable[Code], SummaryTable[[#This Row],[Code]], allFYsTable[year2], DW$3))</f>
        <v>#N/A</v>
      </c>
      <c r="EB171" s="61" t="e">
        <f>IF(COUNTIFS(allFYsTable[Code], SummaryTable[[#This Row],[Code]], allFYsTable[year2], DW$3)=0, NotFound, SUMIFS(allFYsTable[DiffAmount], allFYsTable[Code], SummaryTable[[#This Row],[Code]], allFYsTable[year2], DW$3))</f>
        <v>#N/A</v>
      </c>
      <c r="EC171" s="63" t="e">
        <f>IF(SummaryTable[[#This Row],[OriginalBudget11]]=0, IF(SummaryTable[[#This Row],[DiffAmount11]]=0, ZeroBudgetNoSpending, ZeroBudgetWithSpending), SummaryTable[[#This Row],[DiffAmount11]]/SummaryTable[[#This Row],[OriginalBudget11]])</f>
        <v>#N/A</v>
      </c>
      <c r="ED171" s="62">
        <f>IF(COUNTIFS(allFYsTable[Code], SummaryTable[[#This Row],[Code]], allFYsTable[year2], ED$3)=0, NotFound, SUMIFS(allFYsTable[OriginalBudget], allFYsTable[Code], SummaryTable[[#This Row],[Code]], allFYsTable[year2], ED$3))</f>
        <v>642</v>
      </c>
      <c r="EE171" s="61">
        <f>SummaryTable[[#This Row],[OriginalBudget10]]-SummaryTable[[#This Row],[OriginalBudget09]]</f>
        <v>-255</v>
      </c>
      <c r="EF171" s="54">
        <f>SummaryTable[[#This Row],[BudgetIncreaseAmount10]]/SummaryTable[[#This Row],[OriginalBudget09]]</f>
        <v>-0.28428093645484948</v>
      </c>
      <c r="EG171" s="61">
        <f>IF(COUNTIFS(allFYsTable[Code], SummaryTable[[#This Row],[Code]], allFYsTable[year2], ED$3)=0, NotFound, SUMIFS(allFYsTable[RevisedBudget], allFYsTable[Code], SummaryTable[[#This Row],[Code]], allFYsTable[year2], ED$3))</f>
        <v>642</v>
      </c>
      <c r="EH171" s="61">
        <f>IF(COUNTIFS(allFYsTable[Code], SummaryTable[[#This Row],[Code]], allFYsTable[year2], ED$3)=0, NotFound, SUMIFS(allFYsTable[Actual], allFYsTable[Code], SummaryTable[[#This Row],[Code]], allFYsTable[year2], ED$3))</f>
        <v>624</v>
      </c>
      <c r="EI171" s="61">
        <f>IF(COUNTIFS(allFYsTable[Code], SummaryTable[[#This Row],[Code]], allFYsTable[year2], ED$3)=0, NotFound, SUMIFS(allFYsTable[DiffAmount], allFYsTable[Code], SummaryTable[[#This Row],[Code]], allFYsTable[year2], ED$3))</f>
        <v>-18</v>
      </c>
      <c r="EJ171" s="63">
        <f>IF(SummaryTable[[#This Row],[OriginalBudget10]]=0, IF(SummaryTable[[#This Row],[DiffAmount10]]=0, ZeroBudgetNoSpending, ZeroBudgetWithSpending), SummaryTable[[#This Row],[DiffAmount10]]/SummaryTable[[#This Row],[OriginalBudget10]])</f>
        <v>-2.8037383177570093E-2</v>
      </c>
      <c r="EK171" s="62">
        <f>IF(COUNTIFS(allFYsTable[Code], SummaryTable[[#This Row],[Code]], allFYsTable[year2], EK$3)=0, NotFound, SUMIFS(allFYsTable[OriginalBudget], allFYsTable[Code], SummaryTable[[#This Row],[Code]], allFYsTable[year2], EK$3))</f>
        <v>897</v>
      </c>
      <c r="EL171" s="61" t="e">
        <f>SummaryTable[[#This Row],[OriginalBudget09]]-SummaryTable[[#This Row],[OriginalBudget08]]</f>
        <v>#N/A</v>
      </c>
      <c r="EM171" s="54" t="e">
        <f>SummaryTable[[#This Row],[BudgetIncreaseAmount09]]/SummaryTable[[#This Row],[OriginalBudget08]]</f>
        <v>#N/A</v>
      </c>
      <c r="EN171" s="61">
        <f>IF(COUNTIFS(allFYsTable[Code], SummaryTable[[#This Row],[Code]], allFYsTable[year2], EK$3)=0, NotFound, SUMIFS(allFYsTable[RevisedBudget], allFYsTable[Code], SummaryTable[[#This Row],[Code]], allFYsTable[year2], EK$3))</f>
        <v>897</v>
      </c>
      <c r="EO171" s="61">
        <f>IF(COUNTIFS(allFYsTable[Code], SummaryTable[[#This Row],[Code]], allFYsTable[year2], EK$3)=0, NotFound, SUMIFS(allFYsTable[Actual], allFYsTable[Code], SummaryTable[[#This Row],[Code]], allFYsTable[year2], EK$3))</f>
        <v>850</v>
      </c>
      <c r="EP171" s="61">
        <f>IF(COUNTIFS(allFYsTable[Code], SummaryTable[[#This Row],[Code]], allFYsTable[year2], EK$3)=0, NotFound, SUMIFS(allFYsTable[DiffAmount], allFYsTable[Code], SummaryTable[[#This Row],[Code]], allFYsTable[year2], EK$3))</f>
        <v>-47</v>
      </c>
      <c r="EQ171" s="63">
        <f>IF(SummaryTable[[#This Row],[OriginalBudget09]]=0, IF(SummaryTable[[#This Row],[DiffAmount09]]=0, ZeroBudgetNoSpending, ZeroBudgetWithSpending), SummaryTable[[#This Row],[DiffAmount09]]/SummaryTable[[#This Row],[OriginalBudget09]])</f>
        <v>-5.2396878483835008E-2</v>
      </c>
      <c r="ER171" s="62" t="e">
        <f>IF(COUNTIFS(allFYsTable[Code], SummaryTable[[#This Row],[Code]], allFYsTable[year2], ER$3)=0, NotFound, SUMIFS(allFYsTable[OriginalBudget], allFYsTable[Code], SummaryTable[[#This Row],[Code]], allFYsTable[year2], ER$3))</f>
        <v>#N/A</v>
      </c>
      <c r="ES171" s="61" t="e">
        <f>SummaryTable[[#This Row],[OriginalBudget08]]-SummaryTable[[#This Row],[OriginalBudget07]]</f>
        <v>#N/A</v>
      </c>
      <c r="ET171" s="54" t="e">
        <f>SummaryTable[[#This Row],[BudgetIncreaseAmount08]]/SummaryTable[[#This Row],[OriginalBudget07]]</f>
        <v>#N/A</v>
      </c>
      <c r="EU171" s="61" t="e">
        <f>IF(COUNTIFS(allFYsTable[Code], SummaryTable[[#This Row],[Code]], allFYsTable[year2], ER$3)=0, NotFound, SUMIFS(allFYsTable[RevisedBudget], allFYsTable[Code], SummaryTable[[#This Row],[Code]], allFYsTable[year2], ER$3))</f>
        <v>#N/A</v>
      </c>
      <c r="EV171" s="61" t="e">
        <f>IF(COUNTIFS(allFYsTable[Code], SummaryTable[[#This Row],[Code]], allFYsTable[year2], ER$3)=0, NotFound, SUMIFS(allFYsTable[Actual], allFYsTable[Code], SummaryTable[[#This Row],[Code]], allFYsTable[year2], ER$3))</f>
        <v>#N/A</v>
      </c>
      <c r="EW171" s="61" t="e">
        <f>IF(COUNTIFS(allFYsTable[Code], SummaryTable[[#This Row],[Code]], allFYsTable[year2], ER$3)=0, NotFound, SUMIFS(allFYsTable[DiffAmount], allFYsTable[Code], SummaryTable[[#This Row],[Code]], allFYsTable[year2], ER$3))</f>
        <v>#N/A</v>
      </c>
      <c r="EX171" s="63" t="e">
        <f>IF(SummaryTable[[#This Row],[OriginalBudget08]]=0, IF(SummaryTable[[#This Row],[DiffAmount08]]=0, ZeroBudgetNoSpending, ZeroBudgetWithSpending), SummaryTable[[#This Row],[DiffAmount08]]/SummaryTable[[#This Row],[OriginalBudget08]])</f>
        <v>#N/A</v>
      </c>
      <c r="EY171" s="62" t="e">
        <f>IF(COUNTIFS(allFYsTable[Code], SummaryTable[[#This Row],[Code]], allFYsTable[year2], EY$3)=0, NotFound, SUMIFS(allFYsTable[OriginalBudget], allFYsTable[Code], SummaryTable[[#This Row],[Code]], allFYsTable[year2], EY$3))</f>
        <v>#N/A</v>
      </c>
      <c r="EZ171" s="61" t="e">
        <f>SummaryTable[[#This Row],[OriginalBudget07]]-SummaryTable[[#This Row],[OriginalBudget06]]</f>
        <v>#N/A</v>
      </c>
      <c r="FA171" s="54" t="e">
        <f>SummaryTable[[#This Row],[BudgetIncreaseAmount07]]/SummaryTable[[#This Row],[OriginalBudget06]]</f>
        <v>#N/A</v>
      </c>
      <c r="FB171" s="61" t="e">
        <f>IF(COUNTIFS(allFYsTable[Code], SummaryTable[[#This Row],[Code]], allFYsTable[year2], EY$3)=0, NotFound, SUMIFS(allFYsTable[RevisedBudget], allFYsTable[Code], SummaryTable[[#This Row],[Code]], allFYsTable[year2], EY$3))</f>
        <v>#N/A</v>
      </c>
      <c r="FC171" s="61" t="e">
        <f>IF(COUNTIFS(allFYsTable[Code], SummaryTable[[#This Row],[Code]], allFYsTable[year2], EY$3)=0, NotFound, SUMIFS(allFYsTable[Actual], allFYsTable[Code], SummaryTable[[#This Row],[Code]], allFYsTable[year2], EY$3))</f>
        <v>#N/A</v>
      </c>
      <c r="FD171" s="61" t="e">
        <f>IF(COUNTIFS(allFYsTable[Code], SummaryTable[[#This Row],[Code]], allFYsTable[year2], EY$3)=0, NotFound, SUMIFS(allFYsTable[DiffAmount], allFYsTable[Code], SummaryTable[[#This Row],[Code]], allFYsTable[year2], EY$3))</f>
        <v>#N/A</v>
      </c>
      <c r="FE171" s="63" t="e">
        <f>IF(SummaryTable[[#This Row],[OriginalBudget07]]=0, IF(SummaryTable[[#This Row],[DiffAmount07]]=0, ZeroBudgetNoSpending, ZeroBudgetWithSpending), SummaryTable[[#This Row],[DiffAmount07]]/SummaryTable[[#This Row],[OriginalBudget07]])</f>
        <v>#N/A</v>
      </c>
      <c r="FF171" s="62" t="e">
        <f>IF(COUNTIFS(allFYsTable[Code], SummaryTable[[#This Row],[Code]], allFYsTable[year2], FF$3)=0, NotFound, SUMIFS(allFYsTable[OriginalBudget], allFYsTable[Code], SummaryTable[[#This Row],[Code]], allFYsTable[year2], FF$3))</f>
        <v>#N/A</v>
      </c>
      <c r="FI171" s="61" t="e">
        <f>IF(COUNTIFS(allFYsTable[Code], SummaryTable[[#This Row],[Code]], allFYsTable[year2], FF$3)=0, NotFound, SUMIFS(allFYsTable[RevisedBudget], allFYsTable[Code], SummaryTable[[#This Row],[Code]], allFYsTable[year2], FF$3))</f>
        <v>#N/A</v>
      </c>
      <c r="FJ171" s="61" t="e">
        <f>IF(COUNTIFS(allFYsTable[Code], SummaryTable[[#This Row],[Code]], allFYsTable[year2], FF$3)=0, NotFound, SUMIFS(allFYsTable[Actual], allFYsTable[Code], SummaryTable[[#This Row],[Code]], allFYsTable[year2], FF$3))</f>
        <v>#N/A</v>
      </c>
      <c r="FK171" s="61" t="e">
        <f>IF(COUNTIFS(allFYsTable[Code], SummaryTable[[#This Row],[Code]], allFYsTable[year2], FF$3)=0, NotFound, SUMIFS(allFYsTable[DiffAmount], allFYsTable[Code], SummaryTable[[#This Row],[Code]], allFYsTable[year2], FF$3))</f>
        <v>#N/A</v>
      </c>
      <c r="FL171" s="63" t="e">
        <f>IF(SummaryTable[[#This Row],[OriginalBudget06]]=0, IF(SummaryTable[[#This Row],[DiffAmount06]]=0, ZeroBudgetNoSpending, ZeroBudgetWithSpending), SummaryTable[[#This Row],[DiffAmount06]]/SummaryTable[[#This Row],[OriginalBudget06]])</f>
        <v>#N/A</v>
      </c>
    </row>
    <row r="172" spans="1:168" x14ac:dyDescent="0.45">
      <c r="A172" t="s">
        <v>857</v>
      </c>
      <c r="B172">
        <f>_xlfn.MAXIFS(allFYsTable[year2], allFYsTable[Code], SummaryTable[[#This Row],[Code]])</f>
        <v>2010</v>
      </c>
      <c r="C172" t="str">
        <f>_xlfn.XLOOKUP(SummaryTable[[#This Row],[Code]], NameCodingTable[Code], NameCodingTable[Most Recent Category per allFYs])</f>
        <v>Governmental direction and support</v>
      </c>
      <c r="D172" t="str">
        <f>_xlfn.XLOOKUP(SummaryTable[[#This Row],[Code]], NameCodingTable[Code], NameCodingTable[Unit Display Name])</f>
        <v>Serve  dc</v>
      </c>
      <c r="E172" t="str">
        <f>_xlfn.XLOOKUP(SummaryTable[[#This Row],[Code]], NameCodingTable[Code], NameCodingTable[Type])</f>
        <v>untyped</v>
      </c>
      <c r="F17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3</v>
      </c>
      <c r="G17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72" s="54">
        <f>SummaryTable[[#This Row],['# Over]]/SummaryTable[[#This Row],[Count]]</f>
        <v>0.33333333333333331</v>
      </c>
      <c r="I17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2</v>
      </c>
      <c r="J172" s="54">
        <f>SummaryTable[[#This Row],['# Under]]/SummaryTable[[#This Row],[Count]]</f>
        <v>0.66666666666666663</v>
      </c>
      <c r="K17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72" s="54">
        <f>SummaryTable[[#This Row],['# Equal]]/SummaryTable[[#This Row],[Count]]</f>
        <v>0</v>
      </c>
      <c r="M172" s="61">
        <f>SUMIFS(allFYsTable[OriginalBudget],allFYsTable[Code],SummaryTable[[#This Row],[Code]])/SummaryTable[[#This Row],[Count]]</f>
        <v>374.33333333333331</v>
      </c>
      <c r="N172" s="61">
        <f>SUMIFS(allFYsTable[Actual],allFYsTable[Code],SummaryTable[[#This Row],[Code]])/SummaryTable[[#This Row],[Count]]</f>
        <v>350.66666666666669</v>
      </c>
      <c r="O172" s="61">
        <f>SummaryTable[[#This Row],[AvgActAmt]]-SummaryTable[[#This Row],[AvgBudAmt]]</f>
        <v>-23.666666666666629</v>
      </c>
      <c r="P172" s="54">
        <f>IF(SummaryTable[[#This Row],[AvgBudAmt]]=0, IF(SummaryTable[[#This Row],[AvgDiff'#]]=0, 0, NamedFields!$C$3), SummaryTable[[#This Row],[AvgDiff'#]]/SummaryTable[[#This Row],[AvgBudAmt]])</f>
        <v>-6.3223508459483435E-2</v>
      </c>
      <c r="Q172" s="61">
        <f>IFERROR(SUMIFS(allFYsTable[OriginalBudget],allFYsTable[Code],SummaryTable[[#This Row],[Code]],allFYsTable[DiffAmount], "&gt;0")/SummaryTable[[#This Row],['# Over]], 0)</f>
        <v>279</v>
      </c>
      <c r="R172" s="61">
        <f>IFERROR(SUMIFS(allFYsTable[Actual],allFYsTable[Code],SummaryTable[[#This Row],[Code]],allFYsTable[DiffAmount], "&gt;0")/SummaryTable[[#This Row],['# Over]], 0)</f>
        <v>328</v>
      </c>
      <c r="S172" s="61">
        <f>SummaryTable[[#This Row],[OverAvgAct]]-SummaryTable[[#This Row],[OverAvgBud]]</f>
        <v>49</v>
      </c>
      <c r="T172" s="54">
        <f>IF(SummaryTable[[#This Row],[OverAvgBud]]=0, IF(SummaryTable[[#This Row],[OverAvgDiff'#]]=0, ZeroBudgetNoSpending, ZeroBudgetWithSpending), SummaryTable[[#This Row],[OverAvgDiff'#]]/SummaryTable[[#This Row],[OverAvgBud]])</f>
        <v>0.17562724014336917</v>
      </c>
      <c r="U172" s="61">
        <f>IFERROR(SUMIFS(allFYsTable[OriginalBudget],allFYsTable[Code],SummaryTable[[#This Row],[Code]],allFYsTable[DiffAmount], "&lt;0")/SummaryTable[[#This Row],['# Under]], 0)</f>
        <v>422</v>
      </c>
      <c r="V172" s="61">
        <f>IFERROR( SUMIFS(allFYsTable[Actual],allFYsTable[Code],SummaryTable[[#This Row],[Code]],allFYsTable[DiffAmount], "&lt;0")/SummaryTable[[#This Row],['# Under]], 0)</f>
        <v>362</v>
      </c>
      <c r="W172" s="61">
        <f>SummaryTable[[#This Row],[UnderAvgAct]]-SummaryTable[[#This Row],[UnderAvgBud]]</f>
        <v>-60</v>
      </c>
      <c r="X172" s="54">
        <f>IF(SummaryTable[[#This Row],[UnderAvgBud]]=0, IF(SummaryTable[[#This Row],[UnderAvgDiff'#]]=0, ZeroBudgetNoSpending, NamedFields!$C$3), SummaryTable[[#This Row],[UnderAvgDiff'#]]/SummaryTable[[#This Row],[UnderAvgBud]])</f>
        <v>-0.14218009478672985</v>
      </c>
      <c r="Y17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1</v>
      </c>
      <c r="Z17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2" s="54">
        <f>IF(SummaryTable[[#This Row],[IncreaseYears]]=0, ZeroBudgetNoSpending, SummaryTable[[#This Row],[OSinIncreaseYear'#]]/SummaryTable[[#This Row],[IncreaseYears]])</f>
        <v>0</v>
      </c>
      <c r="AB172" s="58" t="str">
        <f>SummaryTable[[#This Row],[Code]]</f>
        <v>RS0</v>
      </c>
      <c r="AC172" s="62" t="e">
        <f>IF(COUNTIFS(allFYsTable[Code], SummaryTable[[#This Row],[Code]], allFYsTable[year2], AC$3)=0, NotFound, SUMIFS(allFYsTable[OriginalBudget], allFYsTable[Code], SummaryTable[[#This Row],[Code]], allFYsTable[year2], AC$3))</f>
        <v>#N/A</v>
      </c>
      <c r="AD172" s="61" t="e">
        <f>SummaryTable[[#This Row],[OriginalBudget25]]-SummaryTable[[#This Row],[OriginalBudget24]]</f>
        <v>#N/A</v>
      </c>
      <c r="AE172" s="54" t="e">
        <f>SummaryTable[[#This Row],[BudgetIncreaseAmount25]]/SummaryTable[[#This Row],[OriginalBudget24]]</f>
        <v>#N/A</v>
      </c>
      <c r="AF172" s="61" t="e">
        <f>IF(COUNTIFS(allFYsTable[Code], SummaryTable[[#This Row],[Code]], allFYsTable[year2], AC$3)=0, NotFound, SUMIFS(allFYsTable[RevisedBudget], allFYsTable[Code], SummaryTable[[#This Row],[Code]], allFYsTable[year2], AC$3))</f>
        <v>#N/A</v>
      </c>
      <c r="AG172" s="61" t="e">
        <f>IF(COUNTIFS(allFYsTable[Code], SummaryTable[[#This Row],[Code]], allFYsTable[year2], AC$3)=0, NotFound, SUMIFS(allFYsTable[Actual], allFYsTable[Code], SummaryTable[[#This Row],[Code]], allFYsTable[year2], AC$3))</f>
        <v>#N/A</v>
      </c>
      <c r="AH172" s="61" t="e">
        <f>IF(COUNTIFS(allFYsTable[Code], SummaryTable[[#This Row],[Code]], allFYsTable[year2], AC$3)=0, NotFound, SUMIFS(allFYsTable[DiffAmount], allFYsTable[Code], SummaryTable[[#This Row],[Code]], allFYsTable[year2], AC$3))</f>
        <v>#N/A</v>
      </c>
      <c r="AI172" s="63" t="e">
        <f>IF(SummaryTable[[#This Row],[OriginalBudget25]]=0, IF(SummaryTable[[#This Row],[DiffAmount25]]=0, ZeroBudgetNoSpending, ZeroBudgetWithSpending), SummaryTable[[#This Row],[DiffAmount25]]/SummaryTable[[#This Row],[OriginalBudget25]])</f>
        <v>#N/A</v>
      </c>
      <c r="AJ172" s="62" t="e">
        <f>IF(COUNTIFS(allFYsTable[Code], SummaryTable[[#This Row],[Code]], allFYsTable[year2], AJ$3)=0, NotFound, SUMIFS(allFYsTable[OriginalBudget], allFYsTable[Code], SummaryTable[[#This Row],[Code]], allFYsTable[year2], AJ$3))</f>
        <v>#N/A</v>
      </c>
      <c r="AK172" s="61" t="e">
        <f>SummaryTable[[#This Row],[OriginalBudget24]]-SummaryTable[[#This Row],[OriginalBudget23]]</f>
        <v>#N/A</v>
      </c>
      <c r="AL172" s="54" t="e">
        <f>SummaryTable[[#This Row],[BudgetIncreaseAmount24]]/SummaryTable[[#This Row],[OriginalBudget23]]</f>
        <v>#N/A</v>
      </c>
      <c r="AM172" s="61" t="e">
        <f>IF(COUNTIFS(allFYsTable[Code], SummaryTable[[#This Row],[Code]], allFYsTable[year2], AK$3)=0, NotFound, SUMIFS(allFYsTable[RevisedBudget], allFYsTable[Code], SummaryTable[[#This Row],[Code]], allFYsTable[year2], AJ$3))</f>
        <v>#N/A</v>
      </c>
      <c r="AN172" s="61" t="e">
        <f>IF(COUNTIFS(allFYsTable[Code], SummaryTable[[#This Row],[Code]], allFYsTable[year2], AJ$3)=0, NotFound, SUMIFS(allFYsTable[Actual], allFYsTable[Code], SummaryTable[[#This Row],[Code]], allFYsTable[year2], AJ$3))</f>
        <v>#N/A</v>
      </c>
      <c r="AO172" s="61" t="e">
        <f>IF(COUNTIFS(allFYsTable[Code], SummaryTable[[#This Row],[Code]], allFYsTable[year2], AJ$3)=0, NotFound, SUMIFS(allFYsTable[DiffAmount], allFYsTable[Code], SummaryTable[[#This Row],[Code]], allFYsTable[year2], AJ$3))</f>
        <v>#N/A</v>
      </c>
      <c r="AP172" s="63" t="e">
        <f>IF(SummaryTable[[#This Row],[OriginalBudget24]]=0, IF(SummaryTable[[#This Row],[DiffAmount24]]=0, ZeroBudgetNoSpending, ZeroBudgetWithSpending), SummaryTable[[#This Row],[DiffAmount24]]/SummaryTable[[#This Row],[OriginalBudget24]])</f>
        <v>#N/A</v>
      </c>
      <c r="AQ172" s="62" t="e">
        <f>IF(COUNTIFS(allFYsTable[Code], SummaryTable[[#This Row],[Code]], allFYsTable[year2], AQ$3)=0, NotFound, SUMIFS(allFYsTable[OriginalBudget], allFYsTable[Code], SummaryTable[[#This Row],[Code]], allFYsTable[year2], AQ$3))</f>
        <v>#N/A</v>
      </c>
      <c r="AR172" s="61" t="e">
        <f>SummaryTable[[#This Row],[OriginalBudget23]]-SummaryTable[[#This Row],[OriginalBudget22]]</f>
        <v>#N/A</v>
      </c>
      <c r="AS172" s="54" t="e">
        <f>SummaryTable[[#This Row],[BudgetIncreaseAmount23]]/SummaryTable[[#This Row],[OriginalBudget22]]</f>
        <v>#N/A</v>
      </c>
      <c r="AT172" s="61" t="e">
        <f>IF(COUNTIFS(allFYsTable[Code], SummaryTable[[#This Row],[Code]], allFYsTable[year2], AQ$3)=0, NotFound, SUMIFS(allFYsTable[RevisedBudget], allFYsTable[Code], SummaryTable[[#This Row],[Code]], allFYsTable[year2], AQ$3))</f>
        <v>#N/A</v>
      </c>
      <c r="AU172" s="61" t="e">
        <f>IF(COUNTIFS(allFYsTable[Code], SummaryTable[[#This Row],[Code]], allFYsTable[year2], AQ$3)=0, NotFound, SUMIFS(allFYsTable[Actual], allFYsTable[Code], SummaryTable[[#This Row],[Code]], allFYsTable[year2], AQ$3))</f>
        <v>#N/A</v>
      </c>
      <c r="AV172" s="61" t="e">
        <f>IF(COUNTIFS(allFYsTable[Code], SummaryTable[[#This Row],[Code]], allFYsTable[year2], AQ$3)=0, NotFound, SUMIFS(allFYsTable[DiffAmount], allFYsTable[Code], SummaryTable[[#This Row],[Code]], allFYsTable[year2], AQ$3))</f>
        <v>#N/A</v>
      </c>
      <c r="AW172" s="63" t="e">
        <f>IF(SummaryTable[[#This Row],[OriginalBudget23]]=0, IF(SummaryTable[[#This Row],[DiffAmount23]]=0, ZeroBudgetNoSpending, ZeroBudgetWithSpending), SummaryTable[[#This Row],[DiffAmount23]]/SummaryTable[[#This Row],[OriginalBudget23]])</f>
        <v>#N/A</v>
      </c>
      <c r="AX172" s="62" t="e">
        <f>IF(COUNTIFS(allFYsTable[Code], SummaryTable[[#This Row],[Code]], allFYsTable[year2], AX$3)=0, NotFound, SUMIFS(allFYsTable[OriginalBudget], allFYsTable[Code], SummaryTable[[#This Row],[Code]], allFYsTable[year2], AX$3))</f>
        <v>#N/A</v>
      </c>
      <c r="AY172" s="61" t="e">
        <f>SummaryTable[[#This Row],[OriginalBudget22]]-SummaryTable[[#This Row],[OriginalBudget21]]</f>
        <v>#N/A</v>
      </c>
      <c r="AZ172" s="54" t="e">
        <f>SummaryTable[[#This Row],[BudgetIncreaseAmount22]]/SummaryTable[[#This Row],[OriginalBudget21]]</f>
        <v>#N/A</v>
      </c>
      <c r="BA172" s="61" t="e">
        <f>IF(COUNTIFS(allFYsTable[Code], SummaryTable[[#This Row],[Code]], allFYsTable[year2], AX$3)=0, NotFound, SUMIFS(allFYsTable[RevisedBudget], allFYsTable[Code], SummaryTable[[#This Row],[Code]], allFYsTable[year2], AX$3))</f>
        <v>#N/A</v>
      </c>
      <c r="BB172" s="61" t="e">
        <f>IF(COUNTIFS(allFYsTable[Code], SummaryTable[[#This Row],[Code]], allFYsTable[year2], AX$3)=0, NotFound, SUMIFS(allFYsTable[Actual], allFYsTable[Code], SummaryTable[[#This Row],[Code]], allFYsTable[year2], AX$3))</f>
        <v>#N/A</v>
      </c>
      <c r="BC172" s="61" t="e">
        <f>IF(COUNTIFS(allFYsTable[Code], SummaryTable[[#This Row],[Code]], allFYsTable[year2], AX$3)=0, NotFound, SUMIFS(allFYsTable[DiffAmount], allFYsTable[Code], SummaryTable[[#This Row],[Code]], allFYsTable[year2], AX$3))</f>
        <v>#N/A</v>
      </c>
      <c r="BD172" s="63" t="e">
        <f>IF(SummaryTable[[#This Row],[OriginalBudget22]]=0, IF(SummaryTable[[#This Row],[DiffAmount22]]=0, ZeroBudgetNoSpending, ZeroBudgetWithSpending), SummaryTable[[#This Row],[DiffAmount22]]/SummaryTable[[#This Row],[OriginalBudget22]])</f>
        <v>#N/A</v>
      </c>
      <c r="BE172" s="62" t="e">
        <f>IF(COUNTIFS(allFYsTable[Code], SummaryTable[[#This Row],[Code]], allFYsTable[year2], BE$3)=0, NotFound, SUMIFS(allFYsTable[OriginalBudget], allFYsTable[Code], SummaryTable[[#This Row],[Code]], allFYsTable[year2], BE$3))</f>
        <v>#N/A</v>
      </c>
      <c r="BF172" s="61" t="e">
        <f>SummaryTable[[#This Row],[OriginalBudget21]]-SummaryTable[[#This Row],[OriginalBudget20]]</f>
        <v>#N/A</v>
      </c>
      <c r="BG172" s="54" t="e">
        <f>SummaryTable[[#This Row],[BudgetIncreaseAmount21]]/SummaryTable[[#This Row],[OriginalBudget20]]</f>
        <v>#N/A</v>
      </c>
      <c r="BH172" s="61" t="e">
        <f>IF(COUNTIFS(allFYsTable[Code], SummaryTable[[#This Row],[Code]], allFYsTable[year2], BE$3)=0, NotFound, SUMIFS(allFYsTable[RevisedBudget], allFYsTable[Code], SummaryTable[[#This Row],[Code]], allFYsTable[year2], BE$3))</f>
        <v>#N/A</v>
      </c>
      <c r="BI172" s="61" t="e">
        <f>IF(COUNTIFS(allFYsTable[Code], SummaryTable[[#This Row],[Code]], allFYsTable[year2], BE$3)=0, NotFound, SUMIFS(allFYsTable[Actual], allFYsTable[Code], SummaryTable[[#This Row],[Code]], allFYsTable[year2], BE$3))</f>
        <v>#N/A</v>
      </c>
      <c r="BJ172" s="61" t="e">
        <f>IF(COUNTIFS(allFYsTable[Code], SummaryTable[[#This Row],[Code]], allFYsTable[year2], BE$3)=0, NotFound, SUMIFS(allFYsTable[DiffAmount], allFYsTable[Code], SummaryTable[[#This Row],[Code]], allFYsTable[year2], BE$3))</f>
        <v>#N/A</v>
      </c>
      <c r="BK172" s="63" t="e">
        <f>IF(SummaryTable[[#This Row],[OriginalBudget21]]=0, IF(SummaryTable[[#This Row],[DiffAmount21]]=0, ZeroBudgetNoSpending, ZeroBudgetWithSpending), SummaryTable[[#This Row],[DiffAmount21]]/SummaryTable[[#This Row],[OriginalBudget21]])</f>
        <v>#N/A</v>
      </c>
      <c r="BL172" s="62" t="e">
        <f>IF(COUNTIFS(allFYsTable[Code], SummaryTable[[#This Row],[Code]], allFYsTable[year2], BL$3)=0, NotFound, SUMIFS(allFYsTable[OriginalBudget], allFYsTable[Code], SummaryTable[[#This Row],[Code]], allFYsTable[year2], BL$3))</f>
        <v>#N/A</v>
      </c>
      <c r="BM172" s="61" t="e">
        <f>SummaryTable[[#This Row],[OriginalBudget20]]-SummaryTable[[#This Row],[OriginalBudget19]]</f>
        <v>#N/A</v>
      </c>
      <c r="BN172" s="54" t="e">
        <f>SummaryTable[[#This Row],[BudgetIncreaseAmount20]]/SummaryTable[[#This Row],[OriginalBudget19]]</f>
        <v>#N/A</v>
      </c>
      <c r="BO172" s="61" t="e">
        <f>IF(COUNTIFS(allFYsTable[Code], SummaryTable[[#This Row],[Code]], allFYsTable[year2], BL$3)=0, NotFound, SUMIFS(allFYsTable[RevisedBudget], allFYsTable[Code], SummaryTable[[#This Row],[Code]], allFYsTable[year2], BL$3))</f>
        <v>#N/A</v>
      </c>
      <c r="BP172" s="61" t="e">
        <f>IF(COUNTIFS(allFYsTable[Code], SummaryTable[[#This Row],[Code]], allFYsTable[year2], BL$3)=0, NotFound, SUMIFS(allFYsTable[Actual], allFYsTable[Code], SummaryTable[[#This Row],[Code]], allFYsTable[year2], BL$3))</f>
        <v>#N/A</v>
      </c>
      <c r="BQ172" s="61" t="e">
        <f>IF(COUNTIFS(allFYsTable[Code], SummaryTable[[#This Row],[Code]], allFYsTable[year2], BL$3)=0, NotFound, SUMIFS(allFYsTable[DiffAmount], allFYsTable[Code], SummaryTable[[#This Row],[Code]], allFYsTable[year2], BL$3))</f>
        <v>#N/A</v>
      </c>
      <c r="BR172" s="63" t="e">
        <f>IF(SummaryTable[[#This Row],[OriginalBudget20]]=0, IF(SummaryTable[[#This Row],[DiffAmount20]]=0, ZeroBudgetNoSpending, ZeroBudgetWithSpending), SummaryTable[[#This Row],[DiffAmount20]]/SummaryTable[[#This Row],[OriginalBudget20]])</f>
        <v>#N/A</v>
      </c>
      <c r="BS172" s="62" t="e">
        <f>IF(COUNTIFS(allFYsTable[Code], SummaryTable[[#This Row],[Code]], allFYsTable[year2], BS$3)=0, NotFound, SUMIFS(allFYsTable[OriginalBudget], allFYsTable[Code], SummaryTable[[#This Row],[Code]], allFYsTable[year2], BS$3))</f>
        <v>#N/A</v>
      </c>
      <c r="BT172" s="61" t="e">
        <f>SummaryTable[[#This Row],[OriginalBudget19]]-SummaryTable[[#This Row],[OriginalBudget18]]</f>
        <v>#N/A</v>
      </c>
      <c r="BU172" s="54" t="e">
        <f>SummaryTable[[#This Row],[BudgetIncreaseAmount19]]/SummaryTable[[#This Row],[OriginalBudget18]]</f>
        <v>#N/A</v>
      </c>
      <c r="BV172" s="61" t="e">
        <f>IF(COUNTIFS(allFYsTable[Code], SummaryTable[[#This Row],[Code]], allFYsTable[year2], BS$3)=0, NotFound, SUMIFS(allFYsTable[RevisedBudget], allFYsTable[Code], SummaryTable[[#This Row],[Code]], allFYsTable[year2], BS$3))</f>
        <v>#N/A</v>
      </c>
      <c r="BW172" s="61" t="e">
        <f>IF(COUNTIFS(allFYsTable[Code], SummaryTable[[#This Row],[Code]], allFYsTable[year2], BS$3)=0, NotFound, SUMIFS(allFYsTable[Actual], allFYsTable[Code], SummaryTable[[#This Row],[Code]], allFYsTable[year2], BS$3))</f>
        <v>#N/A</v>
      </c>
      <c r="BX172" s="61" t="e">
        <f>IF(COUNTIFS(allFYsTable[Code], SummaryTable[[#This Row],[Code]], allFYsTable[year2], BS$3)=0, NotFound, SUMIFS(allFYsTable[DiffAmount], allFYsTable[Code], SummaryTable[[#This Row],[Code]], allFYsTable[year2], BS$3))</f>
        <v>#N/A</v>
      </c>
      <c r="BY172" s="63" t="e">
        <f>IF(SummaryTable[[#This Row],[OriginalBudget19]]=0, IF(SummaryTable[[#This Row],[DiffAmount19]]=0, ZeroBudgetNoSpending, ZeroBudgetWithSpending), SummaryTable[[#This Row],[DiffAmount19]]/SummaryTable[[#This Row],[OriginalBudget19]])</f>
        <v>#N/A</v>
      </c>
      <c r="BZ172" s="62" t="e">
        <f>IF(COUNTIFS(allFYsTable[Code], SummaryTable[[#This Row],[Code]], allFYsTable[year2], BZ$3)=0, NotFound, SUMIFS(allFYsTable[OriginalBudget], allFYsTable[Code], SummaryTable[[#This Row],[Code]], allFYsTable[year2], BZ$3))</f>
        <v>#N/A</v>
      </c>
      <c r="CA172" s="61" t="e">
        <f>SummaryTable[[#This Row],[OriginalBudget18]]-SummaryTable[[#This Row],[OriginalBudget17]]</f>
        <v>#N/A</v>
      </c>
      <c r="CB172" s="54" t="e">
        <f>SummaryTable[[#This Row],[BudgetIncreaseAmount18]]/SummaryTable[[#This Row],[OriginalBudget17]]</f>
        <v>#N/A</v>
      </c>
      <c r="CC172" s="61" t="e">
        <f>IF(COUNTIFS(allFYsTable[Code], SummaryTable[[#This Row],[Code]], allFYsTable[year2], BZ$3)=0, NotFound, SUMIFS(allFYsTable[RevisedBudget], allFYsTable[Code], SummaryTable[[#This Row],[Code]], allFYsTable[year2], BZ$3))</f>
        <v>#N/A</v>
      </c>
      <c r="CD172" s="61" t="e">
        <f>IF(COUNTIFS(allFYsTable[Code], SummaryTable[[#This Row],[Code]], allFYsTable[year2], BZ$3)=0, NotFound, SUMIFS(allFYsTable[Actual], allFYsTable[Code], SummaryTable[[#This Row],[Code]], allFYsTable[year2], BZ$3))</f>
        <v>#N/A</v>
      </c>
      <c r="CE172" s="61" t="e">
        <f>IF(COUNTIFS(allFYsTable[Code], SummaryTable[[#This Row],[Code]], allFYsTable[year2], BZ$3)=0, NotFound, SUMIFS(allFYsTable[DiffAmount], allFYsTable[Code], SummaryTable[[#This Row],[Code]], allFYsTable[year2], BZ$3))</f>
        <v>#N/A</v>
      </c>
      <c r="CF172" s="63" t="e">
        <f>IF(SummaryTable[[#This Row],[OriginalBudget18]]=0, IF(SummaryTable[[#This Row],[DiffAmount18]]=0, ZeroBudgetNoSpending, ZeroBudgetWithSpending), SummaryTable[[#This Row],[DiffAmount18]]/SummaryTable[[#This Row],[OriginalBudget18]])</f>
        <v>#N/A</v>
      </c>
      <c r="CG172" s="62" t="e">
        <f>IF(COUNTIFS(allFYsTable[Code], SummaryTable[[#This Row],[Code]], allFYsTable[year2], CG$3)=0, NotFound, SUMIFS(allFYsTable[OriginalBudget], allFYsTable[Code], SummaryTable[[#This Row],[Code]], allFYsTable[year2], CG$3))</f>
        <v>#N/A</v>
      </c>
      <c r="CH172" s="61" t="e">
        <f>SummaryTable[[#This Row],[OriginalBudget17]]-SummaryTable[[#This Row],[OriginalBudget16]]</f>
        <v>#N/A</v>
      </c>
      <c r="CI172" s="54" t="e">
        <f>SummaryTable[[#This Row],[BudgetIncreaseAmount17]]/SummaryTable[[#This Row],[OriginalBudget16]]</f>
        <v>#N/A</v>
      </c>
      <c r="CJ172" s="61" t="e">
        <f>IF(COUNTIFS(allFYsTable[Code], SummaryTable[[#This Row],[Code]], allFYsTable[year2], CG$3)=0, NotFound, SUMIFS(allFYsTable[RevisedBudget], allFYsTable[Code], SummaryTable[[#This Row],[Code]], allFYsTable[year2], CG$3))</f>
        <v>#N/A</v>
      </c>
      <c r="CK172" s="61" t="e">
        <f>IF(COUNTIFS(allFYsTable[Code], SummaryTable[[#This Row],[Code]], allFYsTable[year2], CG$3)=0, NotFound, SUMIFS(allFYsTable[Actual], allFYsTable[Code], SummaryTable[[#This Row],[Code]], allFYsTable[year2], CG$3))</f>
        <v>#N/A</v>
      </c>
      <c r="CL172" s="61" t="e">
        <f>IF(COUNTIFS(allFYsTable[Code], SummaryTable[[#This Row],[Code]], allFYsTable[year2], CG$3)=0, NotFound, SUMIFS(allFYsTable[DiffAmount], allFYsTable[Code], SummaryTable[[#This Row],[Code]], allFYsTable[year2], CG$3))</f>
        <v>#N/A</v>
      </c>
      <c r="CM172" s="63" t="e">
        <f>IF(SummaryTable[[#This Row],[OriginalBudget17]]=0, IF(SummaryTable[[#This Row],[DiffAmount17]]=0, ZeroBudgetNoSpending, ZeroBudgetWithSpending), SummaryTable[[#This Row],[DiffAmount17]]/SummaryTable[[#This Row],[OriginalBudget17]])</f>
        <v>#N/A</v>
      </c>
      <c r="CN172" s="62" t="e">
        <f>IF(COUNTIFS(allFYsTable[Code], SummaryTable[[#This Row],[Code]], allFYsTable[year2], CN$3)=0, NotFound, SUMIFS(allFYsTable[OriginalBudget], allFYsTable[Code], SummaryTable[[#This Row],[Code]], allFYsTable[year2], CN$3))</f>
        <v>#N/A</v>
      </c>
      <c r="CO172" s="61" t="e">
        <f>SummaryTable[[#This Row],[OriginalBudget16]]-SummaryTable[[#This Row],[OriginalBudget15]]</f>
        <v>#N/A</v>
      </c>
      <c r="CP172" s="54" t="e">
        <f>SummaryTable[[#This Row],[BudgetIncreaseAmount16]]/SummaryTable[[#This Row],[OriginalBudget15]]</f>
        <v>#N/A</v>
      </c>
      <c r="CQ172" s="61" t="e">
        <f>IF(COUNTIFS(allFYsTable[Code], SummaryTable[[#This Row],[Code]], allFYsTable[year2], CN$3)=0, NotFound, SUMIFS(allFYsTable[RevisedBudget], allFYsTable[Code], SummaryTable[[#This Row],[Code]], allFYsTable[year2], CN$3))</f>
        <v>#N/A</v>
      </c>
      <c r="CR172" s="61" t="e">
        <f>IF(COUNTIFS(allFYsTable[Code], SummaryTable[[#This Row],[Code]], allFYsTable[year2], CN$3)=0, NotFound, SUMIFS(allFYsTable[Actual], allFYsTable[Code], SummaryTable[[#This Row],[Code]], allFYsTable[year2], CN$3))</f>
        <v>#N/A</v>
      </c>
      <c r="CS172" s="61" t="e">
        <f>IF(COUNTIFS(allFYsTable[Code], SummaryTable[[#This Row],[Code]], allFYsTable[year2], CN$3)=0, NotFound, SUMIFS(allFYsTable[DiffAmount], allFYsTable[Code], SummaryTable[[#This Row],[Code]], allFYsTable[year2], CN$3))</f>
        <v>#N/A</v>
      </c>
      <c r="CT172" s="63" t="e">
        <f>IF(SummaryTable[[#This Row],[OriginalBudget16]]=0, IF(SummaryTable[[#This Row],[DiffAmount16]]=0, ZeroBudgetNoSpending, ZeroBudgetWithSpending), SummaryTable[[#This Row],[DiffAmount16]]/SummaryTable[[#This Row],[OriginalBudget16]])</f>
        <v>#N/A</v>
      </c>
      <c r="CU172" s="62" t="e">
        <f>IF(COUNTIFS(allFYsTable[Code], SummaryTable[[#This Row],[Code]], allFYsTable[year2], CU$3)=0, NotFound, SUMIFS(allFYsTable[OriginalBudget], allFYsTable[Code], SummaryTable[[#This Row],[Code]], allFYsTable[year2], CU$3))</f>
        <v>#N/A</v>
      </c>
      <c r="CV172" s="61" t="e">
        <f>SummaryTable[[#This Row],[OriginalBudget15]]-SummaryTable[[#This Row],[OriginalBudget14]]</f>
        <v>#N/A</v>
      </c>
      <c r="CW172" s="54" t="e">
        <f>SummaryTable[[#This Row],[BudgetIncreaseAmount15]]/SummaryTable[[#This Row],[OriginalBudget14]]</f>
        <v>#N/A</v>
      </c>
      <c r="CX172" s="61" t="e">
        <f>IF(COUNTIFS(allFYsTable[Code], SummaryTable[[#This Row],[Code]], allFYsTable[year2], CU$3)=0, NotFound, SUMIFS(allFYsTable[RevisedBudget], allFYsTable[Code], SummaryTable[[#This Row],[Code]], allFYsTable[year2], CU$3))</f>
        <v>#N/A</v>
      </c>
      <c r="CY172" s="61" t="e">
        <f>IF(COUNTIFS(allFYsTable[Code], SummaryTable[[#This Row],[Code]], allFYsTable[year2], CU$3)=0, NotFound, SUMIFS(allFYsTable[Actual], allFYsTable[Code], SummaryTable[[#This Row],[Code]], allFYsTable[year2], CU$3))</f>
        <v>#N/A</v>
      </c>
      <c r="CZ172" s="61" t="e">
        <f>IF(COUNTIFS(allFYsTable[Code], SummaryTable[[#This Row],[Code]], allFYsTable[year2], CU$3)=0, NotFound, SUMIFS(allFYsTable[DiffAmount], allFYsTable[Code], SummaryTable[[#This Row],[Code]], allFYsTable[year2], CU$3))</f>
        <v>#N/A</v>
      </c>
      <c r="DA172" s="63" t="e">
        <f>IF(SummaryTable[[#This Row],[OriginalBudget15]]=0, IF(SummaryTable[[#This Row],[DiffAmount15]]=0, ZeroBudgetNoSpending, ZeroBudgetWithSpending), SummaryTable[[#This Row],[DiffAmount15]]/SummaryTable[[#This Row],[OriginalBudget15]])</f>
        <v>#N/A</v>
      </c>
      <c r="DB172" s="62" t="e">
        <f>IF(COUNTIFS(allFYsTable[Code], SummaryTable[[#This Row],[Code]], allFYsTable[year2], DB$3)=0, NotFound, SUMIFS(allFYsTable[OriginalBudget], allFYsTable[Code], SummaryTable[[#This Row],[Code]], allFYsTable[year2], DB$3))</f>
        <v>#N/A</v>
      </c>
      <c r="DC172" s="61" t="e">
        <f>SummaryTable[[#This Row],[OriginalBudget14]]-SummaryTable[[#This Row],[OriginalBudget13]]</f>
        <v>#N/A</v>
      </c>
      <c r="DD172" s="54" t="e">
        <f>SummaryTable[[#This Row],[BudgetIncreaseAmount14]]/SummaryTable[[#This Row],[OriginalBudget13]]</f>
        <v>#N/A</v>
      </c>
      <c r="DE172" s="61" t="e">
        <f>IF(COUNTIFS(allFYsTable[Code], SummaryTable[[#This Row],[Code]], allFYsTable[year2], DB$3)=0, NotFound, SUMIFS(allFYsTable[RevisedBudget], allFYsTable[Code], SummaryTable[[#This Row],[Code]], allFYsTable[year2], DB$3))</f>
        <v>#N/A</v>
      </c>
      <c r="DF172" s="61" t="e">
        <f>IF(COUNTIFS(allFYsTable[Code], SummaryTable[[#This Row],[Code]], allFYsTable[year2], DB$3)=0, NotFound, SUMIFS(allFYsTable[Actual], allFYsTable[Code], SummaryTable[[#This Row],[Code]], allFYsTable[year2], DB$3))</f>
        <v>#N/A</v>
      </c>
      <c r="DG172" s="61" t="e">
        <f>IF(COUNTIFS(allFYsTable[Code], SummaryTable[[#This Row],[Code]], allFYsTable[year2], DB$3)=0, NotFound, SUMIFS(allFYsTable[DiffAmount], allFYsTable[Code], SummaryTable[[#This Row],[Code]], allFYsTable[year2], DB$3))</f>
        <v>#N/A</v>
      </c>
      <c r="DH172" s="63" t="e">
        <f>IF(SummaryTable[[#This Row],[OriginalBudget14]]=0, IF(SummaryTable[[#This Row],[DiffAmount14]]=0, ZeroBudgetNoSpending, ZeroBudgetWithSpending), SummaryTable[[#This Row],[DiffAmount14]]/SummaryTable[[#This Row],[OriginalBudget14]])</f>
        <v>#N/A</v>
      </c>
      <c r="DI172" s="62" t="e">
        <f>IF(COUNTIFS(allFYsTable[Code], SummaryTable[[#This Row],[Code]], allFYsTable[year2], DI$3)=0, NotFound, SUMIFS(allFYsTable[OriginalBudget], allFYsTable[Code], SummaryTable[[#This Row],[Code]], allFYsTable[year2], DI$3))</f>
        <v>#N/A</v>
      </c>
      <c r="DJ172" s="61" t="e">
        <f>SummaryTable[[#This Row],[OriginalBudget13]]-SummaryTable[[#This Row],[OriginalBudget12]]</f>
        <v>#N/A</v>
      </c>
      <c r="DK172" s="54" t="e">
        <f>SummaryTable[[#This Row],[BudgetIncreaseAmount13]]/SummaryTable[[#This Row],[OriginalBudget12]]</f>
        <v>#N/A</v>
      </c>
      <c r="DL172" s="61" t="e">
        <f>IF(COUNTIFS(allFYsTable[Code], SummaryTable[[#This Row],[Code]], allFYsTable[year2], DI$3)=0, NotFound, SUMIFS(allFYsTable[RevisedBudget], allFYsTable[Code], SummaryTable[[#This Row],[Code]], allFYsTable[year2], DI$3))</f>
        <v>#N/A</v>
      </c>
      <c r="DM172" s="61" t="e">
        <f>IF(COUNTIFS(allFYsTable[Code], SummaryTable[[#This Row],[Code]], allFYsTable[year2], DI$3)=0, NotFound, SUMIFS(allFYsTable[Actual], allFYsTable[Code], SummaryTable[[#This Row],[Code]], allFYsTable[year2], DI$3))</f>
        <v>#N/A</v>
      </c>
      <c r="DN172" s="61" t="e">
        <f>IF(COUNTIFS(allFYsTable[Code], SummaryTable[[#This Row],[Code]], allFYsTable[year2], DI$3)=0, NotFound, SUMIFS(allFYsTable[DiffAmount], allFYsTable[Code], SummaryTable[[#This Row],[Code]], allFYsTable[year2], DI$3))</f>
        <v>#N/A</v>
      </c>
      <c r="DO172" s="63" t="e">
        <f>IF(SummaryTable[[#This Row],[OriginalBudget13]]=0, IF(SummaryTable[[#This Row],[DiffAmount13]]=0, ZeroBudgetNoSpending, ZeroBudgetWithSpending), SummaryTable[[#This Row],[DiffAmount13]]/SummaryTable[[#This Row],[OriginalBudget13]])</f>
        <v>#N/A</v>
      </c>
      <c r="DP172" s="62" t="e">
        <f>IF(COUNTIFS(allFYsTable[Code], SummaryTable[[#This Row],[Code]], allFYsTable[year2], DP$3)=0, NotFound, SUMIFS(allFYsTable[OriginalBudget], allFYsTable[Code], SummaryTable[[#This Row],[Code]], allFYsTable[year2], DP$3))</f>
        <v>#N/A</v>
      </c>
      <c r="DQ172" s="61" t="e">
        <f>SummaryTable[[#This Row],[OriginalBudget12]]-SummaryTable[[#This Row],[OriginalBudget11]]</f>
        <v>#N/A</v>
      </c>
      <c r="DR172" s="54" t="e">
        <f>SummaryTable[[#This Row],[BudgetIncreaseAmount12]]/SummaryTable[[#This Row],[OriginalBudget11]]</f>
        <v>#N/A</v>
      </c>
      <c r="DS172" s="61" t="e">
        <f>IF(COUNTIFS(allFYsTable[Code], SummaryTable[[#This Row],[Code]], allFYsTable[year2], DP$3)=0, NotFound, SUMIFS(allFYsTable[RevisedBudget], allFYsTable[Code], SummaryTable[[#This Row],[Code]], allFYsTable[year2], DP$3))</f>
        <v>#N/A</v>
      </c>
      <c r="DT172" s="61" t="e">
        <f>IF(COUNTIFS(allFYsTable[Code], SummaryTable[[#This Row],[Code]], allFYsTable[year2], DP$3)=0, NotFound, SUMIFS(allFYsTable[Actual], allFYsTable[Code], SummaryTable[[#This Row],[Code]], allFYsTable[year2], DP$3))</f>
        <v>#N/A</v>
      </c>
      <c r="DU172" s="61" t="e">
        <f>IF(COUNTIFS(allFYsTable[Code], SummaryTable[[#This Row],[Code]], allFYsTable[year2], DP$3)=0, NotFound, SUMIFS(allFYsTable[DiffAmount], allFYsTable[Code], SummaryTable[[#This Row],[Code]], allFYsTable[year2], DP$3))</f>
        <v>#N/A</v>
      </c>
      <c r="DV172" s="63" t="e">
        <f>IF(SummaryTable[[#This Row],[OriginalBudget12]]=0, IF(SummaryTable[[#This Row],[DiffAmount12]]=0, ZeroBudgetNoSpending, ZeroBudgetWithSpending), SummaryTable[[#This Row],[DiffAmount12]]/SummaryTable[[#This Row],[OriginalBudget12]])</f>
        <v>#N/A</v>
      </c>
      <c r="DW172" s="62" t="e">
        <f>IF(COUNTIFS(allFYsTable[Code], SummaryTable[[#This Row],[Code]], allFYsTable[year2], DW$3)=0, NotFound, SUMIFS(allFYsTable[OriginalBudget], allFYsTable[Code], SummaryTable[[#This Row],[Code]], allFYsTable[year2], DW$3))</f>
        <v>#N/A</v>
      </c>
      <c r="DX172" s="61" t="e">
        <f>SummaryTable[[#This Row],[OriginalBudget11]]-SummaryTable[[#This Row],[OriginalBudget10]]</f>
        <v>#N/A</v>
      </c>
      <c r="DY172" s="54" t="e">
        <f>SummaryTable[[#This Row],[BudgetIncreaseAmount11]]/SummaryTable[[#This Row],[OriginalBudget10]]</f>
        <v>#N/A</v>
      </c>
      <c r="DZ172" s="61" t="e">
        <f>IF(COUNTIFS(allFYsTable[Code], SummaryTable[[#This Row],[Code]], allFYsTable[year2], DW$3)=0, NotFound, SUMIFS(allFYsTable[RevisedBudget], allFYsTable[Code], SummaryTable[[#This Row],[Code]], allFYsTable[year2], DW$3))</f>
        <v>#N/A</v>
      </c>
      <c r="EA172" s="61" t="e">
        <f>IF(COUNTIFS(allFYsTable[Code], SummaryTable[[#This Row],[Code]], allFYsTable[year2], DW$3)=0, NotFound, SUMIFS(allFYsTable[Actual], allFYsTable[Code], SummaryTable[[#This Row],[Code]], allFYsTable[year2], DW$3))</f>
        <v>#N/A</v>
      </c>
      <c r="EB172" s="61" t="e">
        <f>IF(COUNTIFS(allFYsTable[Code], SummaryTable[[#This Row],[Code]], allFYsTable[year2], DW$3)=0, NotFound, SUMIFS(allFYsTable[DiffAmount], allFYsTable[Code], SummaryTable[[#This Row],[Code]], allFYsTable[year2], DW$3))</f>
        <v>#N/A</v>
      </c>
      <c r="EC172" s="63" t="e">
        <f>IF(SummaryTable[[#This Row],[OriginalBudget11]]=0, IF(SummaryTable[[#This Row],[DiffAmount11]]=0, ZeroBudgetNoSpending, ZeroBudgetWithSpending), SummaryTable[[#This Row],[DiffAmount11]]/SummaryTable[[#This Row],[OriginalBudget11]])</f>
        <v>#N/A</v>
      </c>
      <c r="ED172" s="62">
        <f>IF(COUNTIFS(allFYsTable[Code], SummaryTable[[#This Row],[Code]], allFYsTable[year2], ED$3)=0, NotFound, SUMIFS(allFYsTable[OriginalBudget], allFYsTable[Code], SummaryTable[[#This Row],[Code]], allFYsTable[year2], ED$3))</f>
        <v>434</v>
      </c>
      <c r="EE172" s="61">
        <f>SummaryTable[[#This Row],[OriginalBudget10]]-SummaryTable[[#This Row],[OriginalBudget09]]</f>
        <v>24</v>
      </c>
      <c r="EF172" s="54">
        <f>SummaryTable[[#This Row],[BudgetIncreaseAmount10]]/SummaryTable[[#This Row],[OriginalBudget09]]</f>
        <v>5.8536585365853662E-2</v>
      </c>
      <c r="EG172" s="61">
        <f>IF(COUNTIFS(allFYsTable[Code], SummaryTable[[#This Row],[Code]], allFYsTable[year2], ED$3)=0, NotFound, SUMIFS(allFYsTable[RevisedBudget], allFYsTable[Code], SummaryTable[[#This Row],[Code]], allFYsTable[year2], ED$3))</f>
        <v>434</v>
      </c>
      <c r="EH172" s="61">
        <f>IF(COUNTIFS(allFYsTable[Code], SummaryTable[[#This Row],[Code]], allFYsTable[year2], ED$3)=0, NotFound, SUMIFS(allFYsTable[Actual], allFYsTable[Code], SummaryTable[[#This Row],[Code]], allFYsTable[year2], ED$3))</f>
        <v>355</v>
      </c>
      <c r="EI172" s="61">
        <f>IF(COUNTIFS(allFYsTable[Code], SummaryTable[[#This Row],[Code]], allFYsTable[year2], ED$3)=0, NotFound, SUMIFS(allFYsTable[DiffAmount], allFYsTable[Code], SummaryTable[[#This Row],[Code]], allFYsTable[year2], ED$3))</f>
        <v>-79</v>
      </c>
      <c r="EJ172" s="63">
        <f>IF(SummaryTable[[#This Row],[OriginalBudget10]]=0, IF(SummaryTable[[#This Row],[DiffAmount10]]=0, ZeroBudgetNoSpending, ZeroBudgetWithSpending), SummaryTable[[#This Row],[DiffAmount10]]/SummaryTable[[#This Row],[OriginalBudget10]])</f>
        <v>-0.18202764976958524</v>
      </c>
      <c r="EK172" s="62">
        <f>IF(COUNTIFS(allFYsTable[Code], SummaryTable[[#This Row],[Code]], allFYsTable[year2], EK$3)=0, NotFound, SUMIFS(allFYsTable[OriginalBudget], allFYsTable[Code], SummaryTable[[#This Row],[Code]], allFYsTable[year2], EK$3))</f>
        <v>410</v>
      </c>
      <c r="EL172" s="61">
        <f>SummaryTable[[#This Row],[OriginalBudget09]]-SummaryTable[[#This Row],[OriginalBudget08]]</f>
        <v>131</v>
      </c>
      <c r="EM172" s="54">
        <f>SummaryTable[[#This Row],[BudgetIncreaseAmount09]]/SummaryTable[[#This Row],[OriginalBudget08]]</f>
        <v>0.46953405017921146</v>
      </c>
      <c r="EN172" s="61">
        <f>IF(COUNTIFS(allFYsTable[Code], SummaryTable[[#This Row],[Code]], allFYsTable[year2], EK$3)=0, NotFound, SUMIFS(allFYsTable[RevisedBudget], allFYsTable[Code], SummaryTable[[#This Row],[Code]], allFYsTable[year2], EK$3))</f>
        <v>410</v>
      </c>
      <c r="EO172" s="61">
        <f>IF(COUNTIFS(allFYsTable[Code], SummaryTable[[#This Row],[Code]], allFYsTable[year2], EK$3)=0, NotFound, SUMIFS(allFYsTable[Actual], allFYsTable[Code], SummaryTable[[#This Row],[Code]], allFYsTable[year2], EK$3))</f>
        <v>369</v>
      </c>
      <c r="EP172" s="61">
        <f>IF(COUNTIFS(allFYsTable[Code], SummaryTable[[#This Row],[Code]], allFYsTable[year2], EK$3)=0, NotFound, SUMIFS(allFYsTable[DiffAmount], allFYsTable[Code], SummaryTable[[#This Row],[Code]], allFYsTable[year2], EK$3))</f>
        <v>-41</v>
      </c>
      <c r="EQ172" s="63">
        <f>IF(SummaryTable[[#This Row],[OriginalBudget09]]=0, IF(SummaryTable[[#This Row],[DiffAmount09]]=0, ZeroBudgetNoSpending, ZeroBudgetWithSpending), SummaryTable[[#This Row],[DiffAmount09]]/SummaryTable[[#This Row],[OriginalBudget09]])</f>
        <v>-0.1</v>
      </c>
      <c r="ER172" s="62">
        <f>IF(COUNTIFS(allFYsTable[Code], SummaryTable[[#This Row],[Code]], allFYsTable[year2], ER$3)=0, NotFound, SUMIFS(allFYsTable[OriginalBudget], allFYsTable[Code], SummaryTable[[#This Row],[Code]], allFYsTable[year2], ER$3))</f>
        <v>279</v>
      </c>
      <c r="ES172" s="61" t="e">
        <f>SummaryTable[[#This Row],[OriginalBudget08]]-SummaryTable[[#This Row],[OriginalBudget07]]</f>
        <v>#N/A</v>
      </c>
      <c r="ET172" s="54" t="e">
        <f>SummaryTable[[#This Row],[BudgetIncreaseAmount08]]/SummaryTable[[#This Row],[OriginalBudget07]]</f>
        <v>#N/A</v>
      </c>
      <c r="EU172" s="61">
        <f>IF(COUNTIFS(allFYsTable[Code], SummaryTable[[#This Row],[Code]], allFYsTable[year2], ER$3)=0, NotFound, SUMIFS(allFYsTable[RevisedBudget], allFYsTable[Code], SummaryTable[[#This Row],[Code]], allFYsTable[year2], ER$3))</f>
        <v>346</v>
      </c>
      <c r="EV172" s="61">
        <f>IF(COUNTIFS(allFYsTable[Code], SummaryTable[[#This Row],[Code]], allFYsTable[year2], ER$3)=0, NotFound, SUMIFS(allFYsTable[Actual], allFYsTable[Code], SummaryTable[[#This Row],[Code]], allFYsTable[year2], ER$3))</f>
        <v>328</v>
      </c>
      <c r="EW172" s="61">
        <f>IF(COUNTIFS(allFYsTable[Code], SummaryTable[[#This Row],[Code]], allFYsTable[year2], ER$3)=0, NotFound, SUMIFS(allFYsTable[DiffAmount], allFYsTable[Code], SummaryTable[[#This Row],[Code]], allFYsTable[year2], ER$3))</f>
        <v>49</v>
      </c>
      <c r="EX172" s="63">
        <f>IF(SummaryTable[[#This Row],[OriginalBudget08]]=0, IF(SummaryTable[[#This Row],[DiffAmount08]]=0, ZeroBudgetNoSpending, ZeroBudgetWithSpending), SummaryTable[[#This Row],[DiffAmount08]]/SummaryTable[[#This Row],[OriginalBudget08]])</f>
        <v>0.17562724014336917</v>
      </c>
      <c r="EY172" s="62" t="e">
        <f>IF(COUNTIFS(allFYsTable[Code], SummaryTable[[#This Row],[Code]], allFYsTable[year2], EY$3)=0, NotFound, SUMIFS(allFYsTable[OriginalBudget], allFYsTable[Code], SummaryTable[[#This Row],[Code]], allFYsTable[year2], EY$3))</f>
        <v>#N/A</v>
      </c>
      <c r="EZ172" s="61" t="e">
        <f>SummaryTable[[#This Row],[OriginalBudget07]]-SummaryTable[[#This Row],[OriginalBudget06]]</f>
        <v>#N/A</v>
      </c>
      <c r="FA172" s="54" t="e">
        <f>SummaryTable[[#This Row],[BudgetIncreaseAmount07]]/SummaryTable[[#This Row],[OriginalBudget06]]</f>
        <v>#N/A</v>
      </c>
      <c r="FB172" s="61" t="e">
        <f>IF(COUNTIFS(allFYsTable[Code], SummaryTable[[#This Row],[Code]], allFYsTable[year2], EY$3)=0, NotFound, SUMIFS(allFYsTable[RevisedBudget], allFYsTable[Code], SummaryTable[[#This Row],[Code]], allFYsTable[year2], EY$3))</f>
        <v>#N/A</v>
      </c>
      <c r="FC172" s="61" t="e">
        <f>IF(COUNTIFS(allFYsTable[Code], SummaryTable[[#This Row],[Code]], allFYsTable[year2], EY$3)=0, NotFound, SUMIFS(allFYsTable[Actual], allFYsTable[Code], SummaryTable[[#This Row],[Code]], allFYsTable[year2], EY$3))</f>
        <v>#N/A</v>
      </c>
      <c r="FD172" s="61" t="e">
        <f>IF(COUNTIFS(allFYsTable[Code], SummaryTable[[#This Row],[Code]], allFYsTable[year2], EY$3)=0, NotFound, SUMIFS(allFYsTable[DiffAmount], allFYsTable[Code], SummaryTable[[#This Row],[Code]], allFYsTable[year2], EY$3))</f>
        <v>#N/A</v>
      </c>
      <c r="FE172" s="63" t="e">
        <f>IF(SummaryTable[[#This Row],[OriginalBudget07]]=0, IF(SummaryTable[[#This Row],[DiffAmount07]]=0, ZeroBudgetNoSpending, ZeroBudgetWithSpending), SummaryTable[[#This Row],[DiffAmount07]]/SummaryTable[[#This Row],[OriginalBudget07]])</f>
        <v>#N/A</v>
      </c>
      <c r="FF172" s="62" t="e">
        <f>IF(COUNTIFS(allFYsTable[Code], SummaryTable[[#This Row],[Code]], allFYsTable[year2], FF$3)=0, NotFound, SUMIFS(allFYsTable[OriginalBudget], allFYsTable[Code], SummaryTable[[#This Row],[Code]], allFYsTable[year2], FF$3))</f>
        <v>#N/A</v>
      </c>
      <c r="FI172" s="61" t="e">
        <f>IF(COUNTIFS(allFYsTable[Code], SummaryTable[[#This Row],[Code]], allFYsTable[year2], FF$3)=0, NotFound, SUMIFS(allFYsTable[RevisedBudget], allFYsTable[Code], SummaryTable[[#This Row],[Code]], allFYsTable[year2], FF$3))</f>
        <v>#N/A</v>
      </c>
      <c r="FJ172" s="61" t="e">
        <f>IF(COUNTIFS(allFYsTable[Code], SummaryTable[[#This Row],[Code]], allFYsTable[year2], FF$3)=0, NotFound, SUMIFS(allFYsTable[Actual], allFYsTable[Code], SummaryTable[[#This Row],[Code]], allFYsTable[year2], FF$3))</f>
        <v>#N/A</v>
      </c>
      <c r="FK172" s="61" t="e">
        <f>IF(COUNTIFS(allFYsTable[Code], SummaryTable[[#This Row],[Code]], allFYsTable[year2], FF$3)=0, NotFound, SUMIFS(allFYsTable[DiffAmount], allFYsTable[Code], SummaryTable[[#This Row],[Code]], allFYsTable[year2], FF$3))</f>
        <v>#N/A</v>
      </c>
      <c r="FL172" s="63" t="e">
        <f>IF(SummaryTable[[#This Row],[OriginalBudget06]]=0, IF(SummaryTable[[#This Row],[DiffAmount06]]=0, ZeroBudgetNoSpending, ZeroBudgetWithSpending), SummaryTable[[#This Row],[DiffAmount06]]/SummaryTable[[#This Row],[OriginalBudget06]])</f>
        <v>#N/A</v>
      </c>
    </row>
    <row r="173" spans="1:168" x14ac:dyDescent="0.45">
      <c r="A173" t="s">
        <v>882</v>
      </c>
      <c r="B173">
        <f>_xlfn.MAXIFS(allFYsTable[year2], allFYsTable[Code], SummaryTable[[#This Row],[Code]])</f>
        <v>2009</v>
      </c>
      <c r="C173" t="str">
        <f>_xlfn.XLOOKUP(SummaryTable[[#This Row],[Code]], NameCodingTable[Code], NameCodingTable[Most Recent Category per allFYs])</f>
        <v>Other</v>
      </c>
      <c r="D173" t="str">
        <f>_xlfn.XLOOKUP(SummaryTable[[#This Row],[Code]], NameCodingTable[Code], NameCodingTable[Unit Display Name])</f>
        <v>Account  receivable write off</v>
      </c>
      <c r="E173" t="str">
        <f>_xlfn.XLOOKUP(SummaryTable[[#This Row],[Code]], NameCodingTable[Code], NameCodingTable[Type])</f>
        <v>untyped</v>
      </c>
      <c r="F17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7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73" s="54">
        <f>SummaryTable[[#This Row],['# Over]]/SummaryTable[[#This Row],[Count]]</f>
        <v>1</v>
      </c>
      <c r="I17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73" s="54">
        <f>SummaryTable[[#This Row],['# Under]]/SummaryTable[[#This Row],[Count]]</f>
        <v>0</v>
      </c>
      <c r="K17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73" s="54">
        <f>SummaryTable[[#This Row],['# Equal]]/SummaryTable[[#This Row],[Count]]</f>
        <v>0</v>
      </c>
      <c r="M173" s="61">
        <f>SUMIFS(allFYsTable[OriginalBudget],allFYsTable[Code],SummaryTable[[#This Row],[Code]])/SummaryTable[[#This Row],[Count]]</f>
        <v>0</v>
      </c>
      <c r="N173" s="61">
        <f>SUMIFS(allFYsTable[Actual],allFYsTable[Code],SummaryTable[[#This Row],[Code]])/SummaryTable[[#This Row],[Count]]</f>
        <v>4513</v>
      </c>
      <c r="O173" s="61">
        <f>SummaryTable[[#This Row],[AvgActAmt]]-SummaryTable[[#This Row],[AvgBudAmt]]</f>
        <v>4513</v>
      </c>
      <c r="P173" s="54">
        <f>IF(SummaryTable[[#This Row],[AvgBudAmt]]=0, IF(SummaryTable[[#This Row],[AvgDiff'#]]=0, 0, NamedFields!$C$3), SummaryTable[[#This Row],[AvgDiff'#]]/SummaryTable[[#This Row],[AvgBudAmt]])</f>
        <v>99.99</v>
      </c>
      <c r="Q173" s="61">
        <f>IFERROR(SUMIFS(allFYsTable[OriginalBudget],allFYsTable[Code],SummaryTable[[#This Row],[Code]],allFYsTable[DiffAmount], "&gt;0")/SummaryTable[[#This Row],['# Over]], 0)</f>
        <v>0</v>
      </c>
      <c r="R173" s="61">
        <f>IFERROR(SUMIFS(allFYsTable[Actual],allFYsTable[Code],SummaryTable[[#This Row],[Code]],allFYsTable[DiffAmount], "&gt;0")/SummaryTable[[#This Row],['# Over]], 0)</f>
        <v>4513</v>
      </c>
      <c r="S173" s="61">
        <f>SummaryTable[[#This Row],[OverAvgAct]]-SummaryTable[[#This Row],[OverAvgBud]]</f>
        <v>4513</v>
      </c>
      <c r="T173" s="54">
        <f>IF(SummaryTable[[#This Row],[OverAvgBud]]=0, IF(SummaryTable[[#This Row],[OverAvgDiff'#]]=0, ZeroBudgetNoSpending, ZeroBudgetWithSpending), SummaryTable[[#This Row],[OverAvgDiff'#]]/SummaryTable[[#This Row],[OverAvgBud]])</f>
        <v>99.99</v>
      </c>
      <c r="U173" s="61">
        <f>IFERROR(SUMIFS(allFYsTable[OriginalBudget],allFYsTable[Code],SummaryTable[[#This Row],[Code]],allFYsTable[DiffAmount], "&lt;0")/SummaryTable[[#This Row],['# Under]], 0)</f>
        <v>0</v>
      </c>
      <c r="V173" s="61">
        <f>IFERROR( SUMIFS(allFYsTable[Actual],allFYsTable[Code],SummaryTable[[#This Row],[Code]],allFYsTable[DiffAmount], "&lt;0")/SummaryTable[[#This Row],['# Under]], 0)</f>
        <v>0</v>
      </c>
      <c r="W173" s="61">
        <f>SummaryTable[[#This Row],[UnderAvgAct]]-SummaryTable[[#This Row],[UnderAvgBud]]</f>
        <v>0</v>
      </c>
      <c r="X173" s="54">
        <f>IF(SummaryTable[[#This Row],[UnderAvgBud]]=0, IF(SummaryTable[[#This Row],[UnderAvgDiff'#]]=0, ZeroBudgetNoSpending, NamedFields!$C$3), SummaryTable[[#This Row],[UnderAvgDiff'#]]/SummaryTable[[#This Row],[UnderAvgBud]])</f>
        <v>0</v>
      </c>
      <c r="Y17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7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3" s="54">
        <f>IF(SummaryTable[[#This Row],[IncreaseYears]]=0, ZeroBudgetNoSpending, SummaryTable[[#This Row],[OSinIncreaseYear'#]]/SummaryTable[[#This Row],[IncreaseYears]])</f>
        <v>0</v>
      </c>
      <c r="AB173" s="58" t="str">
        <f>SummaryTable[[#This Row],[Code]]</f>
        <v>XAR</v>
      </c>
      <c r="AC173" s="62" t="e">
        <f>IF(COUNTIFS(allFYsTable[Code], SummaryTable[[#This Row],[Code]], allFYsTable[year2], AC$3)=0, NotFound, SUMIFS(allFYsTable[OriginalBudget], allFYsTable[Code], SummaryTable[[#This Row],[Code]], allFYsTable[year2], AC$3))</f>
        <v>#N/A</v>
      </c>
      <c r="AD173" s="61" t="e">
        <f>SummaryTable[[#This Row],[OriginalBudget25]]-SummaryTable[[#This Row],[OriginalBudget24]]</f>
        <v>#N/A</v>
      </c>
      <c r="AE173" s="54" t="e">
        <f>SummaryTable[[#This Row],[BudgetIncreaseAmount25]]/SummaryTable[[#This Row],[OriginalBudget24]]</f>
        <v>#N/A</v>
      </c>
      <c r="AF173" s="61" t="e">
        <f>IF(COUNTIFS(allFYsTable[Code], SummaryTable[[#This Row],[Code]], allFYsTable[year2], AC$3)=0, NotFound, SUMIFS(allFYsTable[RevisedBudget], allFYsTable[Code], SummaryTable[[#This Row],[Code]], allFYsTable[year2], AC$3))</f>
        <v>#N/A</v>
      </c>
      <c r="AG173" s="61" t="e">
        <f>IF(COUNTIFS(allFYsTable[Code], SummaryTable[[#This Row],[Code]], allFYsTable[year2], AC$3)=0, NotFound, SUMIFS(allFYsTable[Actual], allFYsTable[Code], SummaryTable[[#This Row],[Code]], allFYsTable[year2], AC$3))</f>
        <v>#N/A</v>
      </c>
      <c r="AH173" s="61" t="e">
        <f>IF(COUNTIFS(allFYsTable[Code], SummaryTable[[#This Row],[Code]], allFYsTable[year2], AC$3)=0, NotFound, SUMIFS(allFYsTable[DiffAmount], allFYsTable[Code], SummaryTable[[#This Row],[Code]], allFYsTable[year2], AC$3))</f>
        <v>#N/A</v>
      </c>
      <c r="AI173" s="63" t="e">
        <f>IF(SummaryTable[[#This Row],[OriginalBudget25]]=0, IF(SummaryTable[[#This Row],[DiffAmount25]]=0, ZeroBudgetNoSpending, ZeroBudgetWithSpending), SummaryTable[[#This Row],[DiffAmount25]]/SummaryTable[[#This Row],[OriginalBudget25]])</f>
        <v>#N/A</v>
      </c>
      <c r="AJ173" s="62" t="e">
        <f>IF(COUNTIFS(allFYsTable[Code], SummaryTable[[#This Row],[Code]], allFYsTable[year2], AJ$3)=0, NotFound, SUMIFS(allFYsTable[OriginalBudget], allFYsTable[Code], SummaryTable[[#This Row],[Code]], allFYsTable[year2], AJ$3))</f>
        <v>#N/A</v>
      </c>
      <c r="AK173" s="61" t="e">
        <f>SummaryTable[[#This Row],[OriginalBudget24]]-SummaryTable[[#This Row],[OriginalBudget23]]</f>
        <v>#N/A</v>
      </c>
      <c r="AL173" s="54" t="e">
        <f>SummaryTable[[#This Row],[BudgetIncreaseAmount24]]/SummaryTable[[#This Row],[OriginalBudget23]]</f>
        <v>#N/A</v>
      </c>
      <c r="AM173" s="61" t="e">
        <f>IF(COUNTIFS(allFYsTable[Code], SummaryTable[[#This Row],[Code]], allFYsTable[year2], AK$3)=0, NotFound, SUMIFS(allFYsTable[RevisedBudget], allFYsTable[Code], SummaryTable[[#This Row],[Code]], allFYsTable[year2], AJ$3))</f>
        <v>#N/A</v>
      </c>
      <c r="AN173" s="61" t="e">
        <f>IF(COUNTIFS(allFYsTable[Code], SummaryTable[[#This Row],[Code]], allFYsTable[year2], AJ$3)=0, NotFound, SUMIFS(allFYsTable[Actual], allFYsTable[Code], SummaryTable[[#This Row],[Code]], allFYsTable[year2], AJ$3))</f>
        <v>#N/A</v>
      </c>
      <c r="AO173" s="61" t="e">
        <f>IF(COUNTIFS(allFYsTable[Code], SummaryTable[[#This Row],[Code]], allFYsTable[year2], AJ$3)=0, NotFound, SUMIFS(allFYsTable[DiffAmount], allFYsTable[Code], SummaryTable[[#This Row],[Code]], allFYsTable[year2], AJ$3))</f>
        <v>#N/A</v>
      </c>
      <c r="AP173" s="63" t="e">
        <f>IF(SummaryTable[[#This Row],[OriginalBudget24]]=0, IF(SummaryTable[[#This Row],[DiffAmount24]]=0, ZeroBudgetNoSpending, ZeroBudgetWithSpending), SummaryTable[[#This Row],[DiffAmount24]]/SummaryTable[[#This Row],[OriginalBudget24]])</f>
        <v>#N/A</v>
      </c>
      <c r="AQ173" s="62" t="e">
        <f>IF(COUNTIFS(allFYsTable[Code], SummaryTable[[#This Row],[Code]], allFYsTable[year2], AQ$3)=0, NotFound, SUMIFS(allFYsTable[OriginalBudget], allFYsTable[Code], SummaryTable[[#This Row],[Code]], allFYsTable[year2], AQ$3))</f>
        <v>#N/A</v>
      </c>
      <c r="AR173" s="61" t="e">
        <f>SummaryTable[[#This Row],[OriginalBudget23]]-SummaryTable[[#This Row],[OriginalBudget22]]</f>
        <v>#N/A</v>
      </c>
      <c r="AS173" s="54" t="e">
        <f>SummaryTable[[#This Row],[BudgetIncreaseAmount23]]/SummaryTable[[#This Row],[OriginalBudget22]]</f>
        <v>#N/A</v>
      </c>
      <c r="AT173" s="61" t="e">
        <f>IF(COUNTIFS(allFYsTable[Code], SummaryTable[[#This Row],[Code]], allFYsTable[year2], AQ$3)=0, NotFound, SUMIFS(allFYsTable[RevisedBudget], allFYsTable[Code], SummaryTable[[#This Row],[Code]], allFYsTable[year2], AQ$3))</f>
        <v>#N/A</v>
      </c>
      <c r="AU173" s="61" t="e">
        <f>IF(COUNTIFS(allFYsTable[Code], SummaryTable[[#This Row],[Code]], allFYsTable[year2], AQ$3)=0, NotFound, SUMIFS(allFYsTable[Actual], allFYsTable[Code], SummaryTable[[#This Row],[Code]], allFYsTable[year2], AQ$3))</f>
        <v>#N/A</v>
      </c>
      <c r="AV173" s="61" t="e">
        <f>IF(COUNTIFS(allFYsTable[Code], SummaryTable[[#This Row],[Code]], allFYsTable[year2], AQ$3)=0, NotFound, SUMIFS(allFYsTable[DiffAmount], allFYsTable[Code], SummaryTable[[#This Row],[Code]], allFYsTable[year2], AQ$3))</f>
        <v>#N/A</v>
      </c>
      <c r="AW173" s="63" t="e">
        <f>IF(SummaryTable[[#This Row],[OriginalBudget23]]=0, IF(SummaryTable[[#This Row],[DiffAmount23]]=0, ZeroBudgetNoSpending, ZeroBudgetWithSpending), SummaryTable[[#This Row],[DiffAmount23]]/SummaryTable[[#This Row],[OriginalBudget23]])</f>
        <v>#N/A</v>
      </c>
      <c r="AX173" s="62" t="e">
        <f>IF(COUNTIFS(allFYsTable[Code], SummaryTable[[#This Row],[Code]], allFYsTable[year2], AX$3)=0, NotFound, SUMIFS(allFYsTable[OriginalBudget], allFYsTable[Code], SummaryTable[[#This Row],[Code]], allFYsTable[year2], AX$3))</f>
        <v>#N/A</v>
      </c>
      <c r="AY173" s="61" t="e">
        <f>SummaryTable[[#This Row],[OriginalBudget22]]-SummaryTable[[#This Row],[OriginalBudget21]]</f>
        <v>#N/A</v>
      </c>
      <c r="AZ173" s="54" t="e">
        <f>SummaryTable[[#This Row],[BudgetIncreaseAmount22]]/SummaryTable[[#This Row],[OriginalBudget21]]</f>
        <v>#N/A</v>
      </c>
      <c r="BA173" s="61" t="e">
        <f>IF(COUNTIFS(allFYsTable[Code], SummaryTable[[#This Row],[Code]], allFYsTable[year2], AX$3)=0, NotFound, SUMIFS(allFYsTable[RevisedBudget], allFYsTable[Code], SummaryTable[[#This Row],[Code]], allFYsTable[year2], AX$3))</f>
        <v>#N/A</v>
      </c>
      <c r="BB173" s="61" t="e">
        <f>IF(COUNTIFS(allFYsTable[Code], SummaryTable[[#This Row],[Code]], allFYsTable[year2], AX$3)=0, NotFound, SUMIFS(allFYsTable[Actual], allFYsTable[Code], SummaryTable[[#This Row],[Code]], allFYsTable[year2], AX$3))</f>
        <v>#N/A</v>
      </c>
      <c r="BC173" s="61" t="e">
        <f>IF(COUNTIFS(allFYsTable[Code], SummaryTable[[#This Row],[Code]], allFYsTable[year2], AX$3)=0, NotFound, SUMIFS(allFYsTable[DiffAmount], allFYsTable[Code], SummaryTable[[#This Row],[Code]], allFYsTable[year2], AX$3))</f>
        <v>#N/A</v>
      </c>
      <c r="BD173" s="63" t="e">
        <f>IF(SummaryTable[[#This Row],[OriginalBudget22]]=0, IF(SummaryTable[[#This Row],[DiffAmount22]]=0, ZeroBudgetNoSpending, ZeroBudgetWithSpending), SummaryTable[[#This Row],[DiffAmount22]]/SummaryTable[[#This Row],[OriginalBudget22]])</f>
        <v>#N/A</v>
      </c>
      <c r="BE173" s="62" t="e">
        <f>IF(COUNTIFS(allFYsTable[Code], SummaryTable[[#This Row],[Code]], allFYsTable[year2], BE$3)=0, NotFound, SUMIFS(allFYsTable[OriginalBudget], allFYsTable[Code], SummaryTable[[#This Row],[Code]], allFYsTable[year2], BE$3))</f>
        <v>#N/A</v>
      </c>
      <c r="BF173" s="61" t="e">
        <f>SummaryTable[[#This Row],[OriginalBudget21]]-SummaryTable[[#This Row],[OriginalBudget20]]</f>
        <v>#N/A</v>
      </c>
      <c r="BG173" s="54" t="e">
        <f>SummaryTable[[#This Row],[BudgetIncreaseAmount21]]/SummaryTable[[#This Row],[OriginalBudget20]]</f>
        <v>#N/A</v>
      </c>
      <c r="BH173" s="61" t="e">
        <f>IF(COUNTIFS(allFYsTable[Code], SummaryTable[[#This Row],[Code]], allFYsTable[year2], BE$3)=0, NotFound, SUMIFS(allFYsTable[RevisedBudget], allFYsTable[Code], SummaryTable[[#This Row],[Code]], allFYsTable[year2], BE$3))</f>
        <v>#N/A</v>
      </c>
      <c r="BI173" s="61" t="e">
        <f>IF(COUNTIFS(allFYsTable[Code], SummaryTable[[#This Row],[Code]], allFYsTable[year2], BE$3)=0, NotFound, SUMIFS(allFYsTable[Actual], allFYsTable[Code], SummaryTable[[#This Row],[Code]], allFYsTable[year2], BE$3))</f>
        <v>#N/A</v>
      </c>
      <c r="BJ173" s="61" t="e">
        <f>IF(COUNTIFS(allFYsTable[Code], SummaryTable[[#This Row],[Code]], allFYsTable[year2], BE$3)=0, NotFound, SUMIFS(allFYsTable[DiffAmount], allFYsTable[Code], SummaryTable[[#This Row],[Code]], allFYsTable[year2], BE$3))</f>
        <v>#N/A</v>
      </c>
      <c r="BK173" s="63" t="e">
        <f>IF(SummaryTable[[#This Row],[OriginalBudget21]]=0, IF(SummaryTable[[#This Row],[DiffAmount21]]=0, ZeroBudgetNoSpending, ZeroBudgetWithSpending), SummaryTable[[#This Row],[DiffAmount21]]/SummaryTable[[#This Row],[OriginalBudget21]])</f>
        <v>#N/A</v>
      </c>
      <c r="BL173" s="62" t="e">
        <f>IF(COUNTIFS(allFYsTable[Code], SummaryTable[[#This Row],[Code]], allFYsTable[year2], BL$3)=0, NotFound, SUMIFS(allFYsTable[OriginalBudget], allFYsTable[Code], SummaryTable[[#This Row],[Code]], allFYsTable[year2], BL$3))</f>
        <v>#N/A</v>
      </c>
      <c r="BM173" s="61" t="e">
        <f>SummaryTable[[#This Row],[OriginalBudget20]]-SummaryTable[[#This Row],[OriginalBudget19]]</f>
        <v>#N/A</v>
      </c>
      <c r="BN173" s="54" t="e">
        <f>SummaryTable[[#This Row],[BudgetIncreaseAmount20]]/SummaryTable[[#This Row],[OriginalBudget19]]</f>
        <v>#N/A</v>
      </c>
      <c r="BO173" s="61" t="e">
        <f>IF(COUNTIFS(allFYsTable[Code], SummaryTable[[#This Row],[Code]], allFYsTable[year2], BL$3)=0, NotFound, SUMIFS(allFYsTable[RevisedBudget], allFYsTable[Code], SummaryTable[[#This Row],[Code]], allFYsTable[year2], BL$3))</f>
        <v>#N/A</v>
      </c>
      <c r="BP173" s="61" t="e">
        <f>IF(COUNTIFS(allFYsTable[Code], SummaryTable[[#This Row],[Code]], allFYsTable[year2], BL$3)=0, NotFound, SUMIFS(allFYsTable[Actual], allFYsTable[Code], SummaryTable[[#This Row],[Code]], allFYsTable[year2], BL$3))</f>
        <v>#N/A</v>
      </c>
      <c r="BQ173" s="61" t="e">
        <f>IF(COUNTIFS(allFYsTable[Code], SummaryTable[[#This Row],[Code]], allFYsTable[year2], BL$3)=0, NotFound, SUMIFS(allFYsTable[DiffAmount], allFYsTable[Code], SummaryTable[[#This Row],[Code]], allFYsTable[year2], BL$3))</f>
        <v>#N/A</v>
      </c>
      <c r="BR173" s="63" t="e">
        <f>IF(SummaryTable[[#This Row],[OriginalBudget20]]=0, IF(SummaryTable[[#This Row],[DiffAmount20]]=0, ZeroBudgetNoSpending, ZeroBudgetWithSpending), SummaryTable[[#This Row],[DiffAmount20]]/SummaryTable[[#This Row],[OriginalBudget20]])</f>
        <v>#N/A</v>
      </c>
      <c r="BS173" s="62" t="e">
        <f>IF(COUNTIFS(allFYsTable[Code], SummaryTable[[#This Row],[Code]], allFYsTable[year2], BS$3)=0, NotFound, SUMIFS(allFYsTable[OriginalBudget], allFYsTable[Code], SummaryTable[[#This Row],[Code]], allFYsTable[year2], BS$3))</f>
        <v>#N/A</v>
      </c>
      <c r="BT173" s="61" t="e">
        <f>SummaryTable[[#This Row],[OriginalBudget19]]-SummaryTable[[#This Row],[OriginalBudget18]]</f>
        <v>#N/A</v>
      </c>
      <c r="BU173" s="54" t="e">
        <f>SummaryTable[[#This Row],[BudgetIncreaseAmount19]]/SummaryTable[[#This Row],[OriginalBudget18]]</f>
        <v>#N/A</v>
      </c>
      <c r="BV173" s="61" t="e">
        <f>IF(COUNTIFS(allFYsTable[Code], SummaryTable[[#This Row],[Code]], allFYsTable[year2], BS$3)=0, NotFound, SUMIFS(allFYsTable[RevisedBudget], allFYsTable[Code], SummaryTable[[#This Row],[Code]], allFYsTable[year2], BS$3))</f>
        <v>#N/A</v>
      </c>
      <c r="BW173" s="61" t="e">
        <f>IF(COUNTIFS(allFYsTable[Code], SummaryTable[[#This Row],[Code]], allFYsTable[year2], BS$3)=0, NotFound, SUMIFS(allFYsTable[Actual], allFYsTable[Code], SummaryTable[[#This Row],[Code]], allFYsTable[year2], BS$3))</f>
        <v>#N/A</v>
      </c>
      <c r="BX173" s="61" t="e">
        <f>IF(COUNTIFS(allFYsTable[Code], SummaryTable[[#This Row],[Code]], allFYsTable[year2], BS$3)=0, NotFound, SUMIFS(allFYsTable[DiffAmount], allFYsTable[Code], SummaryTable[[#This Row],[Code]], allFYsTable[year2], BS$3))</f>
        <v>#N/A</v>
      </c>
      <c r="BY173" s="63" t="e">
        <f>IF(SummaryTable[[#This Row],[OriginalBudget19]]=0, IF(SummaryTable[[#This Row],[DiffAmount19]]=0, ZeroBudgetNoSpending, ZeroBudgetWithSpending), SummaryTable[[#This Row],[DiffAmount19]]/SummaryTable[[#This Row],[OriginalBudget19]])</f>
        <v>#N/A</v>
      </c>
      <c r="BZ173" s="62" t="e">
        <f>IF(COUNTIFS(allFYsTable[Code], SummaryTable[[#This Row],[Code]], allFYsTable[year2], BZ$3)=0, NotFound, SUMIFS(allFYsTable[OriginalBudget], allFYsTable[Code], SummaryTable[[#This Row],[Code]], allFYsTable[year2], BZ$3))</f>
        <v>#N/A</v>
      </c>
      <c r="CA173" s="61" t="e">
        <f>SummaryTable[[#This Row],[OriginalBudget18]]-SummaryTable[[#This Row],[OriginalBudget17]]</f>
        <v>#N/A</v>
      </c>
      <c r="CB173" s="54" t="e">
        <f>SummaryTable[[#This Row],[BudgetIncreaseAmount18]]/SummaryTable[[#This Row],[OriginalBudget17]]</f>
        <v>#N/A</v>
      </c>
      <c r="CC173" s="61" t="e">
        <f>IF(COUNTIFS(allFYsTable[Code], SummaryTable[[#This Row],[Code]], allFYsTable[year2], BZ$3)=0, NotFound, SUMIFS(allFYsTable[RevisedBudget], allFYsTable[Code], SummaryTable[[#This Row],[Code]], allFYsTable[year2], BZ$3))</f>
        <v>#N/A</v>
      </c>
      <c r="CD173" s="61" t="e">
        <f>IF(COUNTIFS(allFYsTable[Code], SummaryTable[[#This Row],[Code]], allFYsTable[year2], BZ$3)=0, NotFound, SUMIFS(allFYsTable[Actual], allFYsTable[Code], SummaryTable[[#This Row],[Code]], allFYsTable[year2], BZ$3))</f>
        <v>#N/A</v>
      </c>
      <c r="CE173" s="61" t="e">
        <f>IF(COUNTIFS(allFYsTable[Code], SummaryTable[[#This Row],[Code]], allFYsTable[year2], BZ$3)=0, NotFound, SUMIFS(allFYsTable[DiffAmount], allFYsTable[Code], SummaryTable[[#This Row],[Code]], allFYsTable[year2], BZ$3))</f>
        <v>#N/A</v>
      </c>
      <c r="CF173" s="63" t="e">
        <f>IF(SummaryTable[[#This Row],[OriginalBudget18]]=0, IF(SummaryTable[[#This Row],[DiffAmount18]]=0, ZeroBudgetNoSpending, ZeroBudgetWithSpending), SummaryTable[[#This Row],[DiffAmount18]]/SummaryTable[[#This Row],[OriginalBudget18]])</f>
        <v>#N/A</v>
      </c>
      <c r="CG173" s="62" t="e">
        <f>IF(COUNTIFS(allFYsTable[Code], SummaryTable[[#This Row],[Code]], allFYsTable[year2], CG$3)=0, NotFound, SUMIFS(allFYsTable[OriginalBudget], allFYsTable[Code], SummaryTable[[#This Row],[Code]], allFYsTable[year2], CG$3))</f>
        <v>#N/A</v>
      </c>
      <c r="CH173" s="61" t="e">
        <f>SummaryTable[[#This Row],[OriginalBudget17]]-SummaryTable[[#This Row],[OriginalBudget16]]</f>
        <v>#N/A</v>
      </c>
      <c r="CI173" s="54" t="e">
        <f>SummaryTable[[#This Row],[BudgetIncreaseAmount17]]/SummaryTable[[#This Row],[OriginalBudget16]]</f>
        <v>#N/A</v>
      </c>
      <c r="CJ173" s="61" t="e">
        <f>IF(COUNTIFS(allFYsTable[Code], SummaryTable[[#This Row],[Code]], allFYsTable[year2], CG$3)=0, NotFound, SUMIFS(allFYsTable[RevisedBudget], allFYsTable[Code], SummaryTable[[#This Row],[Code]], allFYsTable[year2], CG$3))</f>
        <v>#N/A</v>
      </c>
      <c r="CK173" s="61" t="e">
        <f>IF(COUNTIFS(allFYsTable[Code], SummaryTable[[#This Row],[Code]], allFYsTable[year2], CG$3)=0, NotFound, SUMIFS(allFYsTable[Actual], allFYsTable[Code], SummaryTable[[#This Row],[Code]], allFYsTable[year2], CG$3))</f>
        <v>#N/A</v>
      </c>
      <c r="CL173" s="61" t="e">
        <f>IF(COUNTIFS(allFYsTable[Code], SummaryTable[[#This Row],[Code]], allFYsTable[year2], CG$3)=0, NotFound, SUMIFS(allFYsTable[DiffAmount], allFYsTable[Code], SummaryTable[[#This Row],[Code]], allFYsTable[year2], CG$3))</f>
        <v>#N/A</v>
      </c>
      <c r="CM173" s="63" t="e">
        <f>IF(SummaryTable[[#This Row],[OriginalBudget17]]=0, IF(SummaryTable[[#This Row],[DiffAmount17]]=0, ZeroBudgetNoSpending, ZeroBudgetWithSpending), SummaryTable[[#This Row],[DiffAmount17]]/SummaryTable[[#This Row],[OriginalBudget17]])</f>
        <v>#N/A</v>
      </c>
      <c r="CN173" s="62" t="e">
        <f>IF(COUNTIFS(allFYsTable[Code], SummaryTable[[#This Row],[Code]], allFYsTable[year2], CN$3)=0, NotFound, SUMIFS(allFYsTable[OriginalBudget], allFYsTable[Code], SummaryTable[[#This Row],[Code]], allFYsTable[year2], CN$3))</f>
        <v>#N/A</v>
      </c>
      <c r="CO173" s="61" t="e">
        <f>SummaryTable[[#This Row],[OriginalBudget16]]-SummaryTable[[#This Row],[OriginalBudget15]]</f>
        <v>#N/A</v>
      </c>
      <c r="CP173" s="54" t="e">
        <f>SummaryTable[[#This Row],[BudgetIncreaseAmount16]]/SummaryTable[[#This Row],[OriginalBudget15]]</f>
        <v>#N/A</v>
      </c>
      <c r="CQ173" s="61" t="e">
        <f>IF(COUNTIFS(allFYsTable[Code], SummaryTable[[#This Row],[Code]], allFYsTable[year2], CN$3)=0, NotFound, SUMIFS(allFYsTable[RevisedBudget], allFYsTable[Code], SummaryTable[[#This Row],[Code]], allFYsTable[year2], CN$3))</f>
        <v>#N/A</v>
      </c>
      <c r="CR173" s="61" t="e">
        <f>IF(COUNTIFS(allFYsTable[Code], SummaryTable[[#This Row],[Code]], allFYsTable[year2], CN$3)=0, NotFound, SUMIFS(allFYsTable[Actual], allFYsTable[Code], SummaryTable[[#This Row],[Code]], allFYsTable[year2], CN$3))</f>
        <v>#N/A</v>
      </c>
      <c r="CS173" s="61" t="e">
        <f>IF(COUNTIFS(allFYsTable[Code], SummaryTable[[#This Row],[Code]], allFYsTable[year2], CN$3)=0, NotFound, SUMIFS(allFYsTable[DiffAmount], allFYsTable[Code], SummaryTable[[#This Row],[Code]], allFYsTable[year2], CN$3))</f>
        <v>#N/A</v>
      </c>
      <c r="CT173" s="63" t="e">
        <f>IF(SummaryTable[[#This Row],[OriginalBudget16]]=0, IF(SummaryTable[[#This Row],[DiffAmount16]]=0, ZeroBudgetNoSpending, ZeroBudgetWithSpending), SummaryTable[[#This Row],[DiffAmount16]]/SummaryTable[[#This Row],[OriginalBudget16]])</f>
        <v>#N/A</v>
      </c>
      <c r="CU173" s="62" t="e">
        <f>IF(COUNTIFS(allFYsTable[Code], SummaryTable[[#This Row],[Code]], allFYsTable[year2], CU$3)=0, NotFound, SUMIFS(allFYsTable[OriginalBudget], allFYsTable[Code], SummaryTable[[#This Row],[Code]], allFYsTable[year2], CU$3))</f>
        <v>#N/A</v>
      </c>
      <c r="CV173" s="61" t="e">
        <f>SummaryTable[[#This Row],[OriginalBudget15]]-SummaryTable[[#This Row],[OriginalBudget14]]</f>
        <v>#N/A</v>
      </c>
      <c r="CW173" s="54" t="e">
        <f>SummaryTable[[#This Row],[BudgetIncreaseAmount15]]/SummaryTable[[#This Row],[OriginalBudget14]]</f>
        <v>#N/A</v>
      </c>
      <c r="CX173" s="61" t="e">
        <f>IF(COUNTIFS(allFYsTable[Code], SummaryTable[[#This Row],[Code]], allFYsTable[year2], CU$3)=0, NotFound, SUMIFS(allFYsTable[RevisedBudget], allFYsTable[Code], SummaryTable[[#This Row],[Code]], allFYsTable[year2], CU$3))</f>
        <v>#N/A</v>
      </c>
      <c r="CY173" s="61" t="e">
        <f>IF(COUNTIFS(allFYsTable[Code], SummaryTable[[#This Row],[Code]], allFYsTable[year2], CU$3)=0, NotFound, SUMIFS(allFYsTable[Actual], allFYsTable[Code], SummaryTable[[#This Row],[Code]], allFYsTable[year2], CU$3))</f>
        <v>#N/A</v>
      </c>
      <c r="CZ173" s="61" t="e">
        <f>IF(COUNTIFS(allFYsTable[Code], SummaryTable[[#This Row],[Code]], allFYsTable[year2], CU$3)=0, NotFound, SUMIFS(allFYsTable[DiffAmount], allFYsTable[Code], SummaryTable[[#This Row],[Code]], allFYsTable[year2], CU$3))</f>
        <v>#N/A</v>
      </c>
      <c r="DA173" s="63" t="e">
        <f>IF(SummaryTable[[#This Row],[OriginalBudget15]]=0, IF(SummaryTable[[#This Row],[DiffAmount15]]=0, ZeroBudgetNoSpending, ZeroBudgetWithSpending), SummaryTable[[#This Row],[DiffAmount15]]/SummaryTable[[#This Row],[OriginalBudget15]])</f>
        <v>#N/A</v>
      </c>
      <c r="DB173" s="62" t="e">
        <f>IF(COUNTIFS(allFYsTable[Code], SummaryTable[[#This Row],[Code]], allFYsTable[year2], DB$3)=0, NotFound, SUMIFS(allFYsTable[OriginalBudget], allFYsTable[Code], SummaryTable[[#This Row],[Code]], allFYsTable[year2], DB$3))</f>
        <v>#N/A</v>
      </c>
      <c r="DC173" s="61" t="e">
        <f>SummaryTable[[#This Row],[OriginalBudget14]]-SummaryTable[[#This Row],[OriginalBudget13]]</f>
        <v>#N/A</v>
      </c>
      <c r="DD173" s="54" t="e">
        <f>SummaryTable[[#This Row],[BudgetIncreaseAmount14]]/SummaryTable[[#This Row],[OriginalBudget13]]</f>
        <v>#N/A</v>
      </c>
      <c r="DE173" s="61" t="e">
        <f>IF(COUNTIFS(allFYsTable[Code], SummaryTable[[#This Row],[Code]], allFYsTable[year2], DB$3)=0, NotFound, SUMIFS(allFYsTable[RevisedBudget], allFYsTable[Code], SummaryTable[[#This Row],[Code]], allFYsTable[year2], DB$3))</f>
        <v>#N/A</v>
      </c>
      <c r="DF173" s="61" t="e">
        <f>IF(COUNTIFS(allFYsTable[Code], SummaryTable[[#This Row],[Code]], allFYsTable[year2], DB$3)=0, NotFound, SUMIFS(allFYsTable[Actual], allFYsTable[Code], SummaryTable[[#This Row],[Code]], allFYsTable[year2], DB$3))</f>
        <v>#N/A</v>
      </c>
      <c r="DG173" s="61" t="e">
        <f>IF(COUNTIFS(allFYsTable[Code], SummaryTable[[#This Row],[Code]], allFYsTable[year2], DB$3)=0, NotFound, SUMIFS(allFYsTable[DiffAmount], allFYsTable[Code], SummaryTable[[#This Row],[Code]], allFYsTable[year2], DB$3))</f>
        <v>#N/A</v>
      </c>
      <c r="DH173" s="63" t="e">
        <f>IF(SummaryTable[[#This Row],[OriginalBudget14]]=0, IF(SummaryTable[[#This Row],[DiffAmount14]]=0, ZeroBudgetNoSpending, ZeroBudgetWithSpending), SummaryTable[[#This Row],[DiffAmount14]]/SummaryTable[[#This Row],[OriginalBudget14]])</f>
        <v>#N/A</v>
      </c>
      <c r="DI173" s="62" t="e">
        <f>IF(COUNTIFS(allFYsTable[Code], SummaryTable[[#This Row],[Code]], allFYsTable[year2], DI$3)=0, NotFound, SUMIFS(allFYsTable[OriginalBudget], allFYsTable[Code], SummaryTable[[#This Row],[Code]], allFYsTable[year2], DI$3))</f>
        <v>#N/A</v>
      </c>
      <c r="DJ173" s="61" t="e">
        <f>SummaryTable[[#This Row],[OriginalBudget13]]-SummaryTable[[#This Row],[OriginalBudget12]]</f>
        <v>#N/A</v>
      </c>
      <c r="DK173" s="54" t="e">
        <f>SummaryTable[[#This Row],[BudgetIncreaseAmount13]]/SummaryTable[[#This Row],[OriginalBudget12]]</f>
        <v>#N/A</v>
      </c>
      <c r="DL173" s="61" t="e">
        <f>IF(COUNTIFS(allFYsTable[Code], SummaryTable[[#This Row],[Code]], allFYsTable[year2], DI$3)=0, NotFound, SUMIFS(allFYsTable[RevisedBudget], allFYsTable[Code], SummaryTable[[#This Row],[Code]], allFYsTable[year2], DI$3))</f>
        <v>#N/A</v>
      </c>
      <c r="DM173" s="61" t="e">
        <f>IF(COUNTIFS(allFYsTable[Code], SummaryTable[[#This Row],[Code]], allFYsTable[year2], DI$3)=0, NotFound, SUMIFS(allFYsTable[Actual], allFYsTable[Code], SummaryTable[[#This Row],[Code]], allFYsTable[year2], DI$3))</f>
        <v>#N/A</v>
      </c>
      <c r="DN173" s="61" t="e">
        <f>IF(COUNTIFS(allFYsTable[Code], SummaryTable[[#This Row],[Code]], allFYsTable[year2], DI$3)=0, NotFound, SUMIFS(allFYsTable[DiffAmount], allFYsTable[Code], SummaryTable[[#This Row],[Code]], allFYsTable[year2], DI$3))</f>
        <v>#N/A</v>
      </c>
      <c r="DO173" s="63" t="e">
        <f>IF(SummaryTable[[#This Row],[OriginalBudget13]]=0, IF(SummaryTable[[#This Row],[DiffAmount13]]=0, ZeroBudgetNoSpending, ZeroBudgetWithSpending), SummaryTable[[#This Row],[DiffAmount13]]/SummaryTable[[#This Row],[OriginalBudget13]])</f>
        <v>#N/A</v>
      </c>
      <c r="DP173" s="62" t="e">
        <f>IF(COUNTIFS(allFYsTable[Code], SummaryTable[[#This Row],[Code]], allFYsTable[year2], DP$3)=0, NotFound, SUMIFS(allFYsTable[OriginalBudget], allFYsTable[Code], SummaryTable[[#This Row],[Code]], allFYsTable[year2], DP$3))</f>
        <v>#N/A</v>
      </c>
      <c r="DQ173" s="61" t="e">
        <f>SummaryTable[[#This Row],[OriginalBudget12]]-SummaryTable[[#This Row],[OriginalBudget11]]</f>
        <v>#N/A</v>
      </c>
      <c r="DR173" s="54" t="e">
        <f>SummaryTable[[#This Row],[BudgetIncreaseAmount12]]/SummaryTable[[#This Row],[OriginalBudget11]]</f>
        <v>#N/A</v>
      </c>
      <c r="DS173" s="61" t="e">
        <f>IF(COUNTIFS(allFYsTable[Code], SummaryTable[[#This Row],[Code]], allFYsTable[year2], DP$3)=0, NotFound, SUMIFS(allFYsTable[RevisedBudget], allFYsTable[Code], SummaryTable[[#This Row],[Code]], allFYsTable[year2], DP$3))</f>
        <v>#N/A</v>
      </c>
      <c r="DT173" s="61" t="e">
        <f>IF(COUNTIFS(allFYsTable[Code], SummaryTable[[#This Row],[Code]], allFYsTable[year2], DP$3)=0, NotFound, SUMIFS(allFYsTable[Actual], allFYsTable[Code], SummaryTable[[#This Row],[Code]], allFYsTable[year2], DP$3))</f>
        <v>#N/A</v>
      </c>
      <c r="DU173" s="61" t="e">
        <f>IF(COUNTIFS(allFYsTable[Code], SummaryTable[[#This Row],[Code]], allFYsTable[year2], DP$3)=0, NotFound, SUMIFS(allFYsTable[DiffAmount], allFYsTable[Code], SummaryTable[[#This Row],[Code]], allFYsTable[year2], DP$3))</f>
        <v>#N/A</v>
      </c>
      <c r="DV173" s="63" t="e">
        <f>IF(SummaryTable[[#This Row],[OriginalBudget12]]=0, IF(SummaryTable[[#This Row],[DiffAmount12]]=0, ZeroBudgetNoSpending, ZeroBudgetWithSpending), SummaryTable[[#This Row],[DiffAmount12]]/SummaryTable[[#This Row],[OriginalBudget12]])</f>
        <v>#N/A</v>
      </c>
      <c r="DW173" s="62" t="e">
        <f>IF(COUNTIFS(allFYsTable[Code], SummaryTable[[#This Row],[Code]], allFYsTable[year2], DW$3)=0, NotFound, SUMIFS(allFYsTable[OriginalBudget], allFYsTable[Code], SummaryTable[[#This Row],[Code]], allFYsTable[year2], DW$3))</f>
        <v>#N/A</v>
      </c>
      <c r="DX173" s="61" t="e">
        <f>SummaryTable[[#This Row],[OriginalBudget11]]-SummaryTable[[#This Row],[OriginalBudget10]]</f>
        <v>#N/A</v>
      </c>
      <c r="DY173" s="54" t="e">
        <f>SummaryTable[[#This Row],[BudgetIncreaseAmount11]]/SummaryTable[[#This Row],[OriginalBudget10]]</f>
        <v>#N/A</v>
      </c>
      <c r="DZ173" s="61" t="e">
        <f>IF(COUNTIFS(allFYsTable[Code], SummaryTable[[#This Row],[Code]], allFYsTable[year2], DW$3)=0, NotFound, SUMIFS(allFYsTable[RevisedBudget], allFYsTable[Code], SummaryTable[[#This Row],[Code]], allFYsTable[year2], DW$3))</f>
        <v>#N/A</v>
      </c>
      <c r="EA173" s="61" t="e">
        <f>IF(COUNTIFS(allFYsTable[Code], SummaryTable[[#This Row],[Code]], allFYsTable[year2], DW$3)=0, NotFound, SUMIFS(allFYsTable[Actual], allFYsTable[Code], SummaryTable[[#This Row],[Code]], allFYsTable[year2], DW$3))</f>
        <v>#N/A</v>
      </c>
      <c r="EB173" s="61" t="e">
        <f>IF(COUNTIFS(allFYsTable[Code], SummaryTable[[#This Row],[Code]], allFYsTable[year2], DW$3)=0, NotFound, SUMIFS(allFYsTable[DiffAmount], allFYsTable[Code], SummaryTable[[#This Row],[Code]], allFYsTable[year2], DW$3))</f>
        <v>#N/A</v>
      </c>
      <c r="EC173" s="63" t="e">
        <f>IF(SummaryTable[[#This Row],[OriginalBudget11]]=0, IF(SummaryTable[[#This Row],[DiffAmount11]]=0, ZeroBudgetNoSpending, ZeroBudgetWithSpending), SummaryTable[[#This Row],[DiffAmount11]]/SummaryTable[[#This Row],[OriginalBudget11]])</f>
        <v>#N/A</v>
      </c>
      <c r="ED173" s="62" t="e">
        <f>IF(COUNTIFS(allFYsTable[Code], SummaryTable[[#This Row],[Code]], allFYsTable[year2], ED$3)=0, NotFound, SUMIFS(allFYsTable[OriginalBudget], allFYsTable[Code], SummaryTable[[#This Row],[Code]], allFYsTable[year2], ED$3))</f>
        <v>#N/A</v>
      </c>
      <c r="EE173" s="61" t="e">
        <f>SummaryTable[[#This Row],[OriginalBudget10]]-SummaryTable[[#This Row],[OriginalBudget09]]</f>
        <v>#N/A</v>
      </c>
      <c r="EF173" s="54" t="e">
        <f>SummaryTable[[#This Row],[BudgetIncreaseAmount10]]/SummaryTable[[#This Row],[OriginalBudget09]]</f>
        <v>#N/A</v>
      </c>
      <c r="EG173" s="61" t="e">
        <f>IF(COUNTIFS(allFYsTable[Code], SummaryTable[[#This Row],[Code]], allFYsTable[year2], ED$3)=0, NotFound, SUMIFS(allFYsTable[RevisedBudget], allFYsTable[Code], SummaryTable[[#This Row],[Code]], allFYsTable[year2], ED$3))</f>
        <v>#N/A</v>
      </c>
      <c r="EH173" s="61" t="e">
        <f>IF(COUNTIFS(allFYsTable[Code], SummaryTable[[#This Row],[Code]], allFYsTable[year2], ED$3)=0, NotFound, SUMIFS(allFYsTable[Actual], allFYsTable[Code], SummaryTable[[#This Row],[Code]], allFYsTable[year2], ED$3))</f>
        <v>#N/A</v>
      </c>
      <c r="EI173" s="61" t="e">
        <f>IF(COUNTIFS(allFYsTable[Code], SummaryTable[[#This Row],[Code]], allFYsTable[year2], ED$3)=0, NotFound, SUMIFS(allFYsTable[DiffAmount], allFYsTable[Code], SummaryTable[[#This Row],[Code]], allFYsTable[year2], ED$3))</f>
        <v>#N/A</v>
      </c>
      <c r="EJ173" s="63" t="e">
        <f>IF(SummaryTable[[#This Row],[OriginalBudget10]]=0, IF(SummaryTable[[#This Row],[DiffAmount10]]=0, ZeroBudgetNoSpending, ZeroBudgetWithSpending), SummaryTable[[#This Row],[DiffAmount10]]/SummaryTable[[#This Row],[OriginalBudget10]])</f>
        <v>#N/A</v>
      </c>
      <c r="EK173" s="62">
        <f>IF(COUNTIFS(allFYsTable[Code], SummaryTable[[#This Row],[Code]], allFYsTable[year2], EK$3)=0, NotFound, SUMIFS(allFYsTable[OriginalBudget], allFYsTable[Code], SummaryTable[[#This Row],[Code]], allFYsTable[year2], EK$3))</f>
        <v>0</v>
      </c>
      <c r="EL173" s="61" t="e">
        <f>SummaryTable[[#This Row],[OriginalBudget09]]-SummaryTable[[#This Row],[OriginalBudget08]]</f>
        <v>#N/A</v>
      </c>
      <c r="EM173" s="54" t="e">
        <f>SummaryTable[[#This Row],[BudgetIncreaseAmount09]]/SummaryTable[[#This Row],[OriginalBudget08]]</f>
        <v>#N/A</v>
      </c>
      <c r="EN173" s="61">
        <f>IF(COUNTIFS(allFYsTable[Code], SummaryTable[[#This Row],[Code]], allFYsTable[year2], EK$3)=0, NotFound, SUMIFS(allFYsTable[RevisedBudget], allFYsTable[Code], SummaryTable[[#This Row],[Code]], allFYsTable[year2], EK$3))</f>
        <v>0</v>
      </c>
      <c r="EO173" s="61">
        <f>IF(COUNTIFS(allFYsTable[Code], SummaryTable[[#This Row],[Code]], allFYsTable[year2], EK$3)=0, NotFound, SUMIFS(allFYsTable[Actual], allFYsTable[Code], SummaryTable[[#This Row],[Code]], allFYsTable[year2], EK$3))</f>
        <v>4513</v>
      </c>
      <c r="EP173" s="61">
        <f>IF(COUNTIFS(allFYsTable[Code], SummaryTable[[#This Row],[Code]], allFYsTable[year2], EK$3)=0, NotFound, SUMIFS(allFYsTable[DiffAmount], allFYsTable[Code], SummaryTable[[#This Row],[Code]], allFYsTable[year2], EK$3))</f>
        <v>4513</v>
      </c>
      <c r="EQ173" s="63">
        <f>IF(SummaryTable[[#This Row],[OriginalBudget09]]=0, IF(SummaryTable[[#This Row],[DiffAmount09]]=0, ZeroBudgetNoSpending, ZeroBudgetWithSpending), SummaryTable[[#This Row],[DiffAmount09]]/SummaryTable[[#This Row],[OriginalBudget09]])</f>
        <v>99.99</v>
      </c>
      <c r="ER173" s="62" t="e">
        <f>IF(COUNTIFS(allFYsTable[Code], SummaryTable[[#This Row],[Code]], allFYsTable[year2], ER$3)=0, NotFound, SUMIFS(allFYsTable[OriginalBudget], allFYsTable[Code], SummaryTable[[#This Row],[Code]], allFYsTable[year2], ER$3))</f>
        <v>#N/A</v>
      </c>
      <c r="ES173" s="61" t="e">
        <f>SummaryTable[[#This Row],[OriginalBudget08]]-SummaryTable[[#This Row],[OriginalBudget07]]</f>
        <v>#N/A</v>
      </c>
      <c r="ET173" s="54" t="e">
        <f>SummaryTable[[#This Row],[BudgetIncreaseAmount08]]/SummaryTable[[#This Row],[OriginalBudget07]]</f>
        <v>#N/A</v>
      </c>
      <c r="EU173" s="61" t="e">
        <f>IF(COUNTIFS(allFYsTable[Code], SummaryTable[[#This Row],[Code]], allFYsTable[year2], ER$3)=0, NotFound, SUMIFS(allFYsTable[RevisedBudget], allFYsTable[Code], SummaryTable[[#This Row],[Code]], allFYsTable[year2], ER$3))</f>
        <v>#N/A</v>
      </c>
      <c r="EV173" s="61" t="e">
        <f>IF(COUNTIFS(allFYsTable[Code], SummaryTable[[#This Row],[Code]], allFYsTable[year2], ER$3)=0, NotFound, SUMIFS(allFYsTable[Actual], allFYsTable[Code], SummaryTable[[#This Row],[Code]], allFYsTable[year2], ER$3))</f>
        <v>#N/A</v>
      </c>
      <c r="EW173" s="61" t="e">
        <f>IF(COUNTIFS(allFYsTable[Code], SummaryTable[[#This Row],[Code]], allFYsTable[year2], ER$3)=0, NotFound, SUMIFS(allFYsTable[DiffAmount], allFYsTable[Code], SummaryTable[[#This Row],[Code]], allFYsTable[year2], ER$3))</f>
        <v>#N/A</v>
      </c>
      <c r="EX173" s="63" t="e">
        <f>IF(SummaryTable[[#This Row],[OriginalBudget08]]=0, IF(SummaryTable[[#This Row],[DiffAmount08]]=0, ZeroBudgetNoSpending, ZeroBudgetWithSpending), SummaryTable[[#This Row],[DiffAmount08]]/SummaryTable[[#This Row],[OriginalBudget08]])</f>
        <v>#N/A</v>
      </c>
      <c r="EY173" s="62" t="e">
        <f>IF(COUNTIFS(allFYsTable[Code], SummaryTable[[#This Row],[Code]], allFYsTable[year2], EY$3)=0, NotFound, SUMIFS(allFYsTable[OriginalBudget], allFYsTable[Code], SummaryTable[[#This Row],[Code]], allFYsTable[year2], EY$3))</f>
        <v>#N/A</v>
      </c>
      <c r="EZ173" s="61" t="e">
        <f>SummaryTable[[#This Row],[OriginalBudget07]]-SummaryTable[[#This Row],[OriginalBudget06]]</f>
        <v>#N/A</v>
      </c>
      <c r="FA173" s="54" t="e">
        <f>SummaryTable[[#This Row],[BudgetIncreaseAmount07]]/SummaryTable[[#This Row],[OriginalBudget06]]</f>
        <v>#N/A</v>
      </c>
      <c r="FB173" s="61" t="e">
        <f>IF(COUNTIFS(allFYsTable[Code], SummaryTable[[#This Row],[Code]], allFYsTable[year2], EY$3)=0, NotFound, SUMIFS(allFYsTable[RevisedBudget], allFYsTable[Code], SummaryTable[[#This Row],[Code]], allFYsTable[year2], EY$3))</f>
        <v>#N/A</v>
      </c>
      <c r="FC173" s="61" t="e">
        <f>IF(COUNTIFS(allFYsTable[Code], SummaryTable[[#This Row],[Code]], allFYsTable[year2], EY$3)=0, NotFound, SUMIFS(allFYsTable[Actual], allFYsTable[Code], SummaryTable[[#This Row],[Code]], allFYsTable[year2], EY$3))</f>
        <v>#N/A</v>
      </c>
      <c r="FD173" s="61" t="e">
        <f>IF(COUNTIFS(allFYsTable[Code], SummaryTable[[#This Row],[Code]], allFYsTable[year2], EY$3)=0, NotFound, SUMIFS(allFYsTable[DiffAmount], allFYsTable[Code], SummaryTable[[#This Row],[Code]], allFYsTable[year2], EY$3))</f>
        <v>#N/A</v>
      </c>
      <c r="FE173" s="63" t="e">
        <f>IF(SummaryTable[[#This Row],[OriginalBudget07]]=0, IF(SummaryTable[[#This Row],[DiffAmount07]]=0, ZeroBudgetNoSpending, ZeroBudgetWithSpending), SummaryTable[[#This Row],[DiffAmount07]]/SummaryTable[[#This Row],[OriginalBudget07]])</f>
        <v>#N/A</v>
      </c>
      <c r="FF173" s="62" t="e">
        <f>IF(COUNTIFS(allFYsTable[Code], SummaryTable[[#This Row],[Code]], allFYsTable[year2], FF$3)=0, NotFound, SUMIFS(allFYsTable[OriginalBudget], allFYsTable[Code], SummaryTable[[#This Row],[Code]], allFYsTable[year2], FF$3))</f>
        <v>#N/A</v>
      </c>
      <c r="FI173" s="61" t="e">
        <f>IF(COUNTIFS(allFYsTable[Code], SummaryTable[[#This Row],[Code]], allFYsTable[year2], FF$3)=0, NotFound, SUMIFS(allFYsTable[RevisedBudget], allFYsTable[Code], SummaryTable[[#This Row],[Code]], allFYsTable[year2], FF$3))</f>
        <v>#N/A</v>
      </c>
      <c r="FJ173" s="61" t="e">
        <f>IF(COUNTIFS(allFYsTable[Code], SummaryTable[[#This Row],[Code]], allFYsTable[year2], FF$3)=0, NotFound, SUMIFS(allFYsTable[Actual], allFYsTable[Code], SummaryTable[[#This Row],[Code]], allFYsTable[year2], FF$3))</f>
        <v>#N/A</v>
      </c>
      <c r="FK173" s="61" t="e">
        <f>IF(COUNTIFS(allFYsTable[Code], SummaryTable[[#This Row],[Code]], allFYsTable[year2], FF$3)=0, NotFound, SUMIFS(allFYsTable[DiffAmount], allFYsTable[Code], SummaryTable[[#This Row],[Code]], allFYsTable[year2], FF$3))</f>
        <v>#N/A</v>
      </c>
      <c r="FL173" s="63" t="e">
        <f>IF(SummaryTable[[#This Row],[OriginalBudget06]]=0, IF(SummaryTable[[#This Row],[DiffAmount06]]=0, ZeroBudgetNoSpending, ZeroBudgetWithSpending), SummaryTable[[#This Row],[DiffAmount06]]/SummaryTable[[#This Row],[OriginalBudget06]])</f>
        <v>#N/A</v>
      </c>
    </row>
    <row r="174" spans="1:168" x14ac:dyDescent="0.45">
      <c r="A174" t="s">
        <v>881</v>
      </c>
      <c r="B174">
        <f>_xlfn.MAXIFS(allFYsTable[year2], allFYsTable[Code], SummaryTable[[#This Row],[Code]])</f>
        <v>2009</v>
      </c>
      <c r="C174" t="str">
        <f>_xlfn.XLOOKUP(SummaryTable[[#This Row],[Code]], NameCodingTable[Code], NameCodingTable[Most Recent Category per allFYs])</f>
        <v>Human support services</v>
      </c>
      <c r="D174" t="str">
        <f>_xlfn.XLOOKUP(SummaryTable[[#This Row],[Code]], NameCodingTable[Code], NameCodingTable[Unit Display Name])</f>
        <v>Child &amp; family services medicaid  write off</v>
      </c>
      <c r="E174" t="str">
        <f>_xlfn.XLOOKUP(SummaryTable[[#This Row],[Code]], NameCodingTable[Code], NameCodingTable[Type])</f>
        <v>untyped</v>
      </c>
      <c r="F17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v>
      </c>
      <c r="G17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2</v>
      </c>
      <c r="H174" s="54">
        <f>SummaryTable[[#This Row],['# Over]]/SummaryTable[[#This Row],[Count]]</f>
        <v>1</v>
      </c>
      <c r="I17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74" s="54">
        <f>SummaryTable[[#This Row],['# Under]]/SummaryTable[[#This Row],[Count]]</f>
        <v>0</v>
      </c>
      <c r="K17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74" s="54">
        <f>SummaryTable[[#This Row],['# Equal]]/SummaryTable[[#This Row],[Count]]</f>
        <v>0</v>
      </c>
      <c r="M174" s="61">
        <f>SUMIFS(allFYsTable[OriginalBudget],allFYsTable[Code],SummaryTable[[#This Row],[Code]])/SummaryTable[[#This Row],[Count]]</f>
        <v>0</v>
      </c>
      <c r="N174" s="61">
        <f>SUMIFS(allFYsTable[Actual],allFYsTable[Code],SummaryTable[[#This Row],[Code]])/SummaryTable[[#This Row],[Count]]</f>
        <v>57465</v>
      </c>
      <c r="O174" s="61">
        <f>SummaryTable[[#This Row],[AvgActAmt]]-SummaryTable[[#This Row],[AvgBudAmt]]</f>
        <v>57465</v>
      </c>
      <c r="P174" s="54">
        <f>IF(SummaryTable[[#This Row],[AvgBudAmt]]=0, IF(SummaryTable[[#This Row],[AvgDiff'#]]=0, 0, NamedFields!$C$3), SummaryTable[[#This Row],[AvgDiff'#]]/SummaryTable[[#This Row],[AvgBudAmt]])</f>
        <v>99.99</v>
      </c>
      <c r="Q174" s="61">
        <f>IFERROR(SUMIFS(allFYsTable[OriginalBudget],allFYsTable[Code],SummaryTable[[#This Row],[Code]],allFYsTable[DiffAmount], "&gt;0")/SummaryTable[[#This Row],['# Over]], 0)</f>
        <v>0</v>
      </c>
      <c r="R174" s="61">
        <f>IFERROR(SUMIFS(allFYsTable[Actual],allFYsTable[Code],SummaryTable[[#This Row],[Code]],allFYsTable[DiffAmount], "&gt;0")/SummaryTable[[#This Row],['# Over]], 0)</f>
        <v>57465</v>
      </c>
      <c r="S174" s="61">
        <f>SummaryTable[[#This Row],[OverAvgAct]]-SummaryTable[[#This Row],[OverAvgBud]]</f>
        <v>57465</v>
      </c>
      <c r="T174" s="54">
        <f>IF(SummaryTable[[#This Row],[OverAvgBud]]=0, IF(SummaryTable[[#This Row],[OverAvgDiff'#]]=0, ZeroBudgetNoSpending, ZeroBudgetWithSpending), SummaryTable[[#This Row],[OverAvgDiff'#]]/SummaryTable[[#This Row],[OverAvgBud]])</f>
        <v>99.99</v>
      </c>
      <c r="U174" s="61">
        <f>IFERROR(SUMIFS(allFYsTable[OriginalBudget],allFYsTable[Code],SummaryTable[[#This Row],[Code]],allFYsTable[DiffAmount], "&lt;0")/SummaryTable[[#This Row],['# Under]], 0)</f>
        <v>0</v>
      </c>
      <c r="V174" s="61">
        <f>IFERROR( SUMIFS(allFYsTable[Actual],allFYsTable[Code],SummaryTable[[#This Row],[Code]],allFYsTable[DiffAmount], "&lt;0")/SummaryTable[[#This Row],['# Under]], 0)</f>
        <v>0</v>
      </c>
      <c r="W174" s="61">
        <f>SummaryTable[[#This Row],[UnderAvgAct]]-SummaryTable[[#This Row],[UnderAvgBud]]</f>
        <v>0</v>
      </c>
      <c r="X174" s="54">
        <f>IF(SummaryTable[[#This Row],[UnderAvgBud]]=0, IF(SummaryTable[[#This Row],[UnderAvgDiff'#]]=0, ZeroBudgetNoSpending, NamedFields!$C$3), SummaryTable[[#This Row],[UnderAvgDiff'#]]/SummaryTable[[#This Row],[UnderAvgBud]])</f>
        <v>0</v>
      </c>
      <c r="Y17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7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4" s="54">
        <f>IF(SummaryTable[[#This Row],[IncreaseYears]]=0, ZeroBudgetNoSpending, SummaryTable[[#This Row],[OSinIncreaseYear'#]]/SummaryTable[[#This Row],[IncreaseYears]])</f>
        <v>0</v>
      </c>
      <c r="AB174" s="58" t="str">
        <f>SummaryTable[[#This Row],[Code]]</f>
        <v>XMW</v>
      </c>
      <c r="AC174" s="62" t="e">
        <f>IF(COUNTIFS(allFYsTable[Code], SummaryTable[[#This Row],[Code]], allFYsTable[year2], AC$3)=0, NotFound, SUMIFS(allFYsTable[OriginalBudget], allFYsTable[Code], SummaryTable[[#This Row],[Code]], allFYsTable[year2], AC$3))</f>
        <v>#N/A</v>
      </c>
      <c r="AD174" s="61" t="e">
        <f>SummaryTable[[#This Row],[OriginalBudget25]]-SummaryTable[[#This Row],[OriginalBudget24]]</f>
        <v>#N/A</v>
      </c>
      <c r="AE174" s="54" t="e">
        <f>SummaryTable[[#This Row],[BudgetIncreaseAmount25]]/SummaryTable[[#This Row],[OriginalBudget24]]</f>
        <v>#N/A</v>
      </c>
      <c r="AF174" s="61" t="e">
        <f>IF(COUNTIFS(allFYsTable[Code], SummaryTable[[#This Row],[Code]], allFYsTable[year2], AC$3)=0, NotFound, SUMIFS(allFYsTable[RevisedBudget], allFYsTable[Code], SummaryTable[[#This Row],[Code]], allFYsTable[year2], AC$3))</f>
        <v>#N/A</v>
      </c>
      <c r="AG174" s="61" t="e">
        <f>IF(COUNTIFS(allFYsTable[Code], SummaryTable[[#This Row],[Code]], allFYsTable[year2], AC$3)=0, NotFound, SUMIFS(allFYsTable[Actual], allFYsTable[Code], SummaryTable[[#This Row],[Code]], allFYsTable[year2], AC$3))</f>
        <v>#N/A</v>
      </c>
      <c r="AH174" s="61" t="e">
        <f>IF(COUNTIFS(allFYsTable[Code], SummaryTable[[#This Row],[Code]], allFYsTable[year2], AC$3)=0, NotFound, SUMIFS(allFYsTable[DiffAmount], allFYsTable[Code], SummaryTable[[#This Row],[Code]], allFYsTable[year2], AC$3))</f>
        <v>#N/A</v>
      </c>
      <c r="AI174" s="63" t="e">
        <f>IF(SummaryTable[[#This Row],[OriginalBudget25]]=0, IF(SummaryTable[[#This Row],[DiffAmount25]]=0, ZeroBudgetNoSpending, ZeroBudgetWithSpending), SummaryTable[[#This Row],[DiffAmount25]]/SummaryTable[[#This Row],[OriginalBudget25]])</f>
        <v>#N/A</v>
      </c>
      <c r="AJ174" s="62" t="e">
        <f>IF(COUNTIFS(allFYsTable[Code], SummaryTable[[#This Row],[Code]], allFYsTable[year2], AJ$3)=0, NotFound, SUMIFS(allFYsTable[OriginalBudget], allFYsTable[Code], SummaryTable[[#This Row],[Code]], allFYsTable[year2], AJ$3))</f>
        <v>#N/A</v>
      </c>
      <c r="AK174" s="61" t="e">
        <f>SummaryTable[[#This Row],[OriginalBudget24]]-SummaryTable[[#This Row],[OriginalBudget23]]</f>
        <v>#N/A</v>
      </c>
      <c r="AL174" s="54" t="e">
        <f>SummaryTable[[#This Row],[BudgetIncreaseAmount24]]/SummaryTable[[#This Row],[OriginalBudget23]]</f>
        <v>#N/A</v>
      </c>
      <c r="AM174" s="61" t="e">
        <f>IF(COUNTIFS(allFYsTable[Code], SummaryTable[[#This Row],[Code]], allFYsTable[year2], AK$3)=0, NotFound, SUMIFS(allFYsTable[RevisedBudget], allFYsTable[Code], SummaryTable[[#This Row],[Code]], allFYsTable[year2], AJ$3))</f>
        <v>#N/A</v>
      </c>
      <c r="AN174" s="61" t="e">
        <f>IF(COUNTIFS(allFYsTable[Code], SummaryTable[[#This Row],[Code]], allFYsTable[year2], AJ$3)=0, NotFound, SUMIFS(allFYsTable[Actual], allFYsTable[Code], SummaryTable[[#This Row],[Code]], allFYsTable[year2], AJ$3))</f>
        <v>#N/A</v>
      </c>
      <c r="AO174" s="61" t="e">
        <f>IF(COUNTIFS(allFYsTable[Code], SummaryTable[[#This Row],[Code]], allFYsTable[year2], AJ$3)=0, NotFound, SUMIFS(allFYsTable[DiffAmount], allFYsTable[Code], SummaryTable[[#This Row],[Code]], allFYsTable[year2], AJ$3))</f>
        <v>#N/A</v>
      </c>
      <c r="AP174" s="63" t="e">
        <f>IF(SummaryTable[[#This Row],[OriginalBudget24]]=0, IF(SummaryTable[[#This Row],[DiffAmount24]]=0, ZeroBudgetNoSpending, ZeroBudgetWithSpending), SummaryTable[[#This Row],[DiffAmount24]]/SummaryTable[[#This Row],[OriginalBudget24]])</f>
        <v>#N/A</v>
      </c>
      <c r="AQ174" s="62" t="e">
        <f>IF(COUNTIFS(allFYsTable[Code], SummaryTable[[#This Row],[Code]], allFYsTable[year2], AQ$3)=0, NotFound, SUMIFS(allFYsTable[OriginalBudget], allFYsTable[Code], SummaryTable[[#This Row],[Code]], allFYsTable[year2], AQ$3))</f>
        <v>#N/A</v>
      </c>
      <c r="AR174" s="61" t="e">
        <f>SummaryTable[[#This Row],[OriginalBudget23]]-SummaryTable[[#This Row],[OriginalBudget22]]</f>
        <v>#N/A</v>
      </c>
      <c r="AS174" s="54" t="e">
        <f>SummaryTable[[#This Row],[BudgetIncreaseAmount23]]/SummaryTable[[#This Row],[OriginalBudget22]]</f>
        <v>#N/A</v>
      </c>
      <c r="AT174" s="61" t="e">
        <f>IF(COUNTIFS(allFYsTable[Code], SummaryTable[[#This Row],[Code]], allFYsTable[year2], AQ$3)=0, NotFound, SUMIFS(allFYsTable[RevisedBudget], allFYsTable[Code], SummaryTable[[#This Row],[Code]], allFYsTable[year2], AQ$3))</f>
        <v>#N/A</v>
      </c>
      <c r="AU174" s="61" t="e">
        <f>IF(COUNTIFS(allFYsTable[Code], SummaryTable[[#This Row],[Code]], allFYsTable[year2], AQ$3)=0, NotFound, SUMIFS(allFYsTable[Actual], allFYsTable[Code], SummaryTable[[#This Row],[Code]], allFYsTable[year2], AQ$3))</f>
        <v>#N/A</v>
      </c>
      <c r="AV174" s="61" t="e">
        <f>IF(COUNTIFS(allFYsTable[Code], SummaryTable[[#This Row],[Code]], allFYsTable[year2], AQ$3)=0, NotFound, SUMIFS(allFYsTable[DiffAmount], allFYsTable[Code], SummaryTable[[#This Row],[Code]], allFYsTable[year2], AQ$3))</f>
        <v>#N/A</v>
      </c>
      <c r="AW174" s="63" t="e">
        <f>IF(SummaryTable[[#This Row],[OriginalBudget23]]=0, IF(SummaryTable[[#This Row],[DiffAmount23]]=0, ZeroBudgetNoSpending, ZeroBudgetWithSpending), SummaryTable[[#This Row],[DiffAmount23]]/SummaryTable[[#This Row],[OriginalBudget23]])</f>
        <v>#N/A</v>
      </c>
      <c r="AX174" s="62" t="e">
        <f>IF(COUNTIFS(allFYsTable[Code], SummaryTable[[#This Row],[Code]], allFYsTable[year2], AX$3)=0, NotFound, SUMIFS(allFYsTable[OriginalBudget], allFYsTable[Code], SummaryTable[[#This Row],[Code]], allFYsTable[year2], AX$3))</f>
        <v>#N/A</v>
      </c>
      <c r="AY174" s="61" t="e">
        <f>SummaryTable[[#This Row],[OriginalBudget22]]-SummaryTable[[#This Row],[OriginalBudget21]]</f>
        <v>#N/A</v>
      </c>
      <c r="AZ174" s="54" t="e">
        <f>SummaryTable[[#This Row],[BudgetIncreaseAmount22]]/SummaryTable[[#This Row],[OriginalBudget21]]</f>
        <v>#N/A</v>
      </c>
      <c r="BA174" s="61" t="e">
        <f>IF(COUNTIFS(allFYsTable[Code], SummaryTable[[#This Row],[Code]], allFYsTable[year2], AX$3)=0, NotFound, SUMIFS(allFYsTable[RevisedBudget], allFYsTable[Code], SummaryTable[[#This Row],[Code]], allFYsTable[year2], AX$3))</f>
        <v>#N/A</v>
      </c>
      <c r="BB174" s="61" t="e">
        <f>IF(COUNTIFS(allFYsTable[Code], SummaryTable[[#This Row],[Code]], allFYsTable[year2], AX$3)=0, NotFound, SUMIFS(allFYsTable[Actual], allFYsTable[Code], SummaryTable[[#This Row],[Code]], allFYsTable[year2], AX$3))</f>
        <v>#N/A</v>
      </c>
      <c r="BC174" s="61" t="e">
        <f>IF(COUNTIFS(allFYsTable[Code], SummaryTable[[#This Row],[Code]], allFYsTable[year2], AX$3)=0, NotFound, SUMIFS(allFYsTable[DiffAmount], allFYsTable[Code], SummaryTable[[#This Row],[Code]], allFYsTable[year2], AX$3))</f>
        <v>#N/A</v>
      </c>
      <c r="BD174" s="63" t="e">
        <f>IF(SummaryTable[[#This Row],[OriginalBudget22]]=0, IF(SummaryTable[[#This Row],[DiffAmount22]]=0, ZeroBudgetNoSpending, ZeroBudgetWithSpending), SummaryTable[[#This Row],[DiffAmount22]]/SummaryTable[[#This Row],[OriginalBudget22]])</f>
        <v>#N/A</v>
      </c>
      <c r="BE174" s="62" t="e">
        <f>IF(COUNTIFS(allFYsTable[Code], SummaryTable[[#This Row],[Code]], allFYsTable[year2], BE$3)=0, NotFound, SUMIFS(allFYsTable[OriginalBudget], allFYsTable[Code], SummaryTable[[#This Row],[Code]], allFYsTable[year2], BE$3))</f>
        <v>#N/A</v>
      </c>
      <c r="BF174" s="61" t="e">
        <f>SummaryTable[[#This Row],[OriginalBudget21]]-SummaryTable[[#This Row],[OriginalBudget20]]</f>
        <v>#N/A</v>
      </c>
      <c r="BG174" s="54" t="e">
        <f>SummaryTable[[#This Row],[BudgetIncreaseAmount21]]/SummaryTable[[#This Row],[OriginalBudget20]]</f>
        <v>#N/A</v>
      </c>
      <c r="BH174" s="61" t="e">
        <f>IF(COUNTIFS(allFYsTable[Code], SummaryTable[[#This Row],[Code]], allFYsTable[year2], BE$3)=0, NotFound, SUMIFS(allFYsTable[RevisedBudget], allFYsTable[Code], SummaryTable[[#This Row],[Code]], allFYsTable[year2], BE$3))</f>
        <v>#N/A</v>
      </c>
      <c r="BI174" s="61" t="e">
        <f>IF(COUNTIFS(allFYsTable[Code], SummaryTable[[#This Row],[Code]], allFYsTable[year2], BE$3)=0, NotFound, SUMIFS(allFYsTable[Actual], allFYsTable[Code], SummaryTable[[#This Row],[Code]], allFYsTable[year2], BE$3))</f>
        <v>#N/A</v>
      </c>
      <c r="BJ174" s="61" t="e">
        <f>IF(COUNTIFS(allFYsTable[Code], SummaryTable[[#This Row],[Code]], allFYsTable[year2], BE$3)=0, NotFound, SUMIFS(allFYsTable[DiffAmount], allFYsTable[Code], SummaryTable[[#This Row],[Code]], allFYsTable[year2], BE$3))</f>
        <v>#N/A</v>
      </c>
      <c r="BK174" s="63" t="e">
        <f>IF(SummaryTable[[#This Row],[OriginalBudget21]]=0, IF(SummaryTable[[#This Row],[DiffAmount21]]=0, ZeroBudgetNoSpending, ZeroBudgetWithSpending), SummaryTable[[#This Row],[DiffAmount21]]/SummaryTable[[#This Row],[OriginalBudget21]])</f>
        <v>#N/A</v>
      </c>
      <c r="BL174" s="62" t="e">
        <f>IF(COUNTIFS(allFYsTable[Code], SummaryTable[[#This Row],[Code]], allFYsTable[year2], BL$3)=0, NotFound, SUMIFS(allFYsTable[OriginalBudget], allFYsTable[Code], SummaryTable[[#This Row],[Code]], allFYsTable[year2], BL$3))</f>
        <v>#N/A</v>
      </c>
      <c r="BM174" s="61" t="e">
        <f>SummaryTable[[#This Row],[OriginalBudget20]]-SummaryTable[[#This Row],[OriginalBudget19]]</f>
        <v>#N/A</v>
      </c>
      <c r="BN174" s="54" t="e">
        <f>SummaryTable[[#This Row],[BudgetIncreaseAmount20]]/SummaryTable[[#This Row],[OriginalBudget19]]</f>
        <v>#N/A</v>
      </c>
      <c r="BO174" s="61" t="e">
        <f>IF(COUNTIFS(allFYsTable[Code], SummaryTable[[#This Row],[Code]], allFYsTable[year2], BL$3)=0, NotFound, SUMIFS(allFYsTable[RevisedBudget], allFYsTable[Code], SummaryTable[[#This Row],[Code]], allFYsTable[year2], BL$3))</f>
        <v>#N/A</v>
      </c>
      <c r="BP174" s="61" t="e">
        <f>IF(COUNTIFS(allFYsTable[Code], SummaryTable[[#This Row],[Code]], allFYsTable[year2], BL$3)=0, NotFound, SUMIFS(allFYsTable[Actual], allFYsTable[Code], SummaryTable[[#This Row],[Code]], allFYsTable[year2], BL$3))</f>
        <v>#N/A</v>
      </c>
      <c r="BQ174" s="61" t="e">
        <f>IF(COUNTIFS(allFYsTable[Code], SummaryTable[[#This Row],[Code]], allFYsTable[year2], BL$3)=0, NotFound, SUMIFS(allFYsTable[DiffAmount], allFYsTable[Code], SummaryTable[[#This Row],[Code]], allFYsTable[year2], BL$3))</f>
        <v>#N/A</v>
      </c>
      <c r="BR174" s="63" t="e">
        <f>IF(SummaryTable[[#This Row],[OriginalBudget20]]=0, IF(SummaryTable[[#This Row],[DiffAmount20]]=0, ZeroBudgetNoSpending, ZeroBudgetWithSpending), SummaryTable[[#This Row],[DiffAmount20]]/SummaryTable[[#This Row],[OriginalBudget20]])</f>
        <v>#N/A</v>
      </c>
      <c r="BS174" s="62" t="e">
        <f>IF(COUNTIFS(allFYsTable[Code], SummaryTable[[#This Row],[Code]], allFYsTable[year2], BS$3)=0, NotFound, SUMIFS(allFYsTable[OriginalBudget], allFYsTable[Code], SummaryTable[[#This Row],[Code]], allFYsTable[year2], BS$3))</f>
        <v>#N/A</v>
      </c>
      <c r="BT174" s="61" t="e">
        <f>SummaryTable[[#This Row],[OriginalBudget19]]-SummaryTable[[#This Row],[OriginalBudget18]]</f>
        <v>#N/A</v>
      </c>
      <c r="BU174" s="54" t="e">
        <f>SummaryTable[[#This Row],[BudgetIncreaseAmount19]]/SummaryTable[[#This Row],[OriginalBudget18]]</f>
        <v>#N/A</v>
      </c>
      <c r="BV174" s="61" t="e">
        <f>IF(COUNTIFS(allFYsTable[Code], SummaryTable[[#This Row],[Code]], allFYsTable[year2], BS$3)=0, NotFound, SUMIFS(allFYsTable[RevisedBudget], allFYsTable[Code], SummaryTable[[#This Row],[Code]], allFYsTable[year2], BS$3))</f>
        <v>#N/A</v>
      </c>
      <c r="BW174" s="61" t="e">
        <f>IF(COUNTIFS(allFYsTable[Code], SummaryTable[[#This Row],[Code]], allFYsTable[year2], BS$3)=0, NotFound, SUMIFS(allFYsTable[Actual], allFYsTable[Code], SummaryTable[[#This Row],[Code]], allFYsTable[year2], BS$3))</f>
        <v>#N/A</v>
      </c>
      <c r="BX174" s="61" t="e">
        <f>IF(COUNTIFS(allFYsTable[Code], SummaryTable[[#This Row],[Code]], allFYsTable[year2], BS$3)=0, NotFound, SUMIFS(allFYsTable[DiffAmount], allFYsTable[Code], SummaryTable[[#This Row],[Code]], allFYsTable[year2], BS$3))</f>
        <v>#N/A</v>
      </c>
      <c r="BY174" s="63" t="e">
        <f>IF(SummaryTable[[#This Row],[OriginalBudget19]]=0, IF(SummaryTable[[#This Row],[DiffAmount19]]=0, ZeroBudgetNoSpending, ZeroBudgetWithSpending), SummaryTable[[#This Row],[DiffAmount19]]/SummaryTable[[#This Row],[OriginalBudget19]])</f>
        <v>#N/A</v>
      </c>
      <c r="BZ174" s="62" t="e">
        <f>IF(COUNTIFS(allFYsTable[Code], SummaryTable[[#This Row],[Code]], allFYsTable[year2], BZ$3)=0, NotFound, SUMIFS(allFYsTable[OriginalBudget], allFYsTable[Code], SummaryTable[[#This Row],[Code]], allFYsTable[year2], BZ$3))</f>
        <v>#N/A</v>
      </c>
      <c r="CA174" s="61" t="e">
        <f>SummaryTable[[#This Row],[OriginalBudget18]]-SummaryTable[[#This Row],[OriginalBudget17]]</f>
        <v>#N/A</v>
      </c>
      <c r="CB174" s="54" t="e">
        <f>SummaryTable[[#This Row],[BudgetIncreaseAmount18]]/SummaryTable[[#This Row],[OriginalBudget17]]</f>
        <v>#N/A</v>
      </c>
      <c r="CC174" s="61" t="e">
        <f>IF(COUNTIFS(allFYsTable[Code], SummaryTable[[#This Row],[Code]], allFYsTable[year2], BZ$3)=0, NotFound, SUMIFS(allFYsTable[RevisedBudget], allFYsTable[Code], SummaryTable[[#This Row],[Code]], allFYsTable[year2], BZ$3))</f>
        <v>#N/A</v>
      </c>
      <c r="CD174" s="61" t="e">
        <f>IF(COUNTIFS(allFYsTable[Code], SummaryTable[[#This Row],[Code]], allFYsTable[year2], BZ$3)=0, NotFound, SUMIFS(allFYsTable[Actual], allFYsTable[Code], SummaryTable[[#This Row],[Code]], allFYsTable[year2], BZ$3))</f>
        <v>#N/A</v>
      </c>
      <c r="CE174" s="61" t="e">
        <f>IF(COUNTIFS(allFYsTable[Code], SummaryTable[[#This Row],[Code]], allFYsTable[year2], BZ$3)=0, NotFound, SUMIFS(allFYsTable[DiffAmount], allFYsTable[Code], SummaryTable[[#This Row],[Code]], allFYsTable[year2], BZ$3))</f>
        <v>#N/A</v>
      </c>
      <c r="CF174" s="63" t="e">
        <f>IF(SummaryTable[[#This Row],[OriginalBudget18]]=0, IF(SummaryTable[[#This Row],[DiffAmount18]]=0, ZeroBudgetNoSpending, ZeroBudgetWithSpending), SummaryTable[[#This Row],[DiffAmount18]]/SummaryTable[[#This Row],[OriginalBudget18]])</f>
        <v>#N/A</v>
      </c>
      <c r="CG174" s="62" t="e">
        <f>IF(COUNTIFS(allFYsTable[Code], SummaryTable[[#This Row],[Code]], allFYsTable[year2], CG$3)=0, NotFound, SUMIFS(allFYsTable[OriginalBudget], allFYsTable[Code], SummaryTable[[#This Row],[Code]], allFYsTable[year2], CG$3))</f>
        <v>#N/A</v>
      </c>
      <c r="CH174" s="61" t="e">
        <f>SummaryTable[[#This Row],[OriginalBudget17]]-SummaryTable[[#This Row],[OriginalBudget16]]</f>
        <v>#N/A</v>
      </c>
      <c r="CI174" s="54" t="e">
        <f>SummaryTable[[#This Row],[BudgetIncreaseAmount17]]/SummaryTable[[#This Row],[OriginalBudget16]]</f>
        <v>#N/A</v>
      </c>
      <c r="CJ174" s="61" t="e">
        <f>IF(COUNTIFS(allFYsTable[Code], SummaryTable[[#This Row],[Code]], allFYsTable[year2], CG$3)=0, NotFound, SUMIFS(allFYsTable[RevisedBudget], allFYsTable[Code], SummaryTable[[#This Row],[Code]], allFYsTable[year2], CG$3))</f>
        <v>#N/A</v>
      </c>
      <c r="CK174" s="61" t="e">
        <f>IF(COUNTIFS(allFYsTable[Code], SummaryTable[[#This Row],[Code]], allFYsTable[year2], CG$3)=0, NotFound, SUMIFS(allFYsTable[Actual], allFYsTable[Code], SummaryTable[[#This Row],[Code]], allFYsTable[year2], CG$3))</f>
        <v>#N/A</v>
      </c>
      <c r="CL174" s="61" t="e">
        <f>IF(COUNTIFS(allFYsTable[Code], SummaryTable[[#This Row],[Code]], allFYsTable[year2], CG$3)=0, NotFound, SUMIFS(allFYsTable[DiffAmount], allFYsTable[Code], SummaryTable[[#This Row],[Code]], allFYsTable[year2], CG$3))</f>
        <v>#N/A</v>
      </c>
      <c r="CM174" s="63" t="e">
        <f>IF(SummaryTable[[#This Row],[OriginalBudget17]]=0, IF(SummaryTable[[#This Row],[DiffAmount17]]=0, ZeroBudgetNoSpending, ZeroBudgetWithSpending), SummaryTable[[#This Row],[DiffAmount17]]/SummaryTable[[#This Row],[OriginalBudget17]])</f>
        <v>#N/A</v>
      </c>
      <c r="CN174" s="62" t="e">
        <f>IF(COUNTIFS(allFYsTable[Code], SummaryTable[[#This Row],[Code]], allFYsTable[year2], CN$3)=0, NotFound, SUMIFS(allFYsTable[OriginalBudget], allFYsTable[Code], SummaryTable[[#This Row],[Code]], allFYsTable[year2], CN$3))</f>
        <v>#N/A</v>
      </c>
      <c r="CO174" s="61" t="e">
        <f>SummaryTable[[#This Row],[OriginalBudget16]]-SummaryTable[[#This Row],[OriginalBudget15]]</f>
        <v>#N/A</v>
      </c>
      <c r="CP174" s="54" t="e">
        <f>SummaryTable[[#This Row],[BudgetIncreaseAmount16]]/SummaryTable[[#This Row],[OriginalBudget15]]</f>
        <v>#N/A</v>
      </c>
      <c r="CQ174" s="61" t="e">
        <f>IF(COUNTIFS(allFYsTable[Code], SummaryTable[[#This Row],[Code]], allFYsTable[year2], CN$3)=0, NotFound, SUMIFS(allFYsTable[RevisedBudget], allFYsTable[Code], SummaryTable[[#This Row],[Code]], allFYsTable[year2], CN$3))</f>
        <v>#N/A</v>
      </c>
      <c r="CR174" s="61" t="e">
        <f>IF(COUNTIFS(allFYsTable[Code], SummaryTable[[#This Row],[Code]], allFYsTable[year2], CN$3)=0, NotFound, SUMIFS(allFYsTable[Actual], allFYsTable[Code], SummaryTable[[#This Row],[Code]], allFYsTable[year2], CN$3))</f>
        <v>#N/A</v>
      </c>
      <c r="CS174" s="61" t="e">
        <f>IF(COUNTIFS(allFYsTable[Code], SummaryTable[[#This Row],[Code]], allFYsTable[year2], CN$3)=0, NotFound, SUMIFS(allFYsTable[DiffAmount], allFYsTable[Code], SummaryTable[[#This Row],[Code]], allFYsTable[year2], CN$3))</f>
        <v>#N/A</v>
      </c>
      <c r="CT174" s="63" t="e">
        <f>IF(SummaryTable[[#This Row],[OriginalBudget16]]=0, IF(SummaryTable[[#This Row],[DiffAmount16]]=0, ZeroBudgetNoSpending, ZeroBudgetWithSpending), SummaryTable[[#This Row],[DiffAmount16]]/SummaryTable[[#This Row],[OriginalBudget16]])</f>
        <v>#N/A</v>
      </c>
      <c r="CU174" s="62" t="e">
        <f>IF(COUNTIFS(allFYsTable[Code], SummaryTable[[#This Row],[Code]], allFYsTable[year2], CU$3)=0, NotFound, SUMIFS(allFYsTable[OriginalBudget], allFYsTable[Code], SummaryTable[[#This Row],[Code]], allFYsTable[year2], CU$3))</f>
        <v>#N/A</v>
      </c>
      <c r="CV174" s="61" t="e">
        <f>SummaryTable[[#This Row],[OriginalBudget15]]-SummaryTable[[#This Row],[OriginalBudget14]]</f>
        <v>#N/A</v>
      </c>
      <c r="CW174" s="54" t="e">
        <f>SummaryTable[[#This Row],[BudgetIncreaseAmount15]]/SummaryTable[[#This Row],[OriginalBudget14]]</f>
        <v>#N/A</v>
      </c>
      <c r="CX174" s="61" t="e">
        <f>IF(COUNTIFS(allFYsTable[Code], SummaryTable[[#This Row],[Code]], allFYsTable[year2], CU$3)=0, NotFound, SUMIFS(allFYsTable[RevisedBudget], allFYsTable[Code], SummaryTable[[#This Row],[Code]], allFYsTable[year2], CU$3))</f>
        <v>#N/A</v>
      </c>
      <c r="CY174" s="61" t="e">
        <f>IF(COUNTIFS(allFYsTable[Code], SummaryTable[[#This Row],[Code]], allFYsTable[year2], CU$3)=0, NotFound, SUMIFS(allFYsTable[Actual], allFYsTable[Code], SummaryTable[[#This Row],[Code]], allFYsTable[year2], CU$3))</f>
        <v>#N/A</v>
      </c>
      <c r="CZ174" s="61" t="e">
        <f>IF(COUNTIFS(allFYsTable[Code], SummaryTable[[#This Row],[Code]], allFYsTable[year2], CU$3)=0, NotFound, SUMIFS(allFYsTable[DiffAmount], allFYsTable[Code], SummaryTable[[#This Row],[Code]], allFYsTable[year2], CU$3))</f>
        <v>#N/A</v>
      </c>
      <c r="DA174" s="63" t="e">
        <f>IF(SummaryTable[[#This Row],[OriginalBudget15]]=0, IF(SummaryTable[[#This Row],[DiffAmount15]]=0, ZeroBudgetNoSpending, ZeroBudgetWithSpending), SummaryTable[[#This Row],[DiffAmount15]]/SummaryTable[[#This Row],[OriginalBudget15]])</f>
        <v>#N/A</v>
      </c>
      <c r="DB174" s="62" t="e">
        <f>IF(COUNTIFS(allFYsTable[Code], SummaryTable[[#This Row],[Code]], allFYsTable[year2], DB$3)=0, NotFound, SUMIFS(allFYsTable[OriginalBudget], allFYsTable[Code], SummaryTable[[#This Row],[Code]], allFYsTable[year2], DB$3))</f>
        <v>#N/A</v>
      </c>
      <c r="DC174" s="61" t="e">
        <f>SummaryTable[[#This Row],[OriginalBudget14]]-SummaryTable[[#This Row],[OriginalBudget13]]</f>
        <v>#N/A</v>
      </c>
      <c r="DD174" s="54" t="e">
        <f>SummaryTable[[#This Row],[BudgetIncreaseAmount14]]/SummaryTable[[#This Row],[OriginalBudget13]]</f>
        <v>#N/A</v>
      </c>
      <c r="DE174" s="61" t="e">
        <f>IF(COUNTIFS(allFYsTable[Code], SummaryTable[[#This Row],[Code]], allFYsTable[year2], DB$3)=0, NotFound, SUMIFS(allFYsTable[RevisedBudget], allFYsTable[Code], SummaryTable[[#This Row],[Code]], allFYsTable[year2], DB$3))</f>
        <v>#N/A</v>
      </c>
      <c r="DF174" s="61" t="e">
        <f>IF(COUNTIFS(allFYsTable[Code], SummaryTable[[#This Row],[Code]], allFYsTable[year2], DB$3)=0, NotFound, SUMIFS(allFYsTable[Actual], allFYsTable[Code], SummaryTable[[#This Row],[Code]], allFYsTable[year2], DB$3))</f>
        <v>#N/A</v>
      </c>
      <c r="DG174" s="61" t="e">
        <f>IF(COUNTIFS(allFYsTable[Code], SummaryTable[[#This Row],[Code]], allFYsTable[year2], DB$3)=0, NotFound, SUMIFS(allFYsTable[DiffAmount], allFYsTable[Code], SummaryTable[[#This Row],[Code]], allFYsTable[year2], DB$3))</f>
        <v>#N/A</v>
      </c>
      <c r="DH174" s="63" t="e">
        <f>IF(SummaryTable[[#This Row],[OriginalBudget14]]=0, IF(SummaryTable[[#This Row],[DiffAmount14]]=0, ZeroBudgetNoSpending, ZeroBudgetWithSpending), SummaryTable[[#This Row],[DiffAmount14]]/SummaryTable[[#This Row],[OriginalBudget14]])</f>
        <v>#N/A</v>
      </c>
      <c r="DI174" s="62" t="e">
        <f>IF(COUNTIFS(allFYsTable[Code], SummaryTable[[#This Row],[Code]], allFYsTable[year2], DI$3)=0, NotFound, SUMIFS(allFYsTable[OriginalBudget], allFYsTable[Code], SummaryTable[[#This Row],[Code]], allFYsTable[year2], DI$3))</f>
        <v>#N/A</v>
      </c>
      <c r="DJ174" s="61" t="e">
        <f>SummaryTable[[#This Row],[OriginalBudget13]]-SummaryTable[[#This Row],[OriginalBudget12]]</f>
        <v>#N/A</v>
      </c>
      <c r="DK174" s="54" t="e">
        <f>SummaryTable[[#This Row],[BudgetIncreaseAmount13]]/SummaryTable[[#This Row],[OriginalBudget12]]</f>
        <v>#N/A</v>
      </c>
      <c r="DL174" s="61" t="e">
        <f>IF(COUNTIFS(allFYsTable[Code], SummaryTable[[#This Row],[Code]], allFYsTable[year2], DI$3)=0, NotFound, SUMIFS(allFYsTable[RevisedBudget], allFYsTable[Code], SummaryTable[[#This Row],[Code]], allFYsTable[year2], DI$3))</f>
        <v>#N/A</v>
      </c>
      <c r="DM174" s="61" t="e">
        <f>IF(COUNTIFS(allFYsTable[Code], SummaryTable[[#This Row],[Code]], allFYsTable[year2], DI$3)=0, NotFound, SUMIFS(allFYsTable[Actual], allFYsTable[Code], SummaryTable[[#This Row],[Code]], allFYsTable[year2], DI$3))</f>
        <v>#N/A</v>
      </c>
      <c r="DN174" s="61" t="e">
        <f>IF(COUNTIFS(allFYsTable[Code], SummaryTable[[#This Row],[Code]], allFYsTable[year2], DI$3)=0, NotFound, SUMIFS(allFYsTable[DiffAmount], allFYsTable[Code], SummaryTable[[#This Row],[Code]], allFYsTable[year2], DI$3))</f>
        <v>#N/A</v>
      </c>
      <c r="DO174" s="63" t="e">
        <f>IF(SummaryTable[[#This Row],[OriginalBudget13]]=0, IF(SummaryTable[[#This Row],[DiffAmount13]]=0, ZeroBudgetNoSpending, ZeroBudgetWithSpending), SummaryTable[[#This Row],[DiffAmount13]]/SummaryTable[[#This Row],[OriginalBudget13]])</f>
        <v>#N/A</v>
      </c>
      <c r="DP174" s="62" t="e">
        <f>IF(COUNTIFS(allFYsTable[Code], SummaryTable[[#This Row],[Code]], allFYsTable[year2], DP$3)=0, NotFound, SUMIFS(allFYsTable[OriginalBudget], allFYsTable[Code], SummaryTable[[#This Row],[Code]], allFYsTable[year2], DP$3))</f>
        <v>#N/A</v>
      </c>
      <c r="DQ174" s="61" t="e">
        <f>SummaryTable[[#This Row],[OriginalBudget12]]-SummaryTable[[#This Row],[OriginalBudget11]]</f>
        <v>#N/A</v>
      </c>
      <c r="DR174" s="54" t="e">
        <f>SummaryTable[[#This Row],[BudgetIncreaseAmount12]]/SummaryTable[[#This Row],[OriginalBudget11]]</f>
        <v>#N/A</v>
      </c>
      <c r="DS174" s="61" t="e">
        <f>IF(COUNTIFS(allFYsTable[Code], SummaryTable[[#This Row],[Code]], allFYsTable[year2], DP$3)=0, NotFound, SUMIFS(allFYsTable[RevisedBudget], allFYsTable[Code], SummaryTable[[#This Row],[Code]], allFYsTable[year2], DP$3))</f>
        <v>#N/A</v>
      </c>
      <c r="DT174" s="61" t="e">
        <f>IF(COUNTIFS(allFYsTable[Code], SummaryTable[[#This Row],[Code]], allFYsTable[year2], DP$3)=0, NotFound, SUMIFS(allFYsTable[Actual], allFYsTable[Code], SummaryTable[[#This Row],[Code]], allFYsTable[year2], DP$3))</f>
        <v>#N/A</v>
      </c>
      <c r="DU174" s="61" t="e">
        <f>IF(COUNTIFS(allFYsTable[Code], SummaryTable[[#This Row],[Code]], allFYsTable[year2], DP$3)=0, NotFound, SUMIFS(allFYsTable[DiffAmount], allFYsTable[Code], SummaryTable[[#This Row],[Code]], allFYsTable[year2], DP$3))</f>
        <v>#N/A</v>
      </c>
      <c r="DV174" s="63" t="e">
        <f>IF(SummaryTable[[#This Row],[OriginalBudget12]]=0, IF(SummaryTable[[#This Row],[DiffAmount12]]=0, ZeroBudgetNoSpending, ZeroBudgetWithSpending), SummaryTable[[#This Row],[DiffAmount12]]/SummaryTable[[#This Row],[OriginalBudget12]])</f>
        <v>#N/A</v>
      </c>
      <c r="DW174" s="62" t="e">
        <f>IF(COUNTIFS(allFYsTable[Code], SummaryTable[[#This Row],[Code]], allFYsTable[year2], DW$3)=0, NotFound, SUMIFS(allFYsTable[OriginalBudget], allFYsTable[Code], SummaryTable[[#This Row],[Code]], allFYsTable[year2], DW$3))</f>
        <v>#N/A</v>
      </c>
      <c r="DX174" s="61" t="e">
        <f>SummaryTable[[#This Row],[OriginalBudget11]]-SummaryTable[[#This Row],[OriginalBudget10]]</f>
        <v>#N/A</v>
      </c>
      <c r="DY174" s="54" t="e">
        <f>SummaryTable[[#This Row],[BudgetIncreaseAmount11]]/SummaryTable[[#This Row],[OriginalBudget10]]</f>
        <v>#N/A</v>
      </c>
      <c r="DZ174" s="61" t="e">
        <f>IF(COUNTIFS(allFYsTable[Code], SummaryTable[[#This Row],[Code]], allFYsTable[year2], DW$3)=0, NotFound, SUMIFS(allFYsTable[RevisedBudget], allFYsTable[Code], SummaryTable[[#This Row],[Code]], allFYsTable[year2], DW$3))</f>
        <v>#N/A</v>
      </c>
      <c r="EA174" s="61" t="e">
        <f>IF(COUNTIFS(allFYsTable[Code], SummaryTable[[#This Row],[Code]], allFYsTable[year2], DW$3)=0, NotFound, SUMIFS(allFYsTable[Actual], allFYsTable[Code], SummaryTable[[#This Row],[Code]], allFYsTable[year2], DW$3))</f>
        <v>#N/A</v>
      </c>
      <c r="EB174" s="61" t="e">
        <f>IF(COUNTIFS(allFYsTable[Code], SummaryTable[[#This Row],[Code]], allFYsTable[year2], DW$3)=0, NotFound, SUMIFS(allFYsTable[DiffAmount], allFYsTable[Code], SummaryTable[[#This Row],[Code]], allFYsTable[year2], DW$3))</f>
        <v>#N/A</v>
      </c>
      <c r="EC174" s="63" t="e">
        <f>IF(SummaryTable[[#This Row],[OriginalBudget11]]=0, IF(SummaryTable[[#This Row],[DiffAmount11]]=0, ZeroBudgetNoSpending, ZeroBudgetWithSpending), SummaryTable[[#This Row],[DiffAmount11]]/SummaryTable[[#This Row],[OriginalBudget11]])</f>
        <v>#N/A</v>
      </c>
      <c r="ED174" s="62" t="e">
        <f>IF(COUNTIFS(allFYsTable[Code], SummaryTable[[#This Row],[Code]], allFYsTable[year2], ED$3)=0, NotFound, SUMIFS(allFYsTable[OriginalBudget], allFYsTable[Code], SummaryTable[[#This Row],[Code]], allFYsTable[year2], ED$3))</f>
        <v>#N/A</v>
      </c>
      <c r="EE174" s="61" t="e">
        <f>SummaryTable[[#This Row],[OriginalBudget10]]-SummaryTable[[#This Row],[OriginalBudget09]]</f>
        <v>#N/A</v>
      </c>
      <c r="EF174" s="54" t="e">
        <f>SummaryTable[[#This Row],[BudgetIncreaseAmount10]]/SummaryTable[[#This Row],[OriginalBudget09]]</f>
        <v>#N/A</v>
      </c>
      <c r="EG174" s="61" t="e">
        <f>IF(COUNTIFS(allFYsTable[Code], SummaryTable[[#This Row],[Code]], allFYsTable[year2], ED$3)=0, NotFound, SUMIFS(allFYsTable[RevisedBudget], allFYsTable[Code], SummaryTable[[#This Row],[Code]], allFYsTable[year2], ED$3))</f>
        <v>#N/A</v>
      </c>
      <c r="EH174" s="61" t="e">
        <f>IF(COUNTIFS(allFYsTable[Code], SummaryTable[[#This Row],[Code]], allFYsTable[year2], ED$3)=0, NotFound, SUMIFS(allFYsTable[Actual], allFYsTable[Code], SummaryTable[[#This Row],[Code]], allFYsTable[year2], ED$3))</f>
        <v>#N/A</v>
      </c>
      <c r="EI174" s="61" t="e">
        <f>IF(COUNTIFS(allFYsTable[Code], SummaryTable[[#This Row],[Code]], allFYsTable[year2], ED$3)=0, NotFound, SUMIFS(allFYsTable[DiffAmount], allFYsTable[Code], SummaryTable[[#This Row],[Code]], allFYsTable[year2], ED$3))</f>
        <v>#N/A</v>
      </c>
      <c r="EJ174" s="63" t="e">
        <f>IF(SummaryTable[[#This Row],[OriginalBudget10]]=0, IF(SummaryTable[[#This Row],[DiffAmount10]]=0, ZeroBudgetNoSpending, ZeroBudgetWithSpending), SummaryTable[[#This Row],[DiffAmount10]]/SummaryTable[[#This Row],[OriginalBudget10]])</f>
        <v>#N/A</v>
      </c>
      <c r="EK174" s="62">
        <f>IF(COUNTIFS(allFYsTable[Code], SummaryTable[[#This Row],[Code]], allFYsTable[year2], EK$3)=0, NotFound, SUMIFS(allFYsTable[OriginalBudget], allFYsTable[Code], SummaryTable[[#This Row],[Code]], allFYsTable[year2], EK$3))</f>
        <v>0</v>
      </c>
      <c r="EL174" s="61">
        <f>SummaryTable[[#This Row],[OriginalBudget09]]-SummaryTable[[#This Row],[OriginalBudget08]]</f>
        <v>0</v>
      </c>
      <c r="EM174" s="54" t="e">
        <f>SummaryTable[[#This Row],[BudgetIncreaseAmount09]]/SummaryTable[[#This Row],[OriginalBudget08]]</f>
        <v>#DIV/0!</v>
      </c>
      <c r="EN174" s="61">
        <f>IF(COUNTIFS(allFYsTable[Code], SummaryTable[[#This Row],[Code]], allFYsTable[year2], EK$3)=0, NotFound, SUMIFS(allFYsTable[RevisedBudget], allFYsTable[Code], SummaryTable[[#This Row],[Code]], allFYsTable[year2], EK$3))</f>
        <v>0</v>
      </c>
      <c r="EO174" s="61">
        <f>IF(COUNTIFS(allFYsTable[Code], SummaryTable[[#This Row],[Code]], allFYsTable[year2], EK$3)=0, NotFound, SUMIFS(allFYsTable[Actual], allFYsTable[Code], SummaryTable[[#This Row],[Code]], allFYsTable[year2], EK$3))</f>
        <v>32055</v>
      </c>
      <c r="EP174" s="61">
        <f>IF(COUNTIFS(allFYsTable[Code], SummaryTable[[#This Row],[Code]], allFYsTable[year2], EK$3)=0, NotFound, SUMIFS(allFYsTable[DiffAmount], allFYsTable[Code], SummaryTable[[#This Row],[Code]], allFYsTable[year2], EK$3))</f>
        <v>32055</v>
      </c>
      <c r="EQ174" s="63">
        <f>IF(SummaryTable[[#This Row],[OriginalBudget09]]=0, IF(SummaryTable[[#This Row],[DiffAmount09]]=0, ZeroBudgetNoSpending, ZeroBudgetWithSpending), SummaryTable[[#This Row],[DiffAmount09]]/SummaryTable[[#This Row],[OriginalBudget09]])</f>
        <v>99.99</v>
      </c>
      <c r="ER174" s="62">
        <f>IF(COUNTIFS(allFYsTable[Code], SummaryTable[[#This Row],[Code]], allFYsTable[year2], ER$3)=0, NotFound, SUMIFS(allFYsTable[OriginalBudget], allFYsTable[Code], SummaryTable[[#This Row],[Code]], allFYsTable[year2], ER$3))</f>
        <v>0</v>
      </c>
      <c r="ES174" s="61" t="e">
        <f>SummaryTable[[#This Row],[OriginalBudget08]]-SummaryTable[[#This Row],[OriginalBudget07]]</f>
        <v>#N/A</v>
      </c>
      <c r="ET174" s="54" t="e">
        <f>SummaryTable[[#This Row],[BudgetIncreaseAmount08]]/SummaryTable[[#This Row],[OriginalBudget07]]</f>
        <v>#N/A</v>
      </c>
      <c r="EU174" s="61">
        <f>IF(COUNTIFS(allFYsTable[Code], SummaryTable[[#This Row],[Code]], allFYsTable[year2], ER$3)=0, NotFound, SUMIFS(allFYsTable[RevisedBudget], allFYsTable[Code], SummaryTable[[#This Row],[Code]], allFYsTable[year2], ER$3))</f>
        <v>0</v>
      </c>
      <c r="EV174" s="61">
        <f>IF(COUNTIFS(allFYsTable[Code], SummaryTable[[#This Row],[Code]], allFYsTable[year2], ER$3)=0, NotFound, SUMIFS(allFYsTable[Actual], allFYsTable[Code], SummaryTable[[#This Row],[Code]], allFYsTable[year2], ER$3))</f>
        <v>82875</v>
      </c>
      <c r="EW174" s="61">
        <f>IF(COUNTIFS(allFYsTable[Code], SummaryTable[[#This Row],[Code]], allFYsTable[year2], ER$3)=0, NotFound, SUMIFS(allFYsTable[DiffAmount], allFYsTable[Code], SummaryTable[[#This Row],[Code]], allFYsTable[year2], ER$3))</f>
        <v>82875</v>
      </c>
      <c r="EX174" s="63">
        <f>IF(SummaryTable[[#This Row],[OriginalBudget08]]=0, IF(SummaryTable[[#This Row],[DiffAmount08]]=0, ZeroBudgetNoSpending, ZeroBudgetWithSpending), SummaryTable[[#This Row],[DiffAmount08]]/SummaryTable[[#This Row],[OriginalBudget08]])</f>
        <v>99.99</v>
      </c>
      <c r="EY174" s="62" t="e">
        <f>IF(COUNTIFS(allFYsTable[Code], SummaryTable[[#This Row],[Code]], allFYsTable[year2], EY$3)=0, NotFound, SUMIFS(allFYsTable[OriginalBudget], allFYsTable[Code], SummaryTable[[#This Row],[Code]], allFYsTable[year2], EY$3))</f>
        <v>#N/A</v>
      </c>
      <c r="EZ174" s="61" t="e">
        <f>SummaryTable[[#This Row],[OriginalBudget07]]-SummaryTable[[#This Row],[OriginalBudget06]]</f>
        <v>#N/A</v>
      </c>
      <c r="FA174" s="54" t="e">
        <f>SummaryTable[[#This Row],[BudgetIncreaseAmount07]]/SummaryTable[[#This Row],[OriginalBudget06]]</f>
        <v>#N/A</v>
      </c>
      <c r="FB174" s="61" t="e">
        <f>IF(COUNTIFS(allFYsTable[Code], SummaryTable[[#This Row],[Code]], allFYsTable[year2], EY$3)=0, NotFound, SUMIFS(allFYsTable[RevisedBudget], allFYsTable[Code], SummaryTable[[#This Row],[Code]], allFYsTable[year2], EY$3))</f>
        <v>#N/A</v>
      </c>
      <c r="FC174" s="61" t="e">
        <f>IF(COUNTIFS(allFYsTable[Code], SummaryTable[[#This Row],[Code]], allFYsTable[year2], EY$3)=0, NotFound, SUMIFS(allFYsTable[Actual], allFYsTable[Code], SummaryTable[[#This Row],[Code]], allFYsTable[year2], EY$3))</f>
        <v>#N/A</v>
      </c>
      <c r="FD174" s="61" t="e">
        <f>IF(COUNTIFS(allFYsTable[Code], SummaryTable[[#This Row],[Code]], allFYsTable[year2], EY$3)=0, NotFound, SUMIFS(allFYsTable[DiffAmount], allFYsTable[Code], SummaryTable[[#This Row],[Code]], allFYsTable[year2], EY$3))</f>
        <v>#N/A</v>
      </c>
      <c r="FE174" s="63" t="e">
        <f>IF(SummaryTable[[#This Row],[OriginalBudget07]]=0, IF(SummaryTable[[#This Row],[DiffAmount07]]=0, ZeroBudgetNoSpending, ZeroBudgetWithSpending), SummaryTable[[#This Row],[DiffAmount07]]/SummaryTable[[#This Row],[OriginalBudget07]])</f>
        <v>#N/A</v>
      </c>
      <c r="FF174" s="62" t="e">
        <f>IF(COUNTIFS(allFYsTable[Code], SummaryTable[[#This Row],[Code]], allFYsTable[year2], FF$3)=0, NotFound, SUMIFS(allFYsTable[OriginalBudget], allFYsTable[Code], SummaryTable[[#This Row],[Code]], allFYsTable[year2], FF$3))</f>
        <v>#N/A</v>
      </c>
      <c r="FI174" s="61" t="e">
        <f>IF(COUNTIFS(allFYsTable[Code], SummaryTable[[#This Row],[Code]], allFYsTable[year2], FF$3)=0, NotFound, SUMIFS(allFYsTable[RevisedBudget], allFYsTable[Code], SummaryTable[[#This Row],[Code]], allFYsTable[year2], FF$3))</f>
        <v>#N/A</v>
      </c>
      <c r="FJ174" s="61" t="e">
        <f>IF(COUNTIFS(allFYsTable[Code], SummaryTable[[#This Row],[Code]], allFYsTable[year2], FF$3)=0, NotFound, SUMIFS(allFYsTable[Actual], allFYsTable[Code], SummaryTable[[#This Row],[Code]], allFYsTable[year2], FF$3))</f>
        <v>#N/A</v>
      </c>
      <c r="FK174" s="61" t="e">
        <f>IF(COUNTIFS(allFYsTable[Code], SummaryTable[[#This Row],[Code]], allFYsTable[year2], FF$3)=0, NotFound, SUMIFS(allFYsTable[DiffAmount], allFYsTable[Code], SummaryTable[[#This Row],[Code]], allFYsTable[year2], FF$3))</f>
        <v>#N/A</v>
      </c>
      <c r="FL174" s="63" t="e">
        <f>IF(SummaryTable[[#This Row],[OriginalBudget06]]=0, IF(SummaryTable[[#This Row],[DiffAmount06]]=0, ZeroBudgetNoSpending, ZeroBudgetWithSpending), SummaryTable[[#This Row],[DiffAmount06]]/SummaryTable[[#This Row],[OriginalBudget06]])</f>
        <v>#N/A</v>
      </c>
    </row>
    <row r="175" spans="1:168" x14ac:dyDescent="0.45">
      <c r="A175" t="s">
        <v>1053</v>
      </c>
      <c r="B175">
        <f>_xlfn.MAXIFS(allFYsTable[year2], allFYsTable[Code], SummaryTable[[#This Row],[Code]])</f>
        <v>2009</v>
      </c>
      <c r="C175" t="str">
        <f>_xlfn.XLOOKUP(SummaryTable[[#This Row],[Code]], NameCodingTable[Code], NameCodingTable[Most Recent Category per allFYs])</f>
        <v>Other</v>
      </c>
      <c r="D175" t="str">
        <f>_xlfn.XLOOKUP(SummaryTable[[#This Row],[Code]], NameCodingTable[Code], NameCodingTable[Unit Display Name])</f>
        <v>Community health fund transfer</v>
      </c>
      <c r="E175" t="str">
        <f>_xlfn.XLOOKUP(SummaryTable[[#This Row],[Code]], NameCodingTable[Code], NameCodingTable[Type])</f>
        <v>untyped</v>
      </c>
      <c r="F17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7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75" s="54">
        <f>SummaryTable[[#This Row],['# Over]]/SummaryTable[[#This Row],[Count]]</f>
        <v>1</v>
      </c>
      <c r="I17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75" s="54">
        <f>SummaryTable[[#This Row],['# Under]]/SummaryTable[[#This Row],[Count]]</f>
        <v>0</v>
      </c>
      <c r="K17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75" s="54">
        <f>SummaryTable[[#This Row],['# Equal]]/SummaryTable[[#This Row],[Count]]</f>
        <v>0</v>
      </c>
      <c r="M175" s="61">
        <f>SUMIFS(allFYsTable[OriginalBudget],allFYsTable[Code],SummaryTable[[#This Row],[Code]])/SummaryTable[[#This Row],[Count]]</f>
        <v>0</v>
      </c>
      <c r="N175" s="61">
        <f>SUMIFS(allFYsTable[Actual],allFYsTable[Code],SummaryTable[[#This Row],[Code]])/SummaryTable[[#This Row],[Count]]</f>
        <v>93073</v>
      </c>
      <c r="O175" s="61">
        <f>SummaryTable[[#This Row],[AvgActAmt]]-SummaryTable[[#This Row],[AvgBudAmt]]</f>
        <v>93073</v>
      </c>
      <c r="P175" s="54">
        <f>IF(SummaryTable[[#This Row],[AvgBudAmt]]=0, IF(SummaryTable[[#This Row],[AvgDiff'#]]=0, 0, NamedFields!$C$3), SummaryTable[[#This Row],[AvgDiff'#]]/SummaryTable[[#This Row],[AvgBudAmt]])</f>
        <v>99.99</v>
      </c>
      <c r="Q175" s="61">
        <f>IFERROR(SUMIFS(allFYsTable[OriginalBudget],allFYsTable[Code],SummaryTable[[#This Row],[Code]],allFYsTable[DiffAmount], "&gt;0")/SummaryTable[[#This Row],['# Over]], 0)</f>
        <v>0</v>
      </c>
      <c r="R175" s="61">
        <f>IFERROR(SUMIFS(allFYsTable[Actual],allFYsTable[Code],SummaryTable[[#This Row],[Code]],allFYsTable[DiffAmount], "&gt;0")/SummaryTable[[#This Row],['# Over]], 0)</f>
        <v>93073</v>
      </c>
      <c r="S175" s="61">
        <f>SummaryTable[[#This Row],[OverAvgAct]]-SummaryTable[[#This Row],[OverAvgBud]]</f>
        <v>93073</v>
      </c>
      <c r="T175" s="54">
        <f>IF(SummaryTable[[#This Row],[OverAvgBud]]=0, IF(SummaryTable[[#This Row],[OverAvgDiff'#]]=0, ZeroBudgetNoSpending, ZeroBudgetWithSpending), SummaryTable[[#This Row],[OverAvgDiff'#]]/SummaryTable[[#This Row],[OverAvgBud]])</f>
        <v>99.99</v>
      </c>
      <c r="U175" s="61">
        <f>IFERROR(SUMIFS(allFYsTable[OriginalBudget],allFYsTable[Code],SummaryTable[[#This Row],[Code]],allFYsTable[DiffAmount], "&lt;0")/SummaryTable[[#This Row],['# Under]], 0)</f>
        <v>0</v>
      </c>
      <c r="V175" s="61">
        <f>IFERROR( SUMIFS(allFYsTable[Actual],allFYsTable[Code],SummaryTable[[#This Row],[Code]],allFYsTable[DiffAmount], "&lt;0")/SummaryTable[[#This Row],['# Under]], 0)</f>
        <v>0</v>
      </c>
      <c r="W175" s="61">
        <f>SummaryTable[[#This Row],[UnderAvgAct]]-SummaryTable[[#This Row],[UnderAvgBud]]</f>
        <v>0</v>
      </c>
      <c r="X175" s="54">
        <f>IF(SummaryTable[[#This Row],[UnderAvgBud]]=0, IF(SummaryTable[[#This Row],[UnderAvgDiff'#]]=0, ZeroBudgetNoSpending, NamedFields!$C$3), SummaryTable[[#This Row],[UnderAvgDiff'#]]/SummaryTable[[#This Row],[UnderAvgBud]])</f>
        <v>0</v>
      </c>
      <c r="Y17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7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5" s="54">
        <f>IF(SummaryTable[[#This Row],[IncreaseYears]]=0, ZeroBudgetNoSpending, SummaryTable[[#This Row],[OSinIncreaseYear'#]]/SummaryTable[[#This Row],[IncreaseYears]])</f>
        <v>0</v>
      </c>
      <c r="AB175" s="58" t="str">
        <f>SummaryTable[[#This Row],[Code]]</f>
        <v>XCF</v>
      </c>
      <c r="AC175" s="62" t="e">
        <f>IF(COUNTIFS(allFYsTable[Code], SummaryTable[[#This Row],[Code]], allFYsTable[year2], AC$3)=0, NotFound, SUMIFS(allFYsTable[OriginalBudget], allFYsTable[Code], SummaryTable[[#This Row],[Code]], allFYsTable[year2], AC$3))</f>
        <v>#N/A</v>
      </c>
      <c r="AD175" s="61" t="e">
        <f>SummaryTable[[#This Row],[OriginalBudget25]]-SummaryTable[[#This Row],[OriginalBudget24]]</f>
        <v>#N/A</v>
      </c>
      <c r="AE175" s="54" t="e">
        <f>SummaryTable[[#This Row],[BudgetIncreaseAmount25]]/SummaryTable[[#This Row],[OriginalBudget24]]</f>
        <v>#N/A</v>
      </c>
      <c r="AF175" s="61" t="e">
        <f>IF(COUNTIFS(allFYsTable[Code], SummaryTable[[#This Row],[Code]], allFYsTable[year2], AC$3)=0, NotFound, SUMIFS(allFYsTable[RevisedBudget], allFYsTable[Code], SummaryTable[[#This Row],[Code]], allFYsTable[year2], AC$3))</f>
        <v>#N/A</v>
      </c>
      <c r="AG175" s="61" t="e">
        <f>IF(COUNTIFS(allFYsTable[Code], SummaryTable[[#This Row],[Code]], allFYsTable[year2], AC$3)=0, NotFound, SUMIFS(allFYsTable[Actual], allFYsTable[Code], SummaryTable[[#This Row],[Code]], allFYsTable[year2], AC$3))</f>
        <v>#N/A</v>
      </c>
      <c r="AH175" s="61" t="e">
        <f>IF(COUNTIFS(allFYsTable[Code], SummaryTable[[#This Row],[Code]], allFYsTable[year2], AC$3)=0, NotFound, SUMIFS(allFYsTable[DiffAmount], allFYsTable[Code], SummaryTable[[#This Row],[Code]], allFYsTable[year2], AC$3))</f>
        <v>#N/A</v>
      </c>
      <c r="AI175" s="63" t="e">
        <f>IF(SummaryTable[[#This Row],[OriginalBudget25]]=0, IF(SummaryTable[[#This Row],[DiffAmount25]]=0, ZeroBudgetNoSpending, ZeroBudgetWithSpending), SummaryTable[[#This Row],[DiffAmount25]]/SummaryTable[[#This Row],[OriginalBudget25]])</f>
        <v>#N/A</v>
      </c>
      <c r="AJ175" s="62" t="e">
        <f>IF(COUNTIFS(allFYsTable[Code], SummaryTable[[#This Row],[Code]], allFYsTable[year2], AJ$3)=0, NotFound, SUMIFS(allFYsTable[OriginalBudget], allFYsTable[Code], SummaryTable[[#This Row],[Code]], allFYsTable[year2], AJ$3))</f>
        <v>#N/A</v>
      </c>
      <c r="AK175" s="61" t="e">
        <f>SummaryTable[[#This Row],[OriginalBudget24]]-SummaryTable[[#This Row],[OriginalBudget23]]</f>
        <v>#N/A</v>
      </c>
      <c r="AL175" s="54" t="e">
        <f>SummaryTable[[#This Row],[BudgetIncreaseAmount24]]/SummaryTable[[#This Row],[OriginalBudget23]]</f>
        <v>#N/A</v>
      </c>
      <c r="AM175" s="61" t="e">
        <f>IF(COUNTIFS(allFYsTable[Code], SummaryTable[[#This Row],[Code]], allFYsTable[year2], AK$3)=0, NotFound, SUMIFS(allFYsTable[RevisedBudget], allFYsTable[Code], SummaryTable[[#This Row],[Code]], allFYsTable[year2], AJ$3))</f>
        <v>#N/A</v>
      </c>
      <c r="AN175" s="61" t="e">
        <f>IF(COUNTIFS(allFYsTable[Code], SummaryTable[[#This Row],[Code]], allFYsTable[year2], AJ$3)=0, NotFound, SUMIFS(allFYsTable[Actual], allFYsTable[Code], SummaryTable[[#This Row],[Code]], allFYsTable[year2], AJ$3))</f>
        <v>#N/A</v>
      </c>
      <c r="AO175" s="61" t="e">
        <f>IF(COUNTIFS(allFYsTable[Code], SummaryTable[[#This Row],[Code]], allFYsTable[year2], AJ$3)=0, NotFound, SUMIFS(allFYsTable[DiffAmount], allFYsTable[Code], SummaryTable[[#This Row],[Code]], allFYsTable[year2], AJ$3))</f>
        <v>#N/A</v>
      </c>
      <c r="AP175" s="63" t="e">
        <f>IF(SummaryTable[[#This Row],[OriginalBudget24]]=0, IF(SummaryTable[[#This Row],[DiffAmount24]]=0, ZeroBudgetNoSpending, ZeroBudgetWithSpending), SummaryTable[[#This Row],[DiffAmount24]]/SummaryTable[[#This Row],[OriginalBudget24]])</f>
        <v>#N/A</v>
      </c>
      <c r="AQ175" s="62" t="e">
        <f>IF(COUNTIFS(allFYsTable[Code], SummaryTable[[#This Row],[Code]], allFYsTable[year2], AQ$3)=0, NotFound, SUMIFS(allFYsTable[OriginalBudget], allFYsTable[Code], SummaryTable[[#This Row],[Code]], allFYsTable[year2], AQ$3))</f>
        <v>#N/A</v>
      </c>
      <c r="AR175" s="61" t="e">
        <f>SummaryTable[[#This Row],[OriginalBudget23]]-SummaryTable[[#This Row],[OriginalBudget22]]</f>
        <v>#N/A</v>
      </c>
      <c r="AS175" s="54" t="e">
        <f>SummaryTable[[#This Row],[BudgetIncreaseAmount23]]/SummaryTable[[#This Row],[OriginalBudget22]]</f>
        <v>#N/A</v>
      </c>
      <c r="AT175" s="61" t="e">
        <f>IF(COUNTIFS(allFYsTable[Code], SummaryTable[[#This Row],[Code]], allFYsTable[year2], AQ$3)=0, NotFound, SUMIFS(allFYsTable[RevisedBudget], allFYsTable[Code], SummaryTable[[#This Row],[Code]], allFYsTable[year2], AQ$3))</f>
        <v>#N/A</v>
      </c>
      <c r="AU175" s="61" t="e">
        <f>IF(COUNTIFS(allFYsTable[Code], SummaryTable[[#This Row],[Code]], allFYsTable[year2], AQ$3)=0, NotFound, SUMIFS(allFYsTable[Actual], allFYsTable[Code], SummaryTable[[#This Row],[Code]], allFYsTable[year2], AQ$3))</f>
        <v>#N/A</v>
      </c>
      <c r="AV175" s="61" t="e">
        <f>IF(COUNTIFS(allFYsTable[Code], SummaryTable[[#This Row],[Code]], allFYsTable[year2], AQ$3)=0, NotFound, SUMIFS(allFYsTable[DiffAmount], allFYsTable[Code], SummaryTable[[#This Row],[Code]], allFYsTable[year2], AQ$3))</f>
        <v>#N/A</v>
      </c>
      <c r="AW175" s="63" t="e">
        <f>IF(SummaryTable[[#This Row],[OriginalBudget23]]=0, IF(SummaryTable[[#This Row],[DiffAmount23]]=0, ZeroBudgetNoSpending, ZeroBudgetWithSpending), SummaryTable[[#This Row],[DiffAmount23]]/SummaryTable[[#This Row],[OriginalBudget23]])</f>
        <v>#N/A</v>
      </c>
      <c r="AX175" s="62" t="e">
        <f>IF(COUNTIFS(allFYsTable[Code], SummaryTable[[#This Row],[Code]], allFYsTable[year2], AX$3)=0, NotFound, SUMIFS(allFYsTable[OriginalBudget], allFYsTable[Code], SummaryTable[[#This Row],[Code]], allFYsTable[year2], AX$3))</f>
        <v>#N/A</v>
      </c>
      <c r="AY175" s="61" t="e">
        <f>SummaryTable[[#This Row],[OriginalBudget22]]-SummaryTable[[#This Row],[OriginalBudget21]]</f>
        <v>#N/A</v>
      </c>
      <c r="AZ175" s="54" t="e">
        <f>SummaryTable[[#This Row],[BudgetIncreaseAmount22]]/SummaryTable[[#This Row],[OriginalBudget21]]</f>
        <v>#N/A</v>
      </c>
      <c r="BA175" s="61" t="e">
        <f>IF(COUNTIFS(allFYsTable[Code], SummaryTable[[#This Row],[Code]], allFYsTable[year2], AX$3)=0, NotFound, SUMIFS(allFYsTable[RevisedBudget], allFYsTable[Code], SummaryTable[[#This Row],[Code]], allFYsTable[year2], AX$3))</f>
        <v>#N/A</v>
      </c>
      <c r="BB175" s="61" t="e">
        <f>IF(COUNTIFS(allFYsTable[Code], SummaryTable[[#This Row],[Code]], allFYsTable[year2], AX$3)=0, NotFound, SUMIFS(allFYsTable[Actual], allFYsTable[Code], SummaryTable[[#This Row],[Code]], allFYsTable[year2], AX$3))</f>
        <v>#N/A</v>
      </c>
      <c r="BC175" s="61" t="e">
        <f>IF(COUNTIFS(allFYsTable[Code], SummaryTable[[#This Row],[Code]], allFYsTable[year2], AX$3)=0, NotFound, SUMIFS(allFYsTable[DiffAmount], allFYsTable[Code], SummaryTable[[#This Row],[Code]], allFYsTable[year2], AX$3))</f>
        <v>#N/A</v>
      </c>
      <c r="BD175" s="63" t="e">
        <f>IF(SummaryTable[[#This Row],[OriginalBudget22]]=0, IF(SummaryTable[[#This Row],[DiffAmount22]]=0, ZeroBudgetNoSpending, ZeroBudgetWithSpending), SummaryTable[[#This Row],[DiffAmount22]]/SummaryTable[[#This Row],[OriginalBudget22]])</f>
        <v>#N/A</v>
      </c>
      <c r="BE175" s="62" t="e">
        <f>IF(COUNTIFS(allFYsTable[Code], SummaryTable[[#This Row],[Code]], allFYsTable[year2], BE$3)=0, NotFound, SUMIFS(allFYsTable[OriginalBudget], allFYsTable[Code], SummaryTable[[#This Row],[Code]], allFYsTable[year2], BE$3))</f>
        <v>#N/A</v>
      </c>
      <c r="BF175" s="61" t="e">
        <f>SummaryTable[[#This Row],[OriginalBudget21]]-SummaryTable[[#This Row],[OriginalBudget20]]</f>
        <v>#N/A</v>
      </c>
      <c r="BG175" s="54" t="e">
        <f>SummaryTable[[#This Row],[BudgetIncreaseAmount21]]/SummaryTable[[#This Row],[OriginalBudget20]]</f>
        <v>#N/A</v>
      </c>
      <c r="BH175" s="61" t="e">
        <f>IF(COUNTIFS(allFYsTable[Code], SummaryTable[[#This Row],[Code]], allFYsTable[year2], BE$3)=0, NotFound, SUMIFS(allFYsTable[RevisedBudget], allFYsTable[Code], SummaryTable[[#This Row],[Code]], allFYsTable[year2], BE$3))</f>
        <v>#N/A</v>
      </c>
      <c r="BI175" s="61" t="e">
        <f>IF(COUNTIFS(allFYsTable[Code], SummaryTable[[#This Row],[Code]], allFYsTable[year2], BE$3)=0, NotFound, SUMIFS(allFYsTable[Actual], allFYsTable[Code], SummaryTable[[#This Row],[Code]], allFYsTable[year2], BE$3))</f>
        <v>#N/A</v>
      </c>
      <c r="BJ175" s="61" t="e">
        <f>IF(COUNTIFS(allFYsTable[Code], SummaryTable[[#This Row],[Code]], allFYsTable[year2], BE$3)=0, NotFound, SUMIFS(allFYsTable[DiffAmount], allFYsTable[Code], SummaryTable[[#This Row],[Code]], allFYsTable[year2], BE$3))</f>
        <v>#N/A</v>
      </c>
      <c r="BK175" s="63" t="e">
        <f>IF(SummaryTable[[#This Row],[OriginalBudget21]]=0, IF(SummaryTable[[#This Row],[DiffAmount21]]=0, ZeroBudgetNoSpending, ZeroBudgetWithSpending), SummaryTable[[#This Row],[DiffAmount21]]/SummaryTable[[#This Row],[OriginalBudget21]])</f>
        <v>#N/A</v>
      </c>
      <c r="BL175" s="62" t="e">
        <f>IF(COUNTIFS(allFYsTable[Code], SummaryTable[[#This Row],[Code]], allFYsTable[year2], BL$3)=0, NotFound, SUMIFS(allFYsTable[OriginalBudget], allFYsTable[Code], SummaryTable[[#This Row],[Code]], allFYsTable[year2], BL$3))</f>
        <v>#N/A</v>
      </c>
      <c r="BM175" s="61" t="e">
        <f>SummaryTable[[#This Row],[OriginalBudget20]]-SummaryTable[[#This Row],[OriginalBudget19]]</f>
        <v>#N/A</v>
      </c>
      <c r="BN175" s="54" t="e">
        <f>SummaryTable[[#This Row],[BudgetIncreaseAmount20]]/SummaryTable[[#This Row],[OriginalBudget19]]</f>
        <v>#N/A</v>
      </c>
      <c r="BO175" s="61" t="e">
        <f>IF(COUNTIFS(allFYsTable[Code], SummaryTable[[#This Row],[Code]], allFYsTable[year2], BL$3)=0, NotFound, SUMIFS(allFYsTable[RevisedBudget], allFYsTable[Code], SummaryTable[[#This Row],[Code]], allFYsTable[year2], BL$3))</f>
        <v>#N/A</v>
      </c>
      <c r="BP175" s="61" t="e">
        <f>IF(COUNTIFS(allFYsTable[Code], SummaryTable[[#This Row],[Code]], allFYsTable[year2], BL$3)=0, NotFound, SUMIFS(allFYsTable[Actual], allFYsTable[Code], SummaryTable[[#This Row],[Code]], allFYsTable[year2], BL$3))</f>
        <v>#N/A</v>
      </c>
      <c r="BQ175" s="61" t="e">
        <f>IF(COUNTIFS(allFYsTable[Code], SummaryTable[[#This Row],[Code]], allFYsTable[year2], BL$3)=0, NotFound, SUMIFS(allFYsTable[DiffAmount], allFYsTable[Code], SummaryTable[[#This Row],[Code]], allFYsTable[year2], BL$3))</f>
        <v>#N/A</v>
      </c>
      <c r="BR175" s="63" t="e">
        <f>IF(SummaryTable[[#This Row],[OriginalBudget20]]=0, IF(SummaryTable[[#This Row],[DiffAmount20]]=0, ZeroBudgetNoSpending, ZeroBudgetWithSpending), SummaryTable[[#This Row],[DiffAmount20]]/SummaryTable[[#This Row],[OriginalBudget20]])</f>
        <v>#N/A</v>
      </c>
      <c r="BS175" s="62" t="e">
        <f>IF(COUNTIFS(allFYsTable[Code], SummaryTable[[#This Row],[Code]], allFYsTable[year2], BS$3)=0, NotFound, SUMIFS(allFYsTable[OriginalBudget], allFYsTable[Code], SummaryTable[[#This Row],[Code]], allFYsTable[year2], BS$3))</f>
        <v>#N/A</v>
      </c>
      <c r="BT175" s="61" t="e">
        <f>SummaryTable[[#This Row],[OriginalBudget19]]-SummaryTable[[#This Row],[OriginalBudget18]]</f>
        <v>#N/A</v>
      </c>
      <c r="BU175" s="54" t="e">
        <f>SummaryTable[[#This Row],[BudgetIncreaseAmount19]]/SummaryTable[[#This Row],[OriginalBudget18]]</f>
        <v>#N/A</v>
      </c>
      <c r="BV175" s="61" t="e">
        <f>IF(COUNTIFS(allFYsTable[Code], SummaryTable[[#This Row],[Code]], allFYsTable[year2], BS$3)=0, NotFound, SUMIFS(allFYsTable[RevisedBudget], allFYsTable[Code], SummaryTable[[#This Row],[Code]], allFYsTable[year2], BS$3))</f>
        <v>#N/A</v>
      </c>
      <c r="BW175" s="61" t="e">
        <f>IF(COUNTIFS(allFYsTable[Code], SummaryTable[[#This Row],[Code]], allFYsTable[year2], BS$3)=0, NotFound, SUMIFS(allFYsTable[Actual], allFYsTable[Code], SummaryTable[[#This Row],[Code]], allFYsTable[year2], BS$3))</f>
        <v>#N/A</v>
      </c>
      <c r="BX175" s="61" t="e">
        <f>IF(COUNTIFS(allFYsTable[Code], SummaryTable[[#This Row],[Code]], allFYsTable[year2], BS$3)=0, NotFound, SUMIFS(allFYsTable[DiffAmount], allFYsTable[Code], SummaryTable[[#This Row],[Code]], allFYsTable[year2], BS$3))</f>
        <v>#N/A</v>
      </c>
      <c r="BY175" s="63" t="e">
        <f>IF(SummaryTable[[#This Row],[OriginalBudget19]]=0, IF(SummaryTable[[#This Row],[DiffAmount19]]=0, ZeroBudgetNoSpending, ZeroBudgetWithSpending), SummaryTable[[#This Row],[DiffAmount19]]/SummaryTable[[#This Row],[OriginalBudget19]])</f>
        <v>#N/A</v>
      </c>
      <c r="BZ175" s="62" t="e">
        <f>IF(COUNTIFS(allFYsTable[Code], SummaryTable[[#This Row],[Code]], allFYsTable[year2], BZ$3)=0, NotFound, SUMIFS(allFYsTable[OriginalBudget], allFYsTable[Code], SummaryTable[[#This Row],[Code]], allFYsTable[year2], BZ$3))</f>
        <v>#N/A</v>
      </c>
      <c r="CA175" s="61" t="e">
        <f>SummaryTable[[#This Row],[OriginalBudget18]]-SummaryTable[[#This Row],[OriginalBudget17]]</f>
        <v>#N/A</v>
      </c>
      <c r="CB175" s="54" t="e">
        <f>SummaryTable[[#This Row],[BudgetIncreaseAmount18]]/SummaryTable[[#This Row],[OriginalBudget17]]</f>
        <v>#N/A</v>
      </c>
      <c r="CC175" s="61" t="e">
        <f>IF(COUNTIFS(allFYsTable[Code], SummaryTable[[#This Row],[Code]], allFYsTable[year2], BZ$3)=0, NotFound, SUMIFS(allFYsTable[RevisedBudget], allFYsTable[Code], SummaryTable[[#This Row],[Code]], allFYsTable[year2], BZ$3))</f>
        <v>#N/A</v>
      </c>
      <c r="CD175" s="61" t="e">
        <f>IF(COUNTIFS(allFYsTable[Code], SummaryTable[[#This Row],[Code]], allFYsTable[year2], BZ$3)=0, NotFound, SUMIFS(allFYsTable[Actual], allFYsTable[Code], SummaryTable[[#This Row],[Code]], allFYsTable[year2], BZ$3))</f>
        <v>#N/A</v>
      </c>
      <c r="CE175" s="61" t="e">
        <f>IF(COUNTIFS(allFYsTable[Code], SummaryTable[[#This Row],[Code]], allFYsTable[year2], BZ$3)=0, NotFound, SUMIFS(allFYsTable[DiffAmount], allFYsTable[Code], SummaryTable[[#This Row],[Code]], allFYsTable[year2], BZ$3))</f>
        <v>#N/A</v>
      </c>
      <c r="CF175" s="63" t="e">
        <f>IF(SummaryTable[[#This Row],[OriginalBudget18]]=0, IF(SummaryTable[[#This Row],[DiffAmount18]]=0, ZeroBudgetNoSpending, ZeroBudgetWithSpending), SummaryTable[[#This Row],[DiffAmount18]]/SummaryTable[[#This Row],[OriginalBudget18]])</f>
        <v>#N/A</v>
      </c>
      <c r="CG175" s="62" t="e">
        <f>IF(COUNTIFS(allFYsTable[Code], SummaryTable[[#This Row],[Code]], allFYsTable[year2], CG$3)=0, NotFound, SUMIFS(allFYsTable[OriginalBudget], allFYsTable[Code], SummaryTable[[#This Row],[Code]], allFYsTable[year2], CG$3))</f>
        <v>#N/A</v>
      </c>
      <c r="CH175" s="61" t="e">
        <f>SummaryTable[[#This Row],[OriginalBudget17]]-SummaryTable[[#This Row],[OriginalBudget16]]</f>
        <v>#N/A</v>
      </c>
      <c r="CI175" s="54" t="e">
        <f>SummaryTable[[#This Row],[BudgetIncreaseAmount17]]/SummaryTable[[#This Row],[OriginalBudget16]]</f>
        <v>#N/A</v>
      </c>
      <c r="CJ175" s="61" t="e">
        <f>IF(COUNTIFS(allFYsTable[Code], SummaryTable[[#This Row],[Code]], allFYsTable[year2], CG$3)=0, NotFound, SUMIFS(allFYsTable[RevisedBudget], allFYsTable[Code], SummaryTable[[#This Row],[Code]], allFYsTable[year2], CG$3))</f>
        <v>#N/A</v>
      </c>
      <c r="CK175" s="61" t="e">
        <f>IF(COUNTIFS(allFYsTable[Code], SummaryTable[[#This Row],[Code]], allFYsTable[year2], CG$3)=0, NotFound, SUMIFS(allFYsTable[Actual], allFYsTable[Code], SummaryTable[[#This Row],[Code]], allFYsTable[year2], CG$3))</f>
        <v>#N/A</v>
      </c>
      <c r="CL175" s="61" t="e">
        <f>IF(COUNTIFS(allFYsTable[Code], SummaryTable[[#This Row],[Code]], allFYsTable[year2], CG$3)=0, NotFound, SUMIFS(allFYsTable[DiffAmount], allFYsTable[Code], SummaryTable[[#This Row],[Code]], allFYsTable[year2], CG$3))</f>
        <v>#N/A</v>
      </c>
      <c r="CM175" s="63" t="e">
        <f>IF(SummaryTable[[#This Row],[OriginalBudget17]]=0, IF(SummaryTable[[#This Row],[DiffAmount17]]=0, ZeroBudgetNoSpending, ZeroBudgetWithSpending), SummaryTable[[#This Row],[DiffAmount17]]/SummaryTable[[#This Row],[OriginalBudget17]])</f>
        <v>#N/A</v>
      </c>
      <c r="CN175" s="62" t="e">
        <f>IF(COUNTIFS(allFYsTable[Code], SummaryTable[[#This Row],[Code]], allFYsTable[year2], CN$3)=0, NotFound, SUMIFS(allFYsTable[OriginalBudget], allFYsTable[Code], SummaryTable[[#This Row],[Code]], allFYsTable[year2], CN$3))</f>
        <v>#N/A</v>
      </c>
      <c r="CO175" s="61" t="e">
        <f>SummaryTable[[#This Row],[OriginalBudget16]]-SummaryTable[[#This Row],[OriginalBudget15]]</f>
        <v>#N/A</v>
      </c>
      <c r="CP175" s="54" t="e">
        <f>SummaryTable[[#This Row],[BudgetIncreaseAmount16]]/SummaryTable[[#This Row],[OriginalBudget15]]</f>
        <v>#N/A</v>
      </c>
      <c r="CQ175" s="61" t="e">
        <f>IF(COUNTIFS(allFYsTable[Code], SummaryTable[[#This Row],[Code]], allFYsTable[year2], CN$3)=0, NotFound, SUMIFS(allFYsTable[RevisedBudget], allFYsTable[Code], SummaryTable[[#This Row],[Code]], allFYsTable[year2], CN$3))</f>
        <v>#N/A</v>
      </c>
      <c r="CR175" s="61" t="e">
        <f>IF(COUNTIFS(allFYsTable[Code], SummaryTable[[#This Row],[Code]], allFYsTable[year2], CN$3)=0, NotFound, SUMIFS(allFYsTable[Actual], allFYsTable[Code], SummaryTable[[#This Row],[Code]], allFYsTable[year2], CN$3))</f>
        <v>#N/A</v>
      </c>
      <c r="CS175" s="61" t="e">
        <f>IF(COUNTIFS(allFYsTable[Code], SummaryTable[[#This Row],[Code]], allFYsTable[year2], CN$3)=0, NotFound, SUMIFS(allFYsTable[DiffAmount], allFYsTable[Code], SummaryTable[[#This Row],[Code]], allFYsTable[year2], CN$3))</f>
        <v>#N/A</v>
      </c>
      <c r="CT175" s="63" t="e">
        <f>IF(SummaryTable[[#This Row],[OriginalBudget16]]=0, IF(SummaryTable[[#This Row],[DiffAmount16]]=0, ZeroBudgetNoSpending, ZeroBudgetWithSpending), SummaryTable[[#This Row],[DiffAmount16]]/SummaryTable[[#This Row],[OriginalBudget16]])</f>
        <v>#N/A</v>
      </c>
      <c r="CU175" s="62" t="e">
        <f>IF(COUNTIFS(allFYsTable[Code], SummaryTable[[#This Row],[Code]], allFYsTable[year2], CU$3)=0, NotFound, SUMIFS(allFYsTable[OriginalBudget], allFYsTable[Code], SummaryTable[[#This Row],[Code]], allFYsTable[year2], CU$3))</f>
        <v>#N/A</v>
      </c>
      <c r="CV175" s="61" t="e">
        <f>SummaryTable[[#This Row],[OriginalBudget15]]-SummaryTable[[#This Row],[OriginalBudget14]]</f>
        <v>#N/A</v>
      </c>
      <c r="CW175" s="54" t="e">
        <f>SummaryTable[[#This Row],[BudgetIncreaseAmount15]]/SummaryTable[[#This Row],[OriginalBudget14]]</f>
        <v>#N/A</v>
      </c>
      <c r="CX175" s="61" t="e">
        <f>IF(COUNTIFS(allFYsTable[Code], SummaryTable[[#This Row],[Code]], allFYsTable[year2], CU$3)=0, NotFound, SUMIFS(allFYsTable[RevisedBudget], allFYsTable[Code], SummaryTable[[#This Row],[Code]], allFYsTable[year2], CU$3))</f>
        <v>#N/A</v>
      </c>
      <c r="CY175" s="61" t="e">
        <f>IF(COUNTIFS(allFYsTable[Code], SummaryTable[[#This Row],[Code]], allFYsTable[year2], CU$3)=0, NotFound, SUMIFS(allFYsTable[Actual], allFYsTable[Code], SummaryTable[[#This Row],[Code]], allFYsTable[year2], CU$3))</f>
        <v>#N/A</v>
      </c>
      <c r="CZ175" s="61" t="e">
        <f>IF(COUNTIFS(allFYsTable[Code], SummaryTable[[#This Row],[Code]], allFYsTable[year2], CU$3)=0, NotFound, SUMIFS(allFYsTable[DiffAmount], allFYsTable[Code], SummaryTable[[#This Row],[Code]], allFYsTable[year2], CU$3))</f>
        <v>#N/A</v>
      </c>
      <c r="DA175" s="63" t="e">
        <f>IF(SummaryTable[[#This Row],[OriginalBudget15]]=0, IF(SummaryTable[[#This Row],[DiffAmount15]]=0, ZeroBudgetNoSpending, ZeroBudgetWithSpending), SummaryTable[[#This Row],[DiffAmount15]]/SummaryTable[[#This Row],[OriginalBudget15]])</f>
        <v>#N/A</v>
      </c>
      <c r="DB175" s="62" t="e">
        <f>IF(COUNTIFS(allFYsTable[Code], SummaryTable[[#This Row],[Code]], allFYsTable[year2], DB$3)=0, NotFound, SUMIFS(allFYsTable[OriginalBudget], allFYsTable[Code], SummaryTable[[#This Row],[Code]], allFYsTable[year2], DB$3))</f>
        <v>#N/A</v>
      </c>
      <c r="DC175" s="61" t="e">
        <f>SummaryTable[[#This Row],[OriginalBudget14]]-SummaryTable[[#This Row],[OriginalBudget13]]</f>
        <v>#N/A</v>
      </c>
      <c r="DD175" s="54" t="e">
        <f>SummaryTable[[#This Row],[BudgetIncreaseAmount14]]/SummaryTable[[#This Row],[OriginalBudget13]]</f>
        <v>#N/A</v>
      </c>
      <c r="DE175" s="61" t="e">
        <f>IF(COUNTIFS(allFYsTable[Code], SummaryTable[[#This Row],[Code]], allFYsTable[year2], DB$3)=0, NotFound, SUMIFS(allFYsTable[RevisedBudget], allFYsTable[Code], SummaryTable[[#This Row],[Code]], allFYsTable[year2], DB$3))</f>
        <v>#N/A</v>
      </c>
      <c r="DF175" s="61" t="e">
        <f>IF(COUNTIFS(allFYsTable[Code], SummaryTable[[#This Row],[Code]], allFYsTable[year2], DB$3)=0, NotFound, SUMIFS(allFYsTable[Actual], allFYsTable[Code], SummaryTable[[#This Row],[Code]], allFYsTable[year2], DB$3))</f>
        <v>#N/A</v>
      </c>
      <c r="DG175" s="61" t="e">
        <f>IF(COUNTIFS(allFYsTable[Code], SummaryTable[[#This Row],[Code]], allFYsTable[year2], DB$3)=0, NotFound, SUMIFS(allFYsTable[DiffAmount], allFYsTable[Code], SummaryTable[[#This Row],[Code]], allFYsTable[year2], DB$3))</f>
        <v>#N/A</v>
      </c>
      <c r="DH175" s="63" t="e">
        <f>IF(SummaryTable[[#This Row],[OriginalBudget14]]=0, IF(SummaryTable[[#This Row],[DiffAmount14]]=0, ZeroBudgetNoSpending, ZeroBudgetWithSpending), SummaryTable[[#This Row],[DiffAmount14]]/SummaryTable[[#This Row],[OriginalBudget14]])</f>
        <v>#N/A</v>
      </c>
      <c r="DI175" s="62" t="e">
        <f>IF(COUNTIFS(allFYsTable[Code], SummaryTable[[#This Row],[Code]], allFYsTable[year2], DI$3)=0, NotFound, SUMIFS(allFYsTable[OriginalBudget], allFYsTable[Code], SummaryTable[[#This Row],[Code]], allFYsTable[year2], DI$3))</f>
        <v>#N/A</v>
      </c>
      <c r="DJ175" s="61" t="e">
        <f>SummaryTable[[#This Row],[OriginalBudget13]]-SummaryTable[[#This Row],[OriginalBudget12]]</f>
        <v>#N/A</v>
      </c>
      <c r="DK175" s="54" t="e">
        <f>SummaryTable[[#This Row],[BudgetIncreaseAmount13]]/SummaryTable[[#This Row],[OriginalBudget12]]</f>
        <v>#N/A</v>
      </c>
      <c r="DL175" s="61" t="e">
        <f>IF(COUNTIFS(allFYsTable[Code], SummaryTable[[#This Row],[Code]], allFYsTable[year2], DI$3)=0, NotFound, SUMIFS(allFYsTable[RevisedBudget], allFYsTable[Code], SummaryTable[[#This Row],[Code]], allFYsTable[year2], DI$3))</f>
        <v>#N/A</v>
      </c>
      <c r="DM175" s="61" t="e">
        <f>IF(COUNTIFS(allFYsTable[Code], SummaryTable[[#This Row],[Code]], allFYsTable[year2], DI$3)=0, NotFound, SUMIFS(allFYsTable[Actual], allFYsTable[Code], SummaryTable[[#This Row],[Code]], allFYsTable[year2], DI$3))</f>
        <v>#N/A</v>
      </c>
      <c r="DN175" s="61" t="e">
        <f>IF(COUNTIFS(allFYsTable[Code], SummaryTable[[#This Row],[Code]], allFYsTable[year2], DI$3)=0, NotFound, SUMIFS(allFYsTable[DiffAmount], allFYsTable[Code], SummaryTable[[#This Row],[Code]], allFYsTable[year2], DI$3))</f>
        <v>#N/A</v>
      </c>
      <c r="DO175" s="63" t="e">
        <f>IF(SummaryTable[[#This Row],[OriginalBudget13]]=0, IF(SummaryTable[[#This Row],[DiffAmount13]]=0, ZeroBudgetNoSpending, ZeroBudgetWithSpending), SummaryTable[[#This Row],[DiffAmount13]]/SummaryTable[[#This Row],[OriginalBudget13]])</f>
        <v>#N/A</v>
      </c>
      <c r="DP175" s="62" t="e">
        <f>IF(COUNTIFS(allFYsTable[Code], SummaryTable[[#This Row],[Code]], allFYsTable[year2], DP$3)=0, NotFound, SUMIFS(allFYsTable[OriginalBudget], allFYsTable[Code], SummaryTable[[#This Row],[Code]], allFYsTable[year2], DP$3))</f>
        <v>#N/A</v>
      </c>
      <c r="DQ175" s="61" t="e">
        <f>SummaryTable[[#This Row],[OriginalBudget12]]-SummaryTable[[#This Row],[OriginalBudget11]]</f>
        <v>#N/A</v>
      </c>
      <c r="DR175" s="54" t="e">
        <f>SummaryTable[[#This Row],[BudgetIncreaseAmount12]]/SummaryTable[[#This Row],[OriginalBudget11]]</f>
        <v>#N/A</v>
      </c>
      <c r="DS175" s="61" t="e">
        <f>IF(COUNTIFS(allFYsTable[Code], SummaryTable[[#This Row],[Code]], allFYsTable[year2], DP$3)=0, NotFound, SUMIFS(allFYsTable[RevisedBudget], allFYsTable[Code], SummaryTable[[#This Row],[Code]], allFYsTable[year2], DP$3))</f>
        <v>#N/A</v>
      </c>
      <c r="DT175" s="61" t="e">
        <f>IF(COUNTIFS(allFYsTable[Code], SummaryTable[[#This Row],[Code]], allFYsTable[year2], DP$3)=0, NotFound, SUMIFS(allFYsTable[Actual], allFYsTable[Code], SummaryTable[[#This Row],[Code]], allFYsTable[year2], DP$3))</f>
        <v>#N/A</v>
      </c>
      <c r="DU175" s="61" t="e">
        <f>IF(COUNTIFS(allFYsTable[Code], SummaryTable[[#This Row],[Code]], allFYsTable[year2], DP$3)=0, NotFound, SUMIFS(allFYsTable[DiffAmount], allFYsTable[Code], SummaryTable[[#This Row],[Code]], allFYsTable[year2], DP$3))</f>
        <v>#N/A</v>
      </c>
      <c r="DV175" s="63" t="e">
        <f>IF(SummaryTable[[#This Row],[OriginalBudget12]]=0, IF(SummaryTable[[#This Row],[DiffAmount12]]=0, ZeroBudgetNoSpending, ZeroBudgetWithSpending), SummaryTable[[#This Row],[DiffAmount12]]/SummaryTable[[#This Row],[OriginalBudget12]])</f>
        <v>#N/A</v>
      </c>
      <c r="DW175" s="62" t="e">
        <f>IF(COUNTIFS(allFYsTable[Code], SummaryTable[[#This Row],[Code]], allFYsTable[year2], DW$3)=0, NotFound, SUMIFS(allFYsTable[OriginalBudget], allFYsTable[Code], SummaryTable[[#This Row],[Code]], allFYsTable[year2], DW$3))</f>
        <v>#N/A</v>
      </c>
      <c r="DX175" s="61" t="e">
        <f>SummaryTable[[#This Row],[OriginalBudget11]]-SummaryTable[[#This Row],[OriginalBudget10]]</f>
        <v>#N/A</v>
      </c>
      <c r="DY175" s="54" t="e">
        <f>SummaryTable[[#This Row],[BudgetIncreaseAmount11]]/SummaryTable[[#This Row],[OriginalBudget10]]</f>
        <v>#N/A</v>
      </c>
      <c r="DZ175" s="61" t="e">
        <f>IF(COUNTIFS(allFYsTable[Code], SummaryTable[[#This Row],[Code]], allFYsTable[year2], DW$3)=0, NotFound, SUMIFS(allFYsTable[RevisedBudget], allFYsTable[Code], SummaryTable[[#This Row],[Code]], allFYsTable[year2], DW$3))</f>
        <v>#N/A</v>
      </c>
      <c r="EA175" s="61" t="e">
        <f>IF(COUNTIFS(allFYsTable[Code], SummaryTable[[#This Row],[Code]], allFYsTable[year2], DW$3)=0, NotFound, SUMIFS(allFYsTable[Actual], allFYsTable[Code], SummaryTable[[#This Row],[Code]], allFYsTable[year2], DW$3))</f>
        <v>#N/A</v>
      </c>
      <c r="EB175" s="61" t="e">
        <f>IF(COUNTIFS(allFYsTable[Code], SummaryTable[[#This Row],[Code]], allFYsTable[year2], DW$3)=0, NotFound, SUMIFS(allFYsTable[DiffAmount], allFYsTable[Code], SummaryTable[[#This Row],[Code]], allFYsTable[year2], DW$3))</f>
        <v>#N/A</v>
      </c>
      <c r="EC175" s="63" t="e">
        <f>IF(SummaryTable[[#This Row],[OriginalBudget11]]=0, IF(SummaryTable[[#This Row],[DiffAmount11]]=0, ZeroBudgetNoSpending, ZeroBudgetWithSpending), SummaryTable[[#This Row],[DiffAmount11]]/SummaryTable[[#This Row],[OriginalBudget11]])</f>
        <v>#N/A</v>
      </c>
      <c r="ED175" s="62" t="e">
        <f>IF(COUNTIFS(allFYsTable[Code], SummaryTable[[#This Row],[Code]], allFYsTable[year2], ED$3)=0, NotFound, SUMIFS(allFYsTable[OriginalBudget], allFYsTable[Code], SummaryTable[[#This Row],[Code]], allFYsTable[year2], ED$3))</f>
        <v>#N/A</v>
      </c>
      <c r="EE175" s="61" t="e">
        <f>SummaryTable[[#This Row],[OriginalBudget10]]-SummaryTable[[#This Row],[OriginalBudget09]]</f>
        <v>#N/A</v>
      </c>
      <c r="EF175" s="54" t="e">
        <f>SummaryTable[[#This Row],[BudgetIncreaseAmount10]]/SummaryTable[[#This Row],[OriginalBudget09]]</f>
        <v>#N/A</v>
      </c>
      <c r="EG175" s="61" t="e">
        <f>IF(COUNTIFS(allFYsTable[Code], SummaryTable[[#This Row],[Code]], allFYsTable[year2], ED$3)=0, NotFound, SUMIFS(allFYsTable[RevisedBudget], allFYsTable[Code], SummaryTable[[#This Row],[Code]], allFYsTable[year2], ED$3))</f>
        <v>#N/A</v>
      </c>
      <c r="EH175" s="61" t="e">
        <f>IF(COUNTIFS(allFYsTable[Code], SummaryTable[[#This Row],[Code]], allFYsTable[year2], ED$3)=0, NotFound, SUMIFS(allFYsTable[Actual], allFYsTable[Code], SummaryTable[[#This Row],[Code]], allFYsTable[year2], ED$3))</f>
        <v>#N/A</v>
      </c>
      <c r="EI175" s="61" t="e">
        <f>IF(COUNTIFS(allFYsTable[Code], SummaryTable[[#This Row],[Code]], allFYsTable[year2], ED$3)=0, NotFound, SUMIFS(allFYsTable[DiffAmount], allFYsTable[Code], SummaryTable[[#This Row],[Code]], allFYsTable[year2], ED$3))</f>
        <v>#N/A</v>
      </c>
      <c r="EJ175" s="63" t="e">
        <f>IF(SummaryTable[[#This Row],[OriginalBudget10]]=0, IF(SummaryTable[[#This Row],[DiffAmount10]]=0, ZeroBudgetNoSpending, ZeroBudgetWithSpending), SummaryTable[[#This Row],[DiffAmount10]]/SummaryTable[[#This Row],[OriginalBudget10]])</f>
        <v>#N/A</v>
      </c>
      <c r="EK175" s="62">
        <f>IF(COUNTIFS(allFYsTable[Code], SummaryTable[[#This Row],[Code]], allFYsTable[year2], EK$3)=0, NotFound, SUMIFS(allFYsTable[OriginalBudget], allFYsTable[Code], SummaryTable[[#This Row],[Code]], allFYsTable[year2], EK$3))</f>
        <v>0</v>
      </c>
      <c r="EL175" s="61" t="e">
        <f>SummaryTable[[#This Row],[OriginalBudget09]]-SummaryTable[[#This Row],[OriginalBudget08]]</f>
        <v>#N/A</v>
      </c>
      <c r="EM175" s="54" t="e">
        <f>SummaryTable[[#This Row],[BudgetIncreaseAmount09]]/SummaryTable[[#This Row],[OriginalBudget08]]</f>
        <v>#N/A</v>
      </c>
      <c r="EN175" s="61">
        <f>IF(COUNTIFS(allFYsTable[Code], SummaryTable[[#This Row],[Code]], allFYsTable[year2], EK$3)=0, NotFound, SUMIFS(allFYsTable[RevisedBudget], allFYsTable[Code], SummaryTable[[#This Row],[Code]], allFYsTable[year2], EK$3))</f>
        <v>93073</v>
      </c>
      <c r="EO175" s="61">
        <f>IF(COUNTIFS(allFYsTable[Code], SummaryTable[[#This Row],[Code]], allFYsTable[year2], EK$3)=0, NotFound, SUMIFS(allFYsTable[Actual], allFYsTable[Code], SummaryTable[[#This Row],[Code]], allFYsTable[year2], EK$3))</f>
        <v>93073</v>
      </c>
      <c r="EP175" s="61">
        <f>IF(COUNTIFS(allFYsTable[Code], SummaryTable[[#This Row],[Code]], allFYsTable[year2], EK$3)=0, NotFound, SUMIFS(allFYsTable[DiffAmount], allFYsTable[Code], SummaryTable[[#This Row],[Code]], allFYsTable[year2], EK$3))</f>
        <v>93073</v>
      </c>
      <c r="EQ175" s="63">
        <f>IF(SummaryTable[[#This Row],[OriginalBudget09]]=0, IF(SummaryTable[[#This Row],[DiffAmount09]]=0, ZeroBudgetNoSpending, ZeroBudgetWithSpending), SummaryTable[[#This Row],[DiffAmount09]]/SummaryTable[[#This Row],[OriginalBudget09]])</f>
        <v>99.99</v>
      </c>
      <c r="ER175" s="62" t="e">
        <f>IF(COUNTIFS(allFYsTable[Code], SummaryTable[[#This Row],[Code]], allFYsTable[year2], ER$3)=0, NotFound, SUMIFS(allFYsTable[OriginalBudget], allFYsTable[Code], SummaryTable[[#This Row],[Code]], allFYsTable[year2], ER$3))</f>
        <v>#N/A</v>
      </c>
      <c r="ES175" s="61" t="e">
        <f>SummaryTable[[#This Row],[OriginalBudget08]]-SummaryTable[[#This Row],[OriginalBudget07]]</f>
        <v>#N/A</v>
      </c>
      <c r="ET175" s="54" t="e">
        <f>SummaryTable[[#This Row],[BudgetIncreaseAmount08]]/SummaryTable[[#This Row],[OriginalBudget07]]</f>
        <v>#N/A</v>
      </c>
      <c r="EU175" s="61" t="e">
        <f>IF(COUNTIFS(allFYsTable[Code], SummaryTable[[#This Row],[Code]], allFYsTable[year2], ER$3)=0, NotFound, SUMIFS(allFYsTable[RevisedBudget], allFYsTable[Code], SummaryTable[[#This Row],[Code]], allFYsTable[year2], ER$3))</f>
        <v>#N/A</v>
      </c>
      <c r="EV175" s="61" t="e">
        <f>IF(COUNTIFS(allFYsTable[Code], SummaryTable[[#This Row],[Code]], allFYsTable[year2], ER$3)=0, NotFound, SUMIFS(allFYsTable[Actual], allFYsTable[Code], SummaryTable[[#This Row],[Code]], allFYsTable[year2], ER$3))</f>
        <v>#N/A</v>
      </c>
      <c r="EW175" s="61" t="e">
        <f>IF(COUNTIFS(allFYsTable[Code], SummaryTable[[#This Row],[Code]], allFYsTable[year2], ER$3)=0, NotFound, SUMIFS(allFYsTable[DiffAmount], allFYsTable[Code], SummaryTable[[#This Row],[Code]], allFYsTable[year2], ER$3))</f>
        <v>#N/A</v>
      </c>
      <c r="EX175" s="63" t="e">
        <f>IF(SummaryTable[[#This Row],[OriginalBudget08]]=0, IF(SummaryTable[[#This Row],[DiffAmount08]]=0, ZeroBudgetNoSpending, ZeroBudgetWithSpending), SummaryTable[[#This Row],[DiffAmount08]]/SummaryTable[[#This Row],[OriginalBudget08]])</f>
        <v>#N/A</v>
      </c>
      <c r="EY175" s="62" t="e">
        <f>IF(COUNTIFS(allFYsTable[Code], SummaryTable[[#This Row],[Code]], allFYsTable[year2], EY$3)=0, NotFound, SUMIFS(allFYsTable[OriginalBudget], allFYsTable[Code], SummaryTable[[#This Row],[Code]], allFYsTable[year2], EY$3))</f>
        <v>#N/A</v>
      </c>
      <c r="EZ175" s="61" t="e">
        <f>SummaryTable[[#This Row],[OriginalBudget07]]-SummaryTable[[#This Row],[OriginalBudget06]]</f>
        <v>#N/A</v>
      </c>
      <c r="FA175" s="54" t="e">
        <f>SummaryTable[[#This Row],[BudgetIncreaseAmount07]]/SummaryTable[[#This Row],[OriginalBudget06]]</f>
        <v>#N/A</v>
      </c>
      <c r="FB175" s="61" t="e">
        <f>IF(COUNTIFS(allFYsTable[Code], SummaryTable[[#This Row],[Code]], allFYsTable[year2], EY$3)=0, NotFound, SUMIFS(allFYsTable[RevisedBudget], allFYsTable[Code], SummaryTable[[#This Row],[Code]], allFYsTable[year2], EY$3))</f>
        <v>#N/A</v>
      </c>
      <c r="FC175" s="61" t="e">
        <f>IF(COUNTIFS(allFYsTable[Code], SummaryTable[[#This Row],[Code]], allFYsTable[year2], EY$3)=0, NotFound, SUMIFS(allFYsTable[Actual], allFYsTable[Code], SummaryTable[[#This Row],[Code]], allFYsTable[year2], EY$3))</f>
        <v>#N/A</v>
      </c>
      <c r="FD175" s="61" t="e">
        <f>IF(COUNTIFS(allFYsTable[Code], SummaryTable[[#This Row],[Code]], allFYsTable[year2], EY$3)=0, NotFound, SUMIFS(allFYsTable[DiffAmount], allFYsTable[Code], SummaryTable[[#This Row],[Code]], allFYsTable[year2], EY$3))</f>
        <v>#N/A</v>
      </c>
      <c r="FE175" s="63" t="e">
        <f>IF(SummaryTable[[#This Row],[OriginalBudget07]]=0, IF(SummaryTable[[#This Row],[DiffAmount07]]=0, ZeroBudgetNoSpending, ZeroBudgetWithSpending), SummaryTable[[#This Row],[DiffAmount07]]/SummaryTable[[#This Row],[OriginalBudget07]])</f>
        <v>#N/A</v>
      </c>
      <c r="FF175" s="62" t="e">
        <f>IF(COUNTIFS(allFYsTable[Code], SummaryTable[[#This Row],[Code]], allFYsTable[year2], FF$3)=0, NotFound, SUMIFS(allFYsTable[OriginalBudget], allFYsTable[Code], SummaryTable[[#This Row],[Code]], allFYsTable[year2], FF$3))</f>
        <v>#N/A</v>
      </c>
      <c r="FI175" s="61" t="e">
        <f>IF(COUNTIFS(allFYsTable[Code], SummaryTable[[#This Row],[Code]], allFYsTable[year2], FF$3)=0, NotFound, SUMIFS(allFYsTable[RevisedBudget], allFYsTable[Code], SummaryTable[[#This Row],[Code]], allFYsTable[year2], FF$3))</f>
        <v>#N/A</v>
      </c>
      <c r="FJ175" s="61" t="e">
        <f>IF(COUNTIFS(allFYsTable[Code], SummaryTable[[#This Row],[Code]], allFYsTable[year2], FF$3)=0, NotFound, SUMIFS(allFYsTable[Actual], allFYsTable[Code], SummaryTable[[#This Row],[Code]], allFYsTable[year2], FF$3))</f>
        <v>#N/A</v>
      </c>
      <c r="FK175" s="61" t="e">
        <f>IF(COUNTIFS(allFYsTable[Code], SummaryTable[[#This Row],[Code]], allFYsTable[year2], FF$3)=0, NotFound, SUMIFS(allFYsTable[DiffAmount], allFYsTable[Code], SummaryTable[[#This Row],[Code]], allFYsTable[year2], FF$3))</f>
        <v>#N/A</v>
      </c>
      <c r="FL175" s="63" t="e">
        <f>IF(SummaryTable[[#This Row],[OriginalBudget06]]=0, IF(SummaryTable[[#This Row],[DiffAmount06]]=0, ZeroBudgetNoSpending, ZeroBudgetWithSpending), SummaryTable[[#This Row],[DiffAmount06]]/SummaryTable[[#This Row],[OriginalBudget06]])</f>
        <v>#N/A</v>
      </c>
    </row>
    <row r="176" spans="1:168" x14ac:dyDescent="0.45">
      <c r="A176" t="s">
        <v>863</v>
      </c>
      <c r="B176">
        <f>_xlfn.MAXIFS(allFYsTable[year2], allFYsTable[Code], SummaryTable[[#This Row],[Code]])</f>
        <v>2009</v>
      </c>
      <c r="C176" t="str">
        <f>_xlfn.XLOOKUP(SummaryTable[[#This Row],[Code]], NameCodingTable[Code], NameCodingTable[Most Recent Category per allFYs])</f>
        <v>Economic development and regulation</v>
      </c>
      <c r="D176" t="str">
        <f>_xlfn.XLOOKUP(SummaryTable[[#This Row],[Code]], NameCodingTable[Code], NameCodingTable[Unit Display Name])</f>
        <v>DC sports commission subsidy</v>
      </c>
      <c r="E176" t="str">
        <f>_xlfn.XLOOKUP(SummaryTable[[#This Row],[Code]], NameCodingTable[Code], NameCodingTable[Type])</f>
        <v>untyped</v>
      </c>
      <c r="F17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7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76" s="54">
        <f>SummaryTable[[#This Row],['# Over]]/SummaryTable[[#This Row],[Count]]</f>
        <v>0</v>
      </c>
      <c r="I17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76" s="54">
        <f>SummaryTable[[#This Row],['# Under]]/SummaryTable[[#This Row],[Count]]</f>
        <v>0</v>
      </c>
      <c r="K17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76" s="54">
        <f>SummaryTable[[#This Row],['# Equal]]/SummaryTable[[#This Row],[Count]]</f>
        <v>1</v>
      </c>
      <c r="M176" s="61">
        <f>SUMIFS(allFYsTable[OriginalBudget],allFYsTable[Code],SummaryTable[[#This Row],[Code]])/SummaryTable[[#This Row],[Count]]</f>
        <v>2500</v>
      </c>
      <c r="N176" s="61">
        <f>SUMIFS(allFYsTable[Actual],allFYsTable[Code],SummaryTable[[#This Row],[Code]])/SummaryTable[[#This Row],[Count]]</f>
        <v>2500</v>
      </c>
      <c r="O176" s="61">
        <f>SummaryTable[[#This Row],[AvgActAmt]]-SummaryTable[[#This Row],[AvgBudAmt]]</f>
        <v>0</v>
      </c>
      <c r="P176" s="54">
        <f>IF(SummaryTable[[#This Row],[AvgBudAmt]]=0, IF(SummaryTable[[#This Row],[AvgDiff'#]]=0, 0, NamedFields!$C$3), SummaryTable[[#This Row],[AvgDiff'#]]/SummaryTable[[#This Row],[AvgBudAmt]])</f>
        <v>0</v>
      </c>
      <c r="Q176" s="61">
        <f>IFERROR(SUMIFS(allFYsTable[OriginalBudget],allFYsTable[Code],SummaryTable[[#This Row],[Code]],allFYsTable[DiffAmount], "&gt;0")/SummaryTable[[#This Row],['# Over]], 0)</f>
        <v>0</v>
      </c>
      <c r="R176" s="61">
        <f>IFERROR(SUMIFS(allFYsTable[Actual],allFYsTable[Code],SummaryTable[[#This Row],[Code]],allFYsTable[DiffAmount], "&gt;0")/SummaryTable[[#This Row],['# Over]], 0)</f>
        <v>0</v>
      </c>
      <c r="S176" s="61">
        <f>SummaryTable[[#This Row],[OverAvgAct]]-SummaryTable[[#This Row],[OverAvgBud]]</f>
        <v>0</v>
      </c>
      <c r="T176" s="54">
        <f>IF(SummaryTable[[#This Row],[OverAvgBud]]=0, IF(SummaryTable[[#This Row],[OverAvgDiff'#]]=0, ZeroBudgetNoSpending, ZeroBudgetWithSpending), SummaryTable[[#This Row],[OverAvgDiff'#]]/SummaryTable[[#This Row],[OverAvgBud]])</f>
        <v>0</v>
      </c>
      <c r="U176" s="61">
        <f>IFERROR(SUMIFS(allFYsTable[OriginalBudget],allFYsTable[Code],SummaryTable[[#This Row],[Code]],allFYsTable[DiffAmount], "&lt;0")/SummaryTable[[#This Row],['# Under]], 0)</f>
        <v>0</v>
      </c>
      <c r="V176" s="61">
        <f>IFERROR( SUMIFS(allFYsTable[Actual],allFYsTable[Code],SummaryTable[[#This Row],[Code]],allFYsTable[DiffAmount], "&lt;0")/SummaryTable[[#This Row],['# Under]], 0)</f>
        <v>0</v>
      </c>
      <c r="W176" s="61">
        <f>SummaryTable[[#This Row],[UnderAvgAct]]-SummaryTable[[#This Row],[UnderAvgBud]]</f>
        <v>0</v>
      </c>
      <c r="X176" s="54">
        <f>IF(SummaryTable[[#This Row],[UnderAvgBud]]=0, IF(SummaryTable[[#This Row],[UnderAvgDiff'#]]=0, ZeroBudgetNoSpending, NamedFields!$C$3), SummaryTable[[#This Row],[UnderAvgDiff'#]]/SummaryTable[[#This Row],[UnderAvgBud]])</f>
        <v>0</v>
      </c>
      <c r="Y17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7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6" s="54">
        <f>IF(SummaryTable[[#This Row],[IncreaseYears]]=0, ZeroBudgetNoSpending, SummaryTable[[#This Row],[OSinIncreaseYear'#]]/SummaryTable[[#This Row],[IncreaseYears]])</f>
        <v>0</v>
      </c>
      <c r="AB176" s="58" t="str">
        <f>SummaryTable[[#This Row],[Code]]</f>
        <v>SY0</v>
      </c>
      <c r="AC176" s="62" t="e">
        <f>IF(COUNTIFS(allFYsTable[Code], SummaryTable[[#This Row],[Code]], allFYsTable[year2], AC$3)=0, NotFound, SUMIFS(allFYsTable[OriginalBudget], allFYsTable[Code], SummaryTable[[#This Row],[Code]], allFYsTable[year2], AC$3))</f>
        <v>#N/A</v>
      </c>
      <c r="AD176" s="61" t="e">
        <f>SummaryTable[[#This Row],[OriginalBudget25]]-SummaryTable[[#This Row],[OriginalBudget24]]</f>
        <v>#N/A</v>
      </c>
      <c r="AE176" s="54" t="e">
        <f>SummaryTable[[#This Row],[BudgetIncreaseAmount25]]/SummaryTable[[#This Row],[OriginalBudget24]]</f>
        <v>#N/A</v>
      </c>
      <c r="AF176" s="61" t="e">
        <f>IF(COUNTIFS(allFYsTable[Code], SummaryTable[[#This Row],[Code]], allFYsTable[year2], AC$3)=0, NotFound, SUMIFS(allFYsTable[RevisedBudget], allFYsTable[Code], SummaryTable[[#This Row],[Code]], allFYsTable[year2], AC$3))</f>
        <v>#N/A</v>
      </c>
      <c r="AG176" s="61" t="e">
        <f>IF(COUNTIFS(allFYsTable[Code], SummaryTable[[#This Row],[Code]], allFYsTable[year2], AC$3)=0, NotFound, SUMIFS(allFYsTable[Actual], allFYsTable[Code], SummaryTable[[#This Row],[Code]], allFYsTable[year2], AC$3))</f>
        <v>#N/A</v>
      </c>
      <c r="AH176" s="61" t="e">
        <f>IF(COUNTIFS(allFYsTable[Code], SummaryTable[[#This Row],[Code]], allFYsTable[year2], AC$3)=0, NotFound, SUMIFS(allFYsTable[DiffAmount], allFYsTable[Code], SummaryTable[[#This Row],[Code]], allFYsTable[year2], AC$3))</f>
        <v>#N/A</v>
      </c>
      <c r="AI176" s="63" t="e">
        <f>IF(SummaryTable[[#This Row],[OriginalBudget25]]=0, IF(SummaryTable[[#This Row],[DiffAmount25]]=0, ZeroBudgetNoSpending, ZeroBudgetWithSpending), SummaryTable[[#This Row],[DiffAmount25]]/SummaryTable[[#This Row],[OriginalBudget25]])</f>
        <v>#N/A</v>
      </c>
      <c r="AJ176" s="62" t="e">
        <f>IF(COUNTIFS(allFYsTable[Code], SummaryTable[[#This Row],[Code]], allFYsTable[year2], AJ$3)=0, NotFound, SUMIFS(allFYsTable[OriginalBudget], allFYsTable[Code], SummaryTable[[#This Row],[Code]], allFYsTable[year2], AJ$3))</f>
        <v>#N/A</v>
      </c>
      <c r="AK176" s="61" t="e">
        <f>SummaryTable[[#This Row],[OriginalBudget24]]-SummaryTable[[#This Row],[OriginalBudget23]]</f>
        <v>#N/A</v>
      </c>
      <c r="AL176" s="54" t="e">
        <f>SummaryTable[[#This Row],[BudgetIncreaseAmount24]]/SummaryTable[[#This Row],[OriginalBudget23]]</f>
        <v>#N/A</v>
      </c>
      <c r="AM176" s="61" t="e">
        <f>IF(COUNTIFS(allFYsTable[Code], SummaryTable[[#This Row],[Code]], allFYsTable[year2], AK$3)=0, NotFound, SUMIFS(allFYsTable[RevisedBudget], allFYsTable[Code], SummaryTable[[#This Row],[Code]], allFYsTable[year2], AJ$3))</f>
        <v>#N/A</v>
      </c>
      <c r="AN176" s="61" t="e">
        <f>IF(COUNTIFS(allFYsTable[Code], SummaryTable[[#This Row],[Code]], allFYsTable[year2], AJ$3)=0, NotFound, SUMIFS(allFYsTable[Actual], allFYsTable[Code], SummaryTable[[#This Row],[Code]], allFYsTable[year2], AJ$3))</f>
        <v>#N/A</v>
      </c>
      <c r="AO176" s="61" t="e">
        <f>IF(COUNTIFS(allFYsTable[Code], SummaryTable[[#This Row],[Code]], allFYsTable[year2], AJ$3)=0, NotFound, SUMIFS(allFYsTable[DiffAmount], allFYsTable[Code], SummaryTable[[#This Row],[Code]], allFYsTable[year2], AJ$3))</f>
        <v>#N/A</v>
      </c>
      <c r="AP176" s="63" t="e">
        <f>IF(SummaryTable[[#This Row],[OriginalBudget24]]=0, IF(SummaryTable[[#This Row],[DiffAmount24]]=0, ZeroBudgetNoSpending, ZeroBudgetWithSpending), SummaryTable[[#This Row],[DiffAmount24]]/SummaryTable[[#This Row],[OriginalBudget24]])</f>
        <v>#N/A</v>
      </c>
      <c r="AQ176" s="62" t="e">
        <f>IF(COUNTIFS(allFYsTable[Code], SummaryTable[[#This Row],[Code]], allFYsTable[year2], AQ$3)=0, NotFound, SUMIFS(allFYsTable[OriginalBudget], allFYsTable[Code], SummaryTable[[#This Row],[Code]], allFYsTable[year2], AQ$3))</f>
        <v>#N/A</v>
      </c>
      <c r="AR176" s="61" t="e">
        <f>SummaryTable[[#This Row],[OriginalBudget23]]-SummaryTable[[#This Row],[OriginalBudget22]]</f>
        <v>#N/A</v>
      </c>
      <c r="AS176" s="54" t="e">
        <f>SummaryTable[[#This Row],[BudgetIncreaseAmount23]]/SummaryTable[[#This Row],[OriginalBudget22]]</f>
        <v>#N/A</v>
      </c>
      <c r="AT176" s="61" t="e">
        <f>IF(COUNTIFS(allFYsTable[Code], SummaryTable[[#This Row],[Code]], allFYsTable[year2], AQ$3)=0, NotFound, SUMIFS(allFYsTable[RevisedBudget], allFYsTable[Code], SummaryTable[[#This Row],[Code]], allFYsTable[year2], AQ$3))</f>
        <v>#N/A</v>
      </c>
      <c r="AU176" s="61" t="e">
        <f>IF(COUNTIFS(allFYsTable[Code], SummaryTable[[#This Row],[Code]], allFYsTable[year2], AQ$3)=0, NotFound, SUMIFS(allFYsTable[Actual], allFYsTable[Code], SummaryTable[[#This Row],[Code]], allFYsTable[year2], AQ$3))</f>
        <v>#N/A</v>
      </c>
      <c r="AV176" s="61" t="e">
        <f>IF(COUNTIFS(allFYsTable[Code], SummaryTable[[#This Row],[Code]], allFYsTable[year2], AQ$3)=0, NotFound, SUMIFS(allFYsTable[DiffAmount], allFYsTable[Code], SummaryTable[[#This Row],[Code]], allFYsTable[year2], AQ$3))</f>
        <v>#N/A</v>
      </c>
      <c r="AW176" s="63" t="e">
        <f>IF(SummaryTable[[#This Row],[OriginalBudget23]]=0, IF(SummaryTable[[#This Row],[DiffAmount23]]=0, ZeroBudgetNoSpending, ZeroBudgetWithSpending), SummaryTable[[#This Row],[DiffAmount23]]/SummaryTable[[#This Row],[OriginalBudget23]])</f>
        <v>#N/A</v>
      </c>
      <c r="AX176" s="62" t="e">
        <f>IF(COUNTIFS(allFYsTable[Code], SummaryTable[[#This Row],[Code]], allFYsTable[year2], AX$3)=0, NotFound, SUMIFS(allFYsTable[OriginalBudget], allFYsTable[Code], SummaryTable[[#This Row],[Code]], allFYsTable[year2], AX$3))</f>
        <v>#N/A</v>
      </c>
      <c r="AY176" s="61" t="e">
        <f>SummaryTable[[#This Row],[OriginalBudget22]]-SummaryTable[[#This Row],[OriginalBudget21]]</f>
        <v>#N/A</v>
      </c>
      <c r="AZ176" s="54" t="e">
        <f>SummaryTable[[#This Row],[BudgetIncreaseAmount22]]/SummaryTable[[#This Row],[OriginalBudget21]]</f>
        <v>#N/A</v>
      </c>
      <c r="BA176" s="61" t="e">
        <f>IF(COUNTIFS(allFYsTable[Code], SummaryTable[[#This Row],[Code]], allFYsTable[year2], AX$3)=0, NotFound, SUMIFS(allFYsTable[RevisedBudget], allFYsTable[Code], SummaryTable[[#This Row],[Code]], allFYsTable[year2], AX$3))</f>
        <v>#N/A</v>
      </c>
      <c r="BB176" s="61" t="e">
        <f>IF(COUNTIFS(allFYsTable[Code], SummaryTable[[#This Row],[Code]], allFYsTable[year2], AX$3)=0, NotFound, SUMIFS(allFYsTable[Actual], allFYsTable[Code], SummaryTable[[#This Row],[Code]], allFYsTable[year2], AX$3))</f>
        <v>#N/A</v>
      </c>
      <c r="BC176" s="61" t="e">
        <f>IF(COUNTIFS(allFYsTable[Code], SummaryTable[[#This Row],[Code]], allFYsTable[year2], AX$3)=0, NotFound, SUMIFS(allFYsTable[DiffAmount], allFYsTable[Code], SummaryTable[[#This Row],[Code]], allFYsTable[year2], AX$3))</f>
        <v>#N/A</v>
      </c>
      <c r="BD176" s="63" t="e">
        <f>IF(SummaryTable[[#This Row],[OriginalBudget22]]=0, IF(SummaryTable[[#This Row],[DiffAmount22]]=0, ZeroBudgetNoSpending, ZeroBudgetWithSpending), SummaryTable[[#This Row],[DiffAmount22]]/SummaryTable[[#This Row],[OriginalBudget22]])</f>
        <v>#N/A</v>
      </c>
      <c r="BE176" s="62" t="e">
        <f>IF(COUNTIFS(allFYsTable[Code], SummaryTable[[#This Row],[Code]], allFYsTable[year2], BE$3)=0, NotFound, SUMIFS(allFYsTable[OriginalBudget], allFYsTable[Code], SummaryTable[[#This Row],[Code]], allFYsTable[year2], BE$3))</f>
        <v>#N/A</v>
      </c>
      <c r="BF176" s="61" t="e">
        <f>SummaryTable[[#This Row],[OriginalBudget21]]-SummaryTable[[#This Row],[OriginalBudget20]]</f>
        <v>#N/A</v>
      </c>
      <c r="BG176" s="54" t="e">
        <f>SummaryTable[[#This Row],[BudgetIncreaseAmount21]]/SummaryTable[[#This Row],[OriginalBudget20]]</f>
        <v>#N/A</v>
      </c>
      <c r="BH176" s="61" t="e">
        <f>IF(COUNTIFS(allFYsTable[Code], SummaryTable[[#This Row],[Code]], allFYsTable[year2], BE$3)=0, NotFound, SUMIFS(allFYsTable[RevisedBudget], allFYsTable[Code], SummaryTable[[#This Row],[Code]], allFYsTable[year2], BE$3))</f>
        <v>#N/A</v>
      </c>
      <c r="BI176" s="61" t="e">
        <f>IF(COUNTIFS(allFYsTable[Code], SummaryTable[[#This Row],[Code]], allFYsTable[year2], BE$3)=0, NotFound, SUMIFS(allFYsTable[Actual], allFYsTable[Code], SummaryTable[[#This Row],[Code]], allFYsTable[year2], BE$3))</f>
        <v>#N/A</v>
      </c>
      <c r="BJ176" s="61" t="e">
        <f>IF(COUNTIFS(allFYsTable[Code], SummaryTable[[#This Row],[Code]], allFYsTable[year2], BE$3)=0, NotFound, SUMIFS(allFYsTable[DiffAmount], allFYsTable[Code], SummaryTable[[#This Row],[Code]], allFYsTable[year2], BE$3))</f>
        <v>#N/A</v>
      </c>
      <c r="BK176" s="63" t="e">
        <f>IF(SummaryTable[[#This Row],[OriginalBudget21]]=0, IF(SummaryTable[[#This Row],[DiffAmount21]]=0, ZeroBudgetNoSpending, ZeroBudgetWithSpending), SummaryTable[[#This Row],[DiffAmount21]]/SummaryTable[[#This Row],[OriginalBudget21]])</f>
        <v>#N/A</v>
      </c>
      <c r="BL176" s="62" t="e">
        <f>IF(COUNTIFS(allFYsTable[Code], SummaryTable[[#This Row],[Code]], allFYsTable[year2], BL$3)=0, NotFound, SUMIFS(allFYsTable[OriginalBudget], allFYsTable[Code], SummaryTable[[#This Row],[Code]], allFYsTable[year2], BL$3))</f>
        <v>#N/A</v>
      </c>
      <c r="BM176" s="61" t="e">
        <f>SummaryTable[[#This Row],[OriginalBudget20]]-SummaryTable[[#This Row],[OriginalBudget19]]</f>
        <v>#N/A</v>
      </c>
      <c r="BN176" s="54" t="e">
        <f>SummaryTable[[#This Row],[BudgetIncreaseAmount20]]/SummaryTable[[#This Row],[OriginalBudget19]]</f>
        <v>#N/A</v>
      </c>
      <c r="BO176" s="61" t="e">
        <f>IF(COUNTIFS(allFYsTable[Code], SummaryTable[[#This Row],[Code]], allFYsTable[year2], BL$3)=0, NotFound, SUMIFS(allFYsTable[RevisedBudget], allFYsTable[Code], SummaryTable[[#This Row],[Code]], allFYsTable[year2], BL$3))</f>
        <v>#N/A</v>
      </c>
      <c r="BP176" s="61" t="e">
        <f>IF(COUNTIFS(allFYsTable[Code], SummaryTable[[#This Row],[Code]], allFYsTable[year2], BL$3)=0, NotFound, SUMIFS(allFYsTable[Actual], allFYsTable[Code], SummaryTable[[#This Row],[Code]], allFYsTable[year2], BL$3))</f>
        <v>#N/A</v>
      </c>
      <c r="BQ176" s="61" t="e">
        <f>IF(COUNTIFS(allFYsTable[Code], SummaryTable[[#This Row],[Code]], allFYsTable[year2], BL$3)=0, NotFound, SUMIFS(allFYsTable[DiffAmount], allFYsTable[Code], SummaryTable[[#This Row],[Code]], allFYsTable[year2], BL$3))</f>
        <v>#N/A</v>
      </c>
      <c r="BR176" s="63" t="e">
        <f>IF(SummaryTable[[#This Row],[OriginalBudget20]]=0, IF(SummaryTable[[#This Row],[DiffAmount20]]=0, ZeroBudgetNoSpending, ZeroBudgetWithSpending), SummaryTable[[#This Row],[DiffAmount20]]/SummaryTable[[#This Row],[OriginalBudget20]])</f>
        <v>#N/A</v>
      </c>
      <c r="BS176" s="62" t="e">
        <f>IF(COUNTIFS(allFYsTable[Code], SummaryTable[[#This Row],[Code]], allFYsTable[year2], BS$3)=0, NotFound, SUMIFS(allFYsTable[OriginalBudget], allFYsTable[Code], SummaryTable[[#This Row],[Code]], allFYsTable[year2], BS$3))</f>
        <v>#N/A</v>
      </c>
      <c r="BT176" s="61" t="e">
        <f>SummaryTable[[#This Row],[OriginalBudget19]]-SummaryTable[[#This Row],[OriginalBudget18]]</f>
        <v>#N/A</v>
      </c>
      <c r="BU176" s="54" t="e">
        <f>SummaryTable[[#This Row],[BudgetIncreaseAmount19]]/SummaryTable[[#This Row],[OriginalBudget18]]</f>
        <v>#N/A</v>
      </c>
      <c r="BV176" s="61" t="e">
        <f>IF(COUNTIFS(allFYsTable[Code], SummaryTable[[#This Row],[Code]], allFYsTable[year2], BS$3)=0, NotFound, SUMIFS(allFYsTable[RevisedBudget], allFYsTable[Code], SummaryTable[[#This Row],[Code]], allFYsTable[year2], BS$3))</f>
        <v>#N/A</v>
      </c>
      <c r="BW176" s="61" t="e">
        <f>IF(COUNTIFS(allFYsTable[Code], SummaryTable[[#This Row],[Code]], allFYsTable[year2], BS$3)=0, NotFound, SUMIFS(allFYsTable[Actual], allFYsTable[Code], SummaryTable[[#This Row],[Code]], allFYsTable[year2], BS$3))</f>
        <v>#N/A</v>
      </c>
      <c r="BX176" s="61" t="e">
        <f>IF(COUNTIFS(allFYsTable[Code], SummaryTable[[#This Row],[Code]], allFYsTable[year2], BS$3)=0, NotFound, SUMIFS(allFYsTable[DiffAmount], allFYsTable[Code], SummaryTable[[#This Row],[Code]], allFYsTable[year2], BS$3))</f>
        <v>#N/A</v>
      </c>
      <c r="BY176" s="63" t="e">
        <f>IF(SummaryTable[[#This Row],[OriginalBudget19]]=0, IF(SummaryTable[[#This Row],[DiffAmount19]]=0, ZeroBudgetNoSpending, ZeroBudgetWithSpending), SummaryTable[[#This Row],[DiffAmount19]]/SummaryTable[[#This Row],[OriginalBudget19]])</f>
        <v>#N/A</v>
      </c>
      <c r="BZ176" s="62" t="e">
        <f>IF(COUNTIFS(allFYsTable[Code], SummaryTable[[#This Row],[Code]], allFYsTable[year2], BZ$3)=0, NotFound, SUMIFS(allFYsTable[OriginalBudget], allFYsTable[Code], SummaryTable[[#This Row],[Code]], allFYsTable[year2], BZ$3))</f>
        <v>#N/A</v>
      </c>
      <c r="CA176" s="61" t="e">
        <f>SummaryTable[[#This Row],[OriginalBudget18]]-SummaryTable[[#This Row],[OriginalBudget17]]</f>
        <v>#N/A</v>
      </c>
      <c r="CB176" s="54" t="e">
        <f>SummaryTable[[#This Row],[BudgetIncreaseAmount18]]/SummaryTable[[#This Row],[OriginalBudget17]]</f>
        <v>#N/A</v>
      </c>
      <c r="CC176" s="61" t="e">
        <f>IF(COUNTIFS(allFYsTable[Code], SummaryTable[[#This Row],[Code]], allFYsTable[year2], BZ$3)=0, NotFound, SUMIFS(allFYsTable[RevisedBudget], allFYsTable[Code], SummaryTable[[#This Row],[Code]], allFYsTable[year2], BZ$3))</f>
        <v>#N/A</v>
      </c>
      <c r="CD176" s="61" t="e">
        <f>IF(COUNTIFS(allFYsTable[Code], SummaryTable[[#This Row],[Code]], allFYsTable[year2], BZ$3)=0, NotFound, SUMIFS(allFYsTable[Actual], allFYsTable[Code], SummaryTable[[#This Row],[Code]], allFYsTable[year2], BZ$3))</f>
        <v>#N/A</v>
      </c>
      <c r="CE176" s="61" t="e">
        <f>IF(COUNTIFS(allFYsTable[Code], SummaryTable[[#This Row],[Code]], allFYsTable[year2], BZ$3)=0, NotFound, SUMIFS(allFYsTable[DiffAmount], allFYsTable[Code], SummaryTable[[#This Row],[Code]], allFYsTable[year2], BZ$3))</f>
        <v>#N/A</v>
      </c>
      <c r="CF176" s="63" t="e">
        <f>IF(SummaryTable[[#This Row],[OriginalBudget18]]=0, IF(SummaryTable[[#This Row],[DiffAmount18]]=0, ZeroBudgetNoSpending, ZeroBudgetWithSpending), SummaryTable[[#This Row],[DiffAmount18]]/SummaryTable[[#This Row],[OriginalBudget18]])</f>
        <v>#N/A</v>
      </c>
      <c r="CG176" s="62" t="e">
        <f>IF(COUNTIFS(allFYsTable[Code], SummaryTable[[#This Row],[Code]], allFYsTable[year2], CG$3)=0, NotFound, SUMIFS(allFYsTable[OriginalBudget], allFYsTable[Code], SummaryTable[[#This Row],[Code]], allFYsTable[year2], CG$3))</f>
        <v>#N/A</v>
      </c>
      <c r="CH176" s="61" t="e">
        <f>SummaryTable[[#This Row],[OriginalBudget17]]-SummaryTable[[#This Row],[OriginalBudget16]]</f>
        <v>#N/A</v>
      </c>
      <c r="CI176" s="54" t="e">
        <f>SummaryTable[[#This Row],[BudgetIncreaseAmount17]]/SummaryTable[[#This Row],[OriginalBudget16]]</f>
        <v>#N/A</v>
      </c>
      <c r="CJ176" s="61" t="e">
        <f>IF(COUNTIFS(allFYsTable[Code], SummaryTable[[#This Row],[Code]], allFYsTable[year2], CG$3)=0, NotFound, SUMIFS(allFYsTable[RevisedBudget], allFYsTable[Code], SummaryTable[[#This Row],[Code]], allFYsTable[year2], CG$3))</f>
        <v>#N/A</v>
      </c>
      <c r="CK176" s="61" t="e">
        <f>IF(COUNTIFS(allFYsTable[Code], SummaryTable[[#This Row],[Code]], allFYsTable[year2], CG$3)=0, NotFound, SUMIFS(allFYsTable[Actual], allFYsTable[Code], SummaryTable[[#This Row],[Code]], allFYsTable[year2], CG$3))</f>
        <v>#N/A</v>
      </c>
      <c r="CL176" s="61" t="e">
        <f>IF(COUNTIFS(allFYsTable[Code], SummaryTable[[#This Row],[Code]], allFYsTable[year2], CG$3)=0, NotFound, SUMIFS(allFYsTable[DiffAmount], allFYsTable[Code], SummaryTable[[#This Row],[Code]], allFYsTable[year2], CG$3))</f>
        <v>#N/A</v>
      </c>
      <c r="CM176" s="63" t="e">
        <f>IF(SummaryTable[[#This Row],[OriginalBudget17]]=0, IF(SummaryTable[[#This Row],[DiffAmount17]]=0, ZeroBudgetNoSpending, ZeroBudgetWithSpending), SummaryTable[[#This Row],[DiffAmount17]]/SummaryTable[[#This Row],[OriginalBudget17]])</f>
        <v>#N/A</v>
      </c>
      <c r="CN176" s="62" t="e">
        <f>IF(COUNTIFS(allFYsTable[Code], SummaryTable[[#This Row],[Code]], allFYsTable[year2], CN$3)=0, NotFound, SUMIFS(allFYsTable[OriginalBudget], allFYsTable[Code], SummaryTable[[#This Row],[Code]], allFYsTable[year2], CN$3))</f>
        <v>#N/A</v>
      </c>
      <c r="CO176" s="61" t="e">
        <f>SummaryTable[[#This Row],[OriginalBudget16]]-SummaryTable[[#This Row],[OriginalBudget15]]</f>
        <v>#N/A</v>
      </c>
      <c r="CP176" s="54" t="e">
        <f>SummaryTable[[#This Row],[BudgetIncreaseAmount16]]/SummaryTable[[#This Row],[OriginalBudget15]]</f>
        <v>#N/A</v>
      </c>
      <c r="CQ176" s="61" t="e">
        <f>IF(COUNTIFS(allFYsTable[Code], SummaryTable[[#This Row],[Code]], allFYsTable[year2], CN$3)=0, NotFound, SUMIFS(allFYsTable[RevisedBudget], allFYsTable[Code], SummaryTable[[#This Row],[Code]], allFYsTable[year2], CN$3))</f>
        <v>#N/A</v>
      </c>
      <c r="CR176" s="61" t="e">
        <f>IF(COUNTIFS(allFYsTable[Code], SummaryTable[[#This Row],[Code]], allFYsTable[year2], CN$3)=0, NotFound, SUMIFS(allFYsTable[Actual], allFYsTable[Code], SummaryTable[[#This Row],[Code]], allFYsTable[year2], CN$3))</f>
        <v>#N/A</v>
      </c>
      <c r="CS176" s="61" t="e">
        <f>IF(COUNTIFS(allFYsTable[Code], SummaryTable[[#This Row],[Code]], allFYsTable[year2], CN$3)=0, NotFound, SUMIFS(allFYsTable[DiffAmount], allFYsTable[Code], SummaryTable[[#This Row],[Code]], allFYsTable[year2], CN$3))</f>
        <v>#N/A</v>
      </c>
      <c r="CT176" s="63" t="e">
        <f>IF(SummaryTable[[#This Row],[OriginalBudget16]]=0, IF(SummaryTable[[#This Row],[DiffAmount16]]=0, ZeroBudgetNoSpending, ZeroBudgetWithSpending), SummaryTable[[#This Row],[DiffAmount16]]/SummaryTable[[#This Row],[OriginalBudget16]])</f>
        <v>#N/A</v>
      </c>
      <c r="CU176" s="62" t="e">
        <f>IF(COUNTIFS(allFYsTable[Code], SummaryTable[[#This Row],[Code]], allFYsTable[year2], CU$3)=0, NotFound, SUMIFS(allFYsTable[OriginalBudget], allFYsTable[Code], SummaryTable[[#This Row],[Code]], allFYsTable[year2], CU$3))</f>
        <v>#N/A</v>
      </c>
      <c r="CV176" s="61" t="e">
        <f>SummaryTable[[#This Row],[OriginalBudget15]]-SummaryTable[[#This Row],[OriginalBudget14]]</f>
        <v>#N/A</v>
      </c>
      <c r="CW176" s="54" t="e">
        <f>SummaryTable[[#This Row],[BudgetIncreaseAmount15]]/SummaryTable[[#This Row],[OriginalBudget14]]</f>
        <v>#N/A</v>
      </c>
      <c r="CX176" s="61" t="e">
        <f>IF(COUNTIFS(allFYsTable[Code], SummaryTable[[#This Row],[Code]], allFYsTable[year2], CU$3)=0, NotFound, SUMIFS(allFYsTable[RevisedBudget], allFYsTable[Code], SummaryTable[[#This Row],[Code]], allFYsTable[year2], CU$3))</f>
        <v>#N/A</v>
      </c>
      <c r="CY176" s="61" t="e">
        <f>IF(COUNTIFS(allFYsTable[Code], SummaryTable[[#This Row],[Code]], allFYsTable[year2], CU$3)=0, NotFound, SUMIFS(allFYsTable[Actual], allFYsTable[Code], SummaryTable[[#This Row],[Code]], allFYsTable[year2], CU$3))</f>
        <v>#N/A</v>
      </c>
      <c r="CZ176" s="61" t="e">
        <f>IF(COUNTIFS(allFYsTable[Code], SummaryTable[[#This Row],[Code]], allFYsTable[year2], CU$3)=0, NotFound, SUMIFS(allFYsTable[DiffAmount], allFYsTable[Code], SummaryTable[[#This Row],[Code]], allFYsTable[year2], CU$3))</f>
        <v>#N/A</v>
      </c>
      <c r="DA176" s="63" t="e">
        <f>IF(SummaryTable[[#This Row],[OriginalBudget15]]=0, IF(SummaryTable[[#This Row],[DiffAmount15]]=0, ZeroBudgetNoSpending, ZeroBudgetWithSpending), SummaryTable[[#This Row],[DiffAmount15]]/SummaryTable[[#This Row],[OriginalBudget15]])</f>
        <v>#N/A</v>
      </c>
      <c r="DB176" s="62" t="e">
        <f>IF(COUNTIFS(allFYsTable[Code], SummaryTable[[#This Row],[Code]], allFYsTable[year2], DB$3)=0, NotFound, SUMIFS(allFYsTable[OriginalBudget], allFYsTable[Code], SummaryTable[[#This Row],[Code]], allFYsTable[year2], DB$3))</f>
        <v>#N/A</v>
      </c>
      <c r="DC176" s="61" t="e">
        <f>SummaryTable[[#This Row],[OriginalBudget14]]-SummaryTable[[#This Row],[OriginalBudget13]]</f>
        <v>#N/A</v>
      </c>
      <c r="DD176" s="54" t="e">
        <f>SummaryTable[[#This Row],[BudgetIncreaseAmount14]]/SummaryTable[[#This Row],[OriginalBudget13]]</f>
        <v>#N/A</v>
      </c>
      <c r="DE176" s="61" t="e">
        <f>IF(COUNTIFS(allFYsTable[Code], SummaryTable[[#This Row],[Code]], allFYsTable[year2], DB$3)=0, NotFound, SUMIFS(allFYsTable[RevisedBudget], allFYsTable[Code], SummaryTable[[#This Row],[Code]], allFYsTable[year2], DB$3))</f>
        <v>#N/A</v>
      </c>
      <c r="DF176" s="61" t="e">
        <f>IF(COUNTIFS(allFYsTable[Code], SummaryTable[[#This Row],[Code]], allFYsTable[year2], DB$3)=0, NotFound, SUMIFS(allFYsTable[Actual], allFYsTable[Code], SummaryTable[[#This Row],[Code]], allFYsTable[year2], DB$3))</f>
        <v>#N/A</v>
      </c>
      <c r="DG176" s="61" t="e">
        <f>IF(COUNTIFS(allFYsTable[Code], SummaryTable[[#This Row],[Code]], allFYsTable[year2], DB$3)=0, NotFound, SUMIFS(allFYsTable[DiffAmount], allFYsTable[Code], SummaryTable[[#This Row],[Code]], allFYsTable[year2], DB$3))</f>
        <v>#N/A</v>
      </c>
      <c r="DH176" s="63" t="e">
        <f>IF(SummaryTable[[#This Row],[OriginalBudget14]]=0, IF(SummaryTable[[#This Row],[DiffAmount14]]=0, ZeroBudgetNoSpending, ZeroBudgetWithSpending), SummaryTable[[#This Row],[DiffAmount14]]/SummaryTable[[#This Row],[OriginalBudget14]])</f>
        <v>#N/A</v>
      </c>
      <c r="DI176" s="62" t="e">
        <f>IF(COUNTIFS(allFYsTable[Code], SummaryTable[[#This Row],[Code]], allFYsTable[year2], DI$3)=0, NotFound, SUMIFS(allFYsTable[OriginalBudget], allFYsTable[Code], SummaryTable[[#This Row],[Code]], allFYsTable[year2], DI$3))</f>
        <v>#N/A</v>
      </c>
      <c r="DJ176" s="61" t="e">
        <f>SummaryTable[[#This Row],[OriginalBudget13]]-SummaryTable[[#This Row],[OriginalBudget12]]</f>
        <v>#N/A</v>
      </c>
      <c r="DK176" s="54" t="e">
        <f>SummaryTable[[#This Row],[BudgetIncreaseAmount13]]/SummaryTable[[#This Row],[OriginalBudget12]]</f>
        <v>#N/A</v>
      </c>
      <c r="DL176" s="61" t="e">
        <f>IF(COUNTIFS(allFYsTable[Code], SummaryTable[[#This Row],[Code]], allFYsTable[year2], DI$3)=0, NotFound, SUMIFS(allFYsTable[RevisedBudget], allFYsTable[Code], SummaryTable[[#This Row],[Code]], allFYsTable[year2], DI$3))</f>
        <v>#N/A</v>
      </c>
      <c r="DM176" s="61" t="e">
        <f>IF(COUNTIFS(allFYsTable[Code], SummaryTable[[#This Row],[Code]], allFYsTable[year2], DI$3)=0, NotFound, SUMIFS(allFYsTable[Actual], allFYsTable[Code], SummaryTable[[#This Row],[Code]], allFYsTable[year2], DI$3))</f>
        <v>#N/A</v>
      </c>
      <c r="DN176" s="61" t="e">
        <f>IF(COUNTIFS(allFYsTable[Code], SummaryTable[[#This Row],[Code]], allFYsTable[year2], DI$3)=0, NotFound, SUMIFS(allFYsTable[DiffAmount], allFYsTable[Code], SummaryTable[[#This Row],[Code]], allFYsTable[year2], DI$3))</f>
        <v>#N/A</v>
      </c>
      <c r="DO176" s="63" t="e">
        <f>IF(SummaryTable[[#This Row],[OriginalBudget13]]=0, IF(SummaryTable[[#This Row],[DiffAmount13]]=0, ZeroBudgetNoSpending, ZeroBudgetWithSpending), SummaryTable[[#This Row],[DiffAmount13]]/SummaryTable[[#This Row],[OriginalBudget13]])</f>
        <v>#N/A</v>
      </c>
      <c r="DP176" s="62" t="e">
        <f>IF(COUNTIFS(allFYsTable[Code], SummaryTable[[#This Row],[Code]], allFYsTable[year2], DP$3)=0, NotFound, SUMIFS(allFYsTable[OriginalBudget], allFYsTable[Code], SummaryTable[[#This Row],[Code]], allFYsTable[year2], DP$3))</f>
        <v>#N/A</v>
      </c>
      <c r="DQ176" s="61" t="e">
        <f>SummaryTable[[#This Row],[OriginalBudget12]]-SummaryTable[[#This Row],[OriginalBudget11]]</f>
        <v>#N/A</v>
      </c>
      <c r="DR176" s="54" t="e">
        <f>SummaryTable[[#This Row],[BudgetIncreaseAmount12]]/SummaryTable[[#This Row],[OriginalBudget11]]</f>
        <v>#N/A</v>
      </c>
      <c r="DS176" s="61" t="e">
        <f>IF(COUNTIFS(allFYsTable[Code], SummaryTable[[#This Row],[Code]], allFYsTable[year2], DP$3)=0, NotFound, SUMIFS(allFYsTable[RevisedBudget], allFYsTable[Code], SummaryTable[[#This Row],[Code]], allFYsTable[year2], DP$3))</f>
        <v>#N/A</v>
      </c>
      <c r="DT176" s="61" t="e">
        <f>IF(COUNTIFS(allFYsTable[Code], SummaryTable[[#This Row],[Code]], allFYsTable[year2], DP$3)=0, NotFound, SUMIFS(allFYsTable[Actual], allFYsTable[Code], SummaryTable[[#This Row],[Code]], allFYsTable[year2], DP$3))</f>
        <v>#N/A</v>
      </c>
      <c r="DU176" s="61" t="e">
        <f>IF(COUNTIFS(allFYsTable[Code], SummaryTable[[#This Row],[Code]], allFYsTable[year2], DP$3)=0, NotFound, SUMIFS(allFYsTable[DiffAmount], allFYsTable[Code], SummaryTable[[#This Row],[Code]], allFYsTable[year2], DP$3))</f>
        <v>#N/A</v>
      </c>
      <c r="DV176" s="63" t="e">
        <f>IF(SummaryTable[[#This Row],[OriginalBudget12]]=0, IF(SummaryTable[[#This Row],[DiffAmount12]]=0, ZeroBudgetNoSpending, ZeroBudgetWithSpending), SummaryTable[[#This Row],[DiffAmount12]]/SummaryTable[[#This Row],[OriginalBudget12]])</f>
        <v>#N/A</v>
      </c>
      <c r="DW176" s="62" t="e">
        <f>IF(COUNTIFS(allFYsTable[Code], SummaryTable[[#This Row],[Code]], allFYsTable[year2], DW$3)=0, NotFound, SUMIFS(allFYsTable[OriginalBudget], allFYsTable[Code], SummaryTable[[#This Row],[Code]], allFYsTable[year2], DW$3))</f>
        <v>#N/A</v>
      </c>
      <c r="DX176" s="61" t="e">
        <f>SummaryTable[[#This Row],[OriginalBudget11]]-SummaryTable[[#This Row],[OriginalBudget10]]</f>
        <v>#N/A</v>
      </c>
      <c r="DY176" s="54" t="e">
        <f>SummaryTable[[#This Row],[BudgetIncreaseAmount11]]/SummaryTable[[#This Row],[OriginalBudget10]]</f>
        <v>#N/A</v>
      </c>
      <c r="DZ176" s="61" t="e">
        <f>IF(COUNTIFS(allFYsTable[Code], SummaryTable[[#This Row],[Code]], allFYsTable[year2], DW$3)=0, NotFound, SUMIFS(allFYsTable[RevisedBudget], allFYsTable[Code], SummaryTable[[#This Row],[Code]], allFYsTable[year2], DW$3))</f>
        <v>#N/A</v>
      </c>
      <c r="EA176" s="61" t="e">
        <f>IF(COUNTIFS(allFYsTable[Code], SummaryTable[[#This Row],[Code]], allFYsTable[year2], DW$3)=0, NotFound, SUMIFS(allFYsTable[Actual], allFYsTable[Code], SummaryTable[[#This Row],[Code]], allFYsTable[year2], DW$3))</f>
        <v>#N/A</v>
      </c>
      <c r="EB176" s="61" t="e">
        <f>IF(COUNTIFS(allFYsTable[Code], SummaryTable[[#This Row],[Code]], allFYsTable[year2], DW$3)=0, NotFound, SUMIFS(allFYsTable[DiffAmount], allFYsTable[Code], SummaryTable[[#This Row],[Code]], allFYsTable[year2], DW$3))</f>
        <v>#N/A</v>
      </c>
      <c r="EC176" s="63" t="e">
        <f>IF(SummaryTable[[#This Row],[OriginalBudget11]]=0, IF(SummaryTable[[#This Row],[DiffAmount11]]=0, ZeroBudgetNoSpending, ZeroBudgetWithSpending), SummaryTable[[#This Row],[DiffAmount11]]/SummaryTable[[#This Row],[OriginalBudget11]])</f>
        <v>#N/A</v>
      </c>
      <c r="ED176" s="62" t="e">
        <f>IF(COUNTIFS(allFYsTable[Code], SummaryTable[[#This Row],[Code]], allFYsTable[year2], ED$3)=0, NotFound, SUMIFS(allFYsTable[OriginalBudget], allFYsTable[Code], SummaryTable[[#This Row],[Code]], allFYsTable[year2], ED$3))</f>
        <v>#N/A</v>
      </c>
      <c r="EE176" s="61" t="e">
        <f>SummaryTable[[#This Row],[OriginalBudget10]]-SummaryTable[[#This Row],[OriginalBudget09]]</f>
        <v>#N/A</v>
      </c>
      <c r="EF176" s="54" t="e">
        <f>SummaryTable[[#This Row],[BudgetIncreaseAmount10]]/SummaryTable[[#This Row],[OriginalBudget09]]</f>
        <v>#N/A</v>
      </c>
      <c r="EG176" s="61" t="e">
        <f>IF(COUNTIFS(allFYsTable[Code], SummaryTable[[#This Row],[Code]], allFYsTable[year2], ED$3)=0, NotFound, SUMIFS(allFYsTable[RevisedBudget], allFYsTable[Code], SummaryTable[[#This Row],[Code]], allFYsTable[year2], ED$3))</f>
        <v>#N/A</v>
      </c>
      <c r="EH176" s="61" t="e">
        <f>IF(COUNTIFS(allFYsTable[Code], SummaryTable[[#This Row],[Code]], allFYsTable[year2], ED$3)=0, NotFound, SUMIFS(allFYsTable[Actual], allFYsTable[Code], SummaryTable[[#This Row],[Code]], allFYsTable[year2], ED$3))</f>
        <v>#N/A</v>
      </c>
      <c r="EI176" s="61" t="e">
        <f>IF(COUNTIFS(allFYsTable[Code], SummaryTable[[#This Row],[Code]], allFYsTable[year2], ED$3)=0, NotFound, SUMIFS(allFYsTable[DiffAmount], allFYsTable[Code], SummaryTable[[#This Row],[Code]], allFYsTable[year2], ED$3))</f>
        <v>#N/A</v>
      </c>
      <c r="EJ176" s="63" t="e">
        <f>IF(SummaryTable[[#This Row],[OriginalBudget10]]=0, IF(SummaryTable[[#This Row],[DiffAmount10]]=0, ZeroBudgetNoSpending, ZeroBudgetWithSpending), SummaryTable[[#This Row],[DiffAmount10]]/SummaryTable[[#This Row],[OriginalBudget10]])</f>
        <v>#N/A</v>
      </c>
      <c r="EK176" s="62">
        <f>IF(COUNTIFS(allFYsTable[Code], SummaryTable[[#This Row],[Code]], allFYsTable[year2], EK$3)=0, NotFound, SUMIFS(allFYsTable[OriginalBudget], allFYsTable[Code], SummaryTable[[#This Row],[Code]], allFYsTable[year2], EK$3))</f>
        <v>2500</v>
      </c>
      <c r="EL176" s="61" t="e">
        <f>SummaryTable[[#This Row],[OriginalBudget09]]-SummaryTable[[#This Row],[OriginalBudget08]]</f>
        <v>#N/A</v>
      </c>
      <c r="EM176" s="54" t="e">
        <f>SummaryTable[[#This Row],[BudgetIncreaseAmount09]]/SummaryTable[[#This Row],[OriginalBudget08]]</f>
        <v>#N/A</v>
      </c>
      <c r="EN176" s="61">
        <f>IF(COUNTIFS(allFYsTable[Code], SummaryTable[[#This Row],[Code]], allFYsTable[year2], EK$3)=0, NotFound, SUMIFS(allFYsTable[RevisedBudget], allFYsTable[Code], SummaryTable[[#This Row],[Code]], allFYsTable[year2], EK$3))</f>
        <v>2500</v>
      </c>
      <c r="EO176" s="61">
        <f>IF(COUNTIFS(allFYsTable[Code], SummaryTable[[#This Row],[Code]], allFYsTable[year2], EK$3)=0, NotFound, SUMIFS(allFYsTable[Actual], allFYsTable[Code], SummaryTable[[#This Row],[Code]], allFYsTable[year2], EK$3))</f>
        <v>2500</v>
      </c>
      <c r="EP176" s="61">
        <f>IF(COUNTIFS(allFYsTable[Code], SummaryTable[[#This Row],[Code]], allFYsTable[year2], EK$3)=0, NotFound, SUMIFS(allFYsTable[DiffAmount], allFYsTable[Code], SummaryTable[[#This Row],[Code]], allFYsTable[year2], EK$3))</f>
        <v>0</v>
      </c>
      <c r="EQ176" s="63">
        <f>IF(SummaryTable[[#This Row],[OriginalBudget09]]=0, IF(SummaryTable[[#This Row],[DiffAmount09]]=0, ZeroBudgetNoSpending, ZeroBudgetWithSpending), SummaryTable[[#This Row],[DiffAmount09]]/SummaryTable[[#This Row],[OriginalBudget09]])</f>
        <v>0</v>
      </c>
      <c r="ER176" s="62" t="e">
        <f>IF(COUNTIFS(allFYsTable[Code], SummaryTable[[#This Row],[Code]], allFYsTable[year2], ER$3)=0, NotFound, SUMIFS(allFYsTable[OriginalBudget], allFYsTable[Code], SummaryTable[[#This Row],[Code]], allFYsTable[year2], ER$3))</f>
        <v>#N/A</v>
      </c>
      <c r="ES176" s="61" t="e">
        <f>SummaryTable[[#This Row],[OriginalBudget08]]-SummaryTable[[#This Row],[OriginalBudget07]]</f>
        <v>#N/A</v>
      </c>
      <c r="ET176" s="54" t="e">
        <f>SummaryTable[[#This Row],[BudgetIncreaseAmount08]]/SummaryTable[[#This Row],[OriginalBudget07]]</f>
        <v>#N/A</v>
      </c>
      <c r="EU176" s="61" t="e">
        <f>IF(COUNTIFS(allFYsTable[Code], SummaryTable[[#This Row],[Code]], allFYsTable[year2], ER$3)=0, NotFound, SUMIFS(allFYsTable[RevisedBudget], allFYsTable[Code], SummaryTable[[#This Row],[Code]], allFYsTable[year2], ER$3))</f>
        <v>#N/A</v>
      </c>
      <c r="EV176" s="61" t="e">
        <f>IF(COUNTIFS(allFYsTable[Code], SummaryTable[[#This Row],[Code]], allFYsTable[year2], ER$3)=0, NotFound, SUMIFS(allFYsTable[Actual], allFYsTable[Code], SummaryTable[[#This Row],[Code]], allFYsTable[year2], ER$3))</f>
        <v>#N/A</v>
      </c>
      <c r="EW176" s="61" t="e">
        <f>IF(COUNTIFS(allFYsTable[Code], SummaryTable[[#This Row],[Code]], allFYsTable[year2], ER$3)=0, NotFound, SUMIFS(allFYsTable[DiffAmount], allFYsTable[Code], SummaryTable[[#This Row],[Code]], allFYsTable[year2], ER$3))</f>
        <v>#N/A</v>
      </c>
      <c r="EX176" s="63" t="e">
        <f>IF(SummaryTable[[#This Row],[OriginalBudget08]]=0, IF(SummaryTable[[#This Row],[DiffAmount08]]=0, ZeroBudgetNoSpending, ZeroBudgetWithSpending), SummaryTable[[#This Row],[DiffAmount08]]/SummaryTable[[#This Row],[OriginalBudget08]])</f>
        <v>#N/A</v>
      </c>
      <c r="EY176" s="62" t="e">
        <f>IF(COUNTIFS(allFYsTable[Code], SummaryTable[[#This Row],[Code]], allFYsTable[year2], EY$3)=0, NotFound, SUMIFS(allFYsTable[OriginalBudget], allFYsTable[Code], SummaryTable[[#This Row],[Code]], allFYsTable[year2], EY$3))</f>
        <v>#N/A</v>
      </c>
      <c r="EZ176" s="61" t="e">
        <f>SummaryTable[[#This Row],[OriginalBudget07]]-SummaryTable[[#This Row],[OriginalBudget06]]</f>
        <v>#N/A</v>
      </c>
      <c r="FA176" s="54" t="e">
        <f>SummaryTable[[#This Row],[BudgetIncreaseAmount07]]/SummaryTable[[#This Row],[OriginalBudget06]]</f>
        <v>#N/A</v>
      </c>
      <c r="FB176" s="61" t="e">
        <f>IF(COUNTIFS(allFYsTable[Code], SummaryTable[[#This Row],[Code]], allFYsTable[year2], EY$3)=0, NotFound, SUMIFS(allFYsTable[RevisedBudget], allFYsTable[Code], SummaryTable[[#This Row],[Code]], allFYsTable[year2], EY$3))</f>
        <v>#N/A</v>
      </c>
      <c r="FC176" s="61" t="e">
        <f>IF(COUNTIFS(allFYsTable[Code], SummaryTable[[#This Row],[Code]], allFYsTable[year2], EY$3)=0, NotFound, SUMIFS(allFYsTable[Actual], allFYsTable[Code], SummaryTable[[#This Row],[Code]], allFYsTable[year2], EY$3))</f>
        <v>#N/A</v>
      </c>
      <c r="FD176" s="61" t="e">
        <f>IF(COUNTIFS(allFYsTable[Code], SummaryTable[[#This Row],[Code]], allFYsTable[year2], EY$3)=0, NotFound, SUMIFS(allFYsTable[DiffAmount], allFYsTable[Code], SummaryTable[[#This Row],[Code]], allFYsTable[year2], EY$3))</f>
        <v>#N/A</v>
      </c>
      <c r="FE176" s="63" t="e">
        <f>IF(SummaryTable[[#This Row],[OriginalBudget07]]=0, IF(SummaryTable[[#This Row],[DiffAmount07]]=0, ZeroBudgetNoSpending, ZeroBudgetWithSpending), SummaryTable[[#This Row],[DiffAmount07]]/SummaryTable[[#This Row],[OriginalBudget07]])</f>
        <v>#N/A</v>
      </c>
      <c r="FF176" s="62" t="e">
        <f>IF(COUNTIFS(allFYsTable[Code], SummaryTable[[#This Row],[Code]], allFYsTable[year2], FF$3)=0, NotFound, SUMIFS(allFYsTable[OriginalBudget], allFYsTable[Code], SummaryTable[[#This Row],[Code]], allFYsTable[year2], FF$3))</f>
        <v>#N/A</v>
      </c>
      <c r="FI176" s="61" t="e">
        <f>IF(COUNTIFS(allFYsTable[Code], SummaryTable[[#This Row],[Code]], allFYsTable[year2], FF$3)=0, NotFound, SUMIFS(allFYsTable[RevisedBudget], allFYsTable[Code], SummaryTable[[#This Row],[Code]], allFYsTable[year2], FF$3))</f>
        <v>#N/A</v>
      </c>
      <c r="FJ176" s="61" t="e">
        <f>IF(COUNTIFS(allFYsTable[Code], SummaryTable[[#This Row],[Code]], allFYsTable[year2], FF$3)=0, NotFound, SUMIFS(allFYsTable[Actual], allFYsTable[Code], SummaryTable[[#This Row],[Code]], allFYsTable[year2], FF$3))</f>
        <v>#N/A</v>
      </c>
      <c r="FK176" s="61" t="e">
        <f>IF(COUNTIFS(allFYsTable[Code], SummaryTable[[#This Row],[Code]], allFYsTable[year2], FF$3)=0, NotFound, SUMIFS(allFYsTable[DiffAmount], allFYsTable[Code], SummaryTable[[#This Row],[Code]], allFYsTable[year2], FF$3))</f>
        <v>#N/A</v>
      </c>
      <c r="FL176" s="63" t="e">
        <f>IF(SummaryTable[[#This Row],[OriginalBudget06]]=0, IF(SummaryTable[[#This Row],[DiffAmount06]]=0, ZeroBudgetNoSpending, ZeroBudgetWithSpending), SummaryTable[[#This Row],[DiffAmount06]]/SummaryTable[[#This Row],[OriginalBudget06]])</f>
        <v>#N/A</v>
      </c>
    </row>
    <row r="177" spans="1:168" x14ac:dyDescent="0.45">
      <c r="A177" t="s">
        <v>883</v>
      </c>
      <c r="B177">
        <f>_xlfn.MAXIFS(allFYsTable[year2], allFYsTable[Code], SummaryTable[[#This Row],[Code]])</f>
        <v>2008</v>
      </c>
      <c r="C177" t="str">
        <f>_xlfn.XLOOKUP(SummaryTable[[#This Row],[Code]], NameCodingTable[Code], NameCodingTable[Most Recent Category per allFYs])</f>
        <v>Public education system</v>
      </c>
      <c r="D177" t="str">
        <f>_xlfn.XLOOKUP(SummaryTable[[#This Row],[Code]], NameCodingTable[Code], NameCodingTable[Unit Display Name])</f>
        <v>Public schools medicaid write off</v>
      </c>
      <c r="E177" t="str">
        <f>_xlfn.XLOOKUP(SummaryTable[[#This Row],[Code]], NameCodingTable[Code], NameCodingTable[Type])</f>
        <v>untyped</v>
      </c>
      <c r="F17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7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77" s="54">
        <f>SummaryTable[[#This Row],['# Over]]/SummaryTable[[#This Row],[Count]]</f>
        <v>1</v>
      </c>
      <c r="I17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77" s="54">
        <f>SummaryTable[[#This Row],['# Under]]/SummaryTable[[#This Row],[Count]]</f>
        <v>0</v>
      </c>
      <c r="K17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77" s="54">
        <f>SummaryTable[[#This Row],['# Equal]]/SummaryTable[[#This Row],[Count]]</f>
        <v>0</v>
      </c>
      <c r="M177" s="61">
        <f>SUMIFS(allFYsTable[OriginalBudget],allFYsTable[Code],SummaryTable[[#This Row],[Code]])/SummaryTable[[#This Row],[Count]]</f>
        <v>0</v>
      </c>
      <c r="N177" s="61">
        <f>SUMIFS(allFYsTable[Actual],allFYsTable[Code],SummaryTable[[#This Row],[Code]])/SummaryTable[[#This Row],[Count]]</f>
        <v>26601</v>
      </c>
      <c r="O177" s="61">
        <f>SummaryTable[[#This Row],[AvgActAmt]]-SummaryTable[[#This Row],[AvgBudAmt]]</f>
        <v>26601</v>
      </c>
      <c r="P177" s="54">
        <f>IF(SummaryTable[[#This Row],[AvgBudAmt]]=0, IF(SummaryTable[[#This Row],[AvgDiff'#]]=0, 0, NamedFields!$C$3), SummaryTable[[#This Row],[AvgDiff'#]]/SummaryTable[[#This Row],[AvgBudAmt]])</f>
        <v>99.99</v>
      </c>
      <c r="Q177" s="61">
        <f>IFERROR(SUMIFS(allFYsTable[OriginalBudget],allFYsTable[Code],SummaryTable[[#This Row],[Code]],allFYsTable[DiffAmount], "&gt;0")/SummaryTable[[#This Row],['# Over]], 0)</f>
        <v>0</v>
      </c>
      <c r="R177" s="61">
        <f>IFERROR(SUMIFS(allFYsTable[Actual],allFYsTable[Code],SummaryTable[[#This Row],[Code]],allFYsTable[DiffAmount], "&gt;0")/SummaryTable[[#This Row],['# Over]], 0)</f>
        <v>26601</v>
      </c>
      <c r="S177" s="61">
        <f>SummaryTable[[#This Row],[OverAvgAct]]-SummaryTable[[#This Row],[OverAvgBud]]</f>
        <v>26601</v>
      </c>
      <c r="T177" s="54">
        <f>IF(SummaryTable[[#This Row],[OverAvgBud]]=0, IF(SummaryTable[[#This Row],[OverAvgDiff'#]]=0, ZeroBudgetNoSpending, ZeroBudgetWithSpending), SummaryTable[[#This Row],[OverAvgDiff'#]]/SummaryTable[[#This Row],[OverAvgBud]])</f>
        <v>99.99</v>
      </c>
      <c r="U177" s="61">
        <f>IFERROR(SUMIFS(allFYsTable[OriginalBudget],allFYsTable[Code],SummaryTable[[#This Row],[Code]],allFYsTable[DiffAmount], "&lt;0")/SummaryTable[[#This Row],['# Under]], 0)</f>
        <v>0</v>
      </c>
      <c r="V177" s="61">
        <f>IFERROR( SUMIFS(allFYsTable[Actual],allFYsTable[Code],SummaryTable[[#This Row],[Code]],allFYsTable[DiffAmount], "&lt;0")/SummaryTable[[#This Row],['# Under]], 0)</f>
        <v>0</v>
      </c>
      <c r="W177" s="61">
        <f>SummaryTable[[#This Row],[UnderAvgAct]]-SummaryTable[[#This Row],[UnderAvgBud]]</f>
        <v>0</v>
      </c>
      <c r="X177" s="54">
        <f>IF(SummaryTable[[#This Row],[UnderAvgBud]]=0, IF(SummaryTable[[#This Row],[UnderAvgDiff'#]]=0, ZeroBudgetNoSpending, NamedFields!$C$3), SummaryTable[[#This Row],[UnderAvgDiff'#]]/SummaryTable[[#This Row],[UnderAvgBud]])</f>
        <v>0</v>
      </c>
      <c r="Y17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7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7" s="54">
        <f>IF(SummaryTable[[#This Row],[IncreaseYears]]=0, ZeroBudgetNoSpending, SummaryTable[[#This Row],[OSinIncreaseYear'#]]/SummaryTable[[#This Row],[IncreaseYears]])</f>
        <v>0</v>
      </c>
      <c r="AB177" s="58" t="str">
        <f>SummaryTable[[#This Row],[Code]]</f>
        <v>XPM</v>
      </c>
      <c r="AC177" s="62" t="e">
        <f>IF(COUNTIFS(allFYsTable[Code], SummaryTable[[#This Row],[Code]], allFYsTable[year2], AC$3)=0, NotFound, SUMIFS(allFYsTable[OriginalBudget], allFYsTable[Code], SummaryTable[[#This Row],[Code]], allFYsTable[year2], AC$3))</f>
        <v>#N/A</v>
      </c>
      <c r="AD177" s="61" t="e">
        <f>SummaryTable[[#This Row],[OriginalBudget25]]-SummaryTable[[#This Row],[OriginalBudget24]]</f>
        <v>#N/A</v>
      </c>
      <c r="AE177" s="54" t="e">
        <f>SummaryTable[[#This Row],[BudgetIncreaseAmount25]]/SummaryTable[[#This Row],[OriginalBudget24]]</f>
        <v>#N/A</v>
      </c>
      <c r="AF177" s="61" t="e">
        <f>IF(COUNTIFS(allFYsTable[Code], SummaryTable[[#This Row],[Code]], allFYsTable[year2], AC$3)=0, NotFound, SUMIFS(allFYsTable[RevisedBudget], allFYsTable[Code], SummaryTable[[#This Row],[Code]], allFYsTable[year2], AC$3))</f>
        <v>#N/A</v>
      </c>
      <c r="AG177" s="61" t="e">
        <f>IF(COUNTIFS(allFYsTable[Code], SummaryTable[[#This Row],[Code]], allFYsTable[year2], AC$3)=0, NotFound, SUMIFS(allFYsTable[Actual], allFYsTable[Code], SummaryTable[[#This Row],[Code]], allFYsTable[year2], AC$3))</f>
        <v>#N/A</v>
      </c>
      <c r="AH177" s="61" t="e">
        <f>IF(COUNTIFS(allFYsTable[Code], SummaryTable[[#This Row],[Code]], allFYsTable[year2], AC$3)=0, NotFound, SUMIFS(allFYsTable[DiffAmount], allFYsTable[Code], SummaryTable[[#This Row],[Code]], allFYsTable[year2], AC$3))</f>
        <v>#N/A</v>
      </c>
      <c r="AI177" s="63" t="e">
        <f>IF(SummaryTable[[#This Row],[OriginalBudget25]]=0, IF(SummaryTable[[#This Row],[DiffAmount25]]=0, ZeroBudgetNoSpending, ZeroBudgetWithSpending), SummaryTable[[#This Row],[DiffAmount25]]/SummaryTable[[#This Row],[OriginalBudget25]])</f>
        <v>#N/A</v>
      </c>
      <c r="AJ177" s="62" t="e">
        <f>IF(COUNTIFS(allFYsTable[Code], SummaryTable[[#This Row],[Code]], allFYsTable[year2], AJ$3)=0, NotFound, SUMIFS(allFYsTable[OriginalBudget], allFYsTable[Code], SummaryTable[[#This Row],[Code]], allFYsTable[year2], AJ$3))</f>
        <v>#N/A</v>
      </c>
      <c r="AK177" s="61" t="e">
        <f>SummaryTable[[#This Row],[OriginalBudget24]]-SummaryTable[[#This Row],[OriginalBudget23]]</f>
        <v>#N/A</v>
      </c>
      <c r="AL177" s="54" t="e">
        <f>SummaryTable[[#This Row],[BudgetIncreaseAmount24]]/SummaryTable[[#This Row],[OriginalBudget23]]</f>
        <v>#N/A</v>
      </c>
      <c r="AM177" s="61" t="e">
        <f>IF(COUNTIFS(allFYsTable[Code], SummaryTable[[#This Row],[Code]], allFYsTable[year2], AK$3)=0, NotFound, SUMIFS(allFYsTable[RevisedBudget], allFYsTable[Code], SummaryTable[[#This Row],[Code]], allFYsTable[year2], AJ$3))</f>
        <v>#N/A</v>
      </c>
      <c r="AN177" s="61" t="e">
        <f>IF(COUNTIFS(allFYsTable[Code], SummaryTable[[#This Row],[Code]], allFYsTable[year2], AJ$3)=0, NotFound, SUMIFS(allFYsTable[Actual], allFYsTable[Code], SummaryTable[[#This Row],[Code]], allFYsTable[year2], AJ$3))</f>
        <v>#N/A</v>
      </c>
      <c r="AO177" s="61" t="e">
        <f>IF(COUNTIFS(allFYsTable[Code], SummaryTable[[#This Row],[Code]], allFYsTable[year2], AJ$3)=0, NotFound, SUMIFS(allFYsTable[DiffAmount], allFYsTable[Code], SummaryTable[[#This Row],[Code]], allFYsTable[year2], AJ$3))</f>
        <v>#N/A</v>
      </c>
      <c r="AP177" s="63" t="e">
        <f>IF(SummaryTable[[#This Row],[OriginalBudget24]]=0, IF(SummaryTable[[#This Row],[DiffAmount24]]=0, ZeroBudgetNoSpending, ZeroBudgetWithSpending), SummaryTable[[#This Row],[DiffAmount24]]/SummaryTable[[#This Row],[OriginalBudget24]])</f>
        <v>#N/A</v>
      </c>
      <c r="AQ177" s="62" t="e">
        <f>IF(COUNTIFS(allFYsTable[Code], SummaryTable[[#This Row],[Code]], allFYsTable[year2], AQ$3)=0, NotFound, SUMIFS(allFYsTable[OriginalBudget], allFYsTable[Code], SummaryTable[[#This Row],[Code]], allFYsTable[year2], AQ$3))</f>
        <v>#N/A</v>
      </c>
      <c r="AR177" s="61" t="e">
        <f>SummaryTable[[#This Row],[OriginalBudget23]]-SummaryTable[[#This Row],[OriginalBudget22]]</f>
        <v>#N/A</v>
      </c>
      <c r="AS177" s="54" t="e">
        <f>SummaryTable[[#This Row],[BudgetIncreaseAmount23]]/SummaryTable[[#This Row],[OriginalBudget22]]</f>
        <v>#N/A</v>
      </c>
      <c r="AT177" s="61" t="e">
        <f>IF(COUNTIFS(allFYsTable[Code], SummaryTable[[#This Row],[Code]], allFYsTable[year2], AQ$3)=0, NotFound, SUMIFS(allFYsTable[RevisedBudget], allFYsTable[Code], SummaryTable[[#This Row],[Code]], allFYsTable[year2], AQ$3))</f>
        <v>#N/A</v>
      </c>
      <c r="AU177" s="61" t="e">
        <f>IF(COUNTIFS(allFYsTable[Code], SummaryTable[[#This Row],[Code]], allFYsTable[year2], AQ$3)=0, NotFound, SUMIFS(allFYsTable[Actual], allFYsTable[Code], SummaryTable[[#This Row],[Code]], allFYsTable[year2], AQ$3))</f>
        <v>#N/A</v>
      </c>
      <c r="AV177" s="61" t="e">
        <f>IF(COUNTIFS(allFYsTable[Code], SummaryTable[[#This Row],[Code]], allFYsTable[year2], AQ$3)=0, NotFound, SUMIFS(allFYsTable[DiffAmount], allFYsTable[Code], SummaryTable[[#This Row],[Code]], allFYsTable[year2], AQ$3))</f>
        <v>#N/A</v>
      </c>
      <c r="AW177" s="63" t="e">
        <f>IF(SummaryTable[[#This Row],[OriginalBudget23]]=0, IF(SummaryTable[[#This Row],[DiffAmount23]]=0, ZeroBudgetNoSpending, ZeroBudgetWithSpending), SummaryTable[[#This Row],[DiffAmount23]]/SummaryTable[[#This Row],[OriginalBudget23]])</f>
        <v>#N/A</v>
      </c>
      <c r="AX177" s="62" t="e">
        <f>IF(COUNTIFS(allFYsTable[Code], SummaryTable[[#This Row],[Code]], allFYsTable[year2], AX$3)=0, NotFound, SUMIFS(allFYsTable[OriginalBudget], allFYsTable[Code], SummaryTable[[#This Row],[Code]], allFYsTable[year2], AX$3))</f>
        <v>#N/A</v>
      </c>
      <c r="AY177" s="61" t="e">
        <f>SummaryTable[[#This Row],[OriginalBudget22]]-SummaryTable[[#This Row],[OriginalBudget21]]</f>
        <v>#N/A</v>
      </c>
      <c r="AZ177" s="54" t="e">
        <f>SummaryTable[[#This Row],[BudgetIncreaseAmount22]]/SummaryTable[[#This Row],[OriginalBudget21]]</f>
        <v>#N/A</v>
      </c>
      <c r="BA177" s="61" t="e">
        <f>IF(COUNTIFS(allFYsTable[Code], SummaryTable[[#This Row],[Code]], allFYsTable[year2], AX$3)=0, NotFound, SUMIFS(allFYsTable[RevisedBudget], allFYsTable[Code], SummaryTable[[#This Row],[Code]], allFYsTable[year2], AX$3))</f>
        <v>#N/A</v>
      </c>
      <c r="BB177" s="61" t="e">
        <f>IF(COUNTIFS(allFYsTable[Code], SummaryTable[[#This Row],[Code]], allFYsTable[year2], AX$3)=0, NotFound, SUMIFS(allFYsTable[Actual], allFYsTable[Code], SummaryTable[[#This Row],[Code]], allFYsTable[year2], AX$3))</f>
        <v>#N/A</v>
      </c>
      <c r="BC177" s="61" t="e">
        <f>IF(COUNTIFS(allFYsTable[Code], SummaryTable[[#This Row],[Code]], allFYsTable[year2], AX$3)=0, NotFound, SUMIFS(allFYsTable[DiffAmount], allFYsTable[Code], SummaryTable[[#This Row],[Code]], allFYsTable[year2], AX$3))</f>
        <v>#N/A</v>
      </c>
      <c r="BD177" s="63" t="e">
        <f>IF(SummaryTable[[#This Row],[OriginalBudget22]]=0, IF(SummaryTable[[#This Row],[DiffAmount22]]=0, ZeroBudgetNoSpending, ZeroBudgetWithSpending), SummaryTable[[#This Row],[DiffAmount22]]/SummaryTable[[#This Row],[OriginalBudget22]])</f>
        <v>#N/A</v>
      </c>
      <c r="BE177" s="62" t="e">
        <f>IF(COUNTIFS(allFYsTable[Code], SummaryTable[[#This Row],[Code]], allFYsTable[year2], BE$3)=0, NotFound, SUMIFS(allFYsTable[OriginalBudget], allFYsTable[Code], SummaryTable[[#This Row],[Code]], allFYsTable[year2], BE$3))</f>
        <v>#N/A</v>
      </c>
      <c r="BF177" s="61" t="e">
        <f>SummaryTable[[#This Row],[OriginalBudget21]]-SummaryTable[[#This Row],[OriginalBudget20]]</f>
        <v>#N/A</v>
      </c>
      <c r="BG177" s="54" t="e">
        <f>SummaryTable[[#This Row],[BudgetIncreaseAmount21]]/SummaryTable[[#This Row],[OriginalBudget20]]</f>
        <v>#N/A</v>
      </c>
      <c r="BH177" s="61" t="e">
        <f>IF(COUNTIFS(allFYsTable[Code], SummaryTable[[#This Row],[Code]], allFYsTable[year2], BE$3)=0, NotFound, SUMIFS(allFYsTable[RevisedBudget], allFYsTable[Code], SummaryTable[[#This Row],[Code]], allFYsTable[year2], BE$3))</f>
        <v>#N/A</v>
      </c>
      <c r="BI177" s="61" t="e">
        <f>IF(COUNTIFS(allFYsTable[Code], SummaryTable[[#This Row],[Code]], allFYsTable[year2], BE$3)=0, NotFound, SUMIFS(allFYsTable[Actual], allFYsTable[Code], SummaryTable[[#This Row],[Code]], allFYsTable[year2], BE$3))</f>
        <v>#N/A</v>
      </c>
      <c r="BJ177" s="61" t="e">
        <f>IF(COUNTIFS(allFYsTable[Code], SummaryTable[[#This Row],[Code]], allFYsTable[year2], BE$3)=0, NotFound, SUMIFS(allFYsTable[DiffAmount], allFYsTable[Code], SummaryTable[[#This Row],[Code]], allFYsTable[year2], BE$3))</f>
        <v>#N/A</v>
      </c>
      <c r="BK177" s="63" t="e">
        <f>IF(SummaryTable[[#This Row],[OriginalBudget21]]=0, IF(SummaryTable[[#This Row],[DiffAmount21]]=0, ZeroBudgetNoSpending, ZeroBudgetWithSpending), SummaryTable[[#This Row],[DiffAmount21]]/SummaryTable[[#This Row],[OriginalBudget21]])</f>
        <v>#N/A</v>
      </c>
      <c r="BL177" s="62" t="e">
        <f>IF(COUNTIFS(allFYsTable[Code], SummaryTable[[#This Row],[Code]], allFYsTable[year2], BL$3)=0, NotFound, SUMIFS(allFYsTable[OriginalBudget], allFYsTable[Code], SummaryTable[[#This Row],[Code]], allFYsTable[year2], BL$3))</f>
        <v>#N/A</v>
      </c>
      <c r="BM177" s="61" t="e">
        <f>SummaryTable[[#This Row],[OriginalBudget20]]-SummaryTable[[#This Row],[OriginalBudget19]]</f>
        <v>#N/A</v>
      </c>
      <c r="BN177" s="54" t="e">
        <f>SummaryTable[[#This Row],[BudgetIncreaseAmount20]]/SummaryTable[[#This Row],[OriginalBudget19]]</f>
        <v>#N/A</v>
      </c>
      <c r="BO177" s="61" t="e">
        <f>IF(COUNTIFS(allFYsTable[Code], SummaryTable[[#This Row],[Code]], allFYsTable[year2], BL$3)=0, NotFound, SUMIFS(allFYsTable[RevisedBudget], allFYsTable[Code], SummaryTable[[#This Row],[Code]], allFYsTable[year2], BL$3))</f>
        <v>#N/A</v>
      </c>
      <c r="BP177" s="61" t="e">
        <f>IF(COUNTIFS(allFYsTable[Code], SummaryTable[[#This Row],[Code]], allFYsTable[year2], BL$3)=0, NotFound, SUMIFS(allFYsTable[Actual], allFYsTable[Code], SummaryTable[[#This Row],[Code]], allFYsTable[year2], BL$3))</f>
        <v>#N/A</v>
      </c>
      <c r="BQ177" s="61" t="e">
        <f>IF(COUNTIFS(allFYsTable[Code], SummaryTable[[#This Row],[Code]], allFYsTable[year2], BL$3)=0, NotFound, SUMIFS(allFYsTable[DiffAmount], allFYsTable[Code], SummaryTable[[#This Row],[Code]], allFYsTable[year2], BL$3))</f>
        <v>#N/A</v>
      </c>
      <c r="BR177" s="63" t="e">
        <f>IF(SummaryTable[[#This Row],[OriginalBudget20]]=0, IF(SummaryTable[[#This Row],[DiffAmount20]]=0, ZeroBudgetNoSpending, ZeroBudgetWithSpending), SummaryTable[[#This Row],[DiffAmount20]]/SummaryTable[[#This Row],[OriginalBudget20]])</f>
        <v>#N/A</v>
      </c>
      <c r="BS177" s="62" t="e">
        <f>IF(COUNTIFS(allFYsTable[Code], SummaryTable[[#This Row],[Code]], allFYsTable[year2], BS$3)=0, NotFound, SUMIFS(allFYsTable[OriginalBudget], allFYsTable[Code], SummaryTable[[#This Row],[Code]], allFYsTable[year2], BS$3))</f>
        <v>#N/A</v>
      </c>
      <c r="BT177" s="61" t="e">
        <f>SummaryTable[[#This Row],[OriginalBudget19]]-SummaryTable[[#This Row],[OriginalBudget18]]</f>
        <v>#N/A</v>
      </c>
      <c r="BU177" s="54" t="e">
        <f>SummaryTable[[#This Row],[BudgetIncreaseAmount19]]/SummaryTable[[#This Row],[OriginalBudget18]]</f>
        <v>#N/A</v>
      </c>
      <c r="BV177" s="61" t="e">
        <f>IF(COUNTIFS(allFYsTable[Code], SummaryTable[[#This Row],[Code]], allFYsTable[year2], BS$3)=0, NotFound, SUMIFS(allFYsTable[RevisedBudget], allFYsTable[Code], SummaryTable[[#This Row],[Code]], allFYsTable[year2], BS$3))</f>
        <v>#N/A</v>
      </c>
      <c r="BW177" s="61" t="e">
        <f>IF(COUNTIFS(allFYsTable[Code], SummaryTable[[#This Row],[Code]], allFYsTable[year2], BS$3)=0, NotFound, SUMIFS(allFYsTable[Actual], allFYsTable[Code], SummaryTable[[#This Row],[Code]], allFYsTable[year2], BS$3))</f>
        <v>#N/A</v>
      </c>
      <c r="BX177" s="61" t="e">
        <f>IF(COUNTIFS(allFYsTable[Code], SummaryTable[[#This Row],[Code]], allFYsTable[year2], BS$3)=0, NotFound, SUMIFS(allFYsTable[DiffAmount], allFYsTable[Code], SummaryTable[[#This Row],[Code]], allFYsTable[year2], BS$3))</f>
        <v>#N/A</v>
      </c>
      <c r="BY177" s="63" t="e">
        <f>IF(SummaryTable[[#This Row],[OriginalBudget19]]=0, IF(SummaryTable[[#This Row],[DiffAmount19]]=0, ZeroBudgetNoSpending, ZeroBudgetWithSpending), SummaryTable[[#This Row],[DiffAmount19]]/SummaryTable[[#This Row],[OriginalBudget19]])</f>
        <v>#N/A</v>
      </c>
      <c r="BZ177" s="62" t="e">
        <f>IF(COUNTIFS(allFYsTable[Code], SummaryTable[[#This Row],[Code]], allFYsTable[year2], BZ$3)=0, NotFound, SUMIFS(allFYsTable[OriginalBudget], allFYsTable[Code], SummaryTable[[#This Row],[Code]], allFYsTable[year2], BZ$3))</f>
        <v>#N/A</v>
      </c>
      <c r="CA177" s="61" t="e">
        <f>SummaryTable[[#This Row],[OriginalBudget18]]-SummaryTable[[#This Row],[OriginalBudget17]]</f>
        <v>#N/A</v>
      </c>
      <c r="CB177" s="54" t="e">
        <f>SummaryTable[[#This Row],[BudgetIncreaseAmount18]]/SummaryTable[[#This Row],[OriginalBudget17]]</f>
        <v>#N/A</v>
      </c>
      <c r="CC177" s="61" t="e">
        <f>IF(COUNTIFS(allFYsTable[Code], SummaryTable[[#This Row],[Code]], allFYsTable[year2], BZ$3)=0, NotFound, SUMIFS(allFYsTable[RevisedBudget], allFYsTable[Code], SummaryTable[[#This Row],[Code]], allFYsTable[year2], BZ$3))</f>
        <v>#N/A</v>
      </c>
      <c r="CD177" s="61" t="e">
        <f>IF(COUNTIFS(allFYsTable[Code], SummaryTable[[#This Row],[Code]], allFYsTable[year2], BZ$3)=0, NotFound, SUMIFS(allFYsTable[Actual], allFYsTable[Code], SummaryTable[[#This Row],[Code]], allFYsTable[year2], BZ$3))</f>
        <v>#N/A</v>
      </c>
      <c r="CE177" s="61" t="e">
        <f>IF(COUNTIFS(allFYsTable[Code], SummaryTable[[#This Row],[Code]], allFYsTable[year2], BZ$3)=0, NotFound, SUMIFS(allFYsTable[DiffAmount], allFYsTable[Code], SummaryTable[[#This Row],[Code]], allFYsTable[year2], BZ$3))</f>
        <v>#N/A</v>
      </c>
      <c r="CF177" s="63" t="e">
        <f>IF(SummaryTable[[#This Row],[OriginalBudget18]]=0, IF(SummaryTable[[#This Row],[DiffAmount18]]=0, ZeroBudgetNoSpending, ZeroBudgetWithSpending), SummaryTable[[#This Row],[DiffAmount18]]/SummaryTable[[#This Row],[OriginalBudget18]])</f>
        <v>#N/A</v>
      </c>
      <c r="CG177" s="62" t="e">
        <f>IF(COUNTIFS(allFYsTable[Code], SummaryTable[[#This Row],[Code]], allFYsTable[year2], CG$3)=0, NotFound, SUMIFS(allFYsTable[OriginalBudget], allFYsTable[Code], SummaryTable[[#This Row],[Code]], allFYsTable[year2], CG$3))</f>
        <v>#N/A</v>
      </c>
      <c r="CH177" s="61" t="e">
        <f>SummaryTable[[#This Row],[OriginalBudget17]]-SummaryTable[[#This Row],[OriginalBudget16]]</f>
        <v>#N/A</v>
      </c>
      <c r="CI177" s="54" t="e">
        <f>SummaryTable[[#This Row],[BudgetIncreaseAmount17]]/SummaryTable[[#This Row],[OriginalBudget16]]</f>
        <v>#N/A</v>
      </c>
      <c r="CJ177" s="61" t="e">
        <f>IF(COUNTIFS(allFYsTable[Code], SummaryTable[[#This Row],[Code]], allFYsTable[year2], CG$3)=0, NotFound, SUMIFS(allFYsTable[RevisedBudget], allFYsTable[Code], SummaryTable[[#This Row],[Code]], allFYsTable[year2], CG$3))</f>
        <v>#N/A</v>
      </c>
      <c r="CK177" s="61" t="e">
        <f>IF(COUNTIFS(allFYsTable[Code], SummaryTable[[#This Row],[Code]], allFYsTable[year2], CG$3)=0, NotFound, SUMIFS(allFYsTable[Actual], allFYsTable[Code], SummaryTable[[#This Row],[Code]], allFYsTable[year2], CG$3))</f>
        <v>#N/A</v>
      </c>
      <c r="CL177" s="61" t="e">
        <f>IF(COUNTIFS(allFYsTable[Code], SummaryTable[[#This Row],[Code]], allFYsTable[year2], CG$3)=0, NotFound, SUMIFS(allFYsTable[DiffAmount], allFYsTable[Code], SummaryTable[[#This Row],[Code]], allFYsTable[year2], CG$3))</f>
        <v>#N/A</v>
      </c>
      <c r="CM177" s="63" t="e">
        <f>IF(SummaryTable[[#This Row],[OriginalBudget17]]=0, IF(SummaryTable[[#This Row],[DiffAmount17]]=0, ZeroBudgetNoSpending, ZeroBudgetWithSpending), SummaryTable[[#This Row],[DiffAmount17]]/SummaryTable[[#This Row],[OriginalBudget17]])</f>
        <v>#N/A</v>
      </c>
      <c r="CN177" s="62" t="e">
        <f>IF(COUNTIFS(allFYsTable[Code], SummaryTable[[#This Row],[Code]], allFYsTable[year2], CN$3)=0, NotFound, SUMIFS(allFYsTable[OriginalBudget], allFYsTable[Code], SummaryTable[[#This Row],[Code]], allFYsTable[year2], CN$3))</f>
        <v>#N/A</v>
      </c>
      <c r="CO177" s="61" t="e">
        <f>SummaryTable[[#This Row],[OriginalBudget16]]-SummaryTable[[#This Row],[OriginalBudget15]]</f>
        <v>#N/A</v>
      </c>
      <c r="CP177" s="54" t="e">
        <f>SummaryTable[[#This Row],[BudgetIncreaseAmount16]]/SummaryTable[[#This Row],[OriginalBudget15]]</f>
        <v>#N/A</v>
      </c>
      <c r="CQ177" s="61" t="e">
        <f>IF(COUNTIFS(allFYsTable[Code], SummaryTable[[#This Row],[Code]], allFYsTable[year2], CN$3)=0, NotFound, SUMIFS(allFYsTable[RevisedBudget], allFYsTable[Code], SummaryTable[[#This Row],[Code]], allFYsTable[year2], CN$3))</f>
        <v>#N/A</v>
      </c>
      <c r="CR177" s="61" t="e">
        <f>IF(COUNTIFS(allFYsTable[Code], SummaryTable[[#This Row],[Code]], allFYsTable[year2], CN$3)=0, NotFound, SUMIFS(allFYsTable[Actual], allFYsTable[Code], SummaryTable[[#This Row],[Code]], allFYsTable[year2], CN$3))</f>
        <v>#N/A</v>
      </c>
      <c r="CS177" s="61" t="e">
        <f>IF(COUNTIFS(allFYsTable[Code], SummaryTable[[#This Row],[Code]], allFYsTable[year2], CN$3)=0, NotFound, SUMIFS(allFYsTable[DiffAmount], allFYsTable[Code], SummaryTable[[#This Row],[Code]], allFYsTable[year2], CN$3))</f>
        <v>#N/A</v>
      </c>
      <c r="CT177" s="63" t="e">
        <f>IF(SummaryTable[[#This Row],[OriginalBudget16]]=0, IF(SummaryTable[[#This Row],[DiffAmount16]]=0, ZeroBudgetNoSpending, ZeroBudgetWithSpending), SummaryTable[[#This Row],[DiffAmount16]]/SummaryTable[[#This Row],[OriginalBudget16]])</f>
        <v>#N/A</v>
      </c>
      <c r="CU177" s="62" t="e">
        <f>IF(COUNTIFS(allFYsTable[Code], SummaryTable[[#This Row],[Code]], allFYsTable[year2], CU$3)=0, NotFound, SUMIFS(allFYsTable[OriginalBudget], allFYsTable[Code], SummaryTable[[#This Row],[Code]], allFYsTable[year2], CU$3))</f>
        <v>#N/A</v>
      </c>
      <c r="CV177" s="61" t="e">
        <f>SummaryTable[[#This Row],[OriginalBudget15]]-SummaryTable[[#This Row],[OriginalBudget14]]</f>
        <v>#N/A</v>
      </c>
      <c r="CW177" s="54" t="e">
        <f>SummaryTable[[#This Row],[BudgetIncreaseAmount15]]/SummaryTable[[#This Row],[OriginalBudget14]]</f>
        <v>#N/A</v>
      </c>
      <c r="CX177" s="61" t="e">
        <f>IF(COUNTIFS(allFYsTable[Code], SummaryTable[[#This Row],[Code]], allFYsTable[year2], CU$3)=0, NotFound, SUMIFS(allFYsTable[RevisedBudget], allFYsTable[Code], SummaryTable[[#This Row],[Code]], allFYsTable[year2], CU$3))</f>
        <v>#N/A</v>
      </c>
      <c r="CY177" s="61" t="e">
        <f>IF(COUNTIFS(allFYsTable[Code], SummaryTable[[#This Row],[Code]], allFYsTable[year2], CU$3)=0, NotFound, SUMIFS(allFYsTable[Actual], allFYsTable[Code], SummaryTable[[#This Row],[Code]], allFYsTable[year2], CU$3))</f>
        <v>#N/A</v>
      </c>
      <c r="CZ177" s="61" t="e">
        <f>IF(COUNTIFS(allFYsTable[Code], SummaryTable[[#This Row],[Code]], allFYsTable[year2], CU$3)=0, NotFound, SUMIFS(allFYsTable[DiffAmount], allFYsTable[Code], SummaryTable[[#This Row],[Code]], allFYsTable[year2], CU$3))</f>
        <v>#N/A</v>
      </c>
      <c r="DA177" s="63" t="e">
        <f>IF(SummaryTable[[#This Row],[OriginalBudget15]]=0, IF(SummaryTable[[#This Row],[DiffAmount15]]=0, ZeroBudgetNoSpending, ZeroBudgetWithSpending), SummaryTable[[#This Row],[DiffAmount15]]/SummaryTable[[#This Row],[OriginalBudget15]])</f>
        <v>#N/A</v>
      </c>
      <c r="DB177" s="62" t="e">
        <f>IF(COUNTIFS(allFYsTable[Code], SummaryTable[[#This Row],[Code]], allFYsTable[year2], DB$3)=0, NotFound, SUMIFS(allFYsTable[OriginalBudget], allFYsTable[Code], SummaryTable[[#This Row],[Code]], allFYsTable[year2], DB$3))</f>
        <v>#N/A</v>
      </c>
      <c r="DC177" s="61" t="e">
        <f>SummaryTable[[#This Row],[OriginalBudget14]]-SummaryTable[[#This Row],[OriginalBudget13]]</f>
        <v>#N/A</v>
      </c>
      <c r="DD177" s="54" t="e">
        <f>SummaryTable[[#This Row],[BudgetIncreaseAmount14]]/SummaryTable[[#This Row],[OriginalBudget13]]</f>
        <v>#N/A</v>
      </c>
      <c r="DE177" s="61" t="e">
        <f>IF(COUNTIFS(allFYsTable[Code], SummaryTable[[#This Row],[Code]], allFYsTable[year2], DB$3)=0, NotFound, SUMIFS(allFYsTable[RevisedBudget], allFYsTable[Code], SummaryTable[[#This Row],[Code]], allFYsTable[year2], DB$3))</f>
        <v>#N/A</v>
      </c>
      <c r="DF177" s="61" t="e">
        <f>IF(COUNTIFS(allFYsTable[Code], SummaryTable[[#This Row],[Code]], allFYsTable[year2], DB$3)=0, NotFound, SUMIFS(allFYsTable[Actual], allFYsTable[Code], SummaryTable[[#This Row],[Code]], allFYsTable[year2], DB$3))</f>
        <v>#N/A</v>
      </c>
      <c r="DG177" s="61" t="e">
        <f>IF(COUNTIFS(allFYsTable[Code], SummaryTable[[#This Row],[Code]], allFYsTable[year2], DB$3)=0, NotFound, SUMIFS(allFYsTable[DiffAmount], allFYsTable[Code], SummaryTable[[#This Row],[Code]], allFYsTable[year2], DB$3))</f>
        <v>#N/A</v>
      </c>
      <c r="DH177" s="63" t="e">
        <f>IF(SummaryTable[[#This Row],[OriginalBudget14]]=0, IF(SummaryTable[[#This Row],[DiffAmount14]]=0, ZeroBudgetNoSpending, ZeroBudgetWithSpending), SummaryTable[[#This Row],[DiffAmount14]]/SummaryTable[[#This Row],[OriginalBudget14]])</f>
        <v>#N/A</v>
      </c>
      <c r="DI177" s="62" t="e">
        <f>IF(COUNTIFS(allFYsTable[Code], SummaryTable[[#This Row],[Code]], allFYsTable[year2], DI$3)=0, NotFound, SUMIFS(allFYsTable[OriginalBudget], allFYsTable[Code], SummaryTable[[#This Row],[Code]], allFYsTable[year2], DI$3))</f>
        <v>#N/A</v>
      </c>
      <c r="DJ177" s="61" t="e">
        <f>SummaryTable[[#This Row],[OriginalBudget13]]-SummaryTable[[#This Row],[OriginalBudget12]]</f>
        <v>#N/A</v>
      </c>
      <c r="DK177" s="54" t="e">
        <f>SummaryTable[[#This Row],[BudgetIncreaseAmount13]]/SummaryTable[[#This Row],[OriginalBudget12]]</f>
        <v>#N/A</v>
      </c>
      <c r="DL177" s="61" t="e">
        <f>IF(COUNTIFS(allFYsTable[Code], SummaryTable[[#This Row],[Code]], allFYsTable[year2], DI$3)=0, NotFound, SUMIFS(allFYsTable[RevisedBudget], allFYsTable[Code], SummaryTable[[#This Row],[Code]], allFYsTable[year2], DI$3))</f>
        <v>#N/A</v>
      </c>
      <c r="DM177" s="61" t="e">
        <f>IF(COUNTIFS(allFYsTable[Code], SummaryTable[[#This Row],[Code]], allFYsTable[year2], DI$3)=0, NotFound, SUMIFS(allFYsTable[Actual], allFYsTable[Code], SummaryTable[[#This Row],[Code]], allFYsTable[year2], DI$3))</f>
        <v>#N/A</v>
      </c>
      <c r="DN177" s="61" t="e">
        <f>IF(COUNTIFS(allFYsTable[Code], SummaryTable[[#This Row],[Code]], allFYsTable[year2], DI$3)=0, NotFound, SUMIFS(allFYsTable[DiffAmount], allFYsTable[Code], SummaryTable[[#This Row],[Code]], allFYsTable[year2], DI$3))</f>
        <v>#N/A</v>
      </c>
      <c r="DO177" s="63" t="e">
        <f>IF(SummaryTable[[#This Row],[OriginalBudget13]]=0, IF(SummaryTable[[#This Row],[DiffAmount13]]=0, ZeroBudgetNoSpending, ZeroBudgetWithSpending), SummaryTable[[#This Row],[DiffAmount13]]/SummaryTable[[#This Row],[OriginalBudget13]])</f>
        <v>#N/A</v>
      </c>
      <c r="DP177" s="62" t="e">
        <f>IF(COUNTIFS(allFYsTable[Code], SummaryTable[[#This Row],[Code]], allFYsTable[year2], DP$3)=0, NotFound, SUMIFS(allFYsTable[OriginalBudget], allFYsTable[Code], SummaryTable[[#This Row],[Code]], allFYsTable[year2], DP$3))</f>
        <v>#N/A</v>
      </c>
      <c r="DQ177" s="61" t="e">
        <f>SummaryTable[[#This Row],[OriginalBudget12]]-SummaryTable[[#This Row],[OriginalBudget11]]</f>
        <v>#N/A</v>
      </c>
      <c r="DR177" s="54" t="e">
        <f>SummaryTable[[#This Row],[BudgetIncreaseAmount12]]/SummaryTable[[#This Row],[OriginalBudget11]]</f>
        <v>#N/A</v>
      </c>
      <c r="DS177" s="61" t="e">
        <f>IF(COUNTIFS(allFYsTable[Code], SummaryTable[[#This Row],[Code]], allFYsTable[year2], DP$3)=0, NotFound, SUMIFS(allFYsTable[RevisedBudget], allFYsTable[Code], SummaryTable[[#This Row],[Code]], allFYsTable[year2], DP$3))</f>
        <v>#N/A</v>
      </c>
      <c r="DT177" s="61" t="e">
        <f>IF(COUNTIFS(allFYsTable[Code], SummaryTable[[#This Row],[Code]], allFYsTable[year2], DP$3)=0, NotFound, SUMIFS(allFYsTable[Actual], allFYsTable[Code], SummaryTable[[#This Row],[Code]], allFYsTable[year2], DP$3))</f>
        <v>#N/A</v>
      </c>
      <c r="DU177" s="61" t="e">
        <f>IF(COUNTIFS(allFYsTable[Code], SummaryTable[[#This Row],[Code]], allFYsTable[year2], DP$3)=0, NotFound, SUMIFS(allFYsTable[DiffAmount], allFYsTable[Code], SummaryTable[[#This Row],[Code]], allFYsTable[year2], DP$3))</f>
        <v>#N/A</v>
      </c>
      <c r="DV177" s="63" t="e">
        <f>IF(SummaryTable[[#This Row],[OriginalBudget12]]=0, IF(SummaryTable[[#This Row],[DiffAmount12]]=0, ZeroBudgetNoSpending, ZeroBudgetWithSpending), SummaryTable[[#This Row],[DiffAmount12]]/SummaryTable[[#This Row],[OriginalBudget12]])</f>
        <v>#N/A</v>
      </c>
      <c r="DW177" s="62" t="e">
        <f>IF(COUNTIFS(allFYsTable[Code], SummaryTable[[#This Row],[Code]], allFYsTable[year2], DW$3)=0, NotFound, SUMIFS(allFYsTable[OriginalBudget], allFYsTable[Code], SummaryTable[[#This Row],[Code]], allFYsTable[year2], DW$3))</f>
        <v>#N/A</v>
      </c>
      <c r="DX177" s="61" t="e">
        <f>SummaryTable[[#This Row],[OriginalBudget11]]-SummaryTable[[#This Row],[OriginalBudget10]]</f>
        <v>#N/A</v>
      </c>
      <c r="DY177" s="54" t="e">
        <f>SummaryTable[[#This Row],[BudgetIncreaseAmount11]]/SummaryTable[[#This Row],[OriginalBudget10]]</f>
        <v>#N/A</v>
      </c>
      <c r="DZ177" s="61" t="e">
        <f>IF(COUNTIFS(allFYsTable[Code], SummaryTable[[#This Row],[Code]], allFYsTable[year2], DW$3)=0, NotFound, SUMIFS(allFYsTable[RevisedBudget], allFYsTable[Code], SummaryTable[[#This Row],[Code]], allFYsTable[year2], DW$3))</f>
        <v>#N/A</v>
      </c>
      <c r="EA177" s="61" t="e">
        <f>IF(COUNTIFS(allFYsTable[Code], SummaryTable[[#This Row],[Code]], allFYsTable[year2], DW$3)=0, NotFound, SUMIFS(allFYsTable[Actual], allFYsTable[Code], SummaryTable[[#This Row],[Code]], allFYsTable[year2], DW$3))</f>
        <v>#N/A</v>
      </c>
      <c r="EB177" s="61" t="e">
        <f>IF(COUNTIFS(allFYsTable[Code], SummaryTable[[#This Row],[Code]], allFYsTable[year2], DW$3)=0, NotFound, SUMIFS(allFYsTable[DiffAmount], allFYsTable[Code], SummaryTable[[#This Row],[Code]], allFYsTable[year2], DW$3))</f>
        <v>#N/A</v>
      </c>
      <c r="EC177" s="63" t="e">
        <f>IF(SummaryTable[[#This Row],[OriginalBudget11]]=0, IF(SummaryTable[[#This Row],[DiffAmount11]]=0, ZeroBudgetNoSpending, ZeroBudgetWithSpending), SummaryTable[[#This Row],[DiffAmount11]]/SummaryTable[[#This Row],[OriginalBudget11]])</f>
        <v>#N/A</v>
      </c>
      <c r="ED177" s="62" t="e">
        <f>IF(COUNTIFS(allFYsTable[Code], SummaryTable[[#This Row],[Code]], allFYsTable[year2], ED$3)=0, NotFound, SUMIFS(allFYsTable[OriginalBudget], allFYsTable[Code], SummaryTable[[#This Row],[Code]], allFYsTable[year2], ED$3))</f>
        <v>#N/A</v>
      </c>
      <c r="EE177" s="61" t="e">
        <f>SummaryTable[[#This Row],[OriginalBudget10]]-SummaryTable[[#This Row],[OriginalBudget09]]</f>
        <v>#N/A</v>
      </c>
      <c r="EF177" s="54" t="e">
        <f>SummaryTable[[#This Row],[BudgetIncreaseAmount10]]/SummaryTable[[#This Row],[OriginalBudget09]]</f>
        <v>#N/A</v>
      </c>
      <c r="EG177" s="61" t="e">
        <f>IF(COUNTIFS(allFYsTable[Code], SummaryTable[[#This Row],[Code]], allFYsTable[year2], ED$3)=0, NotFound, SUMIFS(allFYsTable[RevisedBudget], allFYsTable[Code], SummaryTable[[#This Row],[Code]], allFYsTable[year2], ED$3))</f>
        <v>#N/A</v>
      </c>
      <c r="EH177" s="61" t="e">
        <f>IF(COUNTIFS(allFYsTable[Code], SummaryTable[[#This Row],[Code]], allFYsTable[year2], ED$3)=0, NotFound, SUMIFS(allFYsTable[Actual], allFYsTable[Code], SummaryTable[[#This Row],[Code]], allFYsTable[year2], ED$3))</f>
        <v>#N/A</v>
      </c>
      <c r="EI177" s="61" t="e">
        <f>IF(COUNTIFS(allFYsTable[Code], SummaryTable[[#This Row],[Code]], allFYsTable[year2], ED$3)=0, NotFound, SUMIFS(allFYsTable[DiffAmount], allFYsTable[Code], SummaryTable[[#This Row],[Code]], allFYsTable[year2], ED$3))</f>
        <v>#N/A</v>
      </c>
      <c r="EJ177" s="63" t="e">
        <f>IF(SummaryTable[[#This Row],[OriginalBudget10]]=0, IF(SummaryTable[[#This Row],[DiffAmount10]]=0, ZeroBudgetNoSpending, ZeroBudgetWithSpending), SummaryTable[[#This Row],[DiffAmount10]]/SummaryTable[[#This Row],[OriginalBudget10]])</f>
        <v>#N/A</v>
      </c>
      <c r="EK177" s="62" t="e">
        <f>IF(COUNTIFS(allFYsTable[Code], SummaryTable[[#This Row],[Code]], allFYsTable[year2], EK$3)=0, NotFound, SUMIFS(allFYsTable[OriginalBudget], allFYsTable[Code], SummaryTable[[#This Row],[Code]], allFYsTable[year2], EK$3))</f>
        <v>#N/A</v>
      </c>
      <c r="EL177" s="61" t="e">
        <f>SummaryTable[[#This Row],[OriginalBudget09]]-SummaryTable[[#This Row],[OriginalBudget08]]</f>
        <v>#N/A</v>
      </c>
      <c r="EM177" s="54" t="e">
        <f>SummaryTable[[#This Row],[BudgetIncreaseAmount09]]/SummaryTable[[#This Row],[OriginalBudget08]]</f>
        <v>#N/A</v>
      </c>
      <c r="EN177" s="61" t="e">
        <f>IF(COUNTIFS(allFYsTable[Code], SummaryTable[[#This Row],[Code]], allFYsTable[year2], EK$3)=0, NotFound, SUMIFS(allFYsTable[RevisedBudget], allFYsTable[Code], SummaryTable[[#This Row],[Code]], allFYsTable[year2], EK$3))</f>
        <v>#N/A</v>
      </c>
      <c r="EO177" s="61" t="e">
        <f>IF(COUNTIFS(allFYsTable[Code], SummaryTable[[#This Row],[Code]], allFYsTable[year2], EK$3)=0, NotFound, SUMIFS(allFYsTable[Actual], allFYsTable[Code], SummaryTable[[#This Row],[Code]], allFYsTable[year2], EK$3))</f>
        <v>#N/A</v>
      </c>
      <c r="EP177" s="61" t="e">
        <f>IF(COUNTIFS(allFYsTable[Code], SummaryTable[[#This Row],[Code]], allFYsTable[year2], EK$3)=0, NotFound, SUMIFS(allFYsTable[DiffAmount], allFYsTable[Code], SummaryTable[[#This Row],[Code]], allFYsTable[year2], EK$3))</f>
        <v>#N/A</v>
      </c>
      <c r="EQ177" s="63" t="e">
        <f>IF(SummaryTable[[#This Row],[OriginalBudget09]]=0, IF(SummaryTable[[#This Row],[DiffAmount09]]=0, ZeroBudgetNoSpending, ZeroBudgetWithSpending), SummaryTable[[#This Row],[DiffAmount09]]/SummaryTable[[#This Row],[OriginalBudget09]])</f>
        <v>#N/A</v>
      </c>
      <c r="ER177" s="62">
        <f>IF(COUNTIFS(allFYsTable[Code], SummaryTable[[#This Row],[Code]], allFYsTable[year2], ER$3)=0, NotFound, SUMIFS(allFYsTable[OriginalBudget], allFYsTable[Code], SummaryTable[[#This Row],[Code]], allFYsTable[year2], ER$3))</f>
        <v>0</v>
      </c>
      <c r="ES177" s="61" t="e">
        <f>SummaryTable[[#This Row],[OriginalBudget08]]-SummaryTable[[#This Row],[OriginalBudget07]]</f>
        <v>#N/A</v>
      </c>
      <c r="ET177" s="54" t="e">
        <f>SummaryTable[[#This Row],[BudgetIncreaseAmount08]]/SummaryTable[[#This Row],[OriginalBudget07]]</f>
        <v>#N/A</v>
      </c>
      <c r="EU177" s="61">
        <f>IF(COUNTIFS(allFYsTable[Code], SummaryTable[[#This Row],[Code]], allFYsTable[year2], ER$3)=0, NotFound, SUMIFS(allFYsTable[RevisedBudget], allFYsTable[Code], SummaryTable[[#This Row],[Code]], allFYsTable[year2], ER$3))</f>
        <v>0</v>
      </c>
      <c r="EV177" s="61">
        <f>IF(COUNTIFS(allFYsTable[Code], SummaryTable[[#This Row],[Code]], allFYsTable[year2], ER$3)=0, NotFound, SUMIFS(allFYsTable[Actual], allFYsTable[Code], SummaryTable[[#This Row],[Code]], allFYsTable[year2], ER$3))</f>
        <v>26601</v>
      </c>
      <c r="EW177" s="61">
        <f>IF(COUNTIFS(allFYsTable[Code], SummaryTable[[#This Row],[Code]], allFYsTable[year2], ER$3)=0, NotFound, SUMIFS(allFYsTable[DiffAmount], allFYsTable[Code], SummaryTable[[#This Row],[Code]], allFYsTable[year2], ER$3))</f>
        <v>26601</v>
      </c>
      <c r="EX177" s="63">
        <f>IF(SummaryTable[[#This Row],[OriginalBudget08]]=0, IF(SummaryTable[[#This Row],[DiffAmount08]]=0, ZeroBudgetNoSpending, ZeroBudgetWithSpending), SummaryTable[[#This Row],[DiffAmount08]]/SummaryTable[[#This Row],[OriginalBudget08]])</f>
        <v>99.99</v>
      </c>
      <c r="EY177" s="62" t="e">
        <f>IF(COUNTIFS(allFYsTable[Code], SummaryTable[[#This Row],[Code]], allFYsTable[year2], EY$3)=0, NotFound, SUMIFS(allFYsTable[OriginalBudget], allFYsTable[Code], SummaryTable[[#This Row],[Code]], allFYsTable[year2], EY$3))</f>
        <v>#N/A</v>
      </c>
      <c r="EZ177" s="61" t="e">
        <f>SummaryTable[[#This Row],[OriginalBudget07]]-SummaryTable[[#This Row],[OriginalBudget06]]</f>
        <v>#N/A</v>
      </c>
      <c r="FA177" s="54" t="e">
        <f>SummaryTable[[#This Row],[BudgetIncreaseAmount07]]/SummaryTable[[#This Row],[OriginalBudget06]]</f>
        <v>#N/A</v>
      </c>
      <c r="FB177" s="61" t="e">
        <f>IF(COUNTIFS(allFYsTable[Code], SummaryTable[[#This Row],[Code]], allFYsTable[year2], EY$3)=0, NotFound, SUMIFS(allFYsTable[RevisedBudget], allFYsTable[Code], SummaryTable[[#This Row],[Code]], allFYsTable[year2], EY$3))</f>
        <v>#N/A</v>
      </c>
      <c r="FC177" s="61" t="e">
        <f>IF(COUNTIFS(allFYsTable[Code], SummaryTable[[#This Row],[Code]], allFYsTable[year2], EY$3)=0, NotFound, SUMIFS(allFYsTable[Actual], allFYsTable[Code], SummaryTable[[#This Row],[Code]], allFYsTable[year2], EY$3))</f>
        <v>#N/A</v>
      </c>
      <c r="FD177" s="61" t="e">
        <f>IF(COUNTIFS(allFYsTable[Code], SummaryTable[[#This Row],[Code]], allFYsTable[year2], EY$3)=0, NotFound, SUMIFS(allFYsTable[DiffAmount], allFYsTable[Code], SummaryTable[[#This Row],[Code]], allFYsTable[year2], EY$3))</f>
        <v>#N/A</v>
      </c>
      <c r="FE177" s="63" t="e">
        <f>IF(SummaryTable[[#This Row],[OriginalBudget07]]=0, IF(SummaryTable[[#This Row],[DiffAmount07]]=0, ZeroBudgetNoSpending, ZeroBudgetWithSpending), SummaryTable[[#This Row],[DiffAmount07]]/SummaryTable[[#This Row],[OriginalBudget07]])</f>
        <v>#N/A</v>
      </c>
      <c r="FF177" s="62" t="e">
        <f>IF(COUNTIFS(allFYsTable[Code], SummaryTable[[#This Row],[Code]], allFYsTable[year2], FF$3)=0, NotFound, SUMIFS(allFYsTable[OriginalBudget], allFYsTable[Code], SummaryTable[[#This Row],[Code]], allFYsTable[year2], FF$3))</f>
        <v>#N/A</v>
      </c>
      <c r="FI177" s="61" t="e">
        <f>IF(COUNTIFS(allFYsTable[Code], SummaryTable[[#This Row],[Code]], allFYsTable[year2], FF$3)=0, NotFound, SUMIFS(allFYsTable[RevisedBudget], allFYsTable[Code], SummaryTable[[#This Row],[Code]], allFYsTable[year2], FF$3))</f>
        <v>#N/A</v>
      </c>
      <c r="FJ177" s="61" t="e">
        <f>IF(COUNTIFS(allFYsTable[Code], SummaryTable[[#This Row],[Code]], allFYsTable[year2], FF$3)=0, NotFound, SUMIFS(allFYsTable[Actual], allFYsTable[Code], SummaryTable[[#This Row],[Code]], allFYsTable[year2], FF$3))</f>
        <v>#N/A</v>
      </c>
      <c r="FK177" s="61" t="e">
        <f>IF(COUNTIFS(allFYsTable[Code], SummaryTable[[#This Row],[Code]], allFYsTable[year2], FF$3)=0, NotFound, SUMIFS(allFYsTable[DiffAmount], allFYsTable[Code], SummaryTable[[#This Row],[Code]], allFYsTable[year2], FF$3))</f>
        <v>#N/A</v>
      </c>
      <c r="FL177" s="63" t="e">
        <f>IF(SummaryTable[[#This Row],[OriginalBudget06]]=0, IF(SummaryTable[[#This Row],[DiffAmount06]]=0, ZeroBudgetNoSpending, ZeroBudgetWithSpending), SummaryTable[[#This Row],[DiffAmount06]]/SummaryTable[[#This Row],[OriginalBudget06]])</f>
        <v>#N/A</v>
      </c>
    </row>
    <row r="178" spans="1:168" x14ac:dyDescent="0.45">
      <c r="A178" t="s">
        <v>1039</v>
      </c>
      <c r="B178">
        <f>_xlfn.MAXIFS(allFYsTable[year2], allFYsTable[Code], SummaryTable[[#This Row],[Code]])</f>
        <v>2008</v>
      </c>
      <c r="C178" t="str">
        <f>_xlfn.XLOOKUP(SummaryTable[[#This Row],[Code]], NameCodingTable[Code], NameCodingTable[Most Recent Category per allFYs])</f>
        <v>Public education system</v>
      </c>
      <c r="D178" t="str">
        <f>_xlfn.XLOOKUP(SummaryTable[[#This Row],[Code]], NameCodingTable[Code], NameCodingTable[Unit Display Name])</f>
        <v>Special education AY09</v>
      </c>
      <c r="E178" t="str">
        <f>_xlfn.XLOOKUP(SummaryTable[[#This Row],[Code]], NameCodingTable[Code], NameCodingTable[Type])</f>
        <v>untyped</v>
      </c>
      <c r="F17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7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78" s="54">
        <f>SummaryTable[[#This Row],['# Over]]/SummaryTable[[#This Row],[Count]]</f>
        <v>1</v>
      </c>
      <c r="I17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78" s="54">
        <f>SummaryTable[[#This Row],['# Under]]/SummaryTable[[#This Row],[Count]]</f>
        <v>0</v>
      </c>
      <c r="K17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78" s="54">
        <f>SummaryTable[[#This Row],['# Equal]]/SummaryTable[[#This Row],[Count]]</f>
        <v>0</v>
      </c>
      <c r="M178" s="61">
        <f>SUMIFS(allFYsTable[OriginalBudget],allFYsTable[Code],SummaryTable[[#This Row],[Code]])/SummaryTable[[#This Row],[Count]]</f>
        <v>0</v>
      </c>
      <c r="N178" s="61">
        <f>SUMIFS(allFYsTable[Actual],allFYsTable[Code],SummaryTable[[#This Row],[Code]])/SummaryTable[[#This Row],[Count]]</f>
        <v>171</v>
      </c>
      <c r="O178" s="61">
        <f>SummaryTable[[#This Row],[AvgActAmt]]-SummaryTable[[#This Row],[AvgBudAmt]]</f>
        <v>171</v>
      </c>
      <c r="P178" s="54">
        <f>IF(SummaryTable[[#This Row],[AvgBudAmt]]=0, IF(SummaryTable[[#This Row],[AvgDiff'#]]=0, 0, NamedFields!$C$3), SummaryTable[[#This Row],[AvgDiff'#]]/SummaryTable[[#This Row],[AvgBudAmt]])</f>
        <v>99.99</v>
      </c>
      <c r="Q178" s="61">
        <f>IFERROR(SUMIFS(allFYsTable[OriginalBudget],allFYsTable[Code],SummaryTable[[#This Row],[Code]],allFYsTable[DiffAmount], "&gt;0")/SummaryTable[[#This Row],['# Over]], 0)</f>
        <v>0</v>
      </c>
      <c r="R178" s="61">
        <f>IFERROR(SUMIFS(allFYsTable[Actual],allFYsTable[Code],SummaryTable[[#This Row],[Code]],allFYsTable[DiffAmount], "&gt;0")/SummaryTable[[#This Row],['# Over]], 0)</f>
        <v>171</v>
      </c>
      <c r="S178" s="61">
        <f>SummaryTable[[#This Row],[OverAvgAct]]-SummaryTable[[#This Row],[OverAvgBud]]</f>
        <v>171</v>
      </c>
      <c r="T178" s="54">
        <f>IF(SummaryTable[[#This Row],[OverAvgBud]]=0, IF(SummaryTable[[#This Row],[OverAvgDiff'#]]=0, ZeroBudgetNoSpending, ZeroBudgetWithSpending), SummaryTable[[#This Row],[OverAvgDiff'#]]/SummaryTable[[#This Row],[OverAvgBud]])</f>
        <v>99.99</v>
      </c>
      <c r="U178" s="61">
        <f>IFERROR(SUMIFS(allFYsTable[OriginalBudget],allFYsTable[Code],SummaryTable[[#This Row],[Code]],allFYsTable[DiffAmount], "&lt;0")/SummaryTable[[#This Row],['# Under]], 0)</f>
        <v>0</v>
      </c>
      <c r="V178" s="61">
        <f>IFERROR( SUMIFS(allFYsTable[Actual],allFYsTable[Code],SummaryTable[[#This Row],[Code]],allFYsTable[DiffAmount], "&lt;0")/SummaryTable[[#This Row],['# Under]], 0)</f>
        <v>0</v>
      </c>
      <c r="W178" s="61">
        <f>SummaryTable[[#This Row],[UnderAvgAct]]-SummaryTable[[#This Row],[UnderAvgBud]]</f>
        <v>0</v>
      </c>
      <c r="X178" s="54">
        <f>IF(SummaryTable[[#This Row],[UnderAvgBud]]=0, IF(SummaryTable[[#This Row],[UnderAvgDiff'#]]=0, ZeroBudgetNoSpending, NamedFields!$C$3), SummaryTable[[#This Row],[UnderAvgDiff'#]]/SummaryTable[[#This Row],[UnderAvgBud]])</f>
        <v>0</v>
      </c>
      <c r="Y17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7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8" s="54">
        <f>IF(SummaryTable[[#This Row],[IncreaseYears]]=0, ZeroBudgetNoSpending, SummaryTable[[#This Row],[OSinIncreaseYear'#]]/SummaryTable[[#This Row],[IncreaseYears]])</f>
        <v>0</v>
      </c>
      <c r="AB178" s="58" t="str">
        <f>SummaryTable[[#This Row],[Code]]</f>
        <v>XSA</v>
      </c>
      <c r="AC178" s="62" t="e">
        <f>IF(COUNTIFS(allFYsTable[Code], SummaryTable[[#This Row],[Code]], allFYsTable[year2], AC$3)=0, NotFound, SUMIFS(allFYsTable[OriginalBudget], allFYsTable[Code], SummaryTable[[#This Row],[Code]], allFYsTable[year2], AC$3))</f>
        <v>#N/A</v>
      </c>
      <c r="AD178" s="61" t="e">
        <f>SummaryTable[[#This Row],[OriginalBudget25]]-SummaryTable[[#This Row],[OriginalBudget24]]</f>
        <v>#N/A</v>
      </c>
      <c r="AE178" s="54" t="e">
        <f>SummaryTable[[#This Row],[BudgetIncreaseAmount25]]/SummaryTable[[#This Row],[OriginalBudget24]]</f>
        <v>#N/A</v>
      </c>
      <c r="AF178" s="61" t="e">
        <f>IF(COUNTIFS(allFYsTable[Code], SummaryTable[[#This Row],[Code]], allFYsTable[year2], AC$3)=0, NotFound, SUMIFS(allFYsTable[RevisedBudget], allFYsTable[Code], SummaryTable[[#This Row],[Code]], allFYsTable[year2], AC$3))</f>
        <v>#N/A</v>
      </c>
      <c r="AG178" s="61" t="e">
        <f>IF(COUNTIFS(allFYsTable[Code], SummaryTable[[#This Row],[Code]], allFYsTable[year2], AC$3)=0, NotFound, SUMIFS(allFYsTable[Actual], allFYsTable[Code], SummaryTable[[#This Row],[Code]], allFYsTable[year2], AC$3))</f>
        <v>#N/A</v>
      </c>
      <c r="AH178" s="61" t="e">
        <f>IF(COUNTIFS(allFYsTable[Code], SummaryTable[[#This Row],[Code]], allFYsTable[year2], AC$3)=0, NotFound, SUMIFS(allFYsTable[DiffAmount], allFYsTable[Code], SummaryTable[[#This Row],[Code]], allFYsTable[year2], AC$3))</f>
        <v>#N/A</v>
      </c>
      <c r="AI178" s="63" t="e">
        <f>IF(SummaryTable[[#This Row],[OriginalBudget25]]=0, IF(SummaryTable[[#This Row],[DiffAmount25]]=0, ZeroBudgetNoSpending, ZeroBudgetWithSpending), SummaryTable[[#This Row],[DiffAmount25]]/SummaryTable[[#This Row],[OriginalBudget25]])</f>
        <v>#N/A</v>
      </c>
      <c r="AJ178" s="62" t="e">
        <f>IF(COUNTIFS(allFYsTable[Code], SummaryTable[[#This Row],[Code]], allFYsTable[year2], AJ$3)=0, NotFound, SUMIFS(allFYsTable[OriginalBudget], allFYsTable[Code], SummaryTable[[#This Row],[Code]], allFYsTable[year2], AJ$3))</f>
        <v>#N/A</v>
      </c>
      <c r="AK178" s="61" t="e">
        <f>SummaryTable[[#This Row],[OriginalBudget24]]-SummaryTable[[#This Row],[OriginalBudget23]]</f>
        <v>#N/A</v>
      </c>
      <c r="AL178" s="54" t="e">
        <f>SummaryTable[[#This Row],[BudgetIncreaseAmount24]]/SummaryTable[[#This Row],[OriginalBudget23]]</f>
        <v>#N/A</v>
      </c>
      <c r="AM178" s="61" t="e">
        <f>IF(COUNTIFS(allFYsTable[Code], SummaryTable[[#This Row],[Code]], allFYsTable[year2], AK$3)=0, NotFound, SUMIFS(allFYsTable[RevisedBudget], allFYsTable[Code], SummaryTable[[#This Row],[Code]], allFYsTable[year2], AJ$3))</f>
        <v>#N/A</v>
      </c>
      <c r="AN178" s="61" t="e">
        <f>IF(COUNTIFS(allFYsTable[Code], SummaryTable[[#This Row],[Code]], allFYsTable[year2], AJ$3)=0, NotFound, SUMIFS(allFYsTable[Actual], allFYsTable[Code], SummaryTable[[#This Row],[Code]], allFYsTable[year2], AJ$3))</f>
        <v>#N/A</v>
      </c>
      <c r="AO178" s="61" t="e">
        <f>IF(COUNTIFS(allFYsTable[Code], SummaryTable[[#This Row],[Code]], allFYsTable[year2], AJ$3)=0, NotFound, SUMIFS(allFYsTable[DiffAmount], allFYsTable[Code], SummaryTable[[#This Row],[Code]], allFYsTable[year2], AJ$3))</f>
        <v>#N/A</v>
      </c>
      <c r="AP178" s="63" t="e">
        <f>IF(SummaryTable[[#This Row],[OriginalBudget24]]=0, IF(SummaryTable[[#This Row],[DiffAmount24]]=0, ZeroBudgetNoSpending, ZeroBudgetWithSpending), SummaryTable[[#This Row],[DiffAmount24]]/SummaryTable[[#This Row],[OriginalBudget24]])</f>
        <v>#N/A</v>
      </c>
      <c r="AQ178" s="62" t="e">
        <f>IF(COUNTIFS(allFYsTable[Code], SummaryTable[[#This Row],[Code]], allFYsTable[year2], AQ$3)=0, NotFound, SUMIFS(allFYsTable[OriginalBudget], allFYsTable[Code], SummaryTable[[#This Row],[Code]], allFYsTable[year2], AQ$3))</f>
        <v>#N/A</v>
      </c>
      <c r="AR178" s="61" t="e">
        <f>SummaryTable[[#This Row],[OriginalBudget23]]-SummaryTable[[#This Row],[OriginalBudget22]]</f>
        <v>#N/A</v>
      </c>
      <c r="AS178" s="54" t="e">
        <f>SummaryTable[[#This Row],[BudgetIncreaseAmount23]]/SummaryTable[[#This Row],[OriginalBudget22]]</f>
        <v>#N/A</v>
      </c>
      <c r="AT178" s="61" t="e">
        <f>IF(COUNTIFS(allFYsTable[Code], SummaryTable[[#This Row],[Code]], allFYsTable[year2], AQ$3)=0, NotFound, SUMIFS(allFYsTable[RevisedBudget], allFYsTable[Code], SummaryTable[[#This Row],[Code]], allFYsTable[year2], AQ$3))</f>
        <v>#N/A</v>
      </c>
      <c r="AU178" s="61" t="e">
        <f>IF(COUNTIFS(allFYsTable[Code], SummaryTable[[#This Row],[Code]], allFYsTable[year2], AQ$3)=0, NotFound, SUMIFS(allFYsTable[Actual], allFYsTable[Code], SummaryTable[[#This Row],[Code]], allFYsTable[year2], AQ$3))</f>
        <v>#N/A</v>
      </c>
      <c r="AV178" s="61" t="e">
        <f>IF(COUNTIFS(allFYsTable[Code], SummaryTable[[#This Row],[Code]], allFYsTable[year2], AQ$3)=0, NotFound, SUMIFS(allFYsTable[DiffAmount], allFYsTable[Code], SummaryTable[[#This Row],[Code]], allFYsTable[year2], AQ$3))</f>
        <v>#N/A</v>
      </c>
      <c r="AW178" s="63" t="e">
        <f>IF(SummaryTable[[#This Row],[OriginalBudget23]]=0, IF(SummaryTable[[#This Row],[DiffAmount23]]=0, ZeroBudgetNoSpending, ZeroBudgetWithSpending), SummaryTable[[#This Row],[DiffAmount23]]/SummaryTable[[#This Row],[OriginalBudget23]])</f>
        <v>#N/A</v>
      </c>
      <c r="AX178" s="62" t="e">
        <f>IF(COUNTIFS(allFYsTable[Code], SummaryTable[[#This Row],[Code]], allFYsTable[year2], AX$3)=0, NotFound, SUMIFS(allFYsTable[OriginalBudget], allFYsTable[Code], SummaryTable[[#This Row],[Code]], allFYsTable[year2], AX$3))</f>
        <v>#N/A</v>
      </c>
      <c r="AY178" s="61" t="e">
        <f>SummaryTable[[#This Row],[OriginalBudget22]]-SummaryTable[[#This Row],[OriginalBudget21]]</f>
        <v>#N/A</v>
      </c>
      <c r="AZ178" s="54" t="e">
        <f>SummaryTable[[#This Row],[BudgetIncreaseAmount22]]/SummaryTable[[#This Row],[OriginalBudget21]]</f>
        <v>#N/A</v>
      </c>
      <c r="BA178" s="61" t="e">
        <f>IF(COUNTIFS(allFYsTable[Code], SummaryTable[[#This Row],[Code]], allFYsTable[year2], AX$3)=0, NotFound, SUMIFS(allFYsTable[RevisedBudget], allFYsTable[Code], SummaryTable[[#This Row],[Code]], allFYsTable[year2], AX$3))</f>
        <v>#N/A</v>
      </c>
      <c r="BB178" s="61" t="e">
        <f>IF(COUNTIFS(allFYsTable[Code], SummaryTable[[#This Row],[Code]], allFYsTable[year2], AX$3)=0, NotFound, SUMIFS(allFYsTable[Actual], allFYsTable[Code], SummaryTable[[#This Row],[Code]], allFYsTable[year2], AX$3))</f>
        <v>#N/A</v>
      </c>
      <c r="BC178" s="61" t="e">
        <f>IF(COUNTIFS(allFYsTable[Code], SummaryTable[[#This Row],[Code]], allFYsTable[year2], AX$3)=0, NotFound, SUMIFS(allFYsTable[DiffAmount], allFYsTable[Code], SummaryTable[[#This Row],[Code]], allFYsTable[year2], AX$3))</f>
        <v>#N/A</v>
      </c>
      <c r="BD178" s="63" t="e">
        <f>IF(SummaryTable[[#This Row],[OriginalBudget22]]=0, IF(SummaryTable[[#This Row],[DiffAmount22]]=0, ZeroBudgetNoSpending, ZeroBudgetWithSpending), SummaryTable[[#This Row],[DiffAmount22]]/SummaryTable[[#This Row],[OriginalBudget22]])</f>
        <v>#N/A</v>
      </c>
      <c r="BE178" s="62" t="e">
        <f>IF(COUNTIFS(allFYsTable[Code], SummaryTable[[#This Row],[Code]], allFYsTable[year2], BE$3)=0, NotFound, SUMIFS(allFYsTable[OriginalBudget], allFYsTable[Code], SummaryTable[[#This Row],[Code]], allFYsTable[year2], BE$3))</f>
        <v>#N/A</v>
      </c>
      <c r="BF178" s="61" t="e">
        <f>SummaryTable[[#This Row],[OriginalBudget21]]-SummaryTable[[#This Row],[OriginalBudget20]]</f>
        <v>#N/A</v>
      </c>
      <c r="BG178" s="54" t="e">
        <f>SummaryTable[[#This Row],[BudgetIncreaseAmount21]]/SummaryTable[[#This Row],[OriginalBudget20]]</f>
        <v>#N/A</v>
      </c>
      <c r="BH178" s="61" t="e">
        <f>IF(COUNTIFS(allFYsTable[Code], SummaryTable[[#This Row],[Code]], allFYsTable[year2], BE$3)=0, NotFound, SUMIFS(allFYsTable[RevisedBudget], allFYsTable[Code], SummaryTable[[#This Row],[Code]], allFYsTable[year2], BE$3))</f>
        <v>#N/A</v>
      </c>
      <c r="BI178" s="61" t="e">
        <f>IF(COUNTIFS(allFYsTable[Code], SummaryTable[[#This Row],[Code]], allFYsTable[year2], BE$3)=0, NotFound, SUMIFS(allFYsTable[Actual], allFYsTable[Code], SummaryTable[[#This Row],[Code]], allFYsTable[year2], BE$3))</f>
        <v>#N/A</v>
      </c>
      <c r="BJ178" s="61" t="e">
        <f>IF(COUNTIFS(allFYsTable[Code], SummaryTable[[#This Row],[Code]], allFYsTable[year2], BE$3)=0, NotFound, SUMIFS(allFYsTable[DiffAmount], allFYsTable[Code], SummaryTable[[#This Row],[Code]], allFYsTable[year2], BE$3))</f>
        <v>#N/A</v>
      </c>
      <c r="BK178" s="63" t="e">
        <f>IF(SummaryTable[[#This Row],[OriginalBudget21]]=0, IF(SummaryTable[[#This Row],[DiffAmount21]]=0, ZeroBudgetNoSpending, ZeroBudgetWithSpending), SummaryTable[[#This Row],[DiffAmount21]]/SummaryTable[[#This Row],[OriginalBudget21]])</f>
        <v>#N/A</v>
      </c>
      <c r="BL178" s="62" t="e">
        <f>IF(COUNTIFS(allFYsTable[Code], SummaryTable[[#This Row],[Code]], allFYsTable[year2], BL$3)=0, NotFound, SUMIFS(allFYsTable[OriginalBudget], allFYsTable[Code], SummaryTable[[#This Row],[Code]], allFYsTable[year2], BL$3))</f>
        <v>#N/A</v>
      </c>
      <c r="BM178" s="61" t="e">
        <f>SummaryTable[[#This Row],[OriginalBudget20]]-SummaryTable[[#This Row],[OriginalBudget19]]</f>
        <v>#N/A</v>
      </c>
      <c r="BN178" s="54" t="e">
        <f>SummaryTable[[#This Row],[BudgetIncreaseAmount20]]/SummaryTable[[#This Row],[OriginalBudget19]]</f>
        <v>#N/A</v>
      </c>
      <c r="BO178" s="61" t="e">
        <f>IF(COUNTIFS(allFYsTable[Code], SummaryTable[[#This Row],[Code]], allFYsTable[year2], BL$3)=0, NotFound, SUMIFS(allFYsTable[RevisedBudget], allFYsTable[Code], SummaryTable[[#This Row],[Code]], allFYsTable[year2], BL$3))</f>
        <v>#N/A</v>
      </c>
      <c r="BP178" s="61" t="e">
        <f>IF(COUNTIFS(allFYsTable[Code], SummaryTable[[#This Row],[Code]], allFYsTable[year2], BL$3)=0, NotFound, SUMIFS(allFYsTable[Actual], allFYsTable[Code], SummaryTable[[#This Row],[Code]], allFYsTable[year2], BL$3))</f>
        <v>#N/A</v>
      </c>
      <c r="BQ178" s="61" t="e">
        <f>IF(COUNTIFS(allFYsTable[Code], SummaryTable[[#This Row],[Code]], allFYsTable[year2], BL$3)=0, NotFound, SUMIFS(allFYsTable[DiffAmount], allFYsTable[Code], SummaryTable[[#This Row],[Code]], allFYsTable[year2], BL$3))</f>
        <v>#N/A</v>
      </c>
      <c r="BR178" s="63" t="e">
        <f>IF(SummaryTable[[#This Row],[OriginalBudget20]]=0, IF(SummaryTable[[#This Row],[DiffAmount20]]=0, ZeroBudgetNoSpending, ZeroBudgetWithSpending), SummaryTable[[#This Row],[DiffAmount20]]/SummaryTable[[#This Row],[OriginalBudget20]])</f>
        <v>#N/A</v>
      </c>
      <c r="BS178" s="62" t="e">
        <f>IF(COUNTIFS(allFYsTable[Code], SummaryTable[[#This Row],[Code]], allFYsTable[year2], BS$3)=0, NotFound, SUMIFS(allFYsTable[OriginalBudget], allFYsTable[Code], SummaryTable[[#This Row],[Code]], allFYsTable[year2], BS$3))</f>
        <v>#N/A</v>
      </c>
      <c r="BT178" s="61" t="e">
        <f>SummaryTable[[#This Row],[OriginalBudget19]]-SummaryTable[[#This Row],[OriginalBudget18]]</f>
        <v>#N/A</v>
      </c>
      <c r="BU178" s="54" t="e">
        <f>SummaryTable[[#This Row],[BudgetIncreaseAmount19]]/SummaryTable[[#This Row],[OriginalBudget18]]</f>
        <v>#N/A</v>
      </c>
      <c r="BV178" s="61" t="e">
        <f>IF(COUNTIFS(allFYsTable[Code], SummaryTable[[#This Row],[Code]], allFYsTable[year2], BS$3)=0, NotFound, SUMIFS(allFYsTable[RevisedBudget], allFYsTable[Code], SummaryTable[[#This Row],[Code]], allFYsTable[year2], BS$3))</f>
        <v>#N/A</v>
      </c>
      <c r="BW178" s="61" t="e">
        <f>IF(COUNTIFS(allFYsTable[Code], SummaryTable[[#This Row],[Code]], allFYsTable[year2], BS$3)=0, NotFound, SUMIFS(allFYsTable[Actual], allFYsTable[Code], SummaryTable[[#This Row],[Code]], allFYsTable[year2], BS$3))</f>
        <v>#N/A</v>
      </c>
      <c r="BX178" s="61" t="e">
        <f>IF(COUNTIFS(allFYsTable[Code], SummaryTable[[#This Row],[Code]], allFYsTable[year2], BS$3)=0, NotFound, SUMIFS(allFYsTable[DiffAmount], allFYsTable[Code], SummaryTable[[#This Row],[Code]], allFYsTable[year2], BS$3))</f>
        <v>#N/A</v>
      </c>
      <c r="BY178" s="63" t="e">
        <f>IF(SummaryTable[[#This Row],[OriginalBudget19]]=0, IF(SummaryTable[[#This Row],[DiffAmount19]]=0, ZeroBudgetNoSpending, ZeroBudgetWithSpending), SummaryTable[[#This Row],[DiffAmount19]]/SummaryTable[[#This Row],[OriginalBudget19]])</f>
        <v>#N/A</v>
      </c>
      <c r="BZ178" s="62" t="e">
        <f>IF(COUNTIFS(allFYsTable[Code], SummaryTable[[#This Row],[Code]], allFYsTable[year2], BZ$3)=0, NotFound, SUMIFS(allFYsTable[OriginalBudget], allFYsTable[Code], SummaryTable[[#This Row],[Code]], allFYsTable[year2], BZ$3))</f>
        <v>#N/A</v>
      </c>
      <c r="CA178" s="61" t="e">
        <f>SummaryTable[[#This Row],[OriginalBudget18]]-SummaryTable[[#This Row],[OriginalBudget17]]</f>
        <v>#N/A</v>
      </c>
      <c r="CB178" s="54" t="e">
        <f>SummaryTable[[#This Row],[BudgetIncreaseAmount18]]/SummaryTable[[#This Row],[OriginalBudget17]]</f>
        <v>#N/A</v>
      </c>
      <c r="CC178" s="61" t="e">
        <f>IF(COUNTIFS(allFYsTable[Code], SummaryTable[[#This Row],[Code]], allFYsTable[year2], BZ$3)=0, NotFound, SUMIFS(allFYsTable[RevisedBudget], allFYsTable[Code], SummaryTable[[#This Row],[Code]], allFYsTable[year2], BZ$3))</f>
        <v>#N/A</v>
      </c>
      <c r="CD178" s="61" t="e">
        <f>IF(COUNTIFS(allFYsTable[Code], SummaryTable[[#This Row],[Code]], allFYsTable[year2], BZ$3)=0, NotFound, SUMIFS(allFYsTable[Actual], allFYsTable[Code], SummaryTable[[#This Row],[Code]], allFYsTable[year2], BZ$3))</f>
        <v>#N/A</v>
      </c>
      <c r="CE178" s="61" t="e">
        <f>IF(COUNTIFS(allFYsTable[Code], SummaryTable[[#This Row],[Code]], allFYsTable[year2], BZ$3)=0, NotFound, SUMIFS(allFYsTable[DiffAmount], allFYsTable[Code], SummaryTable[[#This Row],[Code]], allFYsTable[year2], BZ$3))</f>
        <v>#N/A</v>
      </c>
      <c r="CF178" s="63" t="e">
        <f>IF(SummaryTable[[#This Row],[OriginalBudget18]]=0, IF(SummaryTable[[#This Row],[DiffAmount18]]=0, ZeroBudgetNoSpending, ZeroBudgetWithSpending), SummaryTable[[#This Row],[DiffAmount18]]/SummaryTable[[#This Row],[OriginalBudget18]])</f>
        <v>#N/A</v>
      </c>
      <c r="CG178" s="62" t="e">
        <f>IF(COUNTIFS(allFYsTable[Code], SummaryTable[[#This Row],[Code]], allFYsTable[year2], CG$3)=0, NotFound, SUMIFS(allFYsTable[OriginalBudget], allFYsTable[Code], SummaryTable[[#This Row],[Code]], allFYsTable[year2], CG$3))</f>
        <v>#N/A</v>
      </c>
      <c r="CH178" s="61" t="e">
        <f>SummaryTable[[#This Row],[OriginalBudget17]]-SummaryTable[[#This Row],[OriginalBudget16]]</f>
        <v>#N/A</v>
      </c>
      <c r="CI178" s="54" t="e">
        <f>SummaryTable[[#This Row],[BudgetIncreaseAmount17]]/SummaryTable[[#This Row],[OriginalBudget16]]</f>
        <v>#N/A</v>
      </c>
      <c r="CJ178" s="61" t="e">
        <f>IF(COUNTIFS(allFYsTable[Code], SummaryTable[[#This Row],[Code]], allFYsTable[year2], CG$3)=0, NotFound, SUMIFS(allFYsTable[RevisedBudget], allFYsTable[Code], SummaryTable[[#This Row],[Code]], allFYsTable[year2], CG$3))</f>
        <v>#N/A</v>
      </c>
      <c r="CK178" s="61" t="e">
        <f>IF(COUNTIFS(allFYsTable[Code], SummaryTable[[#This Row],[Code]], allFYsTable[year2], CG$3)=0, NotFound, SUMIFS(allFYsTable[Actual], allFYsTable[Code], SummaryTable[[#This Row],[Code]], allFYsTable[year2], CG$3))</f>
        <v>#N/A</v>
      </c>
      <c r="CL178" s="61" t="e">
        <f>IF(COUNTIFS(allFYsTable[Code], SummaryTable[[#This Row],[Code]], allFYsTable[year2], CG$3)=0, NotFound, SUMIFS(allFYsTable[DiffAmount], allFYsTable[Code], SummaryTable[[#This Row],[Code]], allFYsTable[year2], CG$3))</f>
        <v>#N/A</v>
      </c>
      <c r="CM178" s="63" t="e">
        <f>IF(SummaryTable[[#This Row],[OriginalBudget17]]=0, IF(SummaryTable[[#This Row],[DiffAmount17]]=0, ZeroBudgetNoSpending, ZeroBudgetWithSpending), SummaryTable[[#This Row],[DiffAmount17]]/SummaryTable[[#This Row],[OriginalBudget17]])</f>
        <v>#N/A</v>
      </c>
      <c r="CN178" s="62" t="e">
        <f>IF(COUNTIFS(allFYsTable[Code], SummaryTable[[#This Row],[Code]], allFYsTable[year2], CN$3)=0, NotFound, SUMIFS(allFYsTable[OriginalBudget], allFYsTable[Code], SummaryTable[[#This Row],[Code]], allFYsTable[year2], CN$3))</f>
        <v>#N/A</v>
      </c>
      <c r="CO178" s="61" t="e">
        <f>SummaryTable[[#This Row],[OriginalBudget16]]-SummaryTable[[#This Row],[OriginalBudget15]]</f>
        <v>#N/A</v>
      </c>
      <c r="CP178" s="54" t="e">
        <f>SummaryTable[[#This Row],[BudgetIncreaseAmount16]]/SummaryTable[[#This Row],[OriginalBudget15]]</f>
        <v>#N/A</v>
      </c>
      <c r="CQ178" s="61" t="e">
        <f>IF(COUNTIFS(allFYsTable[Code], SummaryTable[[#This Row],[Code]], allFYsTable[year2], CN$3)=0, NotFound, SUMIFS(allFYsTable[RevisedBudget], allFYsTable[Code], SummaryTable[[#This Row],[Code]], allFYsTable[year2], CN$3))</f>
        <v>#N/A</v>
      </c>
      <c r="CR178" s="61" t="e">
        <f>IF(COUNTIFS(allFYsTable[Code], SummaryTable[[#This Row],[Code]], allFYsTable[year2], CN$3)=0, NotFound, SUMIFS(allFYsTable[Actual], allFYsTable[Code], SummaryTable[[#This Row],[Code]], allFYsTable[year2], CN$3))</f>
        <v>#N/A</v>
      </c>
      <c r="CS178" s="61" t="e">
        <f>IF(COUNTIFS(allFYsTable[Code], SummaryTable[[#This Row],[Code]], allFYsTable[year2], CN$3)=0, NotFound, SUMIFS(allFYsTable[DiffAmount], allFYsTable[Code], SummaryTable[[#This Row],[Code]], allFYsTable[year2], CN$3))</f>
        <v>#N/A</v>
      </c>
      <c r="CT178" s="63" t="e">
        <f>IF(SummaryTable[[#This Row],[OriginalBudget16]]=0, IF(SummaryTable[[#This Row],[DiffAmount16]]=0, ZeroBudgetNoSpending, ZeroBudgetWithSpending), SummaryTable[[#This Row],[DiffAmount16]]/SummaryTable[[#This Row],[OriginalBudget16]])</f>
        <v>#N/A</v>
      </c>
      <c r="CU178" s="62" t="e">
        <f>IF(COUNTIFS(allFYsTable[Code], SummaryTable[[#This Row],[Code]], allFYsTable[year2], CU$3)=0, NotFound, SUMIFS(allFYsTable[OriginalBudget], allFYsTable[Code], SummaryTable[[#This Row],[Code]], allFYsTable[year2], CU$3))</f>
        <v>#N/A</v>
      </c>
      <c r="CV178" s="61" t="e">
        <f>SummaryTable[[#This Row],[OriginalBudget15]]-SummaryTable[[#This Row],[OriginalBudget14]]</f>
        <v>#N/A</v>
      </c>
      <c r="CW178" s="54" t="e">
        <f>SummaryTable[[#This Row],[BudgetIncreaseAmount15]]/SummaryTable[[#This Row],[OriginalBudget14]]</f>
        <v>#N/A</v>
      </c>
      <c r="CX178" s="61" t="e">
        <f>IF(COUNTIFS(allFYsTable[Code], SummaryTable[[#This Row],[Code]], allFYsTable[year2], CU$3)=0, NotFound, SUMIFS(allFYsTable[RevisedBudget], allFYsTable[Code], SummaryTable[[#This Row],[Code]], allFYsTable[year2], CU$3))</f>
        <v>#N/A</v>
      </c>
      <c r="CY178" s="61" t="e">
        <f>IF(COUNTIFS(allFYsTable[Code], SummaryTable[[#This Row],[Code]], allFYsTable[year2], CU$3)=0, NotFound, SUMIFS(allFYsTable[Actual], allFYsTable[Code], SummaryTable[[#This Row],[Code]], allFYsTable[year2], CU$3))</f>
        <v>#N/A</v>
      </c>
      <c r="CZ178" s="61" t="e">
        <f>IF(COUNTIFS(allFYsTable[Code], SummaryTable[[#This Row],[Code]], allFYsTable[year2], CU$3)=0, NotFound, SUMIFS(allFYsTable[DiffAmount], allFYsTable[Code], SummaryTable[[#This Row],[Code]], allFYsTable[year2], CU$3))</f>
        <v>#N/A</v>
      </c>
      <c r="DA178" s="63" t="e">
        <f>IF(SummaryTable[[#This Row],[OriginalBudget15]]=0, IF(SummaryTable[[#This Row],[DiffAmount15]]=0, ZeroBudgetNoSpending, ZeroBudgetWithSpending), SummaryTable[[#This Row],[DiffAmount15]]/SummaryTable[[#This Row],[OriginalBudget15]])</f>
        <v>#N/A</v>
      </c>
      <c r="DB178" s="62" t="e">
        <f>IF(COUNTIFS(allFYsTable[Code], SummaryTable[[#This Row],[Code]], allFYsTable[year2], DB$3)=0, NotFound, SUMIFS(allFYsTable[OriginalBudget], allFYsTable[Code], SummaryTable[[#This Row],[Code]], allFYsTable[year2], DB$3))</f>
        <v>#N/A</v>
      </c>
      <c r="DC178" s="61" t="e">
        <f>SummaryTable[[#This Row],[OriginalBudget14]]-SummaryTable[[#This Row],[OriginalBudget13]]</f>
        <v>#N/A</v>
      </c>
      <c r="DD178" s="54" t="e">
        <f>SummaryTable[[#This Row],[BudgetIncreaseAmount14]]/SummaryTable[[#This Row],[OriginalBudget13]]</f>
        <v>#N/A</v>
      </c>
      <c r="DE178" s="61" t="e">
        <f>IF(COUNTIFS(allFYsTable[Code], SummaryTable[[#This Row],[Code]], allFYsTable[year2], DB$3)=0, NotFound, SUMIFS(allFYsTable[RevisedBudget], allFYsTable[Code], SummaryTable[[#This Row],[Code]], allFYsTable[year2], DB$3))</f>
        <v>#N/A</v>
      </c>
      <c r="DF178" s="61" t="e">
        <f>IF(COUNTIFS(allFYsTable[Code], SummaryTable[[#This Row],[Code]], allFYsTable[year2], DB$3)=0, NotFound, SUMIFS(allFYsTable[Actual], allFYsTable[Code], SummaryTable[[#This Row],[Code]], allFYsTable[year2], DB$3))</f>
        <v>#N/A</v>
      </c>
      <c r="DG178" s="61" t="e">
        <f>IF(COUNTIFS(allFYsTable[Code], SummaryTable[[#This Row],[Code]], allFYsTable[year2], DB$3)=0, NotFound, SUMIFS(allFYsTable[DiffAmount], allFYsTable[Code], SummaryTable[[#This Row],[Code]], allFYsTable[year2], DB$3))</f>
        <v>#N/A</v>
      </c>
      <c r="DH178" s="63" t="e">
        <f>IF(SummaryTable[[#This Row],[OriginalBudget14]]=0, IF(SummaryTable[[#This Row],[DiffAmount14]]=0, ZeroBudgetNoSpending, ZeroBudgetWithSpending), SummaryTable[[#This Row],[DiffAmount14]]/SummaryTable[[#This Row],[OriginalBudget14]])</f>
        <v>#N/A</v>
      </c>
      <c r="DI178" s="62" t="e">
        <f>IF(COUNTIFS(allFYsTable[Code], SummaryTable[[#This Row],[Code]], allFYsTable[year2], DI$3)=0, NotFound, SUMIFS(allFYsTable[OriginalBudget], allFYsTable[Code], SummaryTable[[#This Row],[Code]], allFYsTable[year2], DI$3))</f>
        <v>#N/A</v>
      </c>
      <c r="DJ178" s="61" t="e">
        <f>SummaryTable[[#This Row],[OriginalBudget13]]-SummaryTable[[#This Row],[OriginalBudget12]]</f>
        <v>#N/A</v>
      </c>
      <c r="DK178" s="54" t="e">
        <f>SummaryTable[[#This Row],[BudgetIncreaseAmount13]]/SummaryTable[[#This Row],[OriginalBudget12]]</f>
        <v>#N/A</v>
      </c>
      <c r="DL178" s="61" t="e">
        <f>IF(COUNTIFS(allFYsTable[Code], SummaryTable[[#This Row],[Code]], allFYsTable[year2], DI$3)=0, NotFound, SUMIFS(allFYsTable[RevisedBudget], allFYsTable[Code], SummaryTable[[#This Row],[Code]], allFYsTable[year2], DI$3))</f>
        <v>#N/A</v>
      </c>
      <c r="DM178" s="61" t="e">
        <f>IF(COUNTIFS(allFYsTable[Code], SummaryTable[[#This Row],[Code]], allFYsTable[year2], DI$3)=0, NotFound, SUMIFS(allFYsTable[Actual], allFYsTable[Code], SummaryTable[[#This Row],[Code]], allFYsTable[year2], DI$3))</f>
        <v>#N/A</v>
      </c>
      <c r="DN178" s="61" t="e">
        <f>IF(COUNTIFS(allFYsTable[Code], SummaryTable[[#This Row],[Code]], allFYsTable[year2], DI$3)=0, NotFound, SUMIFS(allFYsTable[DiffAmount], allFYsTable[Code], SummaryTable[[#This Row],[Code]], allFYsTable[year2], DI$3))</f>
        <v>#N/A</v>
      </c>
      <c r="DO178" s="63" t="e">
        <f>IF(SummaryTable[[#This Row],[OriginalBudget13]]=0, IF(SummaryTable[[#This Row],[DiffAmount13]]=0, ZeroBudgetNoSpending, ZeroBudgetWithSpending), SummaryTable[[#This Row],[DiffAmount13]]/SummaryTable[[#This Row],[OriginalBudget13]])</f>
        <v>#N/A</v>
      </c>
      <c r="DP178" s="62" t="e">
        <f>IF(COUNTIFS(allFYsTable[Code], SummaryTable[[#This Row],[Code]], allFYsTable[year2], DP$3)=0, NotFound, SUMIFS(allFYsTable[OriginalBudget], allFYsTable[Code], SummaryTable[[#This Row],[Code]], allFYsTable[year2], DP$3))</f>
        <v>#N/A</v>
      </c>
      <c r="DQ178" s="61" t="e">
        <f>SummaryTable[[#This Row],[OriginalBudget12]]-SummaryTable[[#This Row],[OriginalBudget11]]</f>
        <v>#N/A</v>
      </c>
      <c r="DR178" s="54" t="e">
        <f>SummaryTable[[#This Row],[BudgetIncreaseAmount12]]/SummaryTable[[#This Row],[OriginalBudget11]]</f>
        <v>#N/A</v>
      </c>
      <c r="DS178" s="61" t="e">
        <f>IF(COUNTIFS(allFYsTable[Code], SummaryTable[[#This Row],[Code]], allFYsTable[year2], DP$3)=0, NotFound, SUMIFS(allFYsTable[RevisedBudget], allFYsTable[Code], SummaryTable[[#This Row],[Code]], allFYsTable[year2], DP$3))</f>
        <v>#N/A</v>
      </c>
      <c r="DT178" s="61" t="e">
        <f>IF(COUNTIFS(allFYsTable[Code], SummaryTable[[#This Row],[Code]], allFYsTable[year2], DP$3)=0, NotFound, SUMIFS(allFYsTable[Actual], allFYsTable[Code], SummaryTable[[#This Row],[Code]], allFYsTable[year2], DP$3))</f>
        <v>#N/A</v>
      </c>
      <c r="DU178" s="61" t="e">
        <f>IF(COUNTIFS(allFYsTable[Code], SummaryTable[[#This Row],[Code]], allFYsTable[year2], DP$3)=0, NotFound, SUMIFS(allFYsTable[DiffAmount], allFYsTable[Code], SummaryTable[[#This Row],[Code]], allFYsTable[year2], DP$3))</f>
        <v>#N/A</v>
      </c>
      <c r="DV178" s="63" t="e">
        <f>IF(SummaryTable[[#This Row],[OriginalBudget12]]=0, IF(SummaryTable[[#This Row],[DiffAmount12]]=0, ZeroBudgetNoSpending, ZeroBudgetWithSpending), SummaryTable[[#This Row],[DiffAmount12]]/SummaryTable[[#This Row],[OriginalBudget12]])</f>
        <v>#N/A</v>
      </c>
      <c r="DW178" s="62" t="e">
        <f>IF(COUNTIFS(allFYsTable[Code], SummaryTable[[#This Row],[Code]], allFYsTable[year2], DW$3)=0, NotFound, SUMIFS(allFYsTable[OriginalBudget], allFYsTable[Code], SummaryTable[[#This Row],[Code]], allFYsTable[year2], DW$3))</f>
        <v>#N/A</v>
      </c>
      <c r="DX178" s="61" t="e">
        <f>SummaryTable[[#This Row],[OriginalBudget11]]-SummaryTable[[#This Row],[OriginalBudget10]]</f>
        <v>#N/A</v>
      </c>
      <c r="DY178" s="54" t="e">
        <f>SummaryTable[[#This Row],[BudgetIncreaseAmount11]]/SummaryTable[[#This Row],[OriginalBudget10]]</f>
        <v>#N/A</v>
      </c>
      <c r="DZ178" s="61" t="e">
        <f>IF(COUNTIFS(allFYsTable[Code], SummaryTable[[#This Row],[Code]], allFYsTable[year2], DW$3)=0, NotFound, SUMIFS(allFYsTable[RevisedBudget], allFYsTable[Code], SummaryTable[[#This Row],[Code]], allFYsTable[year2], DW$3))</f>
        <v>#N/A</v>
      </c>
      <c r="EA178" s="61" t="e">
        <f>IF(COUNTIFS(allFYsTable[Code], SummaryTable[[#This Row],[Code]], allFYsTable[year2], DW$3)=0, NotFound, SUMIFS(allFYsTable[Actual], allFYsTable[Code], SummaryTable[[#This Row],[Code]], allFYsTable[year2], DW$3))</f>
        <v>#N/A</v>
      </c>
      <c r="EB178" s="61" t="e">
        <f>IF(COUNTIFS(allFYsTable[Code], SummaryTable[[#This Row],[Code]], allFYsTable[year2], DW$3)=0, NotFound, SUMIFS(allFYsTable[DiffAmount], allFYsTable[Code], SummaryTable[[#This Row],[Code]], allFYsTable[year2], DW$3))</f>
        <v>#N/A</v>
      </c>
      <c r="EC178" s="63" t="e">
        <f>IF(SummaryTable[[#This Row],[OriginalBudget11]]=0, IF(SummaryTable[[#This Row],[DiffAmount11]]=0, ZeroBudgetNoSpending, ZeroBudgetWithSpending), SummaryTable[[#This Row],[DiffAmount11]]/SummaryTable[[#This Row],[OriginalBudget11]])</f>
        <v>#N/A</v>
      </c>
      <c r="ED178" s="62" t="e">
        <f>IF(COUNTIFS(allFYsTable[Code], SummaryTable[[#This Row],[Code]], allFYsTable[year2], ED$3)=0, NotFound, SUMIFS(allFYsTable[OriginalBudget], allFYsTable[Code], SummaryTable[[#This Row],[Code]], allFYsTable[year2], ED$3))</f>
        <v>#N/A</v>
      </c>
      <c r="EE178" s="61" t="e">
        <f>SummaryTable[[#This Row],[OriginalBudget10]]-SummaryTable[[#This Row],[OriginalBudget09]]</f>
        <v>#N/A</v>
      </c>
      <c r="EF178" s="54" t="e">
        <f>SummaryTable[[#This Row],[BudgetIncreaseAmount10]]/SummaryTable[[#This Row],[OriginalBudget09]]</f>
        <v>#N/A</v>
      </c>
      <c r="EG178" s="61" t="e">
        <f>IF(COUNTIFS(allFYsTable[Code], SummaryTable[[#This Row],[Code]], allFYsTable[year2], ED$3)=0, NotFound, SUMIFS(allFYsTable[RevisedBudget], allFYsTable[Code], SummaryTable[[#This Row],[Code]], allFYsTable[year2], ED$3))</f>
        <v>#N/A</v>
      </c>
      <c r="EH178" s="61" t="e">
        <f>IF(COUNTIFS(allFYsTable[Code], SummaryTable[[#This Row],[Code]], allFYsTable[year2], ED$3)=0, NotFound, SUMIFS(allFYsTable[Actual], allFYsTable[Code], SummaryTable[[#This Row],[Code]], allFYsTable[year2], ED$3))</f>
        <v>#N/A</v>
      </c>
      <c r="EI178" s="61" t="e">
        <f>IF(COUNTIFS(allFYsTable[Code], SummaryTable[[#This Row],[Code]], allFYsTable[year2], ED$3)=0, NotFound, SUMIFS(allFYsTable[DiffAmount], allFYsTable[Code], SummaryTable[[#This Row],[Code]], allFYsTable[year2], ED$3))</f>
        <v>#N/A</v>
      </c>
      <c r="EJ178" s="63" t="e">
        <f>IF(SummaryTable[[#This Row],[OriginalBudget10]]=0, IF(SummaryTable[[#This Row],[DiffAmount10]]=0, ZeroBudgetNoSpending, ZeroBudgetWithSpending), SummaryTable[[#This Row],[DiffAmount10]]/SummaryTable[[#This Row],[OriginalBudget10]])</f>
        <v>#N/A</v>
      </c>
      <c r="EK178" s="62" t="e">
        <f>IF(COUNTIFS(allFYsTable[Code], SummaryTable[[#This Row],[Code]], allFYsTable[year2], EK$3)=0, NotFound, SUMIFS(allFYsTable[OriginalBudget], allFYsTable[Code], SummaryTable[[#This Row],[Code]], allFYsTable[year2], EK$3))</f>
        <v>#N/A</v>
      </c>
      <c r="EL178" s="61" t="e">
        <f>SummaryTable[[#This Row],[OriginalBudget09]]-SummaryTable[[#This Row],[OriginalBudget08]]</f>
        <v>#N/A</v>
      </c>
      <c r="EM178" s="54" t="e">
        <f>SummaryTable[[#This Row],[BudgetIncreaseAmount09]]/SummaryTable[[#This Row],[OriginalBudget08]]</f>
        <v>#N/A</v>
      </c>
      <c r="EN178" s="61" t="e">
        <f>IF(COUNTIFS(allFYsTable[Code], SummaryTable[[#This Row],[Code]], allFYsTable[year2], EK$3)=0, NotFound, SUMIFS(allFYsTable[RevisedBudget], allFYsTable[Code], SummaryTable[[#This Row],[Code]], allFYsTable[year2], EK$3))</f>
        <v>#N/A</v>
      </c>
      <c r="EO178" s="61" t="e">
        <f>IF(COUNTIFS(allFYsTable[Code], SummaryTable[[#This Row],[Code]], allFYsTable[year2], EK$3)=0, NotFound, SUMIFS(allFYsTable[Actual], allFYsTable[Code], SummaryTable[[#This Row],[Code]], allFYsTable[year2], EK$3))</f>
        <v>#N/A</v>
      </c>
      <c r="EP178" s="61" t="e">
        <f>IF(COUNTIFS(allFYsTable[Code], SummaryTable[[#This Row],[Code]], allFYsTable[year2], EK$3)=0, NotFound, SUMIFS(allFYsTable[DiffAmount], allFYsTable[Code], SummaryTable[[#This Row],[Code]], allFYsTable[year2], EK$3))</f>
        <v>#N/A</v>
      </c>
      <c r="EQ178" s="63" t="e">
        <f>IF(SummaryTable[[#This Row],[OriginalBudget09]]=0, IF(SummaryTable[[#This Row],[DiffAmount09]]=0, ZeroBudgetNoSpending, ZeroBudgetWithSpending), SummaryTable[[#This Row],[DiffAmount09]]/SummaryTable[[#This Row],[OriginalBudget09]])</f>
        <v>#N/A</v>
      </c>
      <c r="ER178" s="62">
        <f>IF(COUNTIFS(allFYsTable[Code], SummaryTable[[#This Row],[Code]], allFYsTable[year2], ER$3)=0, NotFound, SUMIFS(allFYsTable[OriginalBudget], allFYsTable[Code], SummaryTable[[#This Row],[Code]], allFYsTable[year2], ER$3))</f>
        <v>0</v>
      </c>
      <c r="ES178" s="61" t="e">
        <f>SummaryTable[[#This Row],[OriginalBudget08]]-SummaryTable[[#This Row],[OriginalBudget07]]</f>
        <v>#N/A</v>
      </c>
      <c r="ET178" s="54" t="e">
        <f>SummaryTable[[#This Row],[BudgetIncreaseAmount08]]/SummaryTable[[#This Row],[OriginalBudget07]]</f>
        <v>#N/A</v>
      </c>
      <c r="EU178" s="61">
        <f>IF(COUNTIFS(allFYsTable[Code], SummaryTable[[#This Row],[Code]], allFYsTable[year2], ER$3)=0, NotFound, SUMIFS(allFYsTable[RevisedBudget], allFYsTable[Code], SummaryTable[[#This Row],[Code]], allFYsTable[year2], ER$3))</f>
        <v>171</v>
      </c>
      <c r="EV178" s="61">
        <f>IF(COUNTIFS(allFYsTable[Code], SummaryTable[[#This Row],[Code]], allFYsTable[year2], ER$3)=0, NotFound, SUMIFS(allFYsTable[Actual], allFYsTable[Code], SummaryTable[[#This Row],[Code]], allFYsTable[year2], ER$3))</f>
        <v>171</v>
      </c>
      <c r="EW178" s="61">
        <f>IF(COUNTIFS(allFYsTable[Code], SummaryTable[[#This Row],[Code]], allFYsTable[year2], ER$3)=0, NotFound, SUMIFS(allFYsTable[DiffAmount], allFYsTable[Code], SummaryTable[[#This Row],[Code]], allFYsTable[year2], ER$3))</f>
        <v>171</v>
      </c>
      <c r="EX178" s="63">
        <f>IF(SummaryTable[[#This Row],[OriginalBudget08]]=0, IF(SummaryTable[[#This Row],[DiffAmount08]]=0, ZeroBudgetNoSpending, ZeroBudgetWithSpending), SummaryTable[[#This Row],[DiffAmount08]]/SummaryTable[[#This Row],[OriginalBudget08]])</f>
        <v>99.99</v>
      </c>
      <c r="EY178" s="62" t="e">
        <f>IF(COUNTIFS(allFYsTable[Code], SummaryTable[[#This Row],[Code]], allFYsTable[year2], EY$3)=0, NotFound, SUMIFS(allFYsTable[OriginalBudget], allFYsTable[Code], SummaryTable[[#This Row],[Code]], allFYsTable[year2], EY$3))</f>
        <v>#N/A</v>
      </c>
      <c r="EZ178" s="61" t="e">
        <f>SummaryTable[[#This Row],[OriginalBudget07]]-SummaryTable[[#This Row],[OriginalBudget06]]</f>
        <v>#N/A</v>
      </c>
      <c r="FA178" s="54" t="e">
        <f>SummaryTable[[#This Row],[BudgetIncreaseAmount07]]/SummaryTable[[#This Row],[OriginalBudget06]]</f>
        <v>#N/A</v>
      </c>
      <c r="FB178" s="61" t="e">
        <f>IF(COUNTIFS(allFYsTable[Code], SummaryTable[[#This Row],[Code]], allFYsTable[year2], EY$3)=0, NotFound, SUMIFS(allFYsTable[RevisedBudget], allFYsTable[Code], SummaryTable[[#This Row],[Code]], allFYsTable[year2], EY$3))</f>
        <v>#N/A</v>
      </c>
      <c r="FC178" s="61" t="e">
        <f>IF(COUNTIFS(allFYsTable[Code], SummaryTable[[#This Row],[Code]], allFYsTable[year2], EY$3)=0, NotFound, SUMIFS(allFYsTable[Actual], allFYsTable[Code], SummaryTable[[#This Row],[Code]], allFYsTable[year2], EY$3))</f>
        <v>#N/A</v>
      </c>
      <c r="FD178" s="61" t="e">
        <f>IF(COUNTIFS(allFYsTable[Code], SummaryTable[[#This Row],[Code]], allFYsTable[year2], EY$3)=0, NotFound, SUMIFS(allFYsTable[DiffAmount], allFYsTable[Code], SummaryTable[[#This Row],[Code]], allFYsTable[year2], EY$3))</f>
        <v>#N/A</v>
      </c>
      <c r="FE178" s="63" t="e">
        <f>IF(SummaryTable[[#This Row],[OriginalBudget07]]=0, IF(SummaryTable[[#This Row],[DiffAmount07]]=0, ZeroBudgetNoSpending, ZeroBudgetWithSpending), SummaryTable[[#This Row],[DiffAmount07]]/SummaryTable[[#This Row],[OriginalBudget07]])</f>
        <v>#N/A</v>
      </c>
      <c r="FF178" s="62" t="e">
        <f>IF(COUNTIFS(allFYsTable[Code], SummaryTable[[#This Row],[Code]], allFYsTable[year2], FF$3)=0, NotFound, SUMIFS(allFYsTable[OriginalBudget], allFYsTable[Code], SummaryTable[[#This Row],[Code]], allFYsTable[year2], FF$3))</f>
        <v>#N/A</v>
      </c>
      <c r="FI178" s="61" t="e">
        <f>IF(COUNTIFS(allFYsTable[Code], SummaryTable[[#This Row],[Code]], allFYsTable[year2], FF$3)=0, NotFound, SUMIFS(allFYsTable[RevisedBudget], allFYsTable[Code], SummaryTable[[#This Row],[Code]], allFYsTable[year2], FF$3))</f>
        <v>#N/A</v>
      </c>
      <c r="FJ178" s="61" t="e">
        <f>IF(COUNTIFS(allFYsTable[Code], SummaryTable[[#This Row],[Code]], allFYsTable[year2], FF$3)=0, NotFound, SUMIFS(allFYsTable[Actual], allFYsTable[Code], SummaryTable[[#This Row],[Code]], allFYsTable[year2], FF$3))</f>
        <v>#N/A</v>
      </c>
      <c r="FK178" s="61" t="e">
        <f>IF(COUNTIFS(allFYsTable[Code], SummaryTable[[#This Row],[Code]], allFYsTable[year2], FF$3)=0, NotFound, SUMIFS(allFYsTable[DiffAmount], allFYsTable[Code], SummaryTable[[#This Row],[Code]], allFYsTable[year2], FF$3))</f>
        <v>#N/A</v>
      </c>
      <c r="FL178" s="63" t="e">
        <f>IF(SummaryTable[[#This Row],[OriginalBudget06]]=0, IF(SummaryTable[[#This Row],[DiffAmount06]]=0, ZeroBudgetNoSpending, ZeroBudgetWithSpending), SummaryTable[[#This Row],[DiffAmount06]]/SummaryTable[[#This Row],[OriginalBudget06]])</f>
        <v>#N/A</v>
      </c>
    </row>
    <row r="179" spans="1:168" x14ac:dyDescent="0.45">
      <c r="A179" t="s">
        <v>827</v>
      </c>
      <c r="B179">
        <f>_xlfn.MAXIFS(allFYsTable[year2], allFYsTable[Code], SummaryTable[[#This Row],[Code]])</f>
        <v>2007</v>
      </c>
      <c r="C179" t="str">
        <f>_xlfn.XLOOKUP(SummaryTable[[#This Row],[Code]], NameCodingTable[Code], NameCodingTable[Most Recent Category per allFYs])</f>
        <v>Economic development and regulation</v>
      </c>
      <c r="D179" t="str">
        <f>_xlfn.XLOOKUP(SummaryTable[[#This Row],[Code]], NameCodingTable[Code], NameCodingTable[Unit Display Name])</f>
        <v>Anacostia waterfront corp</v>
      </c>
      <c r="E179" t="str">
        <f>_xlfn.XLOOKUP(SummaryTable[[#This Row],[Code]], NameCodingTable[Code], NameCodingTable[Type])</f>
        <v>untyped</v>
      </c>
      <c r="F179"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v>
      </c>
      <c r="G179"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79" s="54">
        <f>SummaryTable[[#This Row],['# Over]]/SummaryTable[[#This Row],[Count]]</f>
        <v>0.5</v>
      </c>
      <c r="I179"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79" s="54">
        <f>SummaryTable[[#This Row],['# Under]]/SummaryTable[[#This Row],[Count]]</f>
        <v>0</v>
      </c>
      <c r="K179"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1</v>
      </c>
      <c r="L179" s="54">
        <f>SummaryTable[[#This Row],['# Equal]]/SummaryTable[[#This Row],[Count]]</f>
        <v>0.5</v>
      </c>
      <c r="M179" s="61">
        <f>SUMIFS(allFYsTable[OriginalBudget],allFYsTable[Code],SummaryTable[[#This Row],[Code]])/SummaryTable[[#This Row],[Count]]</f>
        <v>2500</v>
      </c>
      <c r="N179" s="61">
        <f>SUMIFS(allFYsTable[Actual],allFYsTable[Code],SummaryTable[[#This Row],[Code]])/SummaryTable[[#This Row],[Count]]</f>
        <v>6500</v>
      </c>
      <c r="O179" s="61">
        <f>SummaryTable[[#This Row],[AvgActAmt]]-SummaryTable[[#This Row],[AvgBudAmt]]</f>
        <v>4000</v>
      </c>
      <c r="P179" s="54">
        <f>IF(SummaryTable[[#This Row],[AvgBudAmt]]=0, IF(SummaryTable[[#This Row],[AvgDiff'#]]=0, 0, NamedFields!$C$3), SummaryTable[[#This Row],[AvgDiff'#]]/SummaryTable[[#This Row],[AvgBudAmt]])</f>
        <v>1.6</v>
      </c>
      <c r="Q179" s="61">
        <f>IFERROR(SUMIFS(allFYsTable[OriginalBudget],allFYsTable[Code],SummaryTable[[#This Row],[Code]],allFYsTable[DiffAmount], "&gt;0")/SummaryTable[[#This Row],['# Over]], 0)</f>
        <v>0</v>
      </c>
      <c r="R179" s="61">
        <f>IFERROR(SUMIFS(allFYsTable[Actual],allFYsTable[Code],SummaryTable[[#This Row],[Code]],allFYsTable[DiffAmount], "&gt;0")/SummaryTable[[#This Row],['# Over]], 0)</f>
        <v>8000</v>
      </c>
      <c r="S179" s="61">
        <f>SummaryTable[[#This Row],[OverAvgAct]]-SummaryTable[[#This Row],[OverAvgBud]]</f>
        <v>8000</v>
      </c>
      <c r="T179" s="54">
        <f>IF(SummaryTable[[#This Row],[OverAvgBud]]=0, IF(SummaryTable[[#This Row],[OverAvgDiff'#]]=0, ZeroBudgetNoSpending, ZeroBudgetWithSpending), SummaryTable[[#This Row],[OverAvgDiff'#]]/SummaryTable[[#This Row],[OverAvgBud]])</f>
        <v>99.99</v>
      </c>
      <c r="U179" s="61">
        <f>IFERROR(SUMIFS(allFYsTable[OriginalBudget],allFYsTable[Code],SummaryTable[[#This Row],[Code]],allFYsTable[DiffAmount], "&lt;0")/SummaryTable[[#This Row],['# Under]], 0)</f>
        <v>0</v>
      </c>
      <c r="V179" s="61">
        <f>IFERROR( SUMIFS(allFYsTable[Actual],allFYsTable[Code],SummaryTable[[#This Row],[Code]],allFYsTable[DiffAmount], "&lt;0")/SummaryTable[[#This Row],['# Under]], 0)</f>
        <v>0</v>
      </c>
      <c r="W179" s="61">
        <f>SummaryTable[[#This Row],[UnderAvgAct]]-SummaryTable[[#This Row],[UnderAvgBud]]</f>
        <v>0</v>
      </c>
      <c r="X179" s="54">
        <f>IF(SummaryTable[[#This Row],[UnderAvgBud]]=0, IF(SummaryTable[[#This Row],[UnderAvgDiff'#]]=0, ZeroBudgetNoSpending, NamedFields!$C$3), SummaryTable[[#This Row],[UnderAvgDiff'#]]/SummaryTable[[#This Row],[UnderAvgBud]])</f>
        <v>0</v>
      </c>
      <c r="Y179"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79"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79" s="54">
        <f>IF(SummaryTable[[#This Row],[IncreaseYears]]=0, ZeroBudgetNoSpending, SummaryTable[[#This Row],[OSinIncreaseYear'#]]/SummaryTable[[#This Row],[IncreaseYears]])</f>
        <v>0</v>
      </c>
      <c r="AB179" s="58" t="str">
        <f>SummaryTable[[#This Row],[Code]]</f>
        <v>AY0</v>
      </c>
      <c r="AC179" s="62" t="e">
        <f>IF(COUNTIFS(allFYsTable[Code], SummaryTable[[#This Row],[Code]], allFYsTable[year2], AC$3)=0, NotFound, SUMIFS(allFYsTable[OriginalBudget], allFYsTable[Code], SummaryTable[[#This Row],[Code]], allFYsTable[year2], AC$3))</f>
        <v>#N/A</v>
      </c>
      <c r="AD179" s="61" t="e">
        <f>SummaryTable[[#This Row],[OriginalBudget25]]-SummaryTable[[#This Row],[OriginalBudget24]]</f>
        <v>#N/A</v>
      </c>
      <c r="AE179" s="54" t="e">
        <f>SummaryTable[[#This Row],[BudgetIncreaseAmount25]]/SummaryTable[[#This Row],[OriginalBudget24]]</f>
        <v>#N/A</v>
      </c>
      <c r="AF179" s="61" t="e">
        <f>IF(COUNTIFS(allFYsTable[Code], SummaryTable[[#This Row],[Code]], allFYsTable[year2], AC$3)=0, NotFound, SUMIFS(allFYsTable[RevisedBudget], allFYsTable[Code], SummaryTable[[#This Row],[Code]], allFYsTable[year2], AC$3))</f>
        <v>#N/A</v>
      </c>
      <c r="AG179" s="61" t="e">
        <f>IF(COUNTIFS(allFYsTable[Code], SummaryTable[[#This Row],[Code]], allFYsTable[year2], AC$3)=0, NotFound, SUMIFS(allFYsTable[Actual], allFYsTable[Code], SummaryTable[[#This Row],[Code]], allFYsTable[year2], AC$3))</f>
        <v>#N/A</v>
      </c>
      <c r="AH179" s="61" t="e">
        <f>IF(COUNTIFS(allFYsTable[Code], SummaryTable[[#This Row],[Code]], allFYsTable[year2], AC$3)=0, NotFound, SUMIFS(allFYsTable[DiffAmount], allFYsTable[Code], SummaryTable[[#This Row],[Code]], allFYsTable[year2], AC$3))</f>
        <v>#N/A</v>
      </c>
      <c r="AI179" s="63" t="e">
        <f>IF(SummaryTable[[#This Row],[OriginalBudget25]]=0, IF(SummaryTable[[#This Row],[DiffAmount25]]=0, ZeroBudgetNoSpending, ZeroBudgetWithSpending), SummaryTable[[#This Row],[DiffAmount25]]/SummaryTable[[#This Row],[OriginalBudget25]])</f>
        <v>#N/A</v>
      </c>
      <c r="AJ179" s="62" t="e">
        <f>IF(COUNTIFS(allFYsTable[Code], SummaryTable[[#This Row],[Code]], allFYsTable[year2], AJ$3)=0, NotFound, SUMIFS(allFYsTable[OriginalBudget], allFYsTable[Code], SummaryTable[[#This Row],[Code]], allFYsTable[year2], AJ$3))</f>
        <v>#N/A</v>
      </c>
      <c r="AK179" s="61" t="e">
        <f>SummaryTable[[#This Row],[OriginalBudget24]]-SummaryTable[[#This Row],[OriginalBudget23]]</f>
        <v>#N/A</v>
      </c>
      <c r="AL179" s="54" t="e">
        <f>SummaryTable[[#This Row],[BudgetIncreaseAmount24]]/SummaryTable[[#This Row],[OriginalBudget23]]</f>
        <v>#N/A</v>
      </c>
      <c r="AM179" s="61" t="e">
        <f>IF(COUNTIFS(allFYsTable[Code], SummaryTable[[#This Row],[Code]], allFYsTable[year2], AK$3)=0, NotFound, SUMIFS(allFYsTable[RevisedBudget], allFYsTable[Code], SummaryTable[[#This Row],[Code]], allFYsTable[year2], AJ$3))</f>
        <v>#N/A</v>
      </c>
      <c r="AN179" s="61" t="e">
        <f>IF(COUNTIFS(allFYsTable[Code], SummaryTable[[#This Row],[Code]], allFYsTable[year2], AJ$3)=0, NotFound, SUMIFS(allFYsTable[Actual], allFYsTable[Code], SummaryTable[[#This Row],[Code]], allFYsTable[year2], AJ$3))</f>
        <v>#N/A</v>
      </c>
      <c r="AO179" s="61" t="e">
        <f>IF(COUNTIFS(allFYsTable[Code], SummaryTable[[#This Row],[Code]], allFYsTable[year2], AJ$3)=0, NotFound, SUMIFS(allFYsTable[DiffAmount], allFYsTable[Code], SummaryTable[[#This Row],[Code]], allFYsTable[year2], AJ$3))</f>
        <v>#N/A</v>
      </c>
      <c r="AP179" s="63" t="e">
        <f>IF(SummaryTable[[#This Row],[OriginalBudget24]]=0, IF(SummaryTable[[#This Row],[DiffAmount24]]=0, ZeroBudgetNoSpending, ZeroBudgetWithSpending), SummaryTable[[#This Row],[DiffAmount24]]/SummaryTable[[#This Row],[OriginalBudget24]])</f>
        <v>#N/A</v>
      </c>
      <c r="AQ179" s="62" t="e">
        <f>IF(COUNTIFS(allFYsTable[Code], SummaryTable[[#This Row],[Code]], allFYsTable[year2], AQ$3)=0, NotFound, SUMIFS(allFYsTable[OriginalBudget], allFYsTable[Code], SummaryTable[[#This Row],[Code]], allFYsTable[year2], AQ$3))</f>
        <v>#N/A</v>
      </c>
      <c r="AR179" s="61" t="e">
        <f>SummaryTable[[#This Row],[OriginalBudget23]]-SummaryTable[[#This Row],[OriginalBudget22]]</f>
        <v>#N/A</v>
      </c>
      <c r="AS179" s="54" t="e">
        <f>SummaryTable[[#This Row],[BudgetIncreaseAmount23]]/SummaryTable[[#This Row],[OriginalBudget22]]</f>
        <v>#N/A</v>
      </c>
      <c r="AT179" s="61" t="e">
        <f>IF(COUNTIFS(allFYsTable[Code], SummaryTable[[#This Row],[Code]], allFYsTable[year2], AQ$3)=0, NotFound, SUMIFS(allFYsTable[RevisedBudget], allFYsTable[Code], SummaryTable[[#This Row],[Code]], allFYsTable[year2], AQ$3))</f>
        <v>#N/A</v>
      </c>
      <c r="AU179" s="61" t="e">
        <f>IF(COUNTIFS(allFYsTable[Code], SummaryTable[[#This Row],[Code]], allFYsTable[year2], AQ$3)=0, NotFound, SUMIFS(allFYsTable[Actual], allFYsTable[Code], SummaryTable[[#This Row],[Code]], allFYsTable[year2], AQ$3))</f>
        <v>#N/A</v>
      </c>
      <c r="AV179" s="61" t="e">
        <f>IF(COUNTIFS(allFYsTable[Code], SummaryTable[[#This Row],[Code]], allFYsTable[year2], AQ$3)=0, NotFound, SUMIFS(allFYsTable[DiffAmount], allFYsTable[Code], SummaryTable[[#This Row],[Code]], allFYsTable[year2], AQ$3))</f>
        <v>#N/A</v>
      </c>
      <c r="AW179" s="63" t="e">
        <f>IF(SummaryTable[[#This Row],[OriginalBudget23]]=0, IF(SummaryTable[[#This Row],[DiffAmount23]]=0, ZeroBudgetNoSpending, ZeroBudgetWithSpending), SummaryTable[[#This Row],[DiffAmount23]]/SummaryTable[[#This Row],[OriginalBudget23]])</f>
        <v>#N/A</v>
      </c>
      <c r="AX179" s="62" t="e">
        <f>IF(COUNTIFS(allFYsTable[Code], SummaryTable[[#This Row],[Code]], allFYsTable[year2], AX$3)=0, NotFound, SUMIFS(allFYsTable[OriginalBudget], allFYsTable[Code], SummaryTable[[#This Row],[Code]], allFYsTable[year2], AX$3))</f>
        <v>#N/A</v>
      </c>
      <c r="AY179" s="61" t="e">
        <f>SummaryTable[[#This Row],[OriginalBudget22]]-SummaryTable[[#This Row],[OriginalBudget21]]</f>
        <v>#N/A</v>
      </c>
      <c r="AZ179" s="54" t="e">
        <f>SummaryTable[[#This Row],[BudgetIncreaseAmount22]]/SummaryTable[[#This Row],[OriginalBudget21]]</f>
        <v>#N/A</v>
      </c>
      <c r="BA179" s="61" t="e">
        <f>IF(COUNTIFS(allFYsTable[Code], SummaryTable[[#This Row],[Code]], allFYsTable[year2], AX$3)=0, NotFound, SUMIFS(allFYsTable[RevisedBudget], allFYsTable[Code], SummaryTable[[#This Row],[Code]], allFYsTable[year2], AX$3))</f>
        <v>#N/A</v>
      </c>
      <c r="BB179" s="61" t="e">
        <f>IF(COUNTIFS(allFYsTable[Code], SummaryTable[[#This Row],[Code]], allFYsTable[year2], AX$3)=0, NotFound, SUMIFS(allFYsTable[Actual], allFYsTable[Code], SummaryTable[[#This Row],[Code]], allFYsTable[year2], AX$3))</f>
        <v>#N/A</v>
      </c>
      <c r="BC179" s="61" t="e">
        <f>IF(COUNTIFS(allFYsTable[Code], SummaryTable[[#This Row],[Code]], allFYsTable[year2], AX$3)=0, NotFound, SUMIFS(allFYsTable[DiffAmount], allFYsTable[Code], SummaryTable[[#This Row],[Code]], allFYsTable[year2], AX$3))</f>
        <v>#N/A</v>
      </c>
      <c r="BD179" s="63" t="e">
        <f>IF(SummaryTable[[#This Row],[OriginalBudget22]]=0, IF(SummaryTable[[#This Row],[DiffAmount22]]=0, ZeroBudgetNoSpending, ZeroBudgetWithSpending), SummaryTable[[#This Row],[DiffAmount22]]/SummaryTable[[#This Row],[OriginalBudget22]])</f>
        <v>#N/A</v>
      </c>
      <c r="BE179" s="62" t="e">
        <f>IF(COUNTIFS(allFYsTable[Code], SummaryTable[[#This Row],[Code]], allFYsTable[year2], BE$3)=0, NotFound, SUMIFS(allFYsTable[OriginalBudget], allFYsTable[Code], SummaryTable[[#This Row],[Code]], allFYsTable[year2], BE$3))</f>
        <v>#N/A</v>
      </c>
      <c r="BF179" s="61" t="e">
        <f>SummaryTable[[#This Row],[OriginalBudget21]]-SummaryTable[[#This Row],[OriginalBudget20]]</f>
        <v>#N/A</v>
      </c>
      <c r="BG179" s="54" t="e">
        <f>SummaryTable[[#This Row],[BudgetIncreaseAmount21]]/SummaryTable[[#This Row],[OriginalBudget20]]</f>
        <v>#N/A</v>
      </c>
      <c r="BH179" s="61" t="e">
        <f>IF(COUNTIFS(allFYsTable[Code], SummaryTable[[#This Row],[Code]], allFYsTable[year2], BE$3)=0, NotFound, SUMIFS(allFYsTable[RevisedBudget], allFYsTable[Code], SummaryTable[[#This Row],[Code]], allFYsTable[year2], BE$3))</f>
        <v>#N/A</v>
      </c>
      <c r="BI179" s="61" t="e">
        <f>IF(COUNTIFS(allFYsTable[Code], SummaryTable[[#This Row],[Code]], allFYsTable[year2], BE$3)=0, NotFound, SUMIFS(allFYsTable[Actual], allFYsTable[Code], SummaryTable[[#This Row],[Code]], allFYsTable[year2], BE$3))</f>
        <v>#N/A</v>
      </c>
      <c r="BJ179" s="61" t="e">
        <f>IF(COUNTIFS(allFYsTable[Code], SummaryTable[[#This Row],[Code]], allFYsTable[year2], BE$3)=0, NotFound, SUMIFS(allFYsTable[DiffAmount], allFYsTable[Code], SummaryTable[[#This Row],[Code]], allFYsTable[year2], BE$3))</f>
        <v>#N/A</v>
      </c>
      <c r="BK179" s="63" t="e">
        <f>IF(SummaryTable[[#This Row],[OriginalBudget21]]=0, IF(SummaryTable[[#This Row],[DiffAmount21]]=0, ZeroBudgetNoSpending, ZeroBudgetWithSpending), SummaryTable[[#This Row],[DiffAmount21]]/SummaryTable[[#This Row],[OriginalBudget21]])</f>
        <v>#N/A</v>
      </c>
      <c r="BL179" s="62" t="e">
        <f>IF(COUNTIFS(allFYsTable[Code], SummaryTable[[#This Row],[Code]], allFYsTable[year2], BL$3)=0, NotFound, SUMIFS(allFYsTable[OriginalBudget], allFYsTable[Code], SummaryTable[[#This Row],[Code]], allFYsTable[year2], BL$3))</f>
        <v>#N/A</v>
      </c>
      <c r="BM179" s="61" t="e">
        <f>SummaryTable[[#This Row],[OriginalBudget20]]-SummaryTable[[#This Row],[OriginalBudget19]]</f>
        <v>#N/A</v>
      </c>
      <c r="BN179" s="54" t="e">
        <f>SummaryTable[[#This Row],[BudgetIncreaseAmount20]]/SummaryTable[[#This Row],[OriginalBudget19]]</f>
        <v>#N/A</v>
      </c>
      <c r="BO179" s="61" t="e">
        <f>IF(COUNTIFS(allFYsTable[Code], SummaryTable[[#This Row],[Code]], allFYsTable[year2], BL$3)=0, NotFound, SUMIFS(allFYsTable[RevisedBudget], allFYsTable[Code], SummaryTable[[#This Row],[Code]], allFYsTable[year2], BL$3))</f>
        <v>#N/A</v>
      </c>
      <c r="BP179" s="61" t="e">
        <f>IF(COUNTIFS(allFYsTable[Code], SummaryTable[[#This Row],[Code]], allFYsTable[year2], BL$3)=0, NotFound, SUMIFS(allFYsTable[Actual], allFYsTable[Code], SummaryTable[[#This Row],[Code]], allFYsTable[year2], BL$3))</f>
        <v>#N/A</v>
      </c>
      <c r="BQ179" s="61" t="e">
        <f>IF(COUNTIFS(allFYsTable[Code], SummaryTable[[#This Row],[Code]], allFYsTable[year2], BL$3)=0, NotFound, SUMIFS(allFYsTable[DiffAmount], allFYsTable[Code], SummaryTable[[#This Row],[Code]], allFYsTable[year2], BL$3))</f>
        <v>#N/A</v>
      </c>
      <c r="BR179" s="63" t="e">
        <f>IF(SummaryTable[[#This Row],[OriginalBudget20]]=0, IF(SummaryTable[[#This Row],[DiffAmount20]]=0, ZeroBudgetNoSpending, ZeroBudgetWithSpending), SummaryTable[[#This Row],[DiffAmount20]]/SummaryTable[[#This Row],[OriginalBudget20]])</f>
        <v>#N/A</v>
      </c>
      <c r="BS179" s="62" t="e">
        <f>IF(COUNTIFS(allFYsTable[Code], SummaryTable[[#This Row],[Code]], allFYsTable[year2], BS$3)=0, NotFound, SUMIFS(allFYsTable[OriginalBudget], allFYsTable[Code], SummaryTable[[#This Row],[Code]], allFYsTable[year2], BS$3))</f>
        <v>#N/A</v>
      </c>
      <c r="BT179" s="61" t="e">
        <f>SummaryTable[[#This Row],[OriginalBudget19]]-SummaryTable[[#This Row],[OriginalBudget18]]</f>
        <v>#N/A</v>
      </c>
      <c r="BU179" s="54" t="e">
        <f>SummaryTable[[#This Row],[BudgetIncreaseAmount19]]/SummaryTable[[#This Row],[OriginalBudget18]]</f>
        <v>#N/A</v>
      </c>
      <c r="BV179" s="61" t="e">
        <f>IF(COUNTIFS(allFYsTable[Code], SummaryTable[[#This Row],[Code]], allFYsTable[year2], BS$3)=0, NotFound, SUMIFS(allFYsTable[RevisedBudget], allFYsTable[Code], SummaryTable[[#This Row],[Code]], allFYsTable[year2], BS$3))</f>
        <v>#N/A</v>
      </c>
      <c r="BW179" s="61" t="e">
        <f>IF(COUNTIFS(allFYsTable[Code], SummaryTable[[#This Row],[Code]], allFYsTable[year2], BS$3)=0, NotFound, SUMIFS(allFYsTable[Actual], allFYsTable[Code], SummaryTable[[#This Row],[Code]], allFYsTable[year2], BS$3))</f>
        <v>#N/A</v>
      </c>
      <c r="BX179" s="61" t="e">
        <f>IF(COUNTIFS(allFYsTable[Code], SummaryTable[[#This Row],[Code]], allFYsTable[year2], BS$3)=0, NotFound, SUMIFS(allFYsTable[DiffAmount], allFYsTable[Code], SummaryTable[[#This Row],[Code]], allFYsTable[year2], BS$3))</f>
        <v>#N/A</v>
      </c>
      <c r="BY179" s="63" t="e">
        <f>IF(SummaryTable[[#This Row],[OriginalBudget19]]=0, IF(SummaryTable[[#This Row],[DiffAmount19]]=0, ZeroBudgetNoSpending, ZeroBudgetWithSpending), SummaryTable[[#This Row],[DiffAmount19]]/SummaryTable[[#This Row],[OriginalBudget19]])</f>
        <v>#N/A</v>
      </c>
      <c r="BZ179" s="62" t="e">
        <f>IF(COUNTIFS(allFYsTable[Code], SummaryTable[[#This Row],[Code]], allFYsTable[year2], BZ$3)=0, NotFound, SUMIFS(allFYsTable[OriginalBudget], allFYsTable[Code], SummaryTable[[#This Row],[Code]], allFYsTable[year2], BZ$3))</f>
        <v>#N/A</v>
      </c>
      <c r="CA179" s="61" t="e">
        <f>SummaryTable[[#This Row],[OriginalBudget18]]-SummaryTable[[#This Row],[OriginalBudget17]]</f>
        <v>#N/A</v>
      </c>
      <c r="CB179" s="54" t="e">
        <f>SummaryTable[[#This Row],[BudgetIncreaseAmount18]]/SummaryTable[[#This Row],[OriginalBudget17]]</f>
        <v>#N/A</v>
      </c>
      <c r="CC179" s="61" t="e">
        <f>IF(COUNTIFS(allFYsTable[Code], SummaryTable[[#This Row],[Code]], allFYsTable[year2], BZ$3)=0, NotFound, SUMIFS(allFYsTable[RevisedBudget], allFYsTable[Code], SummaryTable[[#This Row],[Code]], allFYsTable[year2], BZ$3))</f>
        <v>#N/A</v>
      </c>
      <c r="CD179" s="61" t="e">
        <f>IF(COUNTIFS(allFYsTable[Code], SummaryTable[[#This Row],[Code]], allFYsTable[year2], BZ$3)=0, NotFound, SUMIFS(allFYsTable[Actual], allFYsTable[Code], SummaryTable[[#This Row],[Code]], allFYsTable[year2], BZ$3))</f>
        <v>#N/A</v>
      </c>
      <c r="CE179" s="61" t="e">
        <f>IF(COUNTIFS(allFYsTable[Code], SummaryTable[[#This Row],[Code]], allFYsTable[year2], BZ$3)=0, NotFound, SUMIFS(allFYsTable[DiffAmount], allFYsTable[Code], SummaryTable[[#This Row],[Code]], allFYsTable[year2], BZ$3))</f>
        <v>#N/A</v>
      </c>
      <c r="CF179" s="63" t="e">
        <f>IF(SummaryTable[[#This Row],[OriginalBudget18]]=0, IF(SummaryTable[[#This Row],[DiffAmount18]]=0, ZeroBudgetNoSpending, ZeroBudgetWithSpending), SummaryTable[[#This Row],[DiffAmount18]]/SummaryTable[[#This Row],[OriginalBudget18]])</f>
        <v>#N/A</v>
      </c>
      <c r="CG179" s="62" t="e">
        <f>IF(COUNTIFS(allFYsTable[Code], SummaryTable[[#This Row],[Code]], allFYsTable[year2], CG$3)=0, NotFound, SUMIFS(allFYsTable[OriginalBudget], allFYsTable[Code], SummaryTable[[#This Row],[Code]], allFYsTable[year2], CG$3))</f>
        <v>#N/A</v>
      </c>
      <c r="CH179" s="61" t="e">
        <f>SummaryTable[[#This Row],[OriginalBudget17]]-SummaryTable[[#This Row],[OriginalBudget16]]</f>
        <v>#N/A</v>
      </c>
      <c r="CI179" s="54" t="e">
        <f>SummaryTable[[#This Row],[BudgetIncreaseAmount17]]/SummaryTable[[#This Row],[OriginalBudget16]]</f>
        <v>#N/A</v>
      </c>
      <c r="CJ179" s="61" t="e">
        <f>IF(COUNTIFS(allFYsTable[Code], SummaryTable[[#This Row],[Code]], allFYsTable[year2], CG$3)=0, NotFound, SUMIFS(allFYsTable[RevisedBudget], allFYsTable[Code], SummaryTable[[#This Row],[Code]], allFYsTable[year2], CG$3))</f>
        <v>#N/A</v>
      </c>
      <c r="CK179" s="61" t="e">
        <f>IF(COUNTIFS(allFYsTable[Code], SummaryTable[[#This Row],[Code]], allFYsTable[year2], CG$3)=0, NotFound, SUMIFS(allFYsTable[Actual], allFYsTable[Code], SummaryTable[[#This Row],[Code]], allFYsTable[year2], CG$3))</f>
        <v>#N/A</v>
      </c>
      <c r="CL179" s="61" t="e">
        <f>IF(COUNTIFS(allFYsTable[Code], SummaryTable[[#This Row],[Code]], allFYsTable[year2], CG$3)=0, NotFound, SUMIFS(allFYsTable[DiffAmount], allFYsTable[Code], SummaryTable[[#This Row],[Code]], allFYsTable[year2], CG$3))</f>
        <v>#N/A</v>
      </c>
      <c r="CM179" s="63" t="e">
        <f>IF(SummaryTable[[#This Row],[OriginalBudget17]]=0, IF(SummaryTable[[#This Row],[DiffAmount17]]=0, ZeroBudgetNoSpending, ZeroBudgetWithSpending), SummaryTable[[#This Row],[DiffAmount17]]/SummaryTable[[#This Row],[OriginalBudget17]])</f>
        <v>#N/A</v>
      </c>
      <c r="CN179" s="62" t="e">
        <f>IF(COUNTIFS(allFYsTable[Code], SummaryTable[[#This Row],[Code]], allFYsTable[year2], CN$3)=0, NotFound, SUMIFS(allFYsTable[OriginalBudget], allFYsTable[Code], SummaryTable[[#This Row],[Code]], allFYsTable[year2], CN$3))</f>
        <v>#N/A</v>
      </c>
      <c r="CO179" s="61" t="e">
        <f>SummaryTable[[#This Row],[OriginalBudget16]]-SummaryTable[[#This Row],[OriginalBudget15]]</f>
        <v>#N/A</v>
      </c>
      <c r="CP179" s="54" t="e">
        <f>SummaryTable[[#This Row],[BudgetIncreaseAmount16]]/SummaryTable[[#This Row],[OriginalBudget15]]</f>
        <v>#N/A</v>
      </c>
      <c r="CQ179" s="61" t="e">
        <f>IF(COUNTIFS(allFYsTable[Code], SummaryTable[[#This Row],[Code]], allFYsTable[year2], CN$3)=0, NotFound, SUMIFS(allFYsTable[RevisedBudget], allFYsTable[Code], SummaryTable[[#This Row],[Code]], allFYsTable[year2], CN$3))</f>
        <v>#N/A</v>
      </c>
      <c r="CR179" s="61" t="e">
        <f>IF(COUNTIFS(allFYsTable[Code], SummaryTable[[#This Row],[Code]], allFYsTable[year2], CN$3)=0, NotFound, SUMIFS(allFYsTable[Actual], allFYsTable[Code], SummaryTable[[#This Row],[Code]], allFYsTable[year2], CN$3))</f>
        <v>#N/A</v>
      </c>
      <c r="CS179" s="61" t="e">
        <f>IF(COUNTIFS(allFYsTable[Code], SummaryTable[[#This Row],[Code]], allFYsTable[year2], CN$3)=0, NotFound, SUMIFS(allFYsTable[DiffAmount], allFYsTable[Code], SummaryTable[[#This Row],[Code]], allFYsTable[year2], CN$3))</f>
        <v>#N/A</v>
      </c>
      <c r="CT179" s="63" t="e">
        <f>IF(SummaryTable[[#This Row],[OriginalBudget16]]=0, IF(SummaryTable[[#This Row],[DiffAmount16]]=0, ZeroBudgetNoSpending, ZeroBudgetWithSpending), SummaryTable[[#This Row],[DiffAmount16]]/SummaryTable[[#This Row],[OriginalBudget16]])</f>
        <v>#N/A</v>
      </c>
      <c r="CU179" s="62" t="e">
        <f>IF(COUNTIFS(allFYsTable[Code], SummaryTable[[#This Row],[Code]], allFYsTable[year2], CU$3)=0, NotFound, SUMIFS(allFYsTable[OriginalBudget], allFYsTable[Code], SummaryTable[[#This Row],[Code]], allFYsTable[year2], CU$3))</f>
        <v>#N/A</v>
      </c>
      <c r="CV179" s="61" t="e">
        <f>SummaryTable[[#This Row],[OriginalBudget15]]-SummaryTable[[#This Row],[OriginalBudget14]]</f>
        <v>#N/A</v>
      </c>
      <c r="CW179" s="54" t="e">
        <f>SummaryTable[[#This Row],[BudgetIncreaseAmount15]]/SummaryTable[[#This Row],[OriginalBudget14]]</f>
        <v>#N/A</v>
      </c>
      <c r="CX179" s="61" t="e">
        <f>IF(COUNTIFS(allFYsTable[Code], SummaryTable[[#This Row],[Code]], allFYsTable[year2], CU$3)=0, NotFound, SUMIFS(allFYsTable[RevisedBudget], allFYsTable[Code], SummaryTable[[#This Row],[Code]], allFYsTable[year2], CU$3))</f>
        <v>#N/A</v>
      </c>
      <c r="CY179" s="61" t="e">
        <f>IF(COUNTIFS(allFYsTable[Code], SummaryTable[[#This Row],[Code]], allFYsTable[year2], CU$3)=0, NotFound, SUMIFS(allFYsTable[Actual], allFYsTable[Code], SummaryTable[[#This Row],[Code]], allFYsTable[year2], CU$3))</f>
        <v>#N/A</v>
      </c>
      <c r="CZ179" s="61" t="e">
        <f>IF(COUNTIFS(allFYsTable[Code], SummaryTable[[#This Row],[Code]], allFYsTable[year2], CU$3)=0, NotFound, SUMIFS(allFYsTable[DiffAmount], allFYsTable[Code], SummaryTable[[#This Row],[Code]], allFYsTable[year2], CU$3))</f>
        <v>#N/A</v>
      </c>
      <c r="DA179" s="63" t="e">
        <f>IF(SummaryTable[[#This Row],[OriginalBudget15]]=0, IF(SummaryTable[[#This Row],[DiffAmount15]]=0, ZeroBudgetNoSpending, ZeroBudgetWithSpending), SummaryTable[[#This Row],[DiffAmount15]]/SummaryTable[[#This Row],[OriginalBudget15]])</f>
        <v>#N/A</v>
      </c>
      <c r="DB179" s="62" t="e">
        <f>IF(COUNTIFS(allFYsTable[Code], SummaryTable[[#This Row],[Code]], allFYsTable[year2], DB$3)=0, NotFound, SUMIFS(allFYsTable[OriginalBudget], allFYsTable[Code], SummaryTable[[#This Row],[Code]], allFYsTable[year2], DB$3))</f>
        <v>#N/A</v>
      </c>
      <c r="DC179" s="61" t="e">
        <f>SummaryTable[[#This Row],[OriginalBudget14]]-SummaryTable[[#This Row],[OriginalBudget13]]</f>
        <v>#N/A</v>
      </c>
      <c r="DD179" s="54" t="e">
        <f>SummaryTable[[#This Row],[BudgetIncreaseAmount14]]/SummaryTable[[#This Row],[OriginalBudget13]]</f>
        <v>#N/A</v>
      </c>
      <c r="DE179" s="61" t="e">
        <f>IF(COUNTIFS(allFYsTable[Code], SummaryTable[[#This Row],[Code]], allFYsTable[year2], DB$3)=0, NotFound, SUMIFS(allFYsTable[RevisedBudget], allFYsTable[Code], SummaryTable[[#This Row],[Code]], allFYsTable[year2], DB$3))</f>
        <v>#N/A</v>
      </c>
      <c r="DF179" s="61" t="e">
        <f>IF(COUNTIFS(allFYsTable[Code], SummaryTable[[#This Row],[Code]], allFYsTable[year2], DB$3)=0, NotFound, SUMIFS(allFYsTable[Actual], allFYsTable[Code], SummaryTable[[#This Row],[Code]], allFYsTable[year2], DB$3))</f>
        <v>#N/A</v>
      </c>
      <c r="DG179" s="61" t="e">
        <f>IF(COUNTIFS(allFYsTable[Code], SummaryTable[[#This Row],[Code]], allFYsTable[year2], DB$3)=0, NotFound, SUMIFS(allFYsTable[DiffAmount], allFYsTable[Code], SummaryTable[[#This Row],[Code]], allFYsTable[year2], DB$3))</f>
        <v>#N/A</v>
      </c>
      <c r="DH179" s="63" t="e">
        <f>IF(SummaryTable[[#This Row],[OriginalBudget14]]=0, IF(SummaryTable[[#This Row],[DiffAmount14]]=0, ZeroBudgetNoSpending, ZeroBudgetWithSpending), SummaryTable[[#This Row],[DiffAmount14]]/SummaryTable[[#This Row],[OriginalBudget14]])</f>
        <v>#N/A</v>
      </c>
      <c r="DI179" s="62" t="e">
        <f>IF(COUNTIFS(allFYsTable[Code], SummaryTable[[#This Row],[Code]], allFYsTable[year2], DI$3)=0, NotFound, SUMIFS(allFYsTable[OriginalBudget], allFYsTable[Code], SummaryTable[[#This Row],[Code]], allFYsTable[year2], DI$3))</f>
        <v>#N/A</v>
      </c>
      <c r="DJ179" s="61" t="e">
        <f>SummaryTable[[#This Row],[OriginalBudget13]]-SummaryTable[[#This Row],[OriginalBudget12]]</f>
        <v>#N/A</v>
      </c>
      <c r="DK179" s="54" t="e">
        <f>SummaryTable[[#This Row],[BudgetIncreaseAmount13]]/SummaryTable[[#This Row],[OriginalBudget12]]</f>
        <v>#N/A</v>
      </c>
      <c r="DL179" s="61" t="e">
        <f>IF(COUNTIFS(allFYsTable[Code], SummaryTable[[#This Row],[Code]], allFYsTable[year2], DI$3)=0, NotFound, SUMIFS(allFYsTable[RevisedBudget], allFYsTable[Code], SummaryTable[[#This Row],[Code]], allFYsTable[year2], DI$3))</f>
        <v>#N/A</v>
      </c>
      <c r="DM179" s="61" t="e">
        <f>IF(COUNTIFS(allFYsTable[Code], SummaryTable[[#This Row],[Code]], allFYsTable[year2], DI$3)=0, NotFound, SUMIFS(allFYsTable[Actual], allFYsTable[Code], SummaryTable[[#This Row],[Code]], allFYsTable[year2], DI$3))</f>
        <v>#N/A</v>
      </c>
      <c r="DN179" s="61" t="e">
        <f>IF(COUNTIFS(allFYsTable[Code], SummaryTable[[#This Row],[Code]], allFYsTable[year2], DI$3)=0, NotFound, SUMIFS(allFYsTable[DiffAmount], allFYsTable[Code], SummaryTable[[#This Row],[Code]], allFYsTable[year2], DI$3))</f>
        <v>#N/A</v>
      </c>
      <c r="DO179" s="63" t="e">
        <f>IF(SummaryTable[[#This Row],[OriginalBudget13]]=0, IF(SummaryTable[[#This Row],[DiffAmount13]]=0, ZeroBudgetNoSpending, ZeroBudgetWithSpending), SummaryTable[[#This Row],[DiffAmount13]]/SummaryTable[[#This Row],[OriginalBudget13]])</f>
        <v>#N/A</v>
      </c>
      <c r="DP179" s="62" t="e">
        <f>IF(COUNTIFS(allFYsTable[Code], SummaryTable[[#This Row],[Code]], allFYsTable[year2], DP$3)=0, NotFound, SUMIFS(allFYsTable[OriginalBudget], allFYsTable[Code], SummaryTable[[#This Row],[Code]], allFYsTable[year2], DP$3))</f>
        <v>#N/A</v>
      </c>
      <c r="DQ179" s="61" t="e">
        <f>SummaryTable[[#This Row],[OriginalBudget12]]-SummaryTable[[#This Row],[OriginalBudget11]]</f>
        <v>#N/A</v>
      </c>
      <c r="DR179" s="54" t="e">
        <f>SummaryTable[[#This Row],[BudgetIncreaseAmount12]]/SummaryTable[[#This Row],[OriginalBudget11]]</f>
        <v>#N/A</v>
      </c>
      <c r="DS179" s="61" t="e">
        <f>IF(COUNTIFS(allFYsTable[Code], SummaryTable[[#This Row],[Code]], allFYsTable[year2], DP$3)=0, NotFound, SUMIFS(allFYsTable[RevisedBudget], allFYsTable[Code], SummaryTable[[#This Row],[Code]], allFYsTable[year2], DP$3))</f>
        <v>#N/A</v>
      </c>
      <c r="DT179" s="61" t="e">
        <f>IF(COUNTIFS(allFYsTable[Code], SummaryTable[[#This Row],[Code]], allFYsTable[year2], DP$3)=0, NotFound, SUMIFS(allFYsTable[Actual], allFYsTable[Code], SummaryTable[[#This Row],[Code]], allFYsTable[year2], DP$3))</f>
        <v>#N/A</v>
      </c>
      <c r="DU179" s="61" t="e">
        <f>IF(COUNTIFS(allFYsTable[Code], SummaryTable[[#This Row],[Code]], allFYsTable[year2], DP$3)=0, NotFound, SUMIFS(allFYsTable[DiffAmount], allFYsTable[Code], SummaryTable[[#This Row],[Code]], allFYsTable[year2], DP$3))</f>
        <v>#N/A</v>
      </c>
      <c r="DV179" s="63" t="e">
        <f>IF(SummaryTable[[#This Row],[OriginalBudget12]]=0, IF(SummaryTable[[#This Row],[DiffAmount12]]=0, ZeroBudgetNoSpending, ZeroBudgetWithSpending), SummaryTable[[#This Row],[DiffAmount12]]/SummaryTable[[#This Row],[OriginalBudget12]])</f>
        <v>#N/A</v>
      </c>
      <c r="DW179" s="62" t="e">
        <f>IF(COUNTIFS(allFYsTable[Code], SummaryTable[[#This Row],[Code]], allFYsTable[year2], DW$3)=0, NotFound, SUMIFS(allFYsTable[OriginalBudget], allFYsTable[Code], SummaryTable[[#This Row],[Code]], allFYsTable[year2], DW$3))</f>
        <v>#N/A</v>
      </c>
      <c r="DX179" s="61" t="e">
        <f>SummaryTable[[#This Row],[OriginalBudget11]]-SummaryTable[[#This Row],[OriginalBudget10]]</f>
        <v>#N/A</v>
      </c>
      <c r="DY179" s="54" t="e">
        <f>SummaryTable[[#This Row],[BudgetIncreaseAmount11]]/SummaryTable[[#This Row],[OriginalBudget10]]</f>
        <v>#N/A</v>
      </c>
      <c r="DZ179" s="61" t="e">
        <f>IF(COUNTIFS(allFYsTable[Code], SummaryTable[[#This Row],[Code]], allFYsTable[year2], DW$3)=0, NotFound, SUMIFS(allFYsTable[RevisedBudget], allFYsTable[Code], SummaryTable[[#This Row],[Code]], allFYsTable[year2], DW$3))</f>
        <v>#N/A</v>
      </c>
      <c r="EA179" s="61" t="e">
        <f>IF(COUNTIFS(allFYsTable[Code], SummaryTable[[#This Row],[Code]], allFYsTable[year2], DW$3)=0, NotFound, SUMIFS(allFYsTable[Actual], allFYsTable[Code], SummaryTable[[#This Row],[Code]], allFYsTable[year2], DW$3))</f>
        <v>#N/A</v>
      </c>
      <c r="EB179" s="61" t="e">
        <f>IF(COUNTIFS(allFYsTable[Code], SummaryTable[[#This Row],[Code]], allFYsTable[year2], DW$3)=0, NotFound, SUMIFS(allFYsTable[DiffAmount], allFYsTable[Code], SummaryTable[[#This Row],[Code]], allFYsTable[year2], DW$3))</f>
        <v>#N/A</v>
      </c>
      <c r="EC179" s="63" t="e">
        <f>IF(SummaryTable[[#This Row],[OriginalBudget11]]=0, IF(SummaryTable[[#This Row],[DiffAmount11]]=0, ZeroBudgetNoSpending, ZeroBudgetWithSpending), SummaryTable[[#This Row],[DiffAmount11]]/SummaryTable[[#This Row],[OriginalBudget11]])</f>
        <v>#N/A</v>
      </c>
      <c r="ED179" s="62" t="e">
        <f>IF(COUNTIFS(allFYsTable[Code], SummaryTable[[#This Row],[Code]], allFYsTable[year2], ED$3)=0, NotFound, SUMIFS(allFYsTable[OriginalBudget], allFYsTable[Code], SummaryTable[[#This Row],[Code]], allFYsTable[year2], ED$3))</f>
        <v>#N/A</v>
      </c>
      <c r="EE179" s="61" t="e">
        <f>SummaryTable[[#This Row],[OriginalBudget10]]-SummaryTable[[#This Row],[OriginalBudget09]]</f>
        <v>#N/A</v>
      </c>
      <c r="EF179" s="54" t="e">
        <f>SummaryTable[[#This Row],[BudgetIncreaseAmount10]]/SummaryTable[[#This Row],[OriginalBudget09]]</f>
        <v>#N/A</v>
      </c>
      <c r="EG179" s="61" t="e">
        <f>IF(COUNTIFS(allFYsTable[Code], SummaryTable[[#This Row],[Code]], allFYsTable[year2], ED$3)=0, NotFound, SUMIFS(allFYsTable[RevisedBudget], allFYsTable[Code], SummaryTable[[#This Row],[Code]], allFYsTable[year2], ED$3))</f>
        <v>#N/A</v>
      </c>
      <c r="EH179" s="61" t="e">
        <f>IF(COUNTIFS(allFYsTable[Code], SummaryTable[[#This Row],[Code]], allFYsTable[year2], ED$3)=0, NotFound, SUMIFS(allFYsTable[Actual], allFYsTable[Code], SummaryTable[[#This Row],[Code]], allFYsTable[year2], ED$3))</f>
        <v>#N/A</v>
      </c>
      <c r="EI179" s="61" t="e">
        <f>IF(COUNTIFS(allFYsTable[Code], SummaryTable[[#This Row],[Code]], allFYsTable[year2], ED$3)=0, NotFound, SUMIFS(allFYsTable[DiffAmount], allFYsTable[Code], SummaryTable[[#This Row],[Code]], allFYsTable[year2], ED$3))</f>
        <v>#N/A</v>
      </c>
      <c r="EJ179" s="63" t="e">
        <f>IF(SummaryTable[[#This Row],[OriginalBudget10]]=0, IF(SummaryTable[[#This Row],[DiffAmount10]]=0, ZeroBudgetNoSpending, ZeroBudgetWithSpending), SummaryTable[[#This Row],[DiffAmount10]]/SummaryTable[[#This Row],[OriginalBudget10]])</f>
        <v>#N/A</v>
      </c>
      <c r="EK179" s="62" t="e">
        <f>IF(COUNTIFS(allFYsTable[Code], SummaryTable[[#This Row],[Code]], allFYsTable[year2], EK$3)=0, NotFound, SUMIFS(allFYsTable[OriginalBudget], allFYsTable[Code], SummaryTable[[#This Row],[Code]], allFYsTable[year2], EK$3))</f>
        <v>#N/A</v>
      </c>
      <c r="EL179" s="61" t="e">
        <f>SummaryTable[[#This Row],[OriginalBudget09]]-SummaryTable[[#This Row],[OriginalBudget08]]</f>
        <v>#N/A</v>
      </c>
      <c r="EM179" s="54" t="e">
        <f>SummaryTable[[#This Row],[BudgetIncreaseAmount09]]/SummaryTable[[#This Row],[OriginalBudget08]]</f>
        <v>#N/A</v>
      </c>
      <c r="EN179" s="61" t="e">
        <f>IF(COUNTIFS(allFYsTable[Code], SummaryTable[[#This Row],[Code]], allFYsTable[year2], EK$3)=0, NotFound, SUMIFS(allFYsTable[RevisedBudget], allFYsTable[Code], SummaryTable[[#This Row],[Code]], allFYsTable[year2], EK$3))</f>
        <v>#N/A</v>
      </c>
      <c r="EO179" s="61" t="e">
        <f>IF(COUNTIFS(allFYsTable[Code], SummaryTable[[#This Row],[Code]], allFYsTable[year2], EK$3)=0, NotFound, SUMIFS(allFYsTable[Actual], allFYsTable[Code], SummaryTable[[#This Row],[Code]], allFYsTable[year2], EK$3))</f>
        <v>#N/A</v>
      </c>
      <c r="EP179" s="61" t="e">
        <f>IF(COUNTIFS(allFYsTable[Code], SummaryTable[[#This Row],[Code]], allFYsTable[year2], EK$3)=0, NotFound, SUMIFS(allFYsTable[DiffAmount], allFYsTable[Code], SummaryTable[[#This Row],[Code]], allFYsTable[year2], EK$3))</f>
        <v>#N/A</v>
      </c>
      <c r="EQ179" s="63" t="e">
        <f>IF(SummaryTable[[#This Row],[OriginalBudget09]]=0, IF(SummaryTable[[#This Row],[DiffAmount09]]=0, ZeroBudgetNoSpending, ZeroBudgetWithSpending), SummaryTable[[#This Row],[DiffAmount09]]/SummaryTable[[#This Row],[OriginalBudget09]])</f>
        <v>#N/A</v>
      </c>
      <c r="ER179" s="62" t="e">
        <f>IF(COUNTIFS(allFYsTable[Code], SummaryTable[[#This Row],[Code]], allFYsTable[year2], ER$3)=0, NotFound, SUMIFS(allFYsTable[OriginalBudget], allFYsTable[Code], SummaryTable[[#This Row],[Code]], allFYsTable[year2], ER$3))</f>
        <v>#N/A</v>
      </c>
      <c r="ES179" s="61" t="e">
        <f>SummaryTable[[#This Row],[OriginalBudget08]]-SummaryTable[[#This Row],[OriginalBudget07]]</f>
        <v>#N/A</v>
      </c>
      <c r="ET179" s="54" t="e">
        <f>SummaryTable[[#This Row],[BudgetIncreaseAmount08]]/SummaryTable[[#This Row],[OriginalBudget07]]</f>
        <v>#N/A</v>
      </c>
      <c r="EU179" s="61" t="e">
        <f>IF(COUNTIFS(allFYsTable[Code], SummaryTable[[#This Row],[Code]], allFYsTable[year2], ER$3)=0, NotFound, SUMIFS(allFYsTable[RevisedBudget], allFYsTable[Code], SummaryTable[[#This Row],[Code]], allFYsTable[year2], ER$3))</f>
        <v>#N/A</v>
      </c>
      <c r="EV179" s="61" t="e">
        <f>IF(COUNTIFS(allFYsTable[Code], SummaryTable[[#This Row],[Code]], allFYsTable[year2], ER$3)=0, NotFound, SUMIFS(allFYsTable[Actual], allFYsTable[Code], SummaryTable[[#This Row],[Code]], allFYsTable[year2], ER$3))</f>
        <v>#N/A</v>
      </c>
      <c r="EW179" s="61" t="e">
        <f>IF(COUNTIFS(allFYsTable[Code], SummaryTable[[#This Row],[Code]], allFYsTable[year2], ER$3)=0, NotFound, SUMIFS(allFYsTable[DiffAmount], allFYsTable[Code], SummaryTable[[#This Row],[Code]], allFYsTable[year2], ER$3))</f>
        <v>#N/A</v>
      </c>
      <c r="EX179" s="63" t="e">
        <f>IF(SummaryTable[[#This Row],[OriginalBudget08]]=0, IF(SummaryTable[[#This Row],[DiffAmount08]]=0, ZeroBudgetNoSpending, ZeroBudgetWithSpending), SummaryTable[[#This Row],[DiffAmount08]]/SummaryTable[[#This Row],[OriginalBudget08]])</f>
        <v>#N/A</v>
      </c>
      <c r="EY179" s="62">
        <f>IF(COUNTIFS(allFYsTable[Code], SummaryTable[[#This Row],[Code]], allFYsTable[year2], EY$3)=0, NotFound, SUMIFS(allFYsTable[OriginalBudget], allFYsTable[Code], SummaryTable[[#This Row],[Code]], allFYsTable[year2], EY$3))</f>
        <v>5000</v>
      </c>
      <c r="EZ179" s="61">
        <f>SummaryTable[[#This Row],[OriginalBudget07]]-SummaryTable[[#This Row],[OriginalBudget06]]</f>
        <v>5000</v>
      </c>
      <c r="FA179" s="54" t="e">
        <f>SummaryTable[[#This Row],[BudgetIncreaseAmount07]]/SummaryTable[[#This Row],[OriginalBudget06]]</f>
        <v>#DIV/0!</v>
      </c>
      <c r="FB179" s="61">
        <f>IF(COUNTIFS(allFYsTable[Code], SummaryTable[[#This Row],[Code]], allFYsTable[year2], EY$3)=0, NotFound, SUMIFS(allFYsTable[RevisedBudget], allFYsTable[Code], SummaryTable[[#This Row],[Code]], allFYsTable[year2], EY$3))</f>
        <v>5000</v>
      </c>
      <c r="FC179" s="61">
        <f>IF(COUNTIFS(allFYsTable[Code], SummaryTable[[#This Row],[Code]], allFYsTable[year2], EY$3)=0, NotFound, SUMIFS(allFYsTable[Actual], allFYsTable[Code], SummaryTable[[#This Row],[Code]], allFYsTable[year2], EY$3))</f>
        <v>5000</v>
      </c>
      <c r="FD179" s="61">
        <f>IF(COUNTIFS(allFYsTable[Code], SummaryTable[[#This Row],[Code]], allFYsTable[year2], EY$3)=0, NotFound, SUMIFS(allFYsTable[DiffAmount], allFYsTable[Code], SummaryTable[[#This Row],[Code]], allFYsTable[year2], EY$3))</f>
        <v>0</v>
      </c>
      <c r="FE179" s="63">
        <f>IF(SummaryTable[[#This Row],[OriginalBudget07]]=0, IF(SummaryTable[[#This Row],[DiffAmount07]]=0, ZeroBudgetNoSpending, ZeroBudgetWithSpending), SummaryTable[[#This Row],[DiffAmount07]]/SummaryTable[[#This Row],[OriginalBudget07]])</f>
        <v>0</v>
      </c>
      <c r="FF179" s="62">
        <f>IF(COUNTIFS(allFYsTable[Code], SummaryTable[[#This Row],[Code]], allFYsTable[year2], FF$3)=0, NotFound, SUMIFS(allFYsTable[OriginalBudget], allFYsTable[Code], SummaryTable[[#This Row],[Code]], allFYsTable[year2], FF$3))</f>
        <v>0</v>
      </c>
      <c r="FI179" s="61">
        <f>IF(COUNTIFS(allFYsTable[Code], SummaryTable[[#This Row],[Code]], allFYsTable[year2], FF$3)=0, NotFound, SUMIFS(allFYsTable[RevisedBudget], allFYsTable[Code], SummaryTable[[#This Row],[Code]], allFYsTable[year2], FF$3))</f>
        <v>8000</v>
      </c>
      <c r="FJ179" s="61">
        <f>IF(COUNTIFS(allFYsTable[Code], SummaryTable[[#This Row],[Code]], allFYsTable[year2], FF$3)=0, NotFound, SUMIFS(allFYsTable[Actual], allFYsTable[Code], SummaryTable[[#This Row],[Code]], allFYsTable[year2], FF$3))</f>
        <v>8000</v>
      </c>
      <c r="FK179" s="61">
        <f>IF(COUNTIFS(allFYsTable[Code], SummaryTable[[#This Row],[Code]], allFYsTable[year2], FF$3)=0, NotFound, SUMIFS(allFYsTable[DiffAmount], allFYsTable[Code], SummaryTable[[#This Row],[Code]], allFYsTable[year2], FF$3))</f>
        <v>8000</v>
      </c>
      <c r="FL179" s="63">
        <f>IF(SummaryTable[[#This Row],[OriginalBudget06]]=0, IF(SummaryTable[[#This Row],[DiffAmount06]]=0, ZeroBudgetNoSpending, ZeroBudgetWithSpending), SummaryTable[[#This Row],[DiffAmount06]]/SummaryTable[[#This Row],[OriginalBudget06]])</f>
        <v>99.99</v>
      </c>
    </row>
    <row r="180" spans="1:168" x14ac:dyDescent="0.45">
      <c r="A180" t="s">
        <v>1041</v>
      </c>
      <c r="B180">
        <f>_xlfn.MAXIFS(allFYsTable[year2], allFYsTable[Code], SummaryTable[[#This Row],[Code]])</f>
        <v>2007</v>
      </c>
      <c r="C180" t="str">
        <f>_xlfn.XLOOKUP(SummaryTable[[#This Row],[Code]], NameCodingTable[Code], NameCodingTable[Most Recent Category per allFYs])</f>
        <v>Human support services</v>
      </c>
      <c r="D180" t="str">
        <f>_xlfn.XLOOKUP(SummaryTable[[#This Row],[Code]], NameCodingTable[Code], NameCodingTable[Unit Display Name])</f>
        <v>Medical reserve</v>
      </c>
      <c r="E180" t="str">
        <f>_xlfn.XLOOKUP(SummaryTable[[#This Row],[Code]], NameCodingTable[Code], NameCodingTable[Type])</f>
        <v>untyped</v>
      </c>
      <c r="F180"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80"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80" s="54">
        <f>SummaryTable[[#This Row],['# Over]]/SummaryTable[[#This Row],[Count]]</f>
        <v>1</v>
      </c>
      <c r="I180"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80" s="54">
        <f>SummaryTable[[#This Row],['# Under]]/SummaryTable[[#This Row],[Count]]</f>
        <v>0</v>
      </c>
      <c r="K180"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80" s="54">
        <f>SummaryTable[[#This Row],['# Equal]]/SummaryTable[[#This Row],[Count]]</f>
        <v>0</v>
      </c>
      <c r="M180" s="61">
        <f>SUMIFS(allFYsTable[OriginalBudget],allFYsTable[Code],SummaryTable[[#This Row],[Code]])/SummaryTable[[#This Row],[Count]]</f>
        <v>0</v>
      </c>
      <c r="N180" s="61">
        <f>SUMIFS(allFYsTable[Actual],allFYsTable[Code],SummaryTable[[#This Row],[Code]])/SummaryTable[[#This Row],[Count]]</f>
        <v>26927</v>
      </c>
      <c r="O180" s="61">
        <f>SummaryTable[[#This Row],[AvgActAmt]]-SummaryTable[[#This Row],[AvgBudAmt]]</f>
        <v>26927</v>
      </c>
      <c r="P180" s="54">
        <f>IF(SummaryTable[[#This Row],[AvgBudAmt]]=0, IF(SummaryTable[[#This Row],[AvgDiff'#]]=0, 0, NamedFields!$C$3), SummaryTable[[#This Row],[AvgDiff'#]]/SummaryTable[[#This Row],[AvgBudAmt]])</f>
        <v>99.99</v>
      </c>
      <c r="Q180" s="61">
        <f>IFERROR(SUMIFS(allFYsTable[OriginalBudget],allFYsTable[Code],SummaryTable[[#This Row],[Code]],allFYsTable[DiffAmount], "&gt;0")/SummaryTable[[#This Row],['# Over]], 0)</f>
        <v>0</v>
      </c>
      <c r="R180" s="61">
        <f>IFERROR(SUMIFS(allFYsTable[Actual],allFYsTable[Code],SummaryTable[[#This Row],[Code]],allFYsTable[DiffAmount], "&gt;0")/SummaryTable[[#This Row],['# Over]], 0)</f>
        <v>26927</v>
      </c>
      <c r="S180" s="61">
        <f>SummaryTable[[#This Row],[OverAvgAct]]-SummaryTable[[#This Row],[OverAvgBud]]</f>
        <v>26927</v>
      </c>
      <c r="T180" s="54">
        <f>IF(SummaryTable[[#This Row],[OverAvgBud]]=0, IF(SummaryTable[[#This Row],[OverAvgDiff'#]]=0, ZeroBudgetNoSpending, ZeroBudgetWithSpending), SummaryTable[[#This Row],[OverAvgDiff'#]]/SummaryTable[[#This Row],[OverAvgBud]])</f>
        <v>99.99</v>
      </c>
      <c r="U180" s="61">
        <f>IFERROR(SUMIFS(allFYsTable[OriginalBudget],allFYsTable[Code],SummaryTable[[#This Row],[Code]],allFYsTable[DiffAmount], "&lt;0")/SummaryTable[[#This Row],['# Under]], 0)</f>
        <v>0</v>
      </c>
      <c r="V180" s="61">
        <f>IFERROR( SUMIFS(allFYsTable[Actual],allFYsTable[Code],SummaryTable[[#This Row],[Code]],allFYsTable[DiffAmount], "&lt;0")/SummaryTable[[#This Row],['# Under]], 0)</f>
        <v>0</v>
      </c>
      <c r="W180" s="61">
        <f>SummaryTable[[#This Row],[UnderAvgAct]]-SummaryTable[[#This Row],[UnderAvgBud]]</f>
        <v>0</v>
      </c>
      <c r="X180" s="54">
        <f>IF(SummaryTable[[#This Row],[UnderAvgBud]]=0, IF(SummaryTable[[#This Row],[UnderAvgDiff'#]]=0, ZeroBudgetNoSpending, NamedFields!$C$3), SummaryTable[[#This Row],[UnderAvgDiff'#]]/SummaryTable[[#This Row],[UnderAvgBud]])</f>
        <v>0</v>
      </c>
      <c r="Y180"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80"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0" s="54">
        <f>IF(SummaryTable[[#This Row],[IncreaseYears]]=0, ZeroBudgetNoSpending, SummaryTable[[#This Row],[OSinIncreaseYear'#]]/SummaryTable[[#This Row],[IncreaseYears]])</f>
        <v>0</v>
      </c>
      <c r="AB180" s="58" t="str">
        <f>SummaryTable[[#This Row],[Code]]</f>
        <v>XML</v>
      </c>
      <c r="AC180" s="62" t="e">
        <f>IF(COUNTIFS(allFYsTable[Code], SummaryTable[[#This Row],[Code]], allFYsTable[year2], AC$3)=0, NotFound, SUMIFS(allFYsTable[OriginalBudget], allFYsTable[Code], SummaryTable[[#This Row],[Code]], allFYsTable[year2], AC$3))</f>
        <v>#N/A</v>
      </c>
      <c r="AD180" s="61" t="e">
        <f>SummaryTable[[#This Row],[OriginalBudget25]]-SummaryTable[[#This Row],[OriginalBudget24]]</f>
        <v>#N/A</v>
      </c>
      <c r="AE180" s="54" t="e">
        <f>SummaryTable[[#This Row],[BudgetIncreaseAmount25]]/SummaryTable[[#This Row],[OriginalBudget24]]</f>
        <v>#N/A</v>
      </c>
      <c r="AF180" s="61" t="e">
        <f>IF(COUNTIFS(allFYsTable[Code], SummaryTable[[#This Row],[Code]], allFYsTable[year2], AC$3)=0, NotFound, SUMIFS(allFYsTable[RevisedBudget], allFYsTable[Code], SummaryTable[[#This Row],[Code]], allFYsTable[year2], AC$3))</f>
        <v>#N/A</v>
      </c>
      <c r="AG180" s="61" t="e">
        <f>IF(COUNTIFS(allFYsTable[Code], SummaryTable[[#This Row],[Code]], allFYsTable[year2], AC$3)=0, NotFound, SUMIFS(allFYsTable[Actual], allFYsTable[Code], SummaryTable[[#This Row],[Code]], allFYsTable[year2], AC$3))</f>
        <v>#N/A</v>
      </c>
      <c r="AH180" s="61" t="e">
        <f>IF(COUNTIFS(allFYsTable[Code], SummaryTable[[#This Row],[Code]], allFYsTable[year2], AC$3)=0, NotFound, SUMIFS(allFYsTable[DiffAmount], allFYsTable[Code], SummaryTable[[#This Row],[Code]], allFYsTable[year2], AC$3))</f>
        <v>#N/A</v>
      </c>
      <c r="AI180" s="63" t="e">
        <f>IF(SummaryTable[[#This Row],[OriginalBudget25]]=0, IF(SummaryTable[[#This Row],[DiffAmount25]]=0, ZeroBudgetNoSpending, ZeroBudgetWithSpending), SummaryTable[[#This Row],[DiffAmount25]]/SummaryTable[[#This Row],[OriginalBudget25]])</f>
        <v>#N/A</v>
      </c>
      <c r="AJ180" s="62" t="e">
        <f>IF(COUNTIFS(allFYsTable[Code], SummaryTable[[#This Row],[Code]], allFYsTable[year2], AJ$3)=0, NotFound, SUMIFS(allFYsTable[OriginalBudget], allFYsTable[Code], SummaryTable[[#This Row],[Code]], allFYsTable[year2], AJ$3))</f>
        <v>#N/A</v>
      </c>
      <c r="AK180" s="61" t="e">
        <f>SummaryTable[[#This Row],[OriginalBudget24]]-SummaryTable[[#This Row],[OriginalBudget23]]</f>
        <v>#N/A</v>
      </c>
      <c r="AL180" s="54" t="e">
        <f>SummaryTable[[#This Row],[BudgetIncreaseAmount24]]/SummaryTable[[#This Row],[OriginalBudget23]]</f>
        <v>#N/A</v>
      </c>
      <c r="AM180" s="61" t="e">
        <f>IF(COUNTIFS(allFYsTable[Code], SummaryTable[[#This Row],[Code]], allFYsTable[year2], AK$3)=0, NotFound, SUMIFS(allFYsTable[RevisedBudget], allFYsTable[Code], SummaryTable[[#This Row],[Code]], allFYsTable[year2], AJ$3))</f>
        <v>#N/A</v>
      </c>
      <c r="AN180" s="61" t="e">
        <f>IF(COUNTIFS(allFYsTable[Code], SummaryTable[[#This Row],[Code]], allFYsTable[year2], AJ$3)=0, NotFound, SUMIFS(allFYsTable[Actual], allFYsTable[Code], SummaryTable[[#This Row],[Code]], allFYsTable[year2], AJ$3))</f>
        <v>#N/A</v>
      </c>
      <c r="AO180" s="61" t="e">
        <f>IF(COUNTIFS(allFYsTable[Code], SummaryTable[[#This Row],[Code]], allFYsTable[year2], AJ$3)=0, NotFound, SUMIFS(allFYsTable[DiffAmount], allFYsTable[Code], SummaryTable[[#This Row],[Code]], allFYsTable[year2], AJ$3))</f>
        <v>#N/A</v>
      </c>
      <c r="AP180" s="63" t="e">
        <f>IF(SummaryTable[[#This Row],[OriginalBudget24]]=0, IF(SummaryTable[[#This Row],[DiffAmount24]]=0, ZeroBudgetNoSpending, ZeroBudgetWithSpending), SummaryTable[[#This Row],[DiffAmount24]]/SummaryTable[[#This Row],[OriginalBudget24]])</f>
        <v>#N/A</v>
      </c>
      <c r="AQ180" s="62" t="e">
        <f>IF(COUNTIFS(allFYsTable[Code], SummaryTable[[#This Row],[Code]], allFYsTable[year2], AQ$3)=0, NotFound, SUMIFS(allFYsTable[OriginalBudget], allFYsTable[Code], SummaryTable[[#This Row],[Code]], allFYsTable[year2], AQ$3))</f>
        <v>#N/A</v>
      </c>
      <c r="AR180" s="61" t="e">
        <f>SummaryTable[[#This Row],[OriginalBudget23]]-SummaryTable[[#This Row],[OriginalBudget22]]</f>
        <v>#N/A</v>
      </c>
      <c r="AS180" s="54" t="e">
        <f>SummaryTable[[#This Row],[BudgetIncreaseAmount23]]/SummaryTable[[#This Row],[OriginalBudget22]]</f>
        <v>#N/A</v>
      </c>
      <c r="AT180" s="61" t="e">
        <f>IF(COUNTIFS(allFYsTable[Code], SummaryTable[[#This Row],[Code]], allFYsTable[year2], AQ$3)=0, NotFound, SUMIFS(allFYsTable[RevisedBudget], allFYsTable[Code], SummaryTable[[#This Row],[Code]], allFYsTable[year2], AQ$3))</f>
        <v>#N/A</v>
      </c>
      <c r="AU180" s="61" t="e">
        <f>IF(COUNTIFS(allFYsTable[Code], SummaryTable[[#This Row],[Code]], allFYsTable[year2], AQ$3)=0, NotFound, SUMIFS(allFYsTable[Actual], allFYsTable[Code], SummaryTable[[#This Row],[Code]], allFYsTable[year2], AQ$3))</f>
        <v>#N/A</v>
      </c>
      <c r="AV180" s="61" t="e">
        <f>IF(COUNTIFS(allFYsTable[Code], SummaryTable[[#This Row],[Code]], allFYsTable[year2], AQ$3)=0, NotFound, SUMIFS(allFYsTable[DiffAmount], allFYsTable[Code], SummaryTable[[#This Row],[Code]], allFYsTable[year2], AQ$3))</f>
        <v>#N/A</v>
      </c>
      <c r="AW180" s="63" t="e">
        <f>IF(SummaryTable[[#This Row],[OriginalBudget23]]=0, IF(SummaryTable[[#This Row],[DiffAmount23]]=0, ZeroBudgetNoSpending, ZeroBudgetWithSpending), SummaryTable[[#This Row],[DiffAmount23]]/SummaryTable[[#This Row],[OriginalBudget23]])</f>
        <v>#N/A</v>
      </c>
      <c r="AX180" s="62" t="e">
        <f>IF(COUNTIFS(allFYsTable[Code], SummaryTable[[#This Row],[Code]], allFYsTable[year2], AX$3)=0, NotFound, SUMIFS(allFYsTable[OriginalBudget], allFYsTable[Code], SummaryTable[[#This Row],[Code]], allFYsTable[year2], AX$3))</f>
        <v>#N/A</v>
      </c>
      <c r="AY180" s="61" t="e">
        <f>SummaryTable[[#This Row],[OriginalBudget22]]-SummaryTable[[#This Row],[OriginalBudget21]]</f>
        <v>#N/A</v>
      </c>
      <c r="AZ180" s="54" t="e">
        <f>SummaryTable[[#This Row],[BudgetIncreaseAmount22]]/SummaryTable[[#This Row],[OriginalBudget21]]</f>
        <v>#N/A</v>
      </c>
      <c r="BA180" s="61" t="e">
        <f>IF(COUNTIFS(allFYsTable[Code], SummaryTable[[#This Row],[Code]], allFYsTable[year2], AX$3)=0, NotFound, SUMIFS(allFYsTable[RevisedBudget], allFYsTable[Code], SummaryTable[[#This Row],[Code]], allFYsTable[year2], AX$3))</f>
        <v>#N/A</v>
      </c>
      <c r="BB180" s="61" t="e">
        <f>IF(COUNTIFS(allFYsTable[Code], SummaryTable[[#This Row],[Code]], allFYsTable[year2], AX$3)=0, NotFound, SUMIFS(allFYsTable[Actual], allFYsTable[Code], SummaryTable[[#This Row],[Code]], allFYsTable[year2], AX$3))</f>
        <v>#N/A</v>
      </c>
      <c r="BC180" s="61" t="e">
        <f>IF(COUNTIFS(allFYsTable[Code], SummaryTable[[#This Row],[Code]], allFYsTable[year2], AX$3)=0, NotFound, SUMIFS(allFYsTable[DiffAmount], allFYsTable[Code], SummaryTable[[#This Row],[Code]], allFYsTable[year2], AX$3))</f>
        <v>#N/A</v>
      </c>
      <c r="BD180" s="63" t="e">
        <f>IF(SummaryTable[[#This Row],[OriginalBudget22]]=0, IF(SummaryTable[[#This Row],[DiffAmount22]]=0, ZeroBudgetNoSpending, ZeroBudgetWithSpending), SummaryTable[[#This Row],[DiffAmount22]]/SummaryTable[[#This Row],[OriginalBudget22]])</f>
        <v>#N/A</v>
      </c>
      <c r="BE180" s="62" t="e">
        <f>IF(COUNTIFS(allFYsTable[Code], SummaryTable[[#This Row],[Code]], allFYsTable[year2], BE$3)=0, NotFound, SUMIFS(allFYsTable[OriginalBudget], allFYsTable[Code], SummaryTable[[#This Row],[Code]], allFYsTable[year2], BE$3))</f>
        <v>#N/A</v>
      </c>
      <c r="BF180" s="61" t="e">
        <f>SummaryTable[[#This Row],[OriginalBudget21]]-SummaryTable[[#This Row],[OriginalBudget20]]</f>
        <v>#N/A</v>
      </c>
      <c r="BG180" s="54" t="e">
        <f>SummaryTable[[#This Row],[BudgetIncreaseAmount21]]/SummaryTable[[#This Row],[OriginalBudget20]]</f>
        <v>#N/A</v>
      </c>
      <c r="BH180" s="61" t="e">
        <f>IF(COUNTIFS(allFYsTable[Code], SummaryTable[[#This Row],[Code]], allFYsTable[year2], BE$3)=0, NotFound, SUMIFS(allFYsTable[RevisedBudget], allFYsTable[Code], SummaryTable[[#This Row],[Code]], allFYsTable[year2], BE$3))</f>
        <v>#N/A</v>
      </c>
      <c r="BI180" s="61" t="e">
        <f>IF(COUNTIFS(allFYsTable[Code], SummaryTable[[#This Row],[Code]], allFYsTable[year2], BE$3)=0, NotFound, SUMIFS(allFYsTable[Actual], allFYsTable[Code], SummaryTable[[#This Row],[Code]], allFYsTable[year2], BE$3))</f>
        <v>#N/A</v>
      </c>
      <c r="BJ180" s="61" t="e">
        <f>IF(COUNTIFS(allFYsTable[Code], SummaryTable[[#This Row],[Code]], allFYsTable[year2], BE$3)=0, NotFound, SUMIFS(allFYsTable[DiffAmount], allFYsTable[Code], SummaryTable[[#This Row],[Code]], allFYsTable[year2], BE$3))</f>
        <v>#N/A</v>
      </c>
      <c r="BK180" s="63" t="e">
        <f>IF(SummaryTable[[#This Row],[OriginalBudget21]]=0, IF(SummaryTable[[#This Row],[DiffAmount21]]=0, ZeroBudgetNoSpending, ZeroBudgetWithSpending), SummaryTable[[#This Row],[DiffAmount21]]/SummaryTable[[#This Row],[OriginalBudget21]])</f>
        <v>#N/A</v>
      </c>
      <c r="BL180" s="62" t="e">
        <f>IF(COUNTIFS(allFYsTable[Code], SummaryTable[[#This Row],[Code]], allFYsTable[year2], BL$3)=0, NotFound, SUMIFS(allFYsTable[OriginalBudget], allFYsTable[Code], SummaryTable[[#This Row],[Code]], allFYsTable[year2], BL$3))</f>
        <v>#N/A</v>
      </c>
      <c r="BM180" s="61" t="e">
        <f>SummaryTable[[#This Row],[OriginalBudget20]]-SummaryTable[[#This Row],[OriginalBudget19]]</f>
        <v>#N/A</v>
      </c>
      <c r="BN180" s="54" t="e">
        <f>SummaryTable[[#This Row],[BudgetIncreaseAmount20]]/SummaryTable[[#This Row],[OriginalBudget19]]</f>
        <v>#N/A</v>
      </c>
      <c r="BO180" s="61" t="e">
        <f>IF(COUNTIFS(allFYsTable[Code], SummaryTable[[#This Row],[Code]], allFYsTable[year2], BL$3)=0, NotFound, SUMIFS(allFYsTable[RevisedBudget], allFYsTable[Code], SummaryTable[[#This Row],[Code]], allFYsTable[year2], BL$3))</f>
        <v>#N/A</v>
      </c>
      <c r="BP180" s="61" t="e">
        <f>IF(COUNTIFS(allFYsTable[Code], SummaryTable[[#This Row],[Code]], allFYsTable[year2], BL$3)=0, NotFound, SUMIFS(allFYsTable[Actual], allFYsTable[Code], SummaryTable[[#This Row],[Code]], allFYsTable[year2], BL$3))</f>
        <v>#N/A</v>
      </c>
      <c r="BQ180" s="61" t="e">
        <f>IF(COUNTIFS(allFYsTable[Code], SummaryTable[[#This Row],[Code]], allFYsTable[year2], BL$3)=0, NotFound, SUMIFS(allFYsTable[DiffAmount], allFYsTable[Code], SummaryTable[[#This Row],[Code]], allFYsTable[year2], BL$3))</f>
        <v>#N/A</v>
      </c>
      <c r="BR180" s="63" t="e">
        <f>IF(SummaryTable[[#This Row],[OriginalBudget20]]=0, IF(SummaryTable[[#This Row],[DiffAmount20]]=0, ZeroBudgetNoSpending, ZeroBudgetWithSpending), SummaryTable[[#This Row],[DiffAmount20]]/SummaryTable[[#This Row],[OriginalBudget20]])</f>
        <v>#N/A</v>
      </c>
      <c r="BS180" s="62" t="e">
        <f>IF(COUNTIFS(allFYsTable[Code], SummaryTable[[#This Row],[Code]], allFYsTable[year2], BS$3)=0, NotFound, SUMIFS(allFYsTable[OriginalBudget], allFYsTable[Code], SummaryTable[[#This Row],[Code]], allFYsTable[year2], BS$3))</f>
        <v>#N/A</v>
      </c>
      <c r="BT180" s="61" t="e">
        <f>SummaryTable[[#This Row],[OriginalBudget19]]-SummaryTable[[#This Row],[OriginalBudget18]]</f>
        <v>#N/A</v>
      </c>
      <c r="BU180" s="54" t="e">
        <f>SummaryTable[[#This Row],[BudgetIncreaseAmount19]]/SummaryTable[[#This Row],[OriginalBudget18]]</f>
        <v>#N/A</v>
      </c>
      <c r="BV180" s="61" t="e">
        <f>IF(COUNTIFS(allFYsTable[Code], SummaryTable[[#This Row],[Code]], allFYsTable[year2], BS$3)=0, NotFound, SUMIFS(allFYsTable[RevisedBudget], allFYsTable[Code], SummaryTable[[#This Row],[Code]], allFYsTable[year2], BS$3))</f>
        <v>#N/A</v>
      </c>
      <c r="BW180" s="61" t="e">
        <f>IF(COUNTIFS(allFYsTable[Code], SummaryTable[[#This Row],[Code]], allFYsTable[year2], BS$3)=0, NotFound, SUMIFS(allFYsTable[Actual], allFYsTable[Code], SummaryTable[[#This Row],[Code]], allFYsTable[year2], BS$3))</f>
        <v>#N/A</v>
      </c>
      <c r="BX180" s="61" t="e">
        <f>IF(COUNTIFS(allFYsTable[Code], SummaryTable[[#This Row],[Code]], allFYsTable[year2], BS$3)=0, NotFound, SUMIFS(allFYsTable[DiffAmount], allFYsTable[Code], SummaryTable[[#This Row],[Code]], allFYsTable[year2], BS$3))</f>
        <v>#N/A</v>
      </c>
      <c r="BY180" s="63" t="e">
        <f>IF(SummaryTable[[#This Row],[OriginalBudget19]]=0, IF(SummaryTable[[#This Row],[DiffAmount19]]=0, ZeroBudgetNoSpending, ZeroBudgetWithSpending), SummaryTable[[#This Row],[DiffAmount19]]/SummaryTable[[#This Row],[OriginalBudget19]])</f>
        <v>#N/A</v>
      </c>
      <c r="BZ180" s="62" t="e">
        <f>IF(COUNTIFS(allFYsTable[Code], SummaryTable[[#This Row],[Code]], allFYsTable[year2], BZ$3)=0, NotFound, SUMIFS(allFYsTable[OriginalBudget], allFYsTable[Code], SummaryTable[[#This Row],[Code]], allFYsTable[year2], BZ$3))</f>
        <v>#N/A</v>
      </c>
      <c r="CA180" s="61" t="e">
        <f>SummaryTable[[#This Row],[OriginalBudget18]]-SummaryTable[[#This Row],[OriginalBudget17]]</f>
        <v>#N/A</v>
      </c>
      <c r="CB180" s="54" t="e">
        <f>SummaryTable[[#This Row],[BudgetIncreaseAmount18]]/SummaryTable[[#This Row],[OriginalBudget17]]</f>
        <v>#N/A</v>
      </c>
      <c r="CC180" s="61" t="e">
        <f>IF(COUNTIFS(allFYsTable[Code], SummaryTable[[#This Row],[Code]], allFYsTable[year2], BZ$3)=0, NotFound, SUMIFS(allFYsTable[RevisedBudget], allFYsTable[Code], SummaryTable[[#This Row],[Code]], allFYsTable[year2], BZ$3))</f>
        <v>#N/A</v>
      </c>
      <c r="CD180" s="61" t="e">
        <f>IF(COUNTIFS(allFYsTable[Code], SummaryTable[[#This Row],[Code]], allFYsTable[year2], BZ$3)=0, NotFound, SUMIFS(allFYsTable[Actual], allFYsTable[Code], SummaryTable[[#This Row],[Code]], allFYsTable[year2], BZ$3))</f>
        <v>#N/A</v>
      </c>
      <c r="CE180" s="61" t="e">
        <f>IF(COUNTIFS(allFYsTable[Code], SummaryTable[[#This Row],[Code]], allFYsTable[year2], BZ$3)=0, NotFound, SUMIFS(allFYsTable[DiffAmount], allFYsTable[Code], SummaryTable[[#This Row],[Code]], allFYsTable[year2], BZ$3))</f>
        <v>#N/A</v>
      </c>
      <c r="CF180" s="63" t="e">
        <f>IF(SummaryTable[[#This Row],[OriginalBudget18]]=0, IF(SummaryTable[[#This Row],[DiffAmount18]]=0, ZeroBudgetNoSpending, ZeroBudgetWithSpending), SummaryTable[[#This Row],[DiffAmount18]]/SummaryTable[[#This Row],[OriginalBudget18]])</f>
        <v>#N/A</v>
      </c>
      <c r="CG180" s="62" t="e">
        <f>IF(COUNTIFS(allFYsTable[Code], SummaryTable[[#This Row],[Code]], allFYsTable[year2], CG$3)=0, NotFound, SUMIFS(allFYsTable[OriginalBudget], allFYsTable[Code], SummaryTable[[#This Row],[Code]], allFYsTable[year2], CG$3))</f>
        <v>#N/A</v>
      </c>
      <c r="CH180" s="61" t="e">
        <f>SummaryTable[[#This Row],[OriginalBudget17]]-SummaryTable[[#This Row],[OriginalBudget16]]</f>
        <v>#N/A</v>
      </c>
      <c r="CI180" s="54" t="e">
        <f>SummaryTable[[#This Row],[BudgetIncreaseAmount17]]/SummaryTable[[#This Row],[OriginalBudget16]]</f>
        <v>#N/A</v>
      </c>
      <c r="CJ180" s="61" t="e">
        <f>IF(COUNTIFS(allFYsTable[Code], SummaryTable[[#This Row],[Code]], allFYsTable[year2], CG$3)=0, NotFound, SUMIFS(allFYsTable[RevisedBudget], allFYsTable[Code], SummaryTable[[#This Row],[Code]], allFYsTable[year2], CG$3))</f>
        <v>#N/A</v>
      </c>
      <c r="CK180" s="61" t="e">
        <f>IF(COUNTIFS(allFYsTable[Code], SummaryTable[[#This Row],[Code]], allFYsTable[year2], CG$3)=0, NotFound, SUMIFS(allFYsTable[Actual], allFYsTable[Code], SummaryTable[[#This Row],[Code]], allFYsTable[year2], CG$3))</f>
        <v>#N/A</v>
      </c>
      <c r="CL180" s="61" t="e">
        <f>IF(COUNTIFS(allFYsTable[Code], SummaryTable[[#This Row],[Code]], allFYsTable[year2], CG$3)=0, NotFound, SUMIFS(allFYsTable[DiffAmount], allFYsTable[Code], SummaryTable[[#This Row],[Code]], allFYsTable[year2], CG$3))</f>
        <v>#N/A</v>
      </c>
      <c r="CM180" s="63" t="e">
        <f>IF(SummaryTable[[#This Row],[OriginalBudget17]]=0, IF(SummaryTable[[#This Row],[DiffAmount17]]=0, ZeroBudgetNoSpending, ZeroBudgetWithSpending), SummaryTable[[#This Row],[DiffAmount17]]/SummaryTable[[#This Row],[OriginalBudget17]])</f>
        <v>#N/A</v>
      </c>
      <c r="CN180" s="62" t="e">
        <f>IF(COUNTIFS(allFYsTable[Code], SummaryTable[[#This Row],[Code]], allFYsTable[year2], CN$3)=0, NotFound, SUMIFS(allFYsTable[OriginalBudget], allFYsTable[Code], SummaryTable[[#This Row],[Code]], allFYsTable[year2], CN$3))</f>
        <v>#N/A</v>
      </c>
      <c r="CO180" s="61" t="e">
        <f>SummaryTable[[#This Row],[OriginalBudget16]]-SummaryTable[[#This Row],[OriginalBudget15]]</f>
        <v>#N/A</v>
      </c>
      <c r="CP180" s="54" t="e">
        <f>SummaryTable[[#This Row],[BudgetIncreaseAmount16]]/SummaryTable[[#This Row],[OriginalBudget15]]</f>
        <v>#N/A</v>
      </c>
      <c r="CQ180" s="61" t="e">
        <f>IF(COUNTIFS(allFYsTable[Code], SummaryTable[[#This Row],[Code]], allFYsTable[year2], CN$3)=0, NotFound, SUMIFS(allFYsTable[RevisedBudget], allFYsTable[Code], SummaryTable[[#This Row],[Code]], allFYsTable[year2], CN$3))</f>
        <v>#N/A</v>
      </c>
      <c r="CR180" s="61" t="e">
        <f>IF(COUNTIFS(allFYsTable[Code], SummaryTable[[#This Row],[Code]], allFYsTable[year2], CN$3)=0, NotFound, SUMIFS(allFYsTable[Actual], allFYsTable[Code], SummaryTable[[#This Row],[Code]], allFYsTable[year2], CN$3))</f>
        <v>#N/A</v>
      </c>
      <c r="CS180" s="61" t="e">
        <f>IF(COUNTIFS(allFYsTable[Code], SummaryTable[[#This Row],[Code]], allFYsTable[year2], CN$3)=0, NotFound, SUMIFS(allFYsTable[DiffAmount], allFYsTable[Code], SummaryTable[[#This Row],[Code]], allFYsTable[year2], CN$3))</f>
        <v>#N/A</v>
      </c>
      <c r="CT180" s="63" t="e">
        <f>IF(SummaryTable[[#This Row],[OriginalBudget16]]=0, IF(SummaryTable[[#This Row],[DiffAmount16]]=0, ZeroBudgetNoSpending, ZeroBudgetWithSpending), SummaryTable[[#This Row],[DiffAmount16]]/SummaryTable[[#This Row],[OriginalBudget16]])</f>
        <v>#N/A</v>
      </c>
      <c r="CU180" s="62" t="e">
        <f>IF(COUNTIFS(allFYsTable[Code], SummaryTable[[#This Row],[Code]], allFYsTable[year2], CU$3)=0, NotFound, SUMIFS(allFYsTable[OriginalBudget], allFYsTable[Code], SummaryTable[[#This Row],[Code]], allFYsTable[year2], CU$3))</f>
        <v>#N/A</v>
      </c>
      <c r="CV180" s="61" t="e">
        <f>SummaryTable[[#This Row],[OriginalBudget15]]-SummaryTable[[#This Row],[OriginalBudget14]]</f>
        <v>#N/A</v>
      </c>
      <c r="CW180" s="54" t="e">
        <f>SummaryTable[[#This Row],[BudgetIncreaseAmount15]]/SummaryTable[[#This Row],[OriginalBudget14]]</f>
        <v>#N/A</v>
      </c>
      <c r="CX180" s="61" t="e">
        <f>IF(COUNTIFS(allFYsTable[Code], SummaryTable[[#This Row],[Code]], allFYsTable[year2], CU$3)=0, NotFound, SUMIFS(allFYsTable[RevisedBudget], allFYsTable[Code], SummaryTable[[#This Row],[Code]], allFYsTable[year2], CU$3))</f>
        <v>#N/A</v>
      </c>
      <c r="CY180" s="61" t="e">
        <f>IF(COUNTIFS(allFYsTable[Code], SummaryTable[[#This Row],[Code]], allFYsTable[year2], CU$3)=0, NotFound, SUMIFS(allFYsTable[Actual], allFYsTable[Code], SummaryTable[[#This Row],[Code]], allFYsTable[year2], CU$3))</f>
        <v>#N/A</v>
      </c>
      <c r="CZ180" s="61" t="e">
        <f>IF(COUNTIFS(allFYsTable[Code], SummaryTable[[#This Row],[Code]], allFYsTable[year2], CU$3)=0, NotFound, SUMIFS(allFYsTable[DiffAmount], allFYsTable[Code], SummaryTable[[#This Row],[Code]], allFYsTable[year2], CU$3))</f>
        <v>#N/A</v>
      </c>
      <c r="DA180" s="63" t="e">
        <f>IF(SummaryTable[[#This Row],[OriginalBudget15]]=0, IF(SummaryTable[[#This Row],[DiffAmount15]]=0, ZeroBudgetNoSpending, ZeroBudgetWithSpending), SummaryTable[[#This Row],[DiffAmount15]]/SummaryTable[[#This Row],[OriginalBudget15]])</f>
        <v>#N/A</v>
      </c>
      <c r="DB180" s="62" t="e">
        <f>IF(COUNTIFS(allFYsTable[Code], SummaryTable[[#This Row],[Code]], allFYsTable[year2], DB$3)=0, NotFound, SUMIFS(allFYsTable[OriginalBudget], allFYsTable[Code], SummaryTable[[#This Row],[Code]], allFYsTable[year2], DB$3))</f>
        <v>#N/A</v>
      </c>
      <c r="DC180" s="61" t="e">
        <f>SummaryTable[[#This Row],[OriginalBudget14]]-SummaryTable[[#This Row],[OriginalBudget13]]</f>
        <v>#N/A</v>
      </c>
      <c r="DD180" s="54" t="e">
        <f>SummaryTable[[#This Row],[BudgetIncreaseAmount14]]/SummaryTable[[#This Row],[OriginalBudget13]]</f>
        <v>#N/A</v>
      </c>
      <c r="DE180" s="61" t="e">
        <f>IF(COUNTIFS(allFYsTable[Code], SummaryTable[[#This Row],[Code]], allFYsTable[year2], DB$3)=0, NotFound, SUMIFS(allFYsTable[RevisedBudget], allFYsTable[Code], SummaryTable[[#This Row],[Code]], allFYsTable[year2], DB$3))</f>
        <v>#N/A</v>
      </c>
      <c r="DF180" s="61" t="e">
        <f>IF(COUNTIFS(allFYsTable[Code], SummaryTable[[#This Row],[Code]], allFYsTable[year2], DB$3)=0, NotFound, SUMIFS(allFYsTable[Actual], allFYsTable[Code], SummaryTable[[#This Row],[Code]], allFYsTable[year2], DB$3))</f>
        <v>#N/A</v>
      </c>
      <c r="DG180" s="61" t="e">
        <f>IF(COUNTIFS(allFYsTable[Code], SummaryTable[[#This Row],[Code]], allFYsTable[year2], DB$3)=0, NotFound, SUMIFS(allFYsTable[DiffAmount], allFYsTable[Code], SummaryTable[[#This Row],[Code]], allFYsTable[year2], DB$3))</f>
        <v>#N/A</v>
      </c>
      <c r="DH180" s="63" t="e">
        <f>IF(SummaryTable[[#This Row],[OriginalBudget14]]=0, IF(SummaryTable[[#This Row],[DiffAmount14]]=0, ZeroBudgetNoSpending, ZeroBudgetWithSpending), SummaryTable[[#This Row],[DiffAmount14]]/SummaryTable[[#This Row],[OriginalBudget14]])</f>
        <v>#N/A</v>
      </c>
      <c r="DI180" s="62" t="e">
        <f>IF(COUNTIFS(allFYsTable[Code], SummaryTable[[#This Row],[Code]], allFYsTable[year2], DI$3)=0, NotFound, SUMIFS(allFYsTable[OriginalBudget], allFYsTable[Code], SummaryTable[[#This Row],[Code]], allFYsTable[year2], DI$3))</f>
        <v>#N/A</v>
      </c>
      <c r="DJ180" s="61" t="e">
        <f>SummaryTable[[#This Row],[OriginalBudget13]]-SummaryTable[[#This Row],[OriginalBudget12]]</f>
        <v>#N/A</v>
      </c>
      <c r="DK180" s="54" t="e">
        <f>SummaryTable[[#This Row],[BudgetIncreaseAmount13]]/SummaryTable[[#This Row],[OriginalBudget12]]</f>
        <v>#N/A</v>
      </c>
      <c r="DL180" s="61" t="e">
        <f>IF(COUNTIFS(allFYsTable[Code], SummaryTable[[#This Row],[Code]], allFYsTable[year2], DI$3)=0, NotFound, SUMIFS(allFYsTable[RevisedBudget], allFYsTable[Code], SummaryTable[[#This Row],[Code]], allFYsTable[year2], DI$3))</f>
        <v>#N/A</v>
      </c>
      <c r="DM180" s="61" t="e">
        <f>IF(COUNTIFS(allFYsTable[Code], SummaryTable[[#This Row],[Code]], allFYsTable[year2], DI$3)=0, NotFound, SUMIFS(allFYsTable[Actual], allFYsTable[Code], SummaryTable[[#This Row],[Code]], allFYsTable[year2], DI$3))</f>
        <v>#N/A</v>
      </c>
      <c r="DN180" s="61" t="e">
        <f>IF(COUNTIFS(allFYsTable[Code], SummaryTable[[#This Row],[Code]], allFYsTable[year2], DI$3)=0, NotFound, SUMIFS(allFYsTable[DiffAmount], allFYsTable[Code], SummaryTable[[#This Row],[Code]], allFYsTable[year2], DI$3))</f>
        <v>#N/A</v>
      </c>
      <c r="DO180" s="63" t="e">
        <f>IF(SummaryTable[[#This Row],[OriginalBudget13]]=0, IF(SummaryTable[[#This Row],[DiffAmount13]]=0, ZeroBudgetNoSpending, ZeroBudgetWithSpending), SummaryTable[[#This Row],[DiffAmount13]]/SummaryTable[[#This Row],[OriginalBudget13]])</f>
        <v>#N/A</v>
      </c>
      <c r="DP180" s="62" t="e">
        <f>IF(COUNTIFS(allFYsTable[Code], SummaryTable[[#This Row],[Code]], allFYsTable[year2], DP$3)=0, NotFound, SUMIFS(allFYsTable[OriginalBudget], allFYsTable[Code], SummaryTable[[#This Row],[Code]], allFYsTable[year2], DP$3))</f>
        <v>#N/A</v>
      </c>
      <c r="DQ180" s="61" t="e">
        <f>SummaryTable[[#This Row],[OriginalBudget12]]-SummaryTable[[#This Row],[OriginalBudget11]]</f>
        <v>#N/A</v>
      </c>
      <c r="DR180" s="54" t="e">
        <f>SummaryTable[[#This Row],[BudgetIncreaseAmount12]]/SummaryTable[[#This Row],[OriginalBudget11]]</f>
        <v>#N/A</v>
      </c>
      <c r="DS180" s="61" t="e">
        <f>IF(COUNTIFS(allFYsTable[Code], SummaryTable[[#This Row],[Code]], allFYsTable[year2], DP$3)=0, NotFound, SUMIFS(allFYsTable[RevisedBudget], allFYsTable[Code], SummaryTable[[#This Row],[Code]], allFYsTable[year2], DP$3))</f>
        <v>#N/A</v>
      </c>
      <c r="DT180" s="61" t="e">
        <f>IF(COUNTIFS(allFYsTable[Code], SummaryTable[[#This Row],[Code]], allFYsTable[year2], DP$3)=0, NotFound, SUMIFS(allFYsTable[Actual], allFYsTable[Code], SummaryTable[[#This Row],[Code]], allFYsTable[year2], DP$3))</f>
        <v>#N/A</v>
      </c>
      <c r="DU180" s="61" t="e">
        <f>IF(COUNTIFS(allFYsTable[Code], SummaryTable[[#This Row],[Code]], allFYsTable[year2], DP$3)=0, NotFound, SUMIFS(allFYsTable[DiffAmount], allFYsTable[Code], SummaryTable[[#This Row],[Code]], allFYsTable[year2], DP$3))</f>
        <v>#N/A</v>
      </c>
      <c r="DV180" s="63" t="e">
        <f>IF(SummaryTable[[#This Row],[OriginalBudget12]]=0, IF(SummaryTable[[#This Row],[DiffAmount12]]=0, ZeroBudgetNoSpending, ZeroBudgetWithSpending), SummaryTable[[#This Row],[DiffAmount12]]/SummaryTable[[#This Row],[OriginalBudget12]])</f>
        <v>#N/A</v>
      </c>
      <c r="DW180" s="62" t="e">
        <f>IF(COUNTIFS(allFYsTable[Code], SummaryTable[[#This Row],[Code]], allFYsTable[year2], DW$3)=0, NotFound, SUMIFS(allFYsTable[OriginalBudget], allFYsTable[Code], SummaryTable[[#This Row],[Code]], allFYsTable[year2], DW$3))</f>
        <v>#N/A</v>
      </c>
      <c r="DX180" s="61" t="e">
        <f>SummaryTable[[#This Row],[OriginalBudget11]]-SummaryTable[[#This Row],[OriginalBudget10]]</f>
        <v>#N/A</v>
      </c>
      <c r="DY180" s="54" t="e">
        <f>SummaryTable[[#This Row],[BudgetIncreaseAmount11]]/SummaryTable[[#This Row],[OriginalBudget10]]</f>
        <v>#N/A</v>
      </c>
      <c r="DZ180" s="61" t="e">
        <f>IF(COUNTIFS(allFYsTable[Code], SummaryTable[[#This Row],[Code]], allFYsTable[year2], DW$3)=0, NotFound, SUMIFS(allFYsTable[RevisedBudget], allFYsTable[Code], SummaryTable[[#This Row],[Code]], allFYsTable[year2], DW$3))</f>
        <v>#N/A</v>
      </c>
      <c r="EA180" s="61" t="e">
        <f>IF(COUNTIFS(allFYsTable[Code], SummaryTable[[#This Row],[Code]], allFYsTable[year2], DW$3)=0, NotFound, SUMIFS(allFYsTable[Actual], allFYsTable[Code], SummaryTable[[#This Row],[Code]], allFYsTable[year2], DW$3))</f>
        <v>#N/A</v>
      </c>
      <c r="EB180" s="61" t="e">
        <f>IF(COUNTIFS(allFYsTable[Code], SummaryTable[[#This Row],[Code]], allFYsTable[year2], DW$3)=0, NotFound, SUMIFS(allFYsTable[DiffAmount], allFYsTable[Code], SummaryTable[[#This Row],[Code]], allFYsTable[year2], DW$3))</f>
        <v>#N/A</v>
      </c>
      <c r="EC180" s="63" t="e">
        <f>IF(SummaryTable[[#This Row],[OriginalBudget11]]=0, IF(SummaryTable[[#This Row],[DiffAmount11]]=0, ZeroBudgetNoSpending, ZeroBudgetWithSpending), SummaryTable[[#This Row],[DiffAmount11]]/SummaryTable[[#This Row],[OriginalBudget11]])</f>
        <v>#N/A</v>
      </c>
      <c r="ED180" s="62" t="e">
        <f>IF(COUNTIFS(allFYsTable[Code], SummaryTable[[#This Row],[Code]], allFYsTable[year2], ED$3)=0, NotFound, SUMIFS(allFYsTable[OriginalBudget], allFYsTable[Code], SummaryTable[[#This Row],[Code]], allFYsTable[year2], ED$3))</f>
        <v>#N/A</v>
      </c>
      <c r="EE180" s="61" t="e">
        <f>SummaryTable[[#This Row],[OriginalBudget10]]-SummaryTable[[#This Row],[OriginalBudget09]]</f>
        <v>#N/A</v>
      </c>
      <c r="EF180" s="54" t="e">
        <f>SummaryTable[[#This Row],[BudgetIncreaseAmount10]]/SummaryTable[[#This Row],[OriginalBudget09]]</f>
        <v>#N/A</v>
      </c>
      <c r="EG180" s="61" t="e">
        <f>IF(COUNTIFS(allFYsTable[Code], SummaryTable[[#This Row],[Code]], allFYsTable[year2], ED$3)=0, NotFound, SUMIFS(allFYsTable[RevisedBudget], allFYsTable[Code], SummaryTable[[#This Row],[Code]], allFYsTable[year2], ED$3))</f>
        <v>#N/A</v>
      </c>
      <c r="EH180" s="61" t="e">
        <f>IF(COUNTIFS(allFYsTable[Code], SummaryTable[[#This Row],[Code]], allFYsTable[year2], ED$3)=0, NotFound, SUMIFS(allFYsTable[Actual], allFYsTable[Code], SummaryTable[[#This Row],[Code]], allFYsTable[year2], ED$3))</f>
        <v>#N/A</v>
      </c>
      <c r="EI180" s="61" t="e">
        <f>IF(COUNTIFS(allFYsTable[Code], SummaryTable[[#This Row],[Code]], allFYsTable[year2], ED$3)=0, NotFound, SUMIFS(allFYsTable[DiffAmount], allFYsTable[Code], SummaryTable[[#This Row],[Code]], allFYsTable[year2], ED$3))</f>
        <v>#N/A</v>
      </c>
      <c r="EJ180" s="63" t="e">
        <f>IF(SummaryTable[[#This Row],[OriginalBudget10]]=0, IF(SummaryTable[[#This Row],[DiffAmount10]]=0, ZeroBudgetNoSpending, ZeroBudgetWithSpending), SummaryTable[[#This Row],[DiffAmount10]]/SummaryTable[[#This Row],[OriginalBudget10]])</f>
        <v>#N/A</v>
      </c>
      <c r="EK180" s="62" t="e">
        <f>IF(COUNTIFS(allFYsTable[Code], SummaryTable[[#This Row],[Code]], allFYsTable[year2], EK$3)=0, NotFound, SUMIFS(allFYsTable[OriginalBudget], allFYsTable[Code], SummaryTable[[#This Row],[Code]], allFYsTable[year2], EK$3))</f>
        <v>#N/A</v>
      </c>
      <c r="EL180" s="61" t="e">
        <f>SummaryTable[[#This Row],[OriginalBudget09]]-SummaryTable[[#This Row],[OriginalBudget08]]</f>
        <v>#N/A</v>
      </c>
      <c r="EM180" s="54" t="e">
        <f>SummaryTable[[#This Row],[BudgetIncreaseAmount09]]/SummaryTable[[#This Row],[OriginalBudget08]]</f>
        <v>#N/A</v>
      </c>
      <c r="EN180" s="61" t="e">
        <f>IF(COUNTIFS(allFYsTable[Code], SummaryTable[[#This Row],[Code]], allFYsTable[year2], EK$3)=0, NotFound, SUMIFS(allFYsTable[RevisedBudget], allFYsTable[Code], SummaryTable[[#This Row],[Code]], allFYsTable[year2], EK$3))</f>
        <v>#N/A</v>
      </c>
      <c r="EO180" s="61" t="e">
        <f>IF(COUNTIFS(allFYsTable[Code], SummaryTable[[#This Row],[Code]], allFYsTable[year2], EK$3)=0, NotFound, SUMIFS(allFYsTable[Actual], allFYsTable[Code], SummaryTable[[#This Row],[Code]], allFYsTable[year2], EK$3))</f>
        <v>#N/A</v>
      </c>
      <c r="EP180" s="61" t="e">
        <f>IF(COUNTIFS(allFYsTable[Code], SummaryTable[[#This Row],[Code]], allFYsTable[year2], EK$3)=0, NotFound, SUMIFS(allFYsTable[DiffAmount], allFYsTable[Code], SummaryTable[[#This Row],[Code]], allFYsTable[year2], EK$3))</f>
        <v>#N/A</v>
      </c>
      <c r="EQ180" s="63" t="e">
        <f>IF(SummaryTable[[#This Row],[OriginalBudget09]]=0, IF(SummaryTable[[#This Row],[DiffAmount09]]=0, ZeroBudgetNoSpending, ZeroBudgetWithSpending), SummaryTable[[#This Row],[DiffAmount09]]/SummaryTable[[#This Row],[OriginalBudget09]])</f>
        <v>#N/A</v>
      </c>
      <c r="ER180" s="62" t="e">
        <f>IF(COUNTIFS(allFYsTable[Code], SummaryTable[[#This Row],[Code]], allFYsTable[year2], ER$3)=0, NotFound, SUMIFS(allFYsTable[OriginalBudget], allFYsTable[Code], SummaryTable[[#This Row],[Code]], allFYsTable[year2], ER$3))</f>
        <v>#N/A</v>
      </c>
      <c r="ES180" s="61" t="e">
        <f>SummaryTable[[#This Row],[OriginalBudget08]]-SummaryTable[[#This Row],[OriginalBudget07]]</f>
        <v>#N/A</v>
      </c>
      <c r="ET180" s="54" t="e">
        <f>SummaryTable[[#This Row],[BudgetIncreaseAmount08]]/SummaryTable[[#This Row],[OriginalBudget07]]</f>
        <v>#N/A</v>
      </c>
      <c r="EU180" s="61" t="e">
        <f>IF(COUNTIFS(allFYsTable[Code], SummaryTable[[#This Row],[Code]], allFYsTable[year2], ER$3)=0, NotFound, SUMIFS(allFYsTable[RevisedBudget], allFYsTable[Code], SummaryTable[[#This Row],[Code]], allFYsTable[year2], ER$3))</f>
        <v>#N/A</v>
      </c>
      <c r="EV180" s="61" t="e">
        <f>IF(COUNTIFS(allFYsTable[Code], SummaryTable[[#This Row],[Code]], allFYsTable[year2], ER$3)=0, NotFound, SUMIFS(allFYsTable[Actual], allFYsTable[Code], SummaryTable[[#This Row],[Code]], allFYsTable[year2], ER$3))</f>
        <v>#N/A</v>
      </c>
      <c r="EW180" s="61" t="e">
        <f>IF(COUNTIFS(allFYsTable[Code], SummaryTable[[#This Row],[Code]], allFYsTable[year2], ER$3)=0, NotFound, SUMIFS(allFYsTable[DiffAmount], allFYsTable[Code], SummaryTable[[#This Row],[Code]], allFYsTable[year2], ER$3))</f>
        <v>#N/A</v>
      </c>
      <c r="EX180" s="63" t="e">
        <f>IF(SummaryTable[[#This Row],[OriginalBudget08]]=0, IF(SummaryTable[[#This Row],[DiffAmount08]]=0, ZeroBudgetNoSpending, ZeroBudgetWithSpending), SummaryTable[[#This Row],[DiffAmount08]]/SummaryTable[[#This Row],[OriginalBudget08]])</f>
        <v>#N/A</v>
      </c>
      <c r="EY180" s="62">
        <f>IF(COUNTIFS(allFYsTable[Code], SummaryTable[[#This Row],[Code]], allFYsTable[year2], EY$3)=0, NotFound, SUMIFS(allFYsTable[OriginalBudget], allFYsTable[Code], SummaryTable[[#This Row],[Code]], allFYsTable[year2], EY$3))</f>
        <v>0</v>
      </c>
      <c r="EZ180" s="61" t="e">
        <f>SummaryTable[[#This Row],[OriginalBudget07]]-SummaryTable[[#This Row],[OriginalBudget06]]</f>
        <v>#N/A</v>
      </c>
      <c r="FA180" s="54" t="e">
        <f>SummaryTable[[#This Row],[BudgetIncreaseAmount07]]/SummaryTable[[#This Row],[OriginalBudget06]]</f>
        <v>#N/A</v>
      </c>
      <c r="FB180" s="61">
        <f>IF(COUNTIFS(allFYsTable[Code], SummaryTable[[#This Row],[Code]], allFYsTable[year2], EY$3)=0, NotFound, SUMIFS(allFYsTable[RevisedBudget], allFYsTable[Code], SummaryTable[[#This Row],[Code]], allFYsTable[year2], EY$3))</f>
        <v>26927</v>
      </c>
      <c r="FC180" s="61">
        <f>IF(COUNTIFS(allFYsTable[Code], SummaryTable[[#This Row],[Code]], allFYsTable[year2], EY$3)=0, NotFound, SUMIFS(allFYsTable[Actual], allFYsTable[Code], SummaryTable[[#This Row],[Code]], allFYsTable[year2], EY$3))</f>
        <v>26927</v>
      </c>
      <c r="FD180" s="61">
        <f>IF(COUNTIFS(allFYsTable[Code], SummaryTable[[#This Row],[Code]], allFYsTable[year2], EY$3)=0, NotFound, SUMIFS(allFYsTable[DiffAmount], allFYsTable[Code], SummaryTable[[#This Row],[Code]], allFYsTable[year2], EY$3))</f>
        <v>26927</v>
      </c>
      <c r="FE180" s="63">
        <f>IF(SummaryTable[[#This Row],[OriginalBudget07]]=0, IF(SummaryTable[[#This Row],[DiffAmount07]]=0, ZeroBudgetNoSpending, ZeroBudgetWithSpending), SummaryTable[[#This Row],[DiffAmount07]]/SummaryTable[[#This Row],[OriginalBudget07]])</f>
        <v>99.99</v>
      </c>
      <c r="FF180" s="62" t="e">
        <f>IF(COUNTIFS(allFYsTable[Code], SummaryTable[[#This Row],[Code]], allFYsTable[year2], FF$3)=0, NotFound, SUMIFS(allFYsTable[OriginalBudget], allFYsTable[Code], SummaryTable[[#This Row],[Code]], allFYsTable[year2], FF$3))</f>
        <v>#N/A</v>
      </c>
      <c r="FI180" s="61" t="e">
        <f>IF(COUNTIFS(allFYsTable[Code], SummaryTable[[#This Row],[Code]], allFYsTable[year2], FF$3)=0, NotFound, SUMIFS(allFYsTable[RevisedBudget], allFYsTable[Code], SummaryTable[[#This Row],[Code]], allFYsTable[year2], FF$3))</f>
        <v>#N/A</v>
      </c>
      <c r="FJ180" s="61" t="e">
        <f>IF(COUNTIFS(allFYsTable[Code], SummaryTable[[#This Row],[Code]], allFYsTable[year2], FF$3)=0, NotFound, SUMIFS(allFYsTable[Actual], allFYsTable[Code], SummaryTable[[#This Row],[Code]], allFYsTable[year2], FF$3))</f>
        <v>#N/A</v>
      </c>
      <c r="FK180" s="61" t="e">
        <f>IF(COUNTIFS(allFYsTable[Code], SummaryTable[[#This Row],[Code]], allFYsTable[year2], FF$3)=0, NotFound, SUMIFS(allFYsTable[DiffAmount], allFYsTable[Code], SummaryTable[[#This Row],[Code]], allFYsTable[year2], FF$3))</f>
        <v>#N/A</v>
      </c>
      <c r="FL180" s="63" t="e">
        <f>IF(SummaryTable[[#This Row],[OriginalBudget06]]=0, IF(SummaryTable[[#This Row],[DiffAmount06]]=0, ZeroBudgetNoSpending, ZeroBudgetWithSpending), SummaryTable[[#This Row],[DiffAmount06]]/SummaryTable[[#This Row],[OriginalBudget06]])</f>
        <v>#N/A</v>
      </c>
    </row>
    <row r="181" spans="1:168" x14ac:dyDescent="0.45">
      <c r="A181" t="s">
        <v>885</v>
      </c>
      <c r="B181">
        <f>_xlfn.MAXIFS(allFYsTable[year2], allFYsTable[Code], SummaryTable[[#This Row],[Code]])</f>
        <v>2007</v>
      </c>
      <c r="C181" t="str">
        <f>_xlfn.XLOOKUP(SummaryTable[[#This Row],[Code]], NameCodingTable[Code], NameCodingTable[Most Recent Category per allFYs])</f>
        <v>Other</v>
      </c>
      <c r="D181" t="str">
        <f>_xlfn.XLOOKUP(SummaryTable[[#This Row],[Code]], NameCodingTable[Code], NameCodingTable[Unit Display Name])</f>
        <v>One-time expenditures</v>
      </c>
      <c r="E181" t="str">
        <f>_xlfn.XLOOKUP(SummaryTable[[#This Row],[Code]], NameCodingTable[Code], NameCodingTable[Type])</f>
        <v>untyped</v>
      </c>
      <c r="F181"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81"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81" s="54">
        <f>SummaryTable[[#This Row],['# Over]]/SummaryTable[[#This Row],[Count]]</f>
        <v>1</v>
      </c>
      <c r="I181"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81" s="54">
        <f>SummaryTable[[#This Row],['# Under]]/SummaryTable[[#This Row],[Count]]</f>
        <v>0</v>
      </c>
      <c r="K181"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81" s="54">
        <f>SummaryTable[[#This Row],['# Equal]]/SummaryTable[[#This Row],[Count]]</f>
        <v>0</v>
      </c>
      <c r="M181" s="61">
        <f>SUMIFS(allFYsTable[OriginalBudget],allFYsTable[Code],SummaryTable[[#This Row],[Code]])/SummaryTable[[#This Row],[Count]]</f>
        <v>0</v>
      </c>
      <c r="N181" s="61">
        <f>SUMIFS(allFYsTable[Actual],allFYsTable[Code],SummaryTable[[#This Row],[Code]])/SummaryTable[[#This Row],[Count]]</f>
        <v>8838</v>
      </c>
      <c r="O181" s="61">
        <f>SummaryTable[[#This Row],[AvgActAmt]]-SummaryTable[[#This Row],[AvgBudAmt]]</f>
        <v>8838</v>
      </c>
      <c r="P181" s="54">
        <f>IF(SummaryTable[[#This Row],[AvgBudAmt]]=0, IF(SummaryTable[[#This Row],[AvgDiff'#]]=0, 0, NamedFields!$C$3), SummaryTable[[#This Row],[AvgDiff'#]]/SummaryTable[[#This Row],[AvgBudAmt]])</f>
        <v>99.99</v>
      </c>
      <c r="Q181" s="61">
        <f>IFERROR(SUMIFS(allFYsTable[OriginalBudget],allFYsTable[Code],SummaryTable[[#This Row],[Code]],allFYsTable[DiffAmount], "&gt;0")/SummaryTable[[#This Row],['# Over]], 0)</f>
        <v>0</v>
      </c>
      <c r="R181" s="61">
        <f>IFERROR(SUMIFS(allFYsTable[Actual],allFYsTable[Code],SummaryTable[[#This Row],[Code]],allFYsTable[DiffAmount], "&gt;0")/SummaryTable[[#This Row],['# Over]], 0)</f>
        <v>8838</v>
      </c>
      <c r="S181" s="61">
        <f>SummaryTable[[#This Row],[OverAvgAct]]-SummaryTable[[#This Row],[OverAvgBud]]</f>
        <v>8838</v>
      </c>
      <c r="T181" s="54">
        <f>IF(SummaryTable[[#This Row],[OverAvgBud]]=0, IF(SummaryTable[[#This Row],[OverAvgDiff'#]]=0, ZeroBudgetNoSpending, ZeroBudgetWithSpending), SummaryTable[[#This Row],[OverAvgDiff'#]]/SummaryTable[[#This Row],[OverAvgBud]])</f>
        <v>99.99</v>
      </c>
      <c r="U181" s="61">
        <f>IFERROR(SUMIFS(allFYsTable[OriginalBudget],allFYsTable[Code],SummaryTable[[#This Row],[Code]],allFYsTable[DiffAmount], "&lt;0")/SummaryTable[[#This Row],['# Under]], 0)</f>
        <v>0</v>
      </c>
      <c r="V181" s="61">
        <f>IFERROR( SUMIFS(allFYsTable[Actual],allFYsTable[Code],SummaryTable[[#This Row],[Code]],allFYsTable[DiffAmount], "&lt;0")/SummaryTable[[#This Row],['# Under]], 0)</f>
        <v>0</v>
      </c>
      <c r="W181" s="61">
        <f>SummaryTable[[#This Row],[UnderAvgAct]]-SummaryTable[[#This Row],[UnderAvgBud]]</f>
        <v>0</v>
      </c>
      <c r="X181" s="54">
        <f>IF(SummaryTable[[#This Row],[UnderAvgBud]]=0, IF(SummaryTable[[#This Row],[UnderAvgDiff'#]]=0, ZeroBudgetNoSpending, NamedFields!$C$3), SummaryTable[[#This Row],[UnderAvgDiff'#]]/SummaryTable[[#This Row],[UnderAvgBud]])</f>
        <v>0</v>
      </c>
      <c r="Y181"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81"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1" s="54">
        <f>IF(SummaryTable[[#This Row],[IncreaseYears]]=0, ZeroBudgetNoSpending, SummaryTable[[#This Row],[OSinIncreaseYear'#]]/SummaryTable[[#This Row],[IncreaseYears]])</f>
        <v>0</v>
      </c>
      <c r="AB181" s="58" t="str">
        <f>SummaryTable[[#This Row],[Code]]</f>
        <v>XOT</v>
      </c>
      <c r="AC181" s="62" t="e">
        <f>IF(COUNTIFS(allFYsTable[Code], SummaryTable[[#This Row],[Code]], allFYsTable[year2], AC$3)=0, NotFound, SUMIFS(allFYsTable[OriginalBudget], allFYsTable[Code], SummaryTable[[#This Row],[Code]], allFYsTable[year2], AC$3))</f>
        <v>#N/A</v>
      </c>
      <c r="AD181" s="61" t="e">
        <f>SummaryTable[[#This Row],[OriginalBudget25]]-SummaryTable[[#This Row],[OriginalBudget24]]</f>
        <v>#N/A</v>
      </c>
      <c r="AE181" s="54" t="e">
        <f>SummaryTable[[#This Row],[BudgetIncreaseAmount25]]/SummaryTable[[#This Row],[OriginalBudget24]]</f>
        <v>#N/A</v>
      </c>
      <c r="AF181" s="61" t="e">
        <f>IF(COUNTIFS(allFYsTable[Code], SummaryTable[[#This Row],[Code]], allFYsTable[year2], AC$3)=0, NotFound, SUMIFS(allFYsTable[RevisedBudget], allFYsTable[Code], SummaryTable[[#This Row],[Code]], allFYsTable[year2], AC$3))</f>
        <v>#N/A</v>
      </c>
      <c r="AG181" s="61" t="e">
        <f>IF(COUNTIFS(allFYsTable[Code], SummaryTable[[#This Row],[Code]], allFYsTable[year2], AC$3)=0, NotFound, SUMIFS(allFYsTable[Actual], allFYsTable[Code], SummaryTable[[#This Row],[Code]], allFYsTable[year2], AC$3))</f>
        <v>#N/A</v>
      </c>
      <c r="AH181" s="61" t="e">
        <f>IF(COUNTIFS(allFYsTable[Code], SummaryTable[[#This Row],[Code]], allFYsTable[year2], AC$3)=0, NotFound, SUMIFS(allFYsTable[DiffAmount], allFYsTable[Code], SummaryTable[[#This Row],[Code]], allFYsTable[year2], AC$3))</f>
        <v>#N/A</v>
      </c>
      <c r="AI181" s="63" t="e">
        <f>IF(SummaryTable[[#This Row],[OriginalBudget25]]=0, IF(SummaryTable[[#This Row],[DiffAmount25]]=0, ZeroBudgetNoSpending, ZeroBudgetWithSpending), SummaryTable[[#This Row],[DiffAmount25]]/SummaryTable[[#This Row],[OriginalBudget25]])</f>
        <v>#N/A</v>
      </c>
      <c r="AJ181" s="62" t="e">
        <f>IF(COUNTIFS(allFYsTable[Code], SummaryTable[[#This Row],[Code]], allFYsTable[year2], AJ$3)=0, NotFound, SUMIFS(allFYsTable[OriginalBudget], allFYsTable[Code], SummaryTable[[#This Row],[Code]], allFYsTable[year2], AJ$3))</f>
        <v>#N/A</v>
      </c>
      <c r="AK181" s="61" t="e">
        <f>SummaryTable[[#This Row],[OriginalBudget24]]-SummaryTable[[#This Row],[OriginalBudget23]]</f>
        <v>#N/A</v>
      </c>
      <c r="AL181" s="54" t="e">
        <f>SummaryTable[[#This Row],[BudgetIncreaseAmount24]]/SummaryTable[[#This Row],[OriginalBudget23]]</f>
        <v>#N/A</v>
      </c>
      <c r="AM181" s="61" t="e">
        <f>IF(COUNTIFS(allFYsTable[Code], SummaryTable[[#This Row],[Code]], allFYsTable[year2], AK$3)=0, NotFound, SUMIFS(allFYsTable[RevisedBudget], allFYsTable[Code], SummaryTable[[#This Row],[Code]], allFYsTable[year2], AJ$3))</f>
        <v>#N/A</v>
      </c>
      <c r="AN181" s="61" t="e">
        <f>IF(COUNTIFS(allFYsTable[Code], SummaryTable[[#This Row],[Code]], allFYsTable[year2], AJ$3)=0, NotFound, SUMIFS(allFYsTable[Actual], allFYsTable[Code], SummaryTable[[#This Row],[Code]], allFYsTable[year2], AJ$3))</f>
        <v>#N/A</v>
      </c>
      <c r="AO181" s="61" t="e">
        <f>IF(COUNTIFS(allFYsTable[Code], SummaryTable[[#This Row],[Code]], allFYsTable[year2], AJ$3)=0, NotFound, SUMIFS(allFYsTable[DiffAmount], allFYsTable[Code], SummaryTable[[#This Row],[Code]], allFYsTable[year2], AJ$3))</f>
        <v>#N/A</v>
      </c>
      <c r="AP181" s="63" t="e">
        <f>IF(SummaryTable[[#This Row],[OriginalBudget24]]=0, IF(SummaryTable[[#This Row],[DiffAmount24]]=0, ZeroBudgetNoSpending, ZeroBudgetWithSpending), SummaryTable[[#This Row],[DiffAmount24]]/SummaryTable[[#This Row],[OriginalBudget24]])</f>
        <v>#N/A</v>
      </c>
      <c r="AQ181" s="62" t="e">
        <f>IF(COUNTIFS(allFYsTable[Code], SummaryTable[[#This Row],[Code]], allFYsTable[year2], AQ$3)=0, NotFound, SUMIFS(allFYsTable[OriginalBudget], allFYsTable[Code], SummaryTable[[#This Row],[Code]], allFYsTable[year2], AQ$3))</f>
        <v>#N/A</v>
      </c>
      <c r="AR181" s="61" t="e">
        <f>SummaryTable[[#This Row],[OriginalBudget23]]-SummaryTable[[#This Row],[OriginalBudget22]]</f>
        <v>#N/A</v>
      </c>
      <c r="AS181" s="54" t="e">
        <f>SummaryTable[[#This Row],[BudgetIncreaseAmount23]]/SummaryTable[[#This Row],[OriginalBudget22]]</f>
        <v>#N/A</v>
      </c>
      <c r="AT181" s="61" t="e">
        <f>IF(COUNTIFS(allFYsTable[Code], SummaryTable[[#This Row],[Code]], allFYsTable[year2], AQ$3)=0, NotFound, SUMIFS(allFYsTable[RevisedBudget], allFYsTable[Code], SummaryTable[[#This Row],[Code]], allFYsTable[year2], AQ$3))</f>
        <v>#N/A</v>
      </c>
      <c r="AU181" s="61" t="e">
        <f>IF(COUNTIFS(allFYsTable[Code], SummaryTable[[#This Row],[Code]], allFYsTable[year2], AQ$3)=0, NotFound, SUMIFS(allFYsTable[Actual], allFYsTable[Code], SummaryTable[[#This Row],[Code]], allFYsTable[year2], AQ$3))</f>
        <v>#N/A</v>
      </c>
      <c r="AV181" s="61" t="e">
        <f>IF(COUNTIFS(allFYsTable[Code], SummaryTable[[#This Row],[Code]], allFYsTable[year2], AQ$3)=0, NotFound, SUMIFS(allFYsTable[DiffAmount], allFYsTable[Code], SummaryTable[[#This Row],[Code]], allFYsTable[year2], AQ$3))</f>
        <v>#N/A</v>
      </c>
      <c r="AW181" s="63" t="e">
        <f>IF(SummaryTable[[#This Row],[OriginalBudget23]]=0, IF(SummaryTable[[#This Row],[DiffAmount23]]=0, ZeroBudgetNoSpending, ZeroBudgetWithSpending), SummaryTable[[#This Row],[DiffAmount23]]/SummaryTable[[#This Row],[OriginalBudget23]])</f>
        <v>#N/A</v>
      </c>
      <c r="AX181" s="62" t="e">
        <f>IF(COUNTIFS(allFYsTable[Code], SummaryTable[[#This Row],[Code]], allFYsTable[year2], AX$3)=0, NotFound, SUMIFS(allFYsTable[OriginalBudget], allFYsTable[Code], SummaryTable[[#This Row],[Code]], allFYsTable[year2], AX$3))</f>
        <v>#N/A</v>
      </c>
      <c r="AY181" s="61" t="e">
        <f>SummaryTable[[#This Row],[OriginalBudget22]]-SummaryTable[[#This Row],[OriginalBudget21]]</f>
        <v>#N/A</v>
      </c>
      <c r="AZ181" s="54" t="e">
        <f>SummaryTable[[#This Row],[BudgetIncreaseAmount22]]/SummaryTable[[#This Row],[OriginalBudget21]]</f>
        <v>#N/A</v>
      </c>
      <c r="BA181" s="61" t="e">
        <f>IF(COUNTIFS(allFYsTable[Code], SummaryTable[[#This Row],[Code]], allFYsTable[year2], AX$3)=0, NotFound, SUMIFS(allFYsTable[RevisedBudget], allFYsTable[Code], SummaryTable[[#This Row],[Code]], allFYsTable[year2], AX$3))</f>
        <v>#N/A</v>
      </c>
      <c r="BB181" s="61" t="e">
        <f>IF(COUNTIFS(allFYsTable[Code], SummaryTable[[#This Row],[Code]], allFYsTable[year2], AX$3)=0, NotFound, SUMIFS(allFYsTable[Actual], allFYsTable[Code], SummaryTable[[#This Row],[Code]], allFYsTable[year2], AX$3))</f>
        <v>#N/A</v>
      </c>
      <c r="BC181" s="61" t="e">
        <f>IF(COUNTIFS(allFYsTable[Code], SummaryTable[[#This Row],[Code]], allFYsTable[year2], AX$3)=0, NotFound, SUMIFS(allFYsTable[DiffAmount], allFYsTable[Code], SummaryTable[[#This Row],[Code]], allFYsTable[year2], AX$3))</f>
        <v>#N/A</v>
      </c>
      <c r="BD181" s="63" t="e">
        <f>IF(SummaryTable[[#This Row],[OriginalBudget22]]=0, IF(SummaryTable[[#This Row],[DiffAmount22]]=0, ZeroBudgetNoSpending, ZeroBudgetWithSpending), SummaryTable[[#This Row],[DiffAmount22]]/SummaryTable[[#This Row],[OriginalBudget22]])</f>
        <v>#N/A</v>
      </c>
      <c r="BE181" s="62" t="e">
        <f>IF(COUNTIFS(allFYsTable[Code], SummaryTable[[#This Row],[Code]], allFYsTable[year2], BE$3)=0, NotFound, SUMIFS(allFYsTable[OriginalBudget], allFYsTable[Code], SummaryTable[[#This Row],[Code]], allFYsTable[year2], BE$3))</f>
        <v>#N/A</v>
      </c>
      <c r="BF181" s="61" t="e">
        <f>SummaryTable[[#This Row],[OriginalBudget21]]-SummaryTable[[#This Row],[OriginalBudget20]]</f>
        <v>#N/A</v>
      </c>
      <c r="BG181" s="54" t="e">
        <f>SummaryTable[[#This Row],[BudgetIncreaseAmount21]]/SummaryTable[[#This Row],[OriginalBudget20]]</f>
        <v>#N/A</v>
      </c>
      <c r="BH181" s="61" t="e">
        <f>IF(COUNTIFS(allFYsTable[Code], SummaryTable[[#This Row],[Code]], allFYsTable[year2], BE$3)=0, NotFound, SUMIFS(allFYsTable[RevisedBudget], allFYsTable[Code], SummaryTable[[#This Row],[Code]], allFYsTable[year2], BE$3))</f>
        <v>#N/A</v>
      </c>
      <c r="BI181" s="61" t="e">
        <f>IF(COUNTIFS(allFYsTable[Code], SummaryTable[[#This Row],[Code]], allFYsTable[year2], BE$3)=0, NotFound, SUMIFS(allFYsTable[Actual], allFYsTable[Code], SummaryTable[[#This Row],[Code]], allFYsTable[year2], BE$3))</f>
        <v>#N/A</v>
      </c>
      <c r="BJ181" s="61" t="e">
        <f>IF(COUNTIFS(allFYsTable[Code], SummaryTable[[#This Row],[Code]], allFYsTable[year2], BE$3)=0, NotFound, SUMIFS(allFYsTable[DiffAmount], allFYsTable[Code], SummaryTable[[#This Row],[Code]], allFYsTable[year2], BE$3))</f>
        <v>#N/A</v>
      </c>
      <c r="BK181" s="63" t="e">
        <f>IF(SummaryTable[[#This Row],[OriginalBudget21]]=0, IF(SummaryTable[[#This Row],[DiffAmount21]]=0, ZeroBudgetNoSpending, ZeroBudgetWithSpending), SummaryTable[[#This Row],[DiffAmount21]]/SummaryTable[[#This Row],[OriginalBudget21]])</f>
        <v>#N/A</v>
      </c>
      <c r="BL181" s="62" t="e">
        <f>IF(COUNTIFS(allFYsTable[Code], SummaryTable[[#This Row],[Code]], allFYsTable[year2], BL$3)=0, NotFound, SUMIFS(allFYsTable[OriginalBudget], allFYsTable[Code], SummaryTable[[#This Row],[Code]], allFYsTable[year2], BL$3))</f>
        <v>#N/A</v>
      </c>
      <c r="BM181" s="61" t="e">
        <f>SummaryTable[[#This Row],[OriginalBudget20]]-SummaryTable[[#This Row],[OriginalBudget19]]</f>
        <v>#N/A</v>
      </c>
      <c r="BN181" s="54" t="e">
        <f>SummaryTable[[#This Row],[BudgetIncreaseAmount20]]/SummaryTable[[#This Row],[OriginalBudget19]]</f>
        <v>#N/A</v>
      </c>
      <c r="BO181" s="61" t="e">
        <f>IF(COUNTIFS(allFYsTable[Code], SummaryTable[[#This Row],[Code]], allFYsTable[year2], BL$3)=0, NotFound, SUMIFS(allFYsTable[RevisedBudget], allFYsTable[Code], SummaryTable[[#This Row],[Code]], allFYsTable[year2], BL$3))</f>
        <v>#N/A</v>
      </c>
      <c r="BP181" s="61" t="e">
        <f>IF(COUNTIFS(allFYsTable[Code], SummaryTable[[#This Row],[Code]], allFYsTable[year2], BL$3)=0, NotFound, SUMIFS(allFYsTable[Actual], allFYsTable[Code], SummaryTable[[#This Row],[Code]], allFYsTable[year2], BL$3))</f>
        <v>#N/A</v>
      </c>
      <c r="BQ181" s="61" t="e">
        <f>IF(COUNTIFS(allFYsTable[Code], SummaryTable[[#This Row],[Code]], allFYsTable[year2], BL$3)=0, NotFound, SUMIFS(allFYsTable[DiffAmount], allFYsTable[Code], SummaryTable[[#This Row],[Code]], allFYsTable[year2], BL$3))</f>
        <v>#N/A</v>
      </c>
      <c r="BR181" s="63" t="e">
        <f>IF(SummaryTable[[#This Row],[OriginalBudget20]]=0, IF(SummaryTable[[#This Row],[DiffAmount20]]=0, ZeroBudgetNoSpending, ZeroBudgetWithSpending), SummaryTable[[#This Row],[DiffAmount20]]/SummaryTable[[#This Row],[OriginalBudget20]])</f>
        <v>#N/A</v>
      </c>
      <c r="BS181" s="62" t="e">
        <f>IF(COUNTIFS(allFYsTable[Code], SummaryTable[[#This Row],[Code]], allFYsTable[year2], BS$3)=0, NotFound, SUMIFS(allFYsTable[OriginalBudget], allFYsTable[Code], SummaryTable[[#This Row],[Code]], allFYsTable[year2], BS$3))</f>
        <v>#N/A</v>
      </c>
      <c r="BT181" s="61" t="e">
        <f>SummaryTable[[#This Row],[OriginalBudget19]]-SummaryTable[[#This Row],[OriginalBudget18]]</f>
        <v>#N/A</v>
      </c>
      <c r="BU181" s="54" t="e">
        <f>SummaryTable[[#This Row],[BudgetIncreaseAmount19]]/SummaryTable[[#This Row],[OriginalBudget18]]</f>
        <v>#N/A</v>
      </c>
      <c r="BV181" s="61" t="e">
        <f>IF(COUNTIFS(allFYsTable[Code], SummaryTable[[#This Row],[Code]], allFYsTable[year2], BS$3)=0, NotFound, SUMIFS(allFYsTable[RevisedBudget], allFYsTable[Code], SummaryTable[[#This Row],[Code]], allFYsTable[year2], BS$3))</f>
        <v>#N/A</v>
      </c>
      <c r="BW181" s="61" t="e">
        <f>IF(COUNTIFS(allFYsTable[Code], SummaryTable[[#This Row],[Code]], allFYsTable[year2], BS$3)=0, NotFound, SUMIFS(allFYsTable[Actual], allFYsTable[Code], SummaryTable[[#This Row],[Code]], allFYsTable[year2], BS$3))</f>
        <v>#N/A</v>
      </c>
      <c r="BX181" s="61" t="e">
        <f>IF(COUNTIFS(allFYsTable[Code], SummaryTable[[#This Row],[Code]], allFYsTable[year2], BS$3)=0, NotFound, SUMIFS(allFYsTable[DiffAmount], allFYsTable[Code], SummaryTable[[#This Row],[Code]], allFYsTable[year2], BS$3))</f>
        <v>#N/A</v>
      </c>
      <c r="BY181" s="63" t="e">
        <f>IF(SummaryTable[[#This Row],[OriginalBudget19]]=0, IF(SummaryTable[[#This Row],[DiffAmount19]]=0, ZeroBudgetNoSpending, ZeroBudgetWithSpending), SummaryTable[[#This Row],[DiffAmount19]]/SummaryTable[[#This Row],[OriginalBudget19]])</f>
        <v>#N/A</v>
      </c>
      <c r="BZ181" s="62" t="e">
        <f>IF(COUNTIFS(allFYsTable[Code], SummaryTable[[#This Row],[Code]], allFYsTable[year2], BZ$3)=0, NotFound, SUMIFS(allFYsTable[OriginalBudget], allFYsTable[Code], SummaryTable[[#This Row],[Code]], allFYsTable[year2], BZ$3))</f>
        <v>#N/A</v>
      </c>
      <c r="CA181" s="61" t="e">
        <f>SummaryTable[[#This Row],[OriginalBudget18]]-SummaryTable[[#This Row],[OriginalBudget17]]</f>
        <v>#N/A</v>
      </c>
      <c r="CB181" s="54" t="e">
        <f>SummaryTable[[#This Row],[BudgetIncreaseAmount18]]/SummaryTable[[#This Row],[OriginalBudget17]]</f>
        <v>#N/A</v>
      </c>
      <c r="CC181" s="61" t="e">
        <f>IF(COUNTIFS(allFYsTable[Code], SummaryTable[[#This Row],[Code]], allFYsTable[year2], BZ$3)=0, NotFound, SUMIFS(allFYsTable[RevisedBudget], allFYsTable[Code], SummaryTable[[#This Row],[Code]], allFYsTable[year2], BZ$3))</f>
        <v>#N/A</v>
      </c>
      <c r="CD181" s="61" t="e">
        <f>IF(COUNTIFS(allFYsTable[Code], SummaryTable[[#This Row],[Code]], allFYsTable[year2], BZ$3)=0, NotFound, SUMIFS(allFYsTable[Actual], allFYsTable[Code], SummaryTable[[#This Row],[Code]], allFYsTable[year2], BZ$3))</f>
        <v>#N/A</v>
      </c>
      <c r="CE181" s="61" t="e">
        <f>IF(COUNTIFS(allFYsTable[Code], SummaryTable[[#This Row],[Code]], allFYsTable[year2], BZ$3)=0, NotFound, SUMIFS(allFYsTable[DiffAmount], allFYsTable[Code], SummaryTable[[#This Row],[Code]], allFYsTable[year2], BZ$3))</f>
        <v>#N/A</v>
      </c>
      <c r="CF181" s="63" t="e">
        <f>IF(SummaryTable[[#This Row],[OriginalBudget18]]=0, IF(SummaryTable[[#This Row],[DiffAmount18]]=0, ZeroBudgetNoSpending, ZeroBudgetWithSpending), SummaryTable[[#This Row],[DiffAmount18]]/SummaryTable[[#This Row],[OriginalBudget18]])</f>
        <v>#N/A</v>
      </c>
      <c r="CG181" s="62" t="e">
        <f>IF(COUNTIFS(allFYsTable[Code], SummaryTable[[#This Row],[Code]], allFYsTable[year2], CG$3)=0, NotFound, SUMIFS(allFYsTable[OriginalBudget], allFYsTable[Code], SummaryTable[[#This Row],[Code]], allFYsTable[year2], CG$3))</f>
        <v>#N/A</v>
      </c>
      <c r="CH181" s="61" t="e">
        <f>SummaryTable[[#This Row],[OriginalBudget17]]-SummaryTable[[#This Row],[OriginalBudget16]]</f>
        <v>#N/A</v>
      </c>
      <c r="CI181" s="54" t="e">
        <f>SummaryTable[[#This Row],[BudgetIncreaseAmount17]]/SummaryTable[[#This Row],[OriginalBudget16]]</f>
        <v>#N/A</v>
      </c>
      <c r="CJ181" s="61" t="e">
        <f>IF(COUNTIFS(allFYsTable[Code], SummaryTable[[#This Row],[Code]], allFYsTable[year2], CG$3)=0, NotFound, SUMIFS(allFYsTable[RevisedBudget], allFYsTable[Code], SummaryTable[[#This Row],[Code]], allFYsTable[year2], CG$3))</f>
        <v>#N/A</v>
      </c>
      <c r="CK181" s="61" t="e">
        <f>IF(COUNTIFS(allFYsTable[Code], SummaryTable[[#This Row],[Code]], allFYsTable[year2], CG$3)=0, NotFound, SUMIFS(allFYsTable[Actual], allFYsTable[Code], SummaryTable[[#This Row],[Code]], allFYsTable[year2], CG$3))</f>
        <v>#N/A</v>
      </c>
      <c r="CL181" s="61" t="e">
        <f>IF(COUNTIFS(allFYsTable[Code], SummaryTable[[#This Row],[Code]], allFYsTable[year2], CG$3)=0, NotFound, SUMIFS(allFYsTable[DiffAmount], allFYsTable[Code], SummaryTable[[#This Row],[Code]], allFYsTable[year2], CG$3))</f>
        <v>#N/A</v>
      </c>
      <c r="CM181" s="63" t="e">
        <f>IF(SummaryTable[[#This Row],[OriginalBudget17]]=0, IF(SummaryTable[[#This Row],[DiffAmount17]]=0, ZeroBudgetNoSpending, ZeroBudgetWithSpending), SummaryTable[[#This Row],[DiffAmount17]]/SummaryTable[[#This Row],[OriginalBudget17]])</f>
        <v>#N/A</v>
      </c>
      <c r="CN181" s="62" t="e">
        <f>IF(COUNTIFS(allFYsTable[Code], SummaryTable[[#This Row],[Code]], allFYsTable[year2], CN$3)=0, NotFound, SUMIFS(allFYsTable[OriginalBudget], allFYsTable[Code], SummaryTable[[#This Row],[Code]], allFYsTable[year2], CN$3))</f>
        <v>#N/A</v>
      </c>
      <c r="CO181" s="61" t="e">
        <f>SummaryTable[[#This Row],[OriginalBudget16]]-SummaryTable[[#This Row],[OriginalBudget15]]</f>
        <v>#N/A</v>
      </c>
      <c r="CP181" s="54" t="e">
        <f>SummaryTable[[#This Row],[BudgetIncreaseAmount16]]/SummaryTable[[#This Row],[OriginalBudget15]]</f>
        <v>#N/A</v>
      </c>
      <c r="CQ181" s="61" t="e">
        <f>IF(COUNTIFS(allFYsTable[Code], SummaryTable[[#This Row],[Code]], allFYsTable[year2], CN$3)=0, NotFound, SUMIFS(allFYsTable[RevisedBudget], allFYsTable[Code], SummaryTable[[#This Row],[Code]], allFYsTable[year2], CN$3))</f>
        <v>#N/A</v>
      </c>
      <c r="CR181" s="61" t="e">
        <f>IF(COUNTIFS(allFYsTable[Code], SummaryTable[[#This Row],[Code]], allFYsTable[year2], CN$3)=0, NotFound, SUMIFS(allFYsTable[Actual], allFYsTable[Code], SummaryTable[[#This Row],[Code]], allFYsTable[year2], CN$3))</f>
        <v>#N/A</v>
      </c>
      <c r="CS181" s="61" t="e">
        <f>IF(COUNTIFS(allFYsTable[Code], SummaryTable[[#This Row],[Code]], allFYsTable[year2], CN$3)=0, NotFound, SUMIFS(allFYsTable[DiffAmount], allFYsTable[Code], SummaryTable[[#This Row],[Code]], allFYsTable[year2], CN$3))</f>
        <v>#N/A</v>
      </c>
      <c r="CT181" s="63" t="e">
        <f>IF(SummaryTable[[#This Row],[OriginalBudget16]]=0, IF(SummaryTable[[#This Row],[DiffAmount16]]=0, ZeroBudgetNoSpending, ZeroBudgetWithSpending), SummaryTable[[#This Row],[DiffAmount16]]/SummaryTable[[#This Row],[OriginalBudget16]])</f>
        <v>#N/A</v>
      </c>
      <c r="CU181" s="62" t="e">
        <f>IF(COUNTIFS(allFYsTable[Code], SummaryTable[[#This Row],[Code]], allFYsTable[year2], CU$3)=0, NotFound, SUMIFS(allFYsTable[OriginalBudget], allFYsTable[Code], SummaryTable[[#This Row],[Code]], allFYsTable[year2], CU$3))</f>
        <v>#N/A</v>
      </c>
      <c r="CV181" s="61" t="e">
        <f>SummaryTable[[#This Row],[OriginalBudget15]]-SummaryTable[[#This Row],[OriginalBudget14]]</f>
        <v>#N/A</v>
      </c>
      <c r="CW181" s="54" t="e">
        <f>SummaryTable[[#This Row],[BudgetIncreaseAmount15]]/SummaryTable[[#This Row],[OriginalBudget14]]</f>
        <v>#N/A</v>
      </c>
      <c r="CX181" s="61" t="e">
        <f>IF(COUNTIFS(allFYsTable[Code], SummaryTable[[#This Row],[Code]], allFYsTable[year2], CU$3)=0, NotFound, SUMIFS(allFYsTable[RevisedBudget], allFYsTable[Code], SummaryTable[[#This Row],[Code]], allFYsTable[year2], CU$3))</f>
        <v>#N/A</v>
      </c>
      <c r="CY181" s="61" t="e">
        <f>IF(COUNTIFS(allFYsTable[Code], SummaryTable[[#This Row],[Code]], allFYsTable[year2], CU$3)=0, NotFound, SUMIFS(allFYsTable[Actual], allFYsTable[Code], SummaryTable[[#This Row],[Code]], allFYsTable[year2], CU$3))</f>
        <v>#N/A</v>
      </c>
      <c r="CZ181" s="61" t="e">
        <f>IF(COUNTIFS(allFYsTable[Code], SummaryTable[[#This Row],[Code]], allFYsTable[year2], CU$3)=0, NotFound, SUMIFS(allFYsTable[DiffAmount], allFYsTable[Code], SummaryTable[[#This Row],[Code]], allFYsTable[year2], CU$3))</f>
        <v>#N/A</v>
      </c>
      <c r="DA181" s="63" t="e">
        <f>IF(SummaryTable[[#This Row],[OriginalBudget15]]=0, IF(SummaryTable[[#This Row],[DiffAmount15]]=0, ZeroBudgetNoSpending, ZeroBudgetWithSpending), SummaryTable[[#This Row],[DiffAmount15]]/SummaryTable[[#This Row],[OriginalBudget15]])</f>
        <v>#N/A</v>
      </c>
      <c r="DB181" s="62" t="e">
        <f>IF(COUNTIFS(allFYsTable[Code], SummaryTable[[#This Row],[Code]], allFYsTable[year2], DB$3)=0, NotFound, SUMIFS(allFYsTable[OriginalBudget], allFYsTable[Code], SummaryTable[[#This Row],[Code]], allFYsTable[year2], DB$3))</f>
        <v>#N/A</v>
      </c>
      <c r="DC181" s="61" t="e">
        <f>SummaryTable[[#This Row],[OriginalBudget14]]-SummaryTable[[#This Row],[OriginalBudget13]]</f>
        <v>#N/A</v>
      </c>
      <c r="DD181" s="54" t="e">
        <f>SummaryTable[[#This Row],[BudgetIncreaseAmount14]]/SummaryTable[[#This Row],[OriginalBudget13]]</f>
        <v>#N/A</v>
      </c>
      <c r="DE181" s="61" t="e">
        <f>IF(COUNTIFS(allFYsTable[Code], SummaryTable[[#This Row],[Code]], allFYsTable[year2], DB$3)=0, NotFound, SUMIFS(allFYsTable[RevisedBudget], allFYsTable[Code], SummaryTable[[#This Row],[Code]], allFYsTable[year2], DB$3))</f>
        <v>#N/A</v>
      </c>
      <c r="DF181" s="61" t="e">
        <f>IF(COUNTIFS(allFYsTable[Code], SummaryTable[[#This Row],[Code]], allFYsTable[year2], DB$3)=0, NotFound, SUMIFS(allFYsTable[Actual], allFYsTable[Code], SummaryTable[[#This Row],[Code]], allFYsTable[year2], DB$3))</f>
        <v>#N/A</v>
      </c>
      <c r="DG181" s="61" t="e">
        <f>IF(COUNTIFS(allFYsTable[Code], SummaryTable[[#This Row],[Code]], allFYsTable[year2], DB$3)=0, NotFound, SUMIFS(allFYsTable[DiffAmount], allFYsTable[Code], SummaryTable[[#This Row],[Code]], allFYsTable[year2], DB$3))</f>
        <v>#N/A</v>
      </c>
      <c r="DH181" s="63" t="e">
        <f>IF(SummaryTable[[#This Row],[OriginalBudget14]]=0, IF(SummaryTable[[#This Row],[DiffAmount14]]=0, ZeroBudgetNoSpending, ZeroBudgetWithSpending), SummaryTable[[#This Row],[DiffAmount14]]/SummaryTable[[#This Row],[OriginalBudget14]])</f>
        <v>#N/A</v>
      </c>
      <c r="DI181" s="62" t="e">
        <f>IF(COUNTIFS(allFYsTable[Code], SummaryTable[[#This Row],[Code]], allFYsTable[year2], DI$3)=0, NotFound, SUMIFS(allFYsTable[OriginalBudget], allFYsTable[Code], SummaryTable[[#This Row],[Code]], allFYsTable[year2], DI$3))</f>
        <v>#N/A</v>
      </c>
      <c r="DJ181" s="61" t="e">
        <f>SummaryTable[[#This Row],[OriginalBudget13]]-SummaryTable[[#This Row],[OriginalBudget12]]</f>
        <v>#N/A</v>
      </c>
      <c r="DK181" s="54" t="e">
        <f>SummaryTable[[#This Row],[BudgetIncreaseAmount13]]/SummaryTable[[#This Row],[OriginalBudget12]]</f>
        <v>#N/A</v>
      </c>
      <c r="DL181" s="61" t="e">
        <f>IF(COUNTIFS(allFYsTable[Code], SummaryTable[[#This Row],[Code]], allFYsTable[year2], DI$3)=0, NotFound, SUMIFS(allFYsTable[RevisedBudget], allFYsTable[Code], SummaryTable[[#This Row],[Code]], allFYsTable[year2], DI$3))</f>
        <v>#N/A</v>
      </c>
      <c r="DM181" s="61" t="e">
        <f>IF(COUNTIFS(allFYsTable[Code], SummaryTable[[#This Row],[Code]], allFYsTable[year2], DI$3)=0, NotFound, SUMIFS(allFYsTable[Actual], allFYsTable[Code], SummaryTable[[#This Row],[Code]], allFYsTable[year2], DI$3))</f>
        <v>#N/A</v>
      </c>
      <c r="DN181" s="61" t="e">
        <f>IF(COUNTIFS(allFYsTable[Code], SummaryTable[[#This Row],[Code]], allFYsTable[year2], DI$3)=0, NotFound, SUMIFS(allFYsTable[DiffAmount], allFYsTable[Code], SummaryTable[[#This Row],[Code]], allFYsTable[year2], DI$3))</f>
        <v>#N/A</v>
      </c>
      <c r="DO181" s="63" t="e">
        <f>IF(SummaryTable[[#This Row],[OriginalBudget13]]=0, IF(SummaryTable[[#This Row],[DiffAmount13]]=0, ZeroBudgetNoSpending, ZeroBudgetWithSpending), SummaryTable[[#This Row],[DiffAmount13]]/SummaryTable[[#This Row],[OriginalBudget13]])</f>
        <v>#N/A</v>
      </c>
      <c r="DP181" s="62" t="e">
        <f>IF(COUNTIFS(allFYsTable[Code], SummaryTable[[#This Row],[Code]], allFYsTable[year2], DP$3)=0, NotFound, SUMIFS(allFYsTable[OriginalBudget], allFYsTable[Code], SummaryTable[[#This Row],[Code]], allFYsTable[year2], DP$3))</f>
        <v>#N/A</v>
      </c>
      <c r="DQ181" s="61" t="e">
        <f>SummaryTable[[#This Row],[OriginalBudget12]]-SummaryTable[[#This Row],[OriginalBudget11]]</f>
        <v>#N/A</v>
      </c>
      <c r="DR181" s="54" t="e">
        <f>SummaryTable[[#This Row],[BudgetIncreaseAmount12]]/SummaryTable[[#This Row],[OriginalBudget11]]</f>
        <v>#N/A</v>
      </c>
      <c r="DS181" s="61" t="e">
        <f>IF(COUNTIFS(allFYsTable[Code], SummaryTable[[#This Row],[Code]], allFYsTable[year2], DP$3)=0, NotFound, SUMIFS(allFYsTable[RevisedBudget], allFYsTable[Code], SummaryTable[[#This Row],[Code]], allFYsTable[year2], DP$3))</f>
        <v>#N/A</v>
      </c>
      <c r="DT181" s="61" t="e">
        <f>IF(COUNTIFS(allFYsTable[Code], SummaryTable[[#This Row],[Code]], allFYsTable[year2], DP$3)=0, NotFound, SUMIFS(allFYsTable[Actual], allFYsTable[Code], SummaryTable[[#This Row],[Code]], allFYsTable[year2], DP$3))</f>
        <v>#N/A</v>
      </c>
      <c r="DU181" s="61" t="e">
        <f>IF(COUNTIFS(allFYsTable[Code], SummaryTable[[#This Row],[Code]], allFYsTable[year2], DP$3)=0, NotFound, SUMIFS(allFYsTable[DiffAmount], allFYsTable[Code], SummaryTable[[#This Row],[Code]], allFYsTable[year2], DP$3))</f>
        <v>#N/A</v>
      </c>
      <c r="DV181" s="63" t="e">
        <f>IF(SummaryTable[[#This Row],[OriginalBudget12]]=0, IF(SummaryTable[[#This Row],[DiffAmount12]]=0, ZeroBudgetNoSpending, ZeroBudgetWithSpending), SummaryTable[[#This Row],[DiffAmount12]]/SummaryTable[[#This Row],[OriginalBudget12]])</f>
        <v>#N/A</v>
      </c>
      <c r="DW181" s="62" t="e">
        <f>IF(COUNTIFS(allFYsTable[Code], SummaryTable[[#This Row],[Code]], allFYsTable[year2], DW$3)=0, NotFound, SUMIFS(allFYsTable[OriginalBudget], allFYsTable[Code], SummaryTable[[#This Row],[Code]], allFYsTable[year2], DW$3))</f>
        <v>#N/A</v>
      </c>
      <c r="DX181" s="61" t="e">
        <f>SummaryTable[[#This Row],[OriginalBudget11]]-SummaryTable[[#This Row],[OriginalBudget10]]</f>
        <v>#N/A</v>
      </c>
      <c r="DY181" s="54" t="e">
        <f>SummaryTable[[#This Row],[BudgetIncreaseAmount11]]/SummaryTable[[#This Row],[OriginalBudget10]]</f>
        <v>#N/A</v>
      </c>
      <c r="DZ181" s="61" t="e">
        <f>IF(COUNTIFS(allFYsTable[Code], SummaryTable[[#This Row],[Code]], allFYsTable[year2], DW$3)=0, NotFound, SUMIFS(allFYsTable[RevisedBudget], allFYsTable[Code], SummaryTable[[#This Row],[Code]], allFYsTable[year2], DW$3))</f>
        <v>#N/A</v>
      </c>
      <c r="EA181" s="61" t="e">
        <f>IF(COUNTIFS(allFYsTable[Code], SummaryTable[[#This Row],[Code]], allFYsTable[year2], DW$3)=0, NotFound, SUMIFS(allFYsTable[Actual], allFYsTable[Code], SummaryTable[[#This Row],[Code]], allFYsTable[year2], DW$3))</f>
        <v>#N/A</v>
      </c>
      <c r="EB181" s="61" t="e">
        <f>IF(COUNTIFS(allFYsTable[Code], SummaryTable[[#This Row],[Code]], allFYsTable[year2], DW$3)=0, NotFound, SUMIFS(allFYsTable[DiffAmount], allFYsTable[Code], SummaryTable[[#This Row],[Code]], allFYsTable[year2], DW$3))</f>
        <v>#N/A</v>
      </c>
      <c r="EC181" s="63" t="e">
        <f>IF(SummaryTable[[#This Row],[OriginalBudget11]]=0, IF(SummaryTable[[#This Row],[DiffAmount11]]=0, ZeroBudgetNoSpending, ZeroBudgetWithSpending), SummaryTable[[#This Row],[DiffAmount11]]/SummaryTable[[#This Row],[OriginalBudget11]])</f>
        <v>#N/A</v>
      </c>
      <c r="ED181" s="62" t="e">
        <f>IF(COUNTIFS(allFYsTable[Code], SummaryTable[[#This Row],[Code]], allFYsTable[year2], ED$3)=0, NotFound, SUMIFS(allFYsTable[OriginalBudget], allFYsTable[Code], SummaryTable[[#This Row],[Code]], allFYsTable[year2], ED$3))</f>
        <v>#N/A</v>
      </c>
      <c r="EE181" s="61" t="e">
        <f>SummaryTable[[#This Row],[OriginalBudget10]]-SummaryTable[[#This Row],[OriginalBudget09]]</f>
        <v>#N/A</v>
      </c>
      <c r="EF181" s="54" t="e">
        <f>SummaryTable[[#This Row],[BudgetIncreaseAmount10]]/SummaryTable[[#This Row],[OriginalBudget09]]</f>
        <v>#N/A</v>
      </c>
      <c r="EG181" s="61" t="e">
        <f>IF(COUNTIFS(allFYsTable[Code], SummaryTable[[#This Row],[Code]], allFYsTable[year2], ED$3)=0, NotFound, SUMIFS(allFYsTable[RevisedBudget], allFYsTable[Code], SummaryTable[[#This Row],[Code]], allFYsTable[year2], ED$3))</f>
        <v>#N/A</v>
      </c>
      <c r="EH181" s="61" t="e">
        <f>IF(COUNTIFS(allFYsTable[Code], SummaryTable[[#This Row],[Code]], allFYsTable[year2], ED$3)=0, NotFound, SUMIFS(allFYsTable[Actual], allFYsTable[Code], SummaryTable[[#This Row],[Code]], allFYsTable[year2], ED$3))</f>
        <v>#N/A</v>
      </c>
      <c r="EI181" s="61" t="e">
        <f>IF(COUNTIFS(allFYsTable[Code], SummaryTable[[#This Row],[Code]], allFYsTable[year2], ED$3)=0, NotFound, SUMIFS(allFYsTable[DiffAmount], allFYsTable[Code], SummaryTable[[#This Row],[Code]], allFYsTable[year2], ED$3))</f>
        <v>#N/A</v>
      </c>
      <c r="EJ181" s="63" t="e">
        <f>IF(SummaryTable[[#This Row],[OriginalBudget10]]=0, IF(SummaryTable[[#This Row],[DiffAmount10]]=0, ZeroBudgetNoSpending, ZeroBudgetWithSpending), SummaryTable[[#This Row],[DiffAmount10]]/SummaryTable[[#This Row],[OriginalBudget10]])</f>
        <v>#N/A</v>
      </c>
      <c r="EK181" s="62" t="e">
        <f>IF(COUNTIFS(allFYsTable[Code], SummaryTable[[#This Row],[Code]], allFYsTable[year2], EK$3)=0, NotFound, SUMIFS(allFYsTable[OriginalBudget], allFYsTable[Code], SummaryTable[[#This Row],[Code]], allFYsTable[year2], EK$3))</f>
        <v>#N/A</v>
      </c>
      <c r="EL181" s="61" t="e">
        <f>SummaryTable[[#This Row],[OriginalBudget09]]-SummaryTable[[#This Row],[OriginalBudget08]]</f>
        <v>#N/A</v>
      </c>
      <c r="EM181" s="54" t="e">
        <f>SummaryTable[[#This Row],[BudgetIncreaseAmount09]]/SummaryTable[[#This Row],[OriginalBudget08]]</f>
        <v>#N/A</v>
      </c>
      <c r="EN181" s="61" t="e">
        <f>IF(COUNTIFS(allFYsTable[Code], SummaryTable[[#This Row],[Code]], allFYsTable[year2], EK$3)=0, NotFound, SUMIFS(allFYsTable[RevisedBudget], allFYsTable[Code], SummaryTable[[#This Row],[Code]], allFYsTable[year2], EK$3))</f>
        <v>#N/A</v>
      </c>
      <c r="EO181" s="61" t="e">
        <f>IF(COUNTIFS(allFYsTable[Code], SummaryTable[[#This Row],[Code]], allFYsTable[year2], EK$3)=0, NotFound, SUMIFS(allFYsTable[Actual], allFYsTable[Code], SummaryTable[[#This Row],[Code]], allFYsTable[year2], EK$3))</f>
        <v>#N/A</v>
      </c>
      <c r="EP181" s="61" t="e">
        <f>IF(COUNTIFS(allFYsTable[Code], SummaryTable[[#This Row],[Code]], allFYsTable[year2], EK$3)=0, NotFound, SUMIFS(allFYsTable[DiffAmount], allFYsTable[Code], SummaryTable[[#This Row],[Code]], allFYsTable[year2], EK$3))</f>
        <v>#N/A</v>
      </c>
      <c r="EQ181" s="63" t="e">
        <f>IF(SummaryTable[[#This Row],[OriginalBudget09]]=0, IF(SummaryTable[[#This Row],[DiffAmount09]]=0, ZeroBudgetNoSpending, ZeroBudgetWithSpending), SummaryTable[[#This Row],[DiffAmount09]]/SummaryTable[[#This Row],[OriginalBudget09]])</f>
        <v>#N/A</v>
      </c>
      <c r="ER181" s="62" t="e">
        <f>IF(COUNTIFS(allFYsTable[Code], SummaryTable[[#This Row],[Code]], allFYsTable[year2], ER$3)=0, NotFound, SUMIFS(allFYsTable[OriginalBudget], allFYsTable[Code], SummaryTable[[#This Row],[Code]], allFYsTable[year2], ER$3))</f>
        <v>#N/A</v>
      </c>
      <c r="ES181" s="61" t="e">
        <f>SummaryTable[[#This Row],[OriginalBudget08]]-SummaryTable[[#This Row],[OriginalBudget07]]</f>
        <v>#N/A</v>
      </c>
      <c r="ET181" s="54" t="e">
        <f>SummaryTable[[#This Row],[BudgetIncreaseAmount08]]/SummaryTable[[#This Row],[OriginalBudget07]]</f>
        <v>#N/A</v>
      </c>
      <c r="EU181" s="61" t="e">
        <f>IF(COUNTIFS(allFYsTable[Code], SummaryTable[[#This Row],[Code]], allFYsTable[year2], ER$3)=0, NotFound, SUMIFS(allFYsTable[RevisedBudget], allFYsTable[Code], SummaryTable[[#This Row],[Code]], allFYsTable[year2], ER$3))</f>
        <v>#N/A</v>
      </c>
      <c r="EV181" s="61" t="e">
        <f>IF(COUNTIFS(allFYsTable[Code], SummaryTable[[#This Row],[Code]], allFYsTable[year2], ER$3)=0, NotFound, SUMIFS(allFYsTable[Actual], allFYsTable[Code], SummaryTable[[#This Row],[Code]], allFYsTable[year2], ER$3))</f>
        <v>#N/A</v>
      </c>
      <c r="EW181" s="61" t="e">
        <f>IF(COUNTIFS(allFYsTable[Code], SummaryTable[[#This Row],[Code]], allFYsTable[year2], ER$3)=0, NotFound, SUMIFS(allFYsTable[DiffAmount], allFYsTable[Code], SummaryTable[[#This Row],[Code]], allFYsTable[year2], ER$3))</f>
        <v>#N/A</v>
      </c>
      <c r="EX181" s="63" t="e">
        <f>IF(SummaryTable[[#This Row],[OriginalBudget08]]=0, IF(SummaryTable[[#This Row],[DiffAmount08]]=0, ZeroBudgetNoSpending, ZeroBudgetWithSpending), SummaryTable[[#This Row],[DiffAmount08]]/SummaryTable[[#This Row],[OriginalBudget08]])</f>
        <v>#N/A</v>
      </c>
      <c r="EY181" s="62">
        <f>IF(COUNTIFS(allFYsTable[Code], SummaryTable[[#This Row],[Code]], allFYsTable[year2], EY$3)=0, NotFound, SUMIFS(allFYsTable[OriginalBudget], allFYsTable[Code], SummaryTable[[#This Row],[Code]], allFYsTable[year2], EY$3))</f>
        <v>0</v>
      </c>
      <c r="EZ181" s="61" t="e">
        <f>SummaryTable[[#This Row],[OriginalBudget07]]-SummaryTable[[#This Row],[OriginalBudget06]]</f>
        <v>#N/A</v>
      </c>
      <c r="FA181" s="54" t="e">
        <f>SummaryTable[[#This Row],[BudgetIncreaseAmount07]]/SummaryTable[[#This Row],[OriginalBudget06]]</f>
        <v>#N/A</v>
      </c>
      <c r="FB181" s="61">
        <f>IF(COUNTIFS(allFYsTable[Code], SummaryTable[[#This Row],[Code]], allFYsTable[year2], EY$3)=0, NotFound, SUMIFS(allFYsTable[RevisedBudget], allFYsTable[Code], SummaryTable[[#This Row],[Code]], allFYsTable[year2], EY$3))</f>
        <v>0</v>
      </c>
      <c r="FC181" s="61">
        <f>IF(COUNTIFS(allFYsTable[Code], SummaryTable[[#This Row],[Code]], allFYsTable[year2], EY$3)=0, NotFound, SUMIFS(allFYsTable[Actual], allFYsTable[Code], SummaryTable[[#This Row],[Code]], allFYsTable[year2], EY$3))</f>
        <v>8838</v>
      </c>
      <c r="FD181" s="61">
        <f>IF(COUNTIFS(allFYsTable[Code], SummaryTable[[#This Row],[Code]], allFYsTable[year2], EY$3)=0, NotFound, SUMIFS(allFYsTable[DiffAmount], allFYsTable[Code], SummaryTable[[#This Row],[Code]], allFYsTable[year2], EY$3))</f>
        <v>8838</v>
      </c>
      <c r="FE181" s="63">
        <f>IF(SummaryTable[[#This Row],[OriginalBudget07]]=0, IF(SummaryTable[[#This Row],[DiffAmount07]]=0, ZeroBudgetNoSpending, ZeroBudgetWithSpending), SummaryTable[[#This Row],[DiffAmount07]]/SummaryTable[[#This Row],[OriginalBudget07]])</f>
        <v>99.99</v>
      </c>
      <c r="FF181" s="62" t="e">
        <f>IF(COUNTIFS(allFYsTable[Code], SummaryTable[[#This Row],[Code]], allFYsTable[year2], FF$3)=0, NotFound, SUMIFS(allFYsTable[OriginalBudget], allFYsTable[Code], SummaryTable[[#This Row],[Code]], allFYsTable[year2], FF$3))</f>
        <v>#N/A</v>
      </c>
      <c r="FI181" s="61" t="e">
        <f>IF(COUNTIFS(allFYsTable[Code], SummaryTable[[#This Row],[Code]], allFYsTable[year2], FF$3)=0, NotFound, SUMIFS(allFYsTable[RevisedBudget], allFYsTable[Code], SummaryTable[[#This Row],[Code]], allFYsTable[year2], FF$3))</f>
        <v>#N/A</v>
      </c>
      <c r="FJ181" s="61" t="e">
        <f>IF(COUNTIFS(allFYsTable[Code], SummaryTable[[#This Row],[Code]], allFYsTable[year2], FF$3)=0, NotFound, SUMIFS(allFYsTable[Actual], allFYsTable[Code], SummaryTable[[#This Row],[Code]], allFYsTable[year2], FF$3))</f>
        <v>#N/A</v>
      </c>
      <c r="FK181" s="61" t="e">
        <f>IF(COUNTIFS(allFYsTable[Code], SummaryTable[[#This Row],[Code]], allFYsTable[year2], FF$3)=0, NotFound, SUMIFS(allFYsTable[DiffAmount], allFYsTable[Code], SummaryTable[[#This Row],[Code]], allFYsTable[year2], FF$3))</f>
        <v>#N/A</v>
      </c>
      <c r="FL181" s="63" t="e">
        <f>IF(SummaryTable[[#This Row],[OriginalBudget06]]=0, IF(SummaryTable[[#This Row],[DiffAmount06]]=0, ZeroBudgetNoSpending, ZeroBudgetWithSpending), SummaryTable[[#This Row],[DiffAmount06]]/SummaryTable[[#This Row],[OriginalBudget06]])</f>
        <v>#N/A</v>
      </c>
    </row>
    <row r="182" spans="1:168" x14ac:dyDescent="0.45">
      <c r="A182" t="s">
        <v>835</v>
      </c>
      <c r="B182">
        <f>_xlfn.MAXIFS(allFYsTable[year2], allFYsTable[Code], SummaryTable[[#This Row],[Code]])</f>
        <v>2007</v>
      </c>
      <c r="C182" t="str">
        <f>_xlfn.XLOOKUP(SummaryTable[[#This Row],[Code]], NameCodingTable[Code], NameCodingTable[Most Recent Category per allFYs])</f>
        <v>Other</v>
      </c>
      <c r="D182" t="str">
        <f>_xlfn.XLOOKUP(SummaryTable[[#This Row],[Code]], NameCodingTable[Code], NameCodingTable[Unit Display Name])</f>
        <v>Storm water</v>
      </c>
      <c r="E182" t="str">
        <f>_xlfn.XLOOKUP(SummaryTable[[#This Row],[Code]], NameCodingTable[Code], NameCodingTable[Type])</f>
        <v>untyped</v>
      </c>
      <c r="F182"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2</v>
      </c>
      <c r="G182"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82" s="54">
        <f>SummaryTable[[#This Row],['# Over]]/SummaryTable[[#This Row],[Count]]</f>
        <v>0</v>
      </c>
      <c r="I182"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82" s="54">
        <f>SummaryTable[[#This Row],['# Under]]/SummaryTable[[#This Row],[Count]]</f>
        <v>0</v>
      </c>
      <c r="K182"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2</v>
      </c>
      <c r="L182" s="54">
        <f>SummaryTable[[#This Row],['# Equal]]/SummaryTable[[#This Row],[Count]]</f>
        <v>1</v>
      </c>
      <c r="M182" s="61">
        <f>SUMIFS(allFYsTable[OriginalBudget],allFYsTable[Code],SummaryTable[[#This Row],[Code]])/SummaryTable[[#This Row],[Count]]</f>
        <v>0</v>
      </c>
      <c r="N182" s="61">
        <f>SUMIFS(allFYsTable[Actual],allFYsTable[Code],SummaryTable[[#This Row],[Code]])/SummaryTable[[#This Row],[Count]]</f>
        <v>0</v>
      </c>
      <c r="O182" s="61">
        <f>SummaryTable[[#This Row],[AvgActAmt]]-SummaryTable[[#This Row],[AvgBudAmt]]</f>
        <v>0</v>
      </c>
      <c r="P182" s="54">
        <f>IF(SummaryTable[[#This Row],[AvgBudAmt]]=0, IF(SummaryTable[[#This Row],[AvgDiff'#]]=0, 0, NamedFields!$C$3), SummaryTable[[#This Row],[AvgDiff'#]]/SummaryTable[[#This Row],[AvgBudAmt]])</f>
        <v>0</v>
      </c>
      <c r="Q182" s="61">
        <f>IFERROR(SUMIFS(allFYsTable[OriginalBudget],allFYsTable[Code],SummaryTable[[#This Row],[Code]],allFYsTable[DiffAmount], "&gt;0")/SummaryTable[[#This Row],['# Over]], 0)</f>
        <v>0</v>
      </c>
      <c r="R182" s="61">
        <f>IFERROR(SUMIFS(allFYsTable[Actual],allFYsTable[Code],SummaryTable[[#This Row],[Code]],allFYsTable[DiffAmount], "&gt;0")/SummaryTable[[#This Row],['# Over]], 0)</f>
        <v>0</v>
      </c>
      <c r="S182" s="61">
        <f>SummaryTable[[#This Row],[OverAvgAct]]-SummaryTable[[#This Row],[OverAvgBud]]</f>
        <v>0</v>
      </c>
      <c r="T182" s="54">
        <f>IF(SummaryTable[[#This Row],[OverAvgBud]]=0, IF(SummaryTable[[#This Row],[OverAvgDiff'#]]=0, ZeroBudgetNoSpending, ZeroBudgetWithSpending), SummaryTable[[#This Row],[OverAvgDiff'#]]/SummaryTable[[#This Row],[OverAvgBud]])</f>
        <v>0</v>
      </c>
      <c r="U182" s="61">
        <f>IFERROR(SUMIFS(allFYsTable[OriginalBudget],allFYsTable[Code],SummaryTable[[#This Row],[Code]],allFYsTable[DiffAmount], "&lt;0")/SummaryTable[[#This Row],['# Under]], 0)</f>
        <v>0</v>
      </c>
      <c r="V182" s="61">
        <f>IFERROR( SUMIFS(allFYsTable[Actual],allFYsTable[Code],SummaryTable[[#This Row],[Code]],allFYsTable[DiffAmount], "&lt;0")/SummaryTable[[#This Row],['# Under]], 0)</f>
        <v>0</v>
      </c>
      <c r="W182" s="61">
        <f>SummaryTable[[#This Row],[UnderAvgAct]]-SummaryTable[[#This Row],[UnderAvgBud]]</f>
        <v>0</v>
      </c>
      <c r="X182" s="54">
        <f>IF(SummaryTable[[#This Row],[UnderAvgBud]]=0, IF(SummaryTable[[#This Row],[UnderAvgDiff'#]]=0, ZeroBudgetNoSpending, NamedFields!$C$3), SummaryTable[[#This Row],[UnderAvgDiff'#]]/SummaryTable[[#This Row],[UnderAvgBud]])</f>
        <v>0</v>
      </c>
      <c r="Y182"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82"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2" s="54">
        <f>IF(SummaryTable[[#This Row],[IncreaseYears]]=0, ZeroBudgetNoSpending, SummaryTable[[#This Row],[OSinIncreaseYear'#]]/SummaryTable[[#This Row],[IncreaseYears]])</f>
        <v>0</v>
      </c>
      <c r="AB182" s="58" t="str">
        <f>SummaryTable[[#This Row],[Code]]</f>
        <v>SW0</v>
      </c>
      <c r="AC182" s="62" t="e">
        <f>IF(COUNTIFS(allFYsTable[Code], SummaryTable[[#This Row],[Code]], allFYsTable[year2], AC$3)=0, NotFound, SUMIFS(allFYsTable[OriginalBudget], allFYsTable[Code], SummaryTable[[#This Row],[Code]], allFYsTable[year2], AC$3))</f>
        <v>#N/A</v>
      </c>
      <c r="AD182" s="61" t="e">
        <f>SummaryTable[[#This Row],[OriginalBudget25]]-SummaryTable[[#This Row],[OriginalBudget24]]</f>
        <v>#N/A</v>
      </c>
      <c r="AE182" s="54" t="e">
        <f>SummaryTable[[#This Row],[BudgetIncreaseAmount25]]/SummaryTable[[#This Row],[OriginalBudget24]]</f>
        <v>#N/A</v>
      </c>
      <c r="AF182" s="61" t="e">
        <f>IF(COUNTIFS(allFYsTable[Code], SummaryTable[[#This Row],[Code]], allFYsTable[year2], AC$3)=0, NotFound, SUMIFS(allFYsTable[RevisedBudget], allFYsTable[Code], SummaryTable[[#This Row],[Code]], allFYsTable[year2], AC$3))</f>
        <v>#N/A</v>
      </c>
      <c r="AG182" s="61" t="e">
        <f>IF(COUNTIFS(allFYsTable[Code], SummaryTable[[#This Row],[Code]], allFYsTable[year2], AC$3)=0, NotFound, SUMIFS(allFYsTable[Actual], allFYsTable[Code], SummaryTable[[#This Row],[Code]], allFYsTable[year2], AC$3))</f>
        <v>#N/A</v>
      </c>
      <c r="AH182" s="61" t="e">
        <f>IF(COUNTIFS(allFYsTable[Code], SummaryTable[[#This Row],[Code]], allFYsTable[year2], AC$3)=0, NotFound, SUMIFS(allFYsTable[DiffAmount], allFYsTable[Code], SummaryTable[[#This Row],[Code]], allFYsTable[year2], AC$3))</f>
        <v>#N/A</v>
      </c>
      <c r="AI182" s="63" t="e">
        <f>IF(SummaryTable[[#This Row],[OriginalBudget25]]=0, IF(SummaryTable[[#This Row],[DiffAmount25]]=0, ZeroBudgetNoSpending, ZeroBudgetWithSpending), SummaryTable[[#This Row],[DiffAmount25]]/SummaryTable[[#This Row],[OriginalBudget25]])</f>
        <v>#N/A</v>
      </c>
      <c r="AJ182" s="62" t="e">
        <f>IF(COUNTIFS(allFYsTable[Code], SummaryTable[[#This Row],[Code]], allFYsTable[year2], AJ$3)=0, NotFound, SUMIFS(allFYsTable[OriginalBudget], allFYsTable[Code], SummaryTable[[#This Row],[Code]], allFYsTable[year2], AJ$3))</f>
        <v>#N/A</v>
      </c>
      <c r="AK182" s="61" t="e">
        <f>SummaryTable[[#This Row],[OriginalBudget24]]-SummaryTable[[#This Row],[OriginalBudget23]]</f>
        <v>#N/A</v>
      </c>
      <c r="AL182" s="54" t="e">
        <f>SummaryTable[[#This Row],[BudgetIncreaseAmount24]]/SummaryTable[[#This Row],[OriginalBudget23]]</f>
        <v>#N/A</v>
      </c>
      <c r="AM182" s="61" t="e">
        <f>IF(COUNTIFS(allFYsTable[Code], SummaryTable[[#This Row],[Code]], allFYsTable[year2], AK$3)=0, NotFound, SUMIFS(allFYsTable[RevisedBudget], allFYsTable[Code], SummaryTable[[#This Row],[Code]], allFYsTable[year2], AJ$3))</f>
        <v>#N/A</v>
      </c>
      <c r="AN182" s="61" t="e">
        <f>IF(COUNTIFS(allFYsTable[Code], SummaryTable[[#This Row],[Code]], allFYsTable[year2], AJ$3)=0, NotFound, SUMIFS(allFYsTable[Actual], allFYsTable[Code], SummaryTable[[#This Row],[Code]], allFYsTable[year2], AJ$3))</f>
        <v>#N/A</v>
      </c>
      <c r="AO182" s="61" t="e">
        <f>IF(COUNTIFS(allFYsTable[Code], SummaryTable[[#This Row],[Code]], allFYsTable[year2], AJ$3)=0, NotFound, SUMIFS(allFYsTable[DiffAmount], allFYsTable[Code], SummaryTable[[#This Row],[Code]], allFYsTable[year2], AJ$3))</f>
        <v>#N/A</v>
      </c>
      <c r="AP182" s="63" t="e">
        <f>IF(SummaryTable[[#This Row],[OriginalBudget24]]=0, IF(SummaryTable[[#This Row],[DiffAmount24]]=0, ZeroBudgetNoSpending, ZeroBudgetWithSpending), SummaryTable[[#This Row],[DiffAmount24]]/SummaryTable[[#This Row],[OriginalBudget24]])</f>
        <v>#N/A</v>
      </c>
      <c r="AQ182" s="62" t="e">
        <f>IF(COUNTIFS(allFYsTable[Code], SummaryTable[[#This Row],[Code]], allFYsTable[year2], AQ$3)=0, NotFound, SUMIFS(allFYsTable[OriginalBudget], allFYsTable[Code], SummaryTable[[#This Row],[Code]], allFYsTable[year2], AQ$3))</f>
        <v>#N/A</v>
      </c>
      <c r="AR182" s="61" t="e">
        <f>SummaryTable[[#This Row],[OriginalBudget23]]-SummaryTable[[#This Row],[OriginalBudget22]]</f>
        <v>#N/A</v>
      </c>
      <c r="AS182" s="54" t="e">
        <f>SummaryTable[[#This Row],[BudgetIncreaseAmount23]]/SummaryTable[[#This Row],[OriginalBudget22]]</f>
        <v>#N/A</v>
      </c>
      <c r="AT182" s="61" t="e">
        <f>IF(COUNTIFS(allFYsTable[Code], SummaryTable[[#This Row],[Code]], allFYsTable[year2], AQ$3)=0, NotFound, SUMIFS(allFYsTable[RevisedBudget], allFYsTable[Code], SummaryTable[[#This Row],[Code]], allFYsTable[year2], AQ$3))</f>
        <v>#N/A</v>
      </c>
      <c r="AU182" s="61" t="e">
        <f>IF(COUNTIFS(allFYsTable[Code], SummaryTable[[#This Row],[Code]], allFYsTable[year2], AQ$3)=0, NotFound, SUMIFS(allFYsTable[Actual], allFYsTable[Code], SummaryTable[[#This Row],[Code]], allFYsTable[year2], AQ$3))</f>
        <v>#N/A</v>
      </c>
      <c r="AV182" s="61" t="e">
        <f>IF(COUNTIFS(allFYsTable[Code], SummaryTable[[#This Row],[Code]], allFYsTable[year2], AQ$3)=0, NotFound, SUMIFS(allFYsTable[DiffAmount], allFYsTable[Code], SummaryTable[[#This Row],[Code]], allFYsTable[year2], AQ$3))</f>
        <v>#N/A</v>
      </c>
      <c r="AW182" s="63" t="e">
        <f>IF(SummaryTable[[#This Row],[OriginalBudget23]]=0, IF(SummaryTable[[#This Row],[DiffAmount23]]=0, ZeroBudgetNoSpending, ZeroBudgetWithSpending), SummaryTable[[#This Row],[DiffAmount23]]/SummaryTable[[#This Row],[OriginalBudget23]])</f>
        <v>#N/A</v>
      </c>
      <c r="AX182" s="62" t="e">
        <f>IF(COUNTIFS(allFYsTable[Code], SummaryTable[[#This Row],[Code]], allFYsTable[year2], AX$3)=0, NotFound, SUMIFS(allFYsTable[OriginalBudget], allFYsTable[Code], SummaryTable[[#This Row],[Code]], allFYsTable[year2], AX$3))</f>
        <v>#N/A</v>
      </c>
      <c r="AY182" s="61" t="e">
        <f>SummaryTable[[#This Row],[OriginalBudget22]]-SummaryTable[[#This Row],[OriginalBudget21]]</f>
        <v>#N/A</v>
      </c>
      <c r="AZ182" s="54" t="e">
        <f>SummaryTable[[#This Row],[BudgetIncreaseAmount22]]/SummaryTable[[#This Row],[OriginalBudget21]]</f>
        <v>#N/A</v>
      </c>
      <c r="BA182" s="61" t="e">
        <f>IF(COUNTIFS(allFYsTable[Code], SummaryTable[[#This Row],[Code]], allFYsTable[year2], AX$3)=0, NotFound, SUMIFS(allFYsTable[RevisedBudget], allFYsTable[Code], SummaryTable[[#This Row],[Code]], allFYsTable[year2], AX$3))</f>
        <v>#N/A</v>
      </c>
      <c r="BB182" s="61" t="e">
        <f>IF(COUNTIFS(allFYsTable[Code], SummaryTable[[#This Row],[Code]], allFYsTable[year2], AX$3)=0, NotFound, SUMIFS(allFYsTable[Actual], allFYsTable[Code], SummaryTable[[#This Row],[Code]], allFYsTable[year2], AX$3))</f>
        <v>#N/A</v>
      </c>
      <c r="BC182" s="61" t="e">
        <f>IF(COUNTIFS(allFYsTable[Code], SummaryTable[[#This Row],[Code]], allFYsTable[year2], AX$3)=0, NotFound, SUMIFS(allFYsTable[DiffAmount], allFYsTable[Code], SummaryTable[[#This Row],[Code]], allFYsTable[year2], AX$3))</f>
        <v>#N/A</v>
      </c>
      <c r="BD182" s="63" t="e">
        <f>IF(SummaryTable[[#This Row],[OriginalBudget22]]=0, IF(SummaryTable[[#This Row],[DiffAmount22]]=0, ZeroBudgetNoSpending, ZeroBudgetWithSpending), SummaryTable[[#This Row],[DiffAmount22]]/SummaryTable[[#This Row],[OriginalBudget22]])</f>
        <v>#N/A</v>
      </c>
      <c r="BE182" s="62" t="e">
        <f>IF(COUNTIFS(allFYsTable[Code], SummaryTable[[#This Row],[Code]], allFYsTable[year2], BE$3)=0, NotFound, SUMIFS(allFYsTable[OriginalBudget], allFYsTable[Code], SummaryTable[[#This Row],[Code]], allFYsTable[year2], BE$3))</f>
        <v>#N/A</v>
      </c>
      <c r="BF182" s="61" t="e">
        <f>SummaryTable[[#This Row],[OriginalBudget21]]-SummaryTable[[#This Row],[OriginalBudget20]]</f>
        <v>#N/A</v>
      </c>
      <c r="BG182" s="54" t="e">
        <f>SummaryTable[[#This Row],[BudgetIncreaseAmount21]]/SummaryTable[[#This Row],[OriginalBudget20]]</f>
        <v>#N/A</v>
      </c>
      <c r="BH182" s="61" t="e">
        <f>IF(COUNTIFS(allFYsTable[Code], SummaryTable[[#This Row],[Code]], allFYsTable[year2], BE$3)=0, NotFound, SUMIFS(allFYsTable[RevisedBudget], allFYsTable[Code], SummaryTable[[#This Row],[Code]], allFYsTable[year2], BE$3))</f>
        <v>#N/A</v>
      </c>
      <c r="BI182" s="61" t="e">
        <f>IF(COUNTIFS(allFYsTable[Code], SummaryTable[[#This Row],[Code]], allFYsTable[year2], BE$3)=0, NotFound, SUMIFS(allFYsTable[Actual], allFYsTable[Code], SummaryTable[[#This Row],[Code]], allFYsTable[year2], BE$3))</f>
        <v>#N/A</v>
      </c>
      <c r="BJ182" s="61" t="e">
        <f>IF(COUNTIFS(allFYsTable[Code], SummaryTable[[#This Row],[Code]], allFYsTable[year2], BE$3)=0, NotFound, SUMIFS(allFYsTable[DiffAmount], allFYsTable[Code], SummaryTable[[#This Row],[Code]], allFYsTable[year2], BE$3))</f>
        <v>#N/A</v>
      </c>
      <c r="BK182" s="63" t="e">
        <f>IF(SummaryTable[[#This Row],[OriginalBudget21]]=0, IF(SummaryTable[[#This Row],[DiffAmount21]]=0, ZeroBudgetNoSpending, ZeroBudgetWithSpending), SummaryTable[[#This Row],[DiffAmount21]]/SummaryTable[[#This Row],[OriginalBudget21]])</f>
        <v>#N/A</v>
      </c>
      <c r="BL182" s="62" t="e">
        <f>IF(COUNTIFS(allFYsTable[Code], SummaryTable[[#This Row],[Code]], allFYsTable[year2], BL$3)=0, NotFound, SUMIFS(allFYsTable[OriginalBudget], allFYsTable[Code], SummaryTable[[#This Row],[Code]], allFYsTable[year2], BL$3))</f>
        <v>#N/A</v>
      </c>
      <c r="BM182" s="61" t="e">
        <f>SummaryTable[[#This Row],[OriginalBudget20]]-SummaryTable[[#This Row],[OriginalBudget19]]</f>
        <v>#N/A</v>
      </c>
      <c r="BN182" s="54" t="e">
        <f>SummaryTable[[#This Row],[BudgetIncreaseAmount20]]/SummaryTable[[#This Row],[OriginalBudget19]]</f>
        <v>#N/A</v>
      </c>
      <c r="BO182" s="61" t="e">
        <f>IF(COUNTIFS(allFYsTable[Code], SummaryTable[[#This Row],[Code]], allFYsTable[year2], BL$3)=0, NotFound, SUMIFS(allFYsTable[RevisedBudget], allFYsTable[Code], SummaryTable[[#This Row],[Code]], allFYsTable[year2], BL$3))</f>
        <v>#N/A</v>
      </c>
      <c r="BP182" s="61" t="e">
        <f>IF(COUNTIFS(allFYsTable[Code], SummaryTable[[#This Row],[Code]], allFYsTable[year2], BL$3)=0, NotFound, SUMIFS(allFYsTable[Actual], allFYsTable[Code], SummaryTable[[#This Row],[Code]], allFYsTable[year2], BL$3))</f>
        <v>#N/A</v>
      </c>
      <c r="BQ182" s="61" t="e">
        <f>IF(COUNTIFS(allFYsTable[Code], SummaryTable[[#This Row],[Code]], allFYsTable[year2], BL$3)=0, NotFound, SUMIFS(allFYsTable[DiffAmount], allFYsTable[Code], SummaryTable[[#This Row],[Code]], allFYsTable[year2], BL$3))</f>
        <v>#N/A</v>
      </c>
      <c r="BR182" s="63" t="e">
        <f>IF(SummaryTable[[#This Row],[OriginalBudget20]]=0, IF(SummaryTable[[#This Row],[DiffAmount20]]=0, ZeroBudgetNoSpending, ZeroBudgetWithSpending), SummaryTable[[#This Row],[DiffAmount20]]/SummaryTable[[#This Row],[OriginalBudget20]])</f>
        <v>#N/A</v>
      </c>
      <c r="BS182" s="62" t="e">
        <f>IF(COUNTIFS(allFYsTable[Code], SummaryTable[[#This Row],[Code]], allFYsTable[year2], BS$3)=0, NotFound, SUMIFS(allFYsTable[OriginalBudget], allFYsTable[Code], SummaryTable[[#This Row],[Code]], allFYsTable[year2], BS$3))</f>
        <v>#N/A</v>
      </c>
      <c r="BT182" s="61" t="e">
        <f>SummaryTable[[#This Row],[OriginalBudget19]]-SummaryTable[[#This Row],[OriginalBudget18]]</f>
        <v>#N/A</v>
      </c>
      <c r="BU182" s="54" t="e">
        <f>SummaryTable[[#This Row],[BudgetIncreaseAmount19]]/SummaryTable[[#This Row],[OriginalBudget18]]</f>
        <v>#N/A</v>
      </c>
      <c r="BV182" s="61" t="e">
        <f>IF(COUNTIFS(allFYsTable[Code], SummaryTable[[#This Row],[Code]], allFYsTable[year2], BS$3)=0, NotFound, SUMIFS(allFYsTable[RevisedBudget], allFYsTable[Code], SummaryTable[[#This Row],[Code]], allFYsTable[year2], BS$3))</f>
        <v>#N/A</v>
      </c>
      <c r="BW182" s="61" t="e">
        <f>IF(COUNTIFS(allFYsTable[Code], SummaryTable[[#This Row],[Code]], allFYsTable[year2], BS$3)=0, NotFound, SUMIFS(allFYsTable[Actual], allFYsTable[Code], SummaryTable[[#This Row],[Code]], allFYsTable[year2], BS$3))</f>
        <v>#N/A</v>
      </c>
      <c r="BX182" s="61" t="e">
        <f>IF(COUNTIFS(allFYsTable[Code], SummaryTable[[#This Row],[Code]], allFYsTable[year2], BS$3)=0, NotFound, SUMIFS(allFYsTable[DiffAmount], allFYsTable[Code], SummaryTable[[#This Row],[Code]], allFYsTable[year2], BS$3))</f>
        <v>#N/A</v>
      </c>
      <c r="BY182" s="63" t="e">
        <f>IF(SummaryTable[[#This Row],[OriginalBudget19]]=0, IF(SummaryTable[[#This Row],[DiffAmount19]]=0, ZeroBudgetNoSpending, ZeroBudgetWithSpending), SummaryTable[[#This Row],[DiffAmount19]]/SummaryTable[[#This Row],[OriginalBudget19]])</f>
        <v>#N/A</v>
      </c>
      <c r="BZ182" s="62" t="e">
        <f>IF(COUNTIFS(allFYsTable[Code], SummaryTable[[#This Row],[Code]], allFYsTable[year2], BZ$3)=0, NotFound, SUMIFS(allFYsTable[OriginalBudget], allFYsTable[Code], SummaryTable[[#This Row],[Code]], allFYsTable[year2], BZ$3))</f>
        <v>#N/A</v>
      </c>
      <c r="CA182" s="61" t="e">
        <f>SummaryTable[[#This Row],[OriginalBudget18]]-SummaryTable[[#This Row],[OriginalBudget17]]</f>
        <v>#N/A</v>
      </c>
      <c r="CB182" s="54" t="e">
        <f>SummaryTable[[#This Row],[BudgetIncreaseAmount18]]/SummaryTable[[#This Row],[OriginalBudget17]]</f>
        <v>#N/A</v>
      </c>
      <c r="CC182" s="61" t="e">
        <f>IF(COUNTIFS(allFYsTable[Code], SummaryTable[[#This Row],[Code]], allFYsTable[year2], BZ$3)=0, NotFound, SUMIFS(allFYsTable[RevisedBudget], allFYsTable[Code], SummaryTable[[#This Row],[Code]], allFYsTable[year2], BZ$3))</f>
        <v>#N/A</v>
      </c>
      <c r="CD182" s="61" t="e">
        <f>IF(COUNTIFS(allFYsTable[Code], SummaryTable[[#This Row],[Code]], allFYsTable[year2], BZ$3)=0, NotFound, SUMIFS(allFYsTable[Actual], allFYsTable[Code], SummaryTable[[#This Row],[Code]], allFYsTable[year2], BZ$3))</f>
        <v>#N/A</v>
      </c>
      <c r="CE182" s="61" t="e">
        <f>IF(COUNTIFS(allFYsTable[Code], SummaryTable[[#This Row],[Code]], allFYsTable[year2], BZ$3)=0, NotFound, SUMIFS(allFYsTable[DiffAmount], allFYsTable[Code], SummaryTable[[#This Row],[Code]], allFYsTable[year2], BZ$3))</f>
        <v>#N/A</v>
      </c>
      <c r="CF182" s="63" t="e">
        <f>IF(SummaryTable[[#This Row],[OriginalBudget18]]=0, IF(SummaryTable[[#This Row],[DiffAmount18]]=0, ZeroBudgetNoSpending, ZeroBudgetWithSpending), SummaryTable[[#This Row],[DiffAmount18]]/SummaryTable[[#This Row],[OriginalBudget18]])</f>
        <v>#N/A</v>
      </c>
      <c r="CG182" s="62" t="e">
        <f>IF(COUNTIFS(allFYsTable[Code], SummaryTable[[#This Row],[Code]], allFYsTable[year2], CG$3)=0, NotFound, SUMIFS(allFYsTable[OriginalBudget], allFYsTable[Code], SummaryTable[[#This Row],[Code]], allFYsTable[year2], CG$3))</f>
        <v>#N/A</v>
      </c>
      <c r="CH182" s="61" t="e">
        <f>SummaryTable[[#This Row],[OriginalBudget17]]-SummaryTable[[#This Row],[OriginalBudget16]]</f>
        <v>#N/A</v>
      </c>
      <c r="CI182" s="54" t="e">
        <f>SummaryTable[[#This Row],[BudgetIncreaseAmount17]]/SummaryTable[[#This Row],[OriginalBudget16]]</f>
        <v>#N/A</v>
      </c>
      <c r="CJ182" s="61" t="e">
        <f>IF(COUNTIFS(allFYsTable[Code], SummaryTable[[#This Row],[Code]], allFYsTable[year2], CG$3)=0, NotFound, SUMIFS(allFYsTable[RevisedBudget], allFYsTable[Code], SummaryTable[[#This Row],[Code]], allFYsTable[year2], CG$3))</f>
        <v>#N/A</v>
      </c>
      <c r="CK182" s="61" t="e">
        <f>IF(COUNTIFS(allFYsTable[Code], SummaryTable[[#This Row],[Code]], allFYsTable[year2], CG$3)=0, NotFound, SUMIFS(allFYsTable[Actual], allFYsTable[Code], SummaryTable[[#This Row],[Code]], allFYsTable[year2], CG$3))</f>
        <v>#N/A</v>
      </c>
      <c r="CL182" s="61" t="e">
        <f>IF(COUNTIFS(allFYsTable[Code], SummaryTable[[#This Row],[Code]], allFYsTable[year2], CG$3)=0, NotFound, SUMIFS(allFYsTable[DiffAmount], allFYsTable[Code], SummaryTable[[#This Row],[Code]], allFYsTable[year2], CG$3))</f>
        <v>#N/A</v>
      </c>
      <c r="CM182" s="63" t="e">
        <f>IF(SummaryTable[[#This Row],[OriginalBudget17]]=0, IF(SummaryTable[[#This Row],[DiffAmount17]]=0, ZeroBudgetNoSpending, ZeroBudgetWithSpending), SummaryTable[[#This Row],[DiffAmount17]]/SummaryTable[[#This Row],[OriginalBudget17]])</f>
        <v>#N/A</v>
      </c>
      <c r="CN182" s="62" t="e">
        <f>IF(COUNTIFS(allFYsTable[Code], SummaryTable[[#This Row],[Code]], allFYsTable[year2], CN$3)=0, NotFound, SUMIFS(allFYsTable[OriginalBudget], allFYsTable[Code], SummaryTable[[#This Row],[Code]], allFYsTable[year2], CN$3))</f>
        <v>#N/A</v>
      </c>
      <c r="CO182" s="61" t="e">
        <f>SummaryTable[[#This Row],[OriginalBudget16]]-SummaryTable[[#This Row],[OriginalBudget15]]</f>
        <v>#N/A</v>
      </c>
      <c r="CP182" s="54" t="e">
        <f>SummaryTable[[#This Row],[BudgetIncreaseAmount16]]/SummaryTable[[#This Row],[OriginalBudget15]]</f>
        <v>#N/A</v>
      </c>
      <c r="CQ182" s="61" t="e">
        <f>IF(COUNTIFS(allFYsTable[Code], SummaryTable[[#This Row],[Code]], allFYsTable[year2], CN$3)=0, NotFound, SUMIFS(allFYsTable[RevisedBudget], allFYsTable[Code], SummaryTable[[#This Row],[Code]], allFYsTable[year2], CN$3))</f>
        <v>#N/A</v>
      </c>
      <c r="CR182" s="61" t="e">
        <f>IF(COUNTIFS(allFYsTable[Code], SummaryTable[[#This Row],[Code]], allFYsTable[year2], CN$3)=0, NotFound, SUMIFS(allFYsTable[Actual], allFYsTable[Code], SummaryTable[[#This Row],[Code]], allFYsTable[year2], CN$3))</f>
        <v>#N/A</v>
      </c>
      <c r="CS182" s="61" t="e">
        <f>IF(COUNTIFS(allFYsTable[Code], SummaryTable[[#This Row],[Code]], allFYsTable[year2], CN$3)=0, NotFound, SUMIFS(allFYsTable[DiffAmount], allFYsTable[Code], SummaryTable[[#This Row],[Code]], allFYsTable[year2], CN$3))</f>
        <v>#N/A</v>
      </c>
      <c r="CT182" s="63" t="e">
        <f>IF(SummaryTable[[#This Row],[OriginalBudget16]]=0, IF(SummaryTable[[#This Row],[DiffAmount16]]=0, ZeroBudgetNoSpending, ZeroBudgetWithSpending), SummaryTable[[#This Row],[DiffAmount16]]/SummaryTable[[#This Row],[OriginalBudget16]])</f>
        <v>#N/A</v>
      </c>
      <c r="CU182" s="62" t="e">
        <f>IF(COUNTIFS(allFYsTable[Code], SummaryTable[[#This Row],[Code]], allFYsTable[year2], CU$3)=0, NotFound, SUMIFS(allFYsTable[OriginalBudget], allFYsTable[Code], SummaryTable[[#This Row],[Code]], allFYsTable[year2], CU$3))</f>
        <v>#N/A</v>
      </c>
      <c r="CV182" s="61" t="e">
        <f>SummaryTable[[#This Row],[OriginalBudget15]]-SummaryTable[[#This Row],[OriginalBudget14]]</f>
        <v>#N/A</v>
      </c>
      <c r="CW182" s="54" t="e">
        <f>SummaryTable[[#This Row],[BudgetIncreaseAmount15]]/SummaryTable[[#This Row],[OriginalBudget14]]</f>
        <v>#N/A</v>
      </c>
      <c r="CX182" s="61" t="e">
        <f>IF(COUNTIFS(allFYsTable[Code], SummaryTable[[#This Row],[Code]], allFYsTable[year2], CU$3)=0, NotFound, SUMIFS(allFYsTable[RevisedBudget], allFYsTable[Code], SummaryTable[[#This Row],[Code]], allFYsTable[year2], CU$3))</f>
        <v>#N/A</v>
      </c>
      <c r="CY182" s="61" t="e">
        <f>IF(COUNTIFS(allFYsTable[Code], SummaryTable[[#This Row],[Code]], allFYsTable[year2], CU$3)=0, NotFound, SUMIFS(allFYsTable[Actual], allFYsTable[Code], SummaryTable[[#This Row],[Code]], allFYsTable[year2], CU$3))</f>
        <v>#N/A</v>
      </c>
      <c r="CZ182" s="61" t="e">
        <f>IF(COUNTIFS(allFYsTable[Code], SummaryTable[[#This Row],[Code]], allFYsTable[year2], CU$3)=0, NotFound, SUMIFS(allFYsTable[DiffAmount], allFYsTable[Code], SummaryTable[[#This Row],[Code]], allFYsTable[year2], CU$3))</f>
        <v>#N/A</v>
      </c>
      <c r="DA182" s="63" t="e">
        <f>IF(SummaryTable[[#This Row],[OriginalBudget15]]=0, IF(SummaryTable[[#This Row],[DiffAmount15]]=0, ZeroBudgetNoSpending, ZeroBudgetWithSpending), SummaryTable[[#This Row],[DiffAmount15]]/SummaryTable[[#This Row],[OriginalBudget15]])</f>
        <v>#N/A</v>
      </c>
      <c r="DB182" s="62" t="e">
        <f>IF(COUNTIFS(allFYsTable[Code], SummaryTable[[#This Row],[Code]], allFYsTable[year2], DB$3)=0, NotFound, SUMIFS(allFYsTable[OriginalBudget], allFYsTable[Code], SummaryTable[[#This Row],[Code]], allFYsTable[year2], DB$3))</f>
        <v>#N/A</v>
      </c>
      <c r="DC182" s="61" t="e">
        <f>SummaryTable[[#This Row],[OriginalBudget14]]-SummaryTable[[#This Row],[OriginalBudget13]]</f>
        <v>#N/A</v>
      </c>
      <c r="DD182" s="54" t="e">
        <f>SummaryTable[[#This Row],[BudgetIncreaseAmount14]]/SummaryTable[[#This Row],[OriginalBudget13]]</f>
        <v>#N/A</v>
      </c>
      <c r="DE182" s="61" t="e">
        <f>IF(COUNTIFS(allFYsTable[Code], SummaryTable[[#This Row],[Code]], allFYsTable[year2], DB$3)=0, NotFound, SUMIFS(allFYsTable[RevisedBudget], allFYsTable[Code], SummaryTable[[#This Row],[Code]], allFYsTable[year2], DB$3))</f>
        <v>#N/A</v>
      </c>
      <c r="DF182" s="61" t="e">
        <f>IF(COUNTIFS(allFYsTable[Code], SummaryTable[[#This Row],[Code]], allFYsTable[year2], DB$3)=0, NotFound, SUMIFS(allFYsTable[Actual], allFYsTable[Code], SummaryTable[[#This Row],[Code]], allFYsTable[year2], DB$3))</f>
        <v>#N/A</v>
      </c>
      <c r="DG182" s="61" t="e">
        <f>IF(COUNTIFS(allFYsTable[Code], SummaryTable[[#This Row],[Code]], allFYsTable[year2], DB$3)=0, NotFound, SUMIFS(allFYsTable[DiffAmount], allFYsTable[Code], SummaryTable[[#This Row],[Code]], allFYsTable[year2], DB$3))</f>
        <v>#N/A</v>
      </c>
      <c r="DH182" s="63" t="e">
        <f>IF(SummaryTable[[#This Row],[OriginalBudget14]]=0, IF(SummaryTable[[#This Row],[DiffAmount14]]=0, ZeroBudgetNoSpending, ZeroBudgetWithSpending), SummaryTable[[#This Row],[DiffAmount14]]/SummaryTable[[#This Row],[OriginalBudget14]])</f>
        <v>#N/A</v>
      </c>
      <c r="DI182" s="62" t="e">
        <f>IF(COUNTIFS(allFYsTable[Code], SummaryTable[[#This Row],[Code]], allFYsTable[year2], DI$3)=0, NotFound, SUMIFS(allFYsTable[OriginalBudget], allFYsTable[Code], SummaryTable[[#This Row],[Code]], allFYsTable[year2], DI$3))</f>
        <v>#N/A</v>
      </c>
      <c r="DJ182" s="61" t="e">
        <f>SummaryTable[[#This Row],[OriginalBudget13]]-SummaryTable[[#This Row],[OriginalBudget12]]</f>
        <v>#N/A</v>
      </c>
      <c r="DK182" s="54" t="e">
        <f>SummaryTable[[#This Row],[BudgetIncreaseAmount13]]/SummaryTable[[#This Row],[OriginalBudget12]]</f>
        <v>#N/A</v>
      </c>
      <c r="DL182" s="61" t="e">
        <f>IF(COUNTIFS(allFYsTable[Code], SummaryTable[[#This Row],[Code]], allFYsTable[year2], DI$3)=0, NotFound, SUMIFS(allFYsTable[RevisedBudget], allFYsTable[Code], SummaryTable[[#This Row],[Code]], allFYsTable[year2], DI$3))</f>
        <v>#N/A</v>
      </c>
      <c r="DM182" s="61" t="e">
        <f>IF(COUNTIFS(allFYsTable[Code], SummaryTable[[#This Row],[Code]], allFYsTable[year2], DI$3)=0, NotFound, SUMIFS(allFYsTable[Actual], allFYsTable[Code], SummaryTable[[#This Row],[Code]], allFYsTable[year2], DI$3))</f>
        <v>#N/A</v>
      </c>
      <c r="DN182" s="61" t="e">
        <f>IF(COUNTIFS(allFYsTable[Code], SummaryTable[[#This Row],[Code]], allFYsTable[year2], DI$3)=0, NotFound, SUMIFS(allFYsTable[DiffAmount], allFYsTable[Code], SummaryTable[[#This Row],[Code]], allFYsTable[year2], DI$3))</f>
        <v>#N/A</v>
      </c>
      <c r="DO182" s="63" t="e">
        <f>IF(SummaryTable[[#This Row],[OriginalBudget13]]=0, IF(SummaryTable[[#This Row],[DiffAmount13]]=0, ZeroBudgetNoSpending, ZeroBudgetWithSpending), SummaryTable[[#This Row],[DiffAmount13]]/SummaryTable[[#This Row],[OriginalBudget13]])</f>
        <v>#N/A</v>
      </c>
      <c r="DP182" s="62" t="e">
        <f>IF(COUNTIFS(allFYsTable[Code], SummaryTable[[#This Row],[Code]], allFYsTable[year2], DP$3)=0, NotFound, SUMIFS(allFYsTable[OriginalBudget], allFYsTable[Code], SummaryTable[[#This Row],[Code]], allFYsTable[year2], DP$3))</f>
        <v>#N/A</v>
      </c>
      <c r="DQ182" s="61" t="e">
        <f>SummaryTable[[#This Row],[OriginalBudget12]]-SummaryTable[[#This Row],[OriginalBudget11]]</f>
        <v>#N/A</v>
      </c>
      <c r="DR182" s="54" t="e">
        <f>SummaryTable[[#This Row],[BudgetIncreaseAmount12]]/SummaryTable[[#This Row],[OriginalBudget11]]</f>
        <v>#N/A</v>
      </c>
      <c r="DS182" s="61" t="e">
        <f>IF(COUNTIFS(allFYsTable[Code], SummaryTable[[#This Row],[Code]], allFYsTable[year2], DP$3)=0, NotFound, SUMIFS(allFYsTable[RevisedBudget], allFYsTable[Code], SummaryTable[[#This Row],[Code]], allFYsTable[year2], DP$3))</f>
        <v>#N/A</v>
      </c>
      <c r="DT182" s="61" t="e">
        <f>IF(COUNTIFS(allFYsTable[Code], SummaryTable[[#This Row],[Code]], allFYsTable[year2], DP$3)=0, NotFound, SUMIFS(allFYsTable[Actual], allFYsTable[Code], SummaryTable[[#This Row],[Code]], allFYsTable[year2], DP$3))</f>
        <v>#N/A</v>
      </c>
      <c r="DU182" s="61" t="e">
        <f>IF(COUNTIFS(allFYsTable[Code], SummaryTable[[#This Row],[Code]], allFYsTable[year2], DP$3)=0, NotFound, SUMIFS(allFYsTable[DiffAmount], allFYsTable[Code], SummaryTable[[#This Row],[Code]], allFYsTable[year2], DP$3))</f>
        <v>#N/A</v>
      </c>
      <c r="DV182" s="63" t="e">
        <f>IF(SummaryTable[[#This Row],[OriginalBudget12]]=0, IF(SummaryTable[[#This Row],[DiffAmount12]]=0, ZeroBudgetNoSpending, ZeroBudgetWithSpending), SummaryTable[[#This Row],[DiffAmount12]]/SummaryTable[[#This Row],[OriginalBudget12]])</f>
        <v>#N/A</v>
      </c>
      <c r="DW182" s="62" t="e">
        <f>IF(COUNTIFS(allFYsTable[Code], SummaryTable[[#This Row],[Code]], allFYsTable[year2], DW$3)=0, NotFound, SUMIFS(allFYsTable[OriginalBudget], allFYsTable[Code], SummaryTable[[#This Row],[Code]], allFYsTable[year2], DW$3))</f>
        <v>#N/A</v>
      </c>
      <c r="DX182" s="61" t="e">
        <f>SummaryTable[[#This Row],[OriginalBudget11]]-SummaryTable[[#This Row],[OriginalBudget10]]</f>
        <v>#N/A</v>
      </c>
      <c r="DY182" s="54" t="e">
        <f>SummaryTable[[#This Row],[BudgetIncreaseAmount11]]/SummaryTable[[#This Row],[OriginalBudget10]]</f>
        <v>#N/A</v>
      </c>
      <c r="DZ182" s="61" t="e">
        <f>IF(COUNTIFS(allFYsTable[Code], SummaryTable[[#This Row],[Code]], allFYsTable[year2], DW$3)=0, NotFound, SUMIFS(allFYsTable[RevisedBudget], allFYsTable[Code], SummaryTable[[#This Row],[Code]], allFYsTable[year2], DW$3))</f>
        <v>#N/A</v>
      </c>
      <c r="EA182" s="61" t="e">
        <f>IF(COUNTIFS(allFYsTable[Code], SummaryTable[[#This Row],[Code]], allFYsTable[year2], DW$3)=0, NotFound, SUMIFS(allFYsTable[Actual], allFYsTable[Code], SummaryTable[[#This Row],[Code]], allFYsTable[year2], DW$3))</f>
        <v>#N/A</v>
      </c>
      <c r="EB182" s="61" t="e">
        <f>IF(COUNTIFS(allFYsTable[Code], SummaryTable[[#This Row],[Code]], allFYsTable[year2], DW$3)=0, NotFound, SUMIFS(allFYsTable[DiffAmount], allFYsTable[Code], SummaryTable[[#This Row],[Code]], allFYsTable[year2], DW$3))</f>
        <v>#N/A</v>
      </c>
      <c r="EC182" s="63" t="e">
        <f>IF(SummaryTable[[#This Row],[OriginalBudget11]]=0, IF(SummaryTable[[#This Row],[DiffAmount11]]=0, ZeroBudgetNoSpending, ZeroBudgetWithSpending), SummaryTable[[#This Row],[DiffAmount11]]/SummaryTable[[#This Row],[OriginalBudget11]])</f>
        <v>#N/A</v>
      </c>
      <c r="ED182" s="62" t="e">
        <f>IF(COUNTIFS(allFYsTable[Code], SummaryTable[[#This Row],[Code]], allFYsTable[year2], ED$3)=0, NotFound, SUMIFS(allFYsTable[OriginalBudget], allFYsTable[Code], SummaryTable[[#This Row],[Code]], allFYsTable[year2], ED$3))</f>
        <v>#N/A</v>
      </c>
      <c r="EE182" s="61" t="e">
        <f>SummaryTable[[#This Row],[OriginalBudget10]]-SummaryTable[[#This Row],[OriginalBudget09]]</f>
        <v>#N/A</v>
      </c>
      <c r="EF182" s="54" t="e">
        <f>SummaryTable[[#This Row],[BudgetIncreaseAmount10]]/SummaryTable[[#This Row],[OriginalBudget09]]</f>
        <v>#N/A</v>
      </c>
      <c r="EG182" s="61" t="e">
        <f>IF(COUNTIFS(allFYsTable[Code], SummaryTable[[#This Row],[Code]], allFYsTable[year2], ED$3)=0, NotFound, SUMIFS(allFYsTable[RevisedBudget], allFYsTable[Code], SummaryTable[[#This Row],[Code]], allFYsTable[year2], ED$3))</f>
        <v>#N/A</v>
      </c>
      <c r="EH182" s="61" t="e">
        <f>IF(COUNTIFS(allFYsTable[Code], SummaryTable[[#This Row],[Code]], allFYsTable[year2], ED$3)=0, NotFound, SUMIFS(allFYsTable[Actual], allFYsTable[Code], SummaryTable[[#This Row],[Code]], allFYsTable[year2], ED$3))</f>
        <v>#N/A</v>
      </c>
      <c r="EI182" s="61" t="e">
        <f>IF(COUNTIFS(allFYsTable[Code], SummaryTable[[#This Row],[Code]], allFYsTable[year2], ED$3)=0, NotFound, SUMIFS(allFYsTable[DiffAmount], allFYsTable[Code], SummaryTable[[#This Row],[Code]], allFYsTable[year2], ED$3))</f>
        <v>#N/A</v>
      </c>
      <c r="EJ182" s="63" t="e">
        <f>IF(SummaryTable[[#This Row],[OriginalBudget10]]=0, IF(SummaryTable[[#This Row],[DiffAmount10]]=0, ZeroBudgetNoSpending, ZeroBudgetWithSpending), SummaryTable[[#This Row],[DiffAmount10]]/SummaryTable[[#This Row],[OriginalBudget10]])</f>
        <v>#N/A</v>
      </c>
      <c r="EK182" s="62" t="e">
        <f>IF(COUNTIFS(allFYsTable[Code], SummaryTable[[#This Row],[Code]], allFYsTable[year2], EK$3)=0, NotFound, SUMIFS(allFYsTable[OriginalBudget], allFYsTable[Code], SummaryTable[[#This Row],[Code]], allFYsTable[year2], EK$3))</f>
        <v>#N/A</v>
      </c>
      <c r="EL182" s="61" t="e">
        <f>SummaryTable[[#This Row],[OriginalBudget09]]-SummaryTable[[#This Row],[OriginalBudget08]]</f>
        <v>#N/A</v>
      </c>
      <c r="EM182" s="54" t="e">
        <f>SummaryTable[[#This Row],[BudgetIncreaseAmount09]]/SummaryTable[[#This Row],[OriginalBudget08]]</f>
        <v>#N/A</v>
      </c>
      <c r="EN182" s="61" t="e">
        <f>IF(COUNTIFS(allFYsTable[Code], SummaryTable[[#This Row],[Code]], allFYsTable[year2], EK$3)=0, NotFound, SUMIFS(allFYsTable[RevisedBudget], allFYsTable[Code], SummaryTable[[#This Row],[Code]], allFYsTable[year2], EK$3))</f>
        <v>#N/A</v>
      </c>
      <c r="EO182" s="61" t="e">
        <f>IF(COUNTIFS(allFYsTable[Code], SummaryTable[[#This Row],[Code]], allFYsTable[year2], EK$3)=0, NotFound, SUMIFS(allFYsTable[Actual], allFYsTable[Code], SummaryTable[[#This Row],[Code]], allFYsTable[year2], EK$3))</f>
        <v>#N/A</v>
      </c>
      <c r="EP182" s="61" t="e">
        <f>IF(COUNTIFS(allFYsTable[Code], SummaryTable[[#This Row],[Code]], allFYsTable[year2], EK$3)=0, NotFound, SUMIFS(allFYsTable[DiffAmount], allFYsTable[Code], SummaryTable[[#This Row],[Code]], allFYsTable[year2], EK$3))</f>
        <v>#N/A</v>
      </c>
      <c r="EQ182" s="63" t="e">
        <f>IF(SummaryTable[[#This Row],[OriginalBudget09]]=0, IF(SummaryTable[[#This Row],[DiffAmount09]]=0, ZeroBudgetNoSpending, ZeroBudgetWithSpending), SummaryTable[[#This Row],[DiffAmount09]]/SummaryTable[[#This Row],[OriginalBudget09]])</f>
        <v>#N/A</v>
      </c>
      <c r="ER182" s="62" t="e">
        <f>IF(COUNTIFS(allFYsTable[Code], SummaryTable[[#This Row],[Code]], allFYsTable[year2], ER$3)=0, NotFound, SUMIFS(allFYsTable[OriginalBudget], allFYsTable[Code], SummaryTable[[#This Row],[Code]], allFYsTable[year2], ER$3))</f>
        <v>#N/A</v>
      </c>
      <c r="ES182" s="61" t="e">
        <f>SummaryTable[[#This Row],[OriginalBudget08]]-SummaryTable[[#This Row],[OriginalBudget07]]</f>
        <v>#N/A</v>
      </c>
      <c r="ET182" s="54" t="e">
        <f>SummaryTable[[#This Row],[BudgetIncreaseAmount08]]/SummaryTable[[#This Row],[OriginalBudget07]]</f>
        <v>#N/A</v>
      </c>
      <c r="EU182" s="61" t="e">
        <f>IF(COUNTIFS(allFYsTable[Code], SummaryTable[[#This Row],[Code]], allFYsTable[year2], ER$3)=0, NotFound, SUMIFS(allFYsTable[RevisedBudget], allFYsTable[Code], SummaryTable[[#This Row],[Code]], allFYsTable[year2], ER$3))</f>
        <v>#N/A</v>
      </c>
      <c r="EV182" s="61" t="e">
        <f>IF(COUNTIFS(allFYsTable[Code], SummaryTable[[#This Row],[Code]], allFYsTable[year2], ER$3)=0, NotFound, SUMIFS(allFYsTable[Actual], allFYsTable[Code], SummaryTable[[#This Row],[Code]], allFYsTable[year2], ER$3))</f>
        <v>#N/A</v>
      </c>
      <c r="EW182" s="61" t="e">
        <f>IF(COUNTIFS(allFYsTable[Code], SummaryTable[[#This Row],[Code]], allFYsTable[year2], ER$3)=0, NotFound, SUMIFS(allFYsTable[DiffAmount], allFYsTable[Code], SummaryTable[[#This Row],[Code]], allFYsTable[year2], ER$3))</f>
        <v>#N/A</v>
      </c>
      <c r="EX182" s="63" t="e">
        <f>IF(SummaryTable[[#This Row],[OriginalBudget08]]=0, IF(SummaryTable[[#This Row],[DiffAmount08]]=0, ZeroBudgetNoSpending, ZeroBudgetWithSpending), SummaryTable[[#This Row],[DiffAmount08]]/SummaryTable[[#This Row],[OriginalBudget08]])</f>
        <v>#N/A</v>
      </c>
      <c r="EY182" s="62">
        <f>IF(COUNTIFS(allFYsTable[Code], SummaryTable[[#This Row],[Code]], allFYsTable[year2], EY$3)=0, NotFound, SUMIFS(allFYsTable[OriginalBudget], allFYsTable[Code], SummaryTable[[#This Row],[Code]], allFYsTable[year2], EY$3))</f>
        <v>0</v>
      </c>
      <c r="EZ182" s="61">
        <f>SummaryTable[[#This Row],[OriginalBudget07]]-SummaryTable[[#This Row],[OriginalBudget06]]</f>
        <v>0</v>
      </c>
      <c r="FA182" s="54" t="e">
        <f>SummaryTable[[#This Row],[BudgetIncreaseAmount07]]/SummaryTable[[#This Row],[OriginalBudget06]]</f>
        <v>#DIV/0!</v>
      </c>
      <c r="FB182" s="61">
        <f>IF(COUNTIFS(allFYsTable[Code], SummaryTable[[#This Row],[Code]], allFYsTable[year2], EY$3)=0, NotFound, SUMIFS(allFYsTable[RevisedBudget], allFYsTable[Code], SummaryTable[[#This Row],[Code]], allFYsTable[year2], EY$3))</f>
        <v>0</v>
      </c>
      <c r="FC182" s="61">
        <f>IF(COUNTIFS(allFYsTable[Code], SummaryTable[[#This Row],[Code]], allFYsTable[year2], EY$3)=0, NotFound, SUMIFS(allFYsTable[Actual], allFYsTable[Code], SummaryTable[[#This Row],[Code]], allFYsTable[year2], EY$3))</f>
        <v>0</v>
      </c>
      <c r="FD182" s="61">
        <f>IF(COUNTIFS(allFYsTable[Code], SummaryTable[[#This Row],[Code]], allFYsTable[year2], EY$3)=0, NotFound, SUMIFS(allFYsTable[DiffAmount], allFYsTable[Code], SummaryTable[[#This Row],[Code]], allFYsTable[year2], EY$3))</f>
        <v>0</v>
      </c>
      <c r="FE182" s="63">
        <f>IF(SummaryTable[[#This Row],[OriginalBudget07]]=0, IF(SummaryTable[[#This Row],[DiffAmount07]]=0, ZeroBudgetNoSpending, ZeroBudgetWithSpending), SummaryTable[[#This Row],[DiffAmount07]]/SummaryTable[[#This Row],[OriginalBudget07]])</f>
        <v>0</v>
      </c>
      <c r="FF182" s="62">
        <f>IF(COUNTIFS(allFYsTable[Code], SummaryTable[[#This Row],[Code]], allFYsTable[year2], FF$3)=0, NotFound, SUMIFS(allFYsTable[OriginalBudget], allFYsTable[Code], SummaryTable[[#This Row],[Code]], allFYsTable[year2], FF$3))</f>
        <v>0</v>
      </c>
      <c r="FI182" s="61">
        <f>IF(COUNTIFS(allFYsTable[Code], SummaryTable[[#This Row],[Code]], allFYsTable[year2], FF$3)=0, NotFound, SUMIFS(allFYsTable[RevisedBudget], allFYsTable[Code], SummaryTable[[#This Row],[Code]], allFYsTable[year2], FF$3))</f>
        <v>0</v>
      </c>
      <c r="FJ182" s="61">
        <f>IF(COUNTIFS(allFYsTable[Code], SummaryTable[[#This Row],[Code]], allFYsTable[year2], FF$3)=0, NotFound, SUMIFS(allFYsTable[Actual], allFYsTable[Code], SummaryTable[[#This Row],[Code]], allFYsTable[year2], FF$3))</f>
        <v>0</v>
      </c>
      <c r="FK182" s="61">
        <f>IF(COUNTIFS(allFYsTable[Code], SummaryTable[[#This Row],[Code]], allFYsTable[year2], FF$3)=0, NotFound, SUMIFS(allFYsTable[DiffAmount], allFYsTable[Code], SummaryTable[[#This Row],[Code]], allFYsTable[year2], FF$3))</f>
        <v>0</v>
      </c>
      <c r="FL182" s="63">
        <f>IF(SummaryTable[[#This Row],[OriginalBudget06]]=0, IF(SummaryTable[[#This Row],[DiffAmount06]]=0, ZeroBudgetNoSpending, ZeroBudgetWithSpending), SummaryTable[[#This Row],[DiffAmount06]]/SummaryTable[[#This Row],[OriginalBudget06]])</f>
        <v>0</v>
      </c>
    </row>
    <row r="183" spans="1:168" x14ac:dyDescent="0.45">
      <c r="A183" t="s">
        <v>884</v>
      </c>
      <c r="B183">
        <f>_xlfn.MAXIFS(allFYsTable[year2], allFYsTable[Code], SummaryTable[[#This Row],[Code]])</f>
        <v>2007</v>
      </c>
      <c r="C183" t="str">
        <f>_xlfn.XLOOKUP(SummaryTable[[#This Row],[Code]], NameCodingTable[Code], NameCodingTable[Most Recent Category per allFYs])</f>
        <v>Human support services</v>
      </c>
      <c r="D183" t="str">
        <f>_xlfn.XLOOKUP(SummaryTable[[#This Row],[Code]], NameCodingTable[Code], NameCodingTable[Unit Display Name])</f>
        <v>Write off mental health receiveable</v>
      </c>
      <c r="E183" t="str">
        <f>_xlfn.XLOOKUP(SummaryTable[[#This Row],[Code]], NameCodingTable[Code], NameCodingTable[Type])</f>
        <v>untyped</v>
      </c>
      <c r="F183"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83"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83" s="54">
        <f>SummaryTable[[#This Row],['# Over]]/SummaryTable[[#This Row],[Count]]</f>
        <v>1</v>
      </c>
      <c r="I183"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83" s="54">
        <f>SummaryTable[[#This Row],['# Under]]/SummaryTable[[#This Row],[Count]]</f>
        <v>0</v>
      </c>
      <c r="K183"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83" s="54">
        <f>SummaryTable[[#This Row],['# Equal]]/SummaryTable[[#This Row],[Count]]</f>
        <v>0</v>
      </c>
      <c r="M183" s="61">
        <f>SUMIFS(allFYsTable[OriginalBudget],allFYsTable[Code],SummaryTable[[#This Row],[Code]])/SummaryTable[[#This Row],[Count]]</f>
        <v>0</v>
      </c>
      <c r="N183" s="61">
        <f>SUMIFS(allFYsTable[Actual],allFYsTable[Code],SummaryTable[[#This Row],[Code]])/SummaryTable[[#This Row],[Count]]</f>
        <v>6813</v>
      </c>
      <c r="O183" s="61">
        <f>SummaryTable[[#This Row],[AvgActAmt]]-SummaryTable[[#This Row],[AvgBudAmt]]</f>
        <v>6813</v>
      </c>
      <c r="P183" s="54">
        <f>IF(SummaryTable[[#This Row],[AvgBudAmt]]=0, IF(SummaryTable[[#This Row],[AvgDiff'#]]=0, 0, NamedFields!$C$3), SummaryTable[[#This Row],[AvgDiff'#]]/SummaryTable[[#This Row],[AvgBudAmt]])</f>
        <v>99.99</v>
      </c>
      <c r="Q183" s="61">
        <f>IFERROR(SUMIFS(allFYsTable[OriginalBudget],allFYsTable[Code],SummaryTable[[#This Row],[Code]],allFYsTable[DiffAmount], "&gt;0")/SummaryTable[[#This Row],['# Over]], 0)</f>
        <v>0</v>
      </c>
      <c r="R183" s="61">
        <f>IFERROR(SUMIFS(allFYsTable[Actual],allFYsTable[Code],SummaryTable[[#This Row],[Code]],allFYsTable[DiffAmount], "&gt;0")/SummaryTable[[#This Row],['# Over]], 0)</f>
        <v>6813</v>
      </c>
      <c r="S183" s="61">
        <f>SummaryTable[[#This Row],[OverAvgAct]]-SummaryTable[[#This Row],[OverAvgBud]]</f>
        <v>6813</v>
      </c>
      <c r="T183" s="54">
        <f>IF(SummaryTable[[#This Row],[OverAvgBud]]=0, IF(SummaryTable[[#This Row],[OverAvgDiff'#]]=0, ZeroBudgetNoSpending, ZeroBudgetWithSpending), SummaryTable[[#This Row],[OverAvgDiff'#]]/SummaryTable[[#This Row],[OverAvgBud]])</f>
        <v>99.99</v>
      </c>
      <c r="U183" s="61">
        <f>IFERROR(SUMIFS(allFYsTable[OriginalBudget],allFYsTable[Code],SummaryTable[[#This Row],[Code]],allFYsTable[DiffAmount], "&lt;0")/SummaryTable[[#This Row],['# Under]], 0)</f>
        <v>0</v>
      </c>
      <c r="V183" s="61">
        <f>IFERROR( SUMIFS(allFYsTable[Actual],allFYsTable[Code],SummaryTable[[#This Row],[Code]],allFYsTable[DiffAmount], "&lt;0")/SummaryTable[[#This Row],['# Under]], 0)</f>
        <v>0</v>
      </c>
      <c r="W183" s="61">
        <f>SummaryTable[[#This Row],[UnderAvgAct]]-SummaryTable[[#This Row],[UnderAvgBud]]</f>
        <v>0</v>
      </c>
      <c r="X183" s="54">
        <f>IF(SummaryTable[[#This Row],[UnderAvgBud]]=0, IF(SummaryTable[[#This Row],[UnderAvgDiff'#]]=0, ZeroBudgetNoSpending, NamedFields!$C$3), SummaryTable[[#This Row],[UnderAvgDiff'#]]/SummaryTable[[#This Row],[UnderAvgBud]])</f>
        <v>0</v>
      </c>
      <c r="Y183"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83"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3" s="54">
        <f>IF(SummaryTable[[#This Row],[IncreaseYears]]=0, ZeroBudgetNoSpending, SummaryTable[[#This Row],[OSinIncreaseYear'#]]/SummaryTable[[#This Row],[IncreaseYears]])</f>
        <v>0</v>
      </c>
      <c r="AB183" s="58" t="str">
        <f>SummaryTable[[#This Row],[Code]]</f>
        <v>XMH</v>
      </c>
      <c r="AC183" s="62" t="e">
        <f>IF(COUNTIFS(allFYsTable[Code], SummaryTable[[#This Row],[Code]], allFYsTable[year2], AC$3)=0, NotFound, SUMIFS(allFYsTable[OriginalBudget], allFYsTable[Code], SummaryTable[[#This Row],[Code]], allFYsTable[year2], AC$3))</f>
        <v>#N/A</v>
      </c>
      <c r="AD183" s="61" t="e">
        <f>SummaryTable[[#This Row],[OriginalBudget25]]-SummaryTable[[#This Row],[OriginalBudget24]]</f>
        <v>#N/A</v>
      </c>
      <c r="AE183" s="54" t="e">
        <f>SummaryTable[[#This Row],[BudgetIncreaseAmount25]]/SummaryTable[[#This Row],[OriginalBudget24]]</f>
        <v>#N/A</v>
      </c>
      <c r="AF183" s="61" t="e">
        <f>IF(COUNTIFS(allFYsTable[Code], SummaryTable[[#This Row],[Code]], allFYsTable[year2], AC$3)=0, NotFound, SUMIFS(allFYsTable[RevisedBudget], allFYsTable[Code], SummaryTable[[#This Row],[Code]], allFYsTable[year2], AC$3))</f>
        <v>#N/A</v>
      </c>
      <c r="AG183" s="61" t="e">
        <f>IF(COUNTIFS(allFYsTable[Code], SummaryTable[[#This Row],[Code]], allFYsTable[year2], AC$3)=0, NotFound, SUMIFS(allFYsTable[Actual], allFYsTable[Code], SummaryTable[[#This Row],[Code]], allFYsTable[year2], AC$3))</f>
        <v>#N/A</v>
      </c>
      <c r="AH183" s="61" t="e">
        <f>IF(COUNTIFS(allFYsTable[Code], SummaryTable[[#This Row],[Code]], allFYsTable[year2], AC$3)=0, NotFound, SUMIFS(allFYsTable[DiffAmount], allFYsTable[Code], SummaryTable[[#This Row],[Code]], allFYsTable[year2], AC$3))</f>
        <v>#N/A</v>
      </c>
      <c r="AI183" s="63" t="e">
        <f>IF(SummaryTable[[#This Row],[OriginalBudget25]]=0, IF(SummaryTable[[#This Row],[DiffAmount25]]=0, ZeroBudgetNoSpending, ZeroBudgetWithSpending), SummaryTable[[#This Row],[DiffAmount25]]/SummaryTable[[#This Row],[OriginalBudget25]])</f>
        <v>#N/A</v>
      </c>
      <c r="AJ183" s="62" t="e">
        <f>IF(COUNTIFS(allFYsTable[Code], SummaryTable[[#This Row],[Code]], allFYsTable[year2], AJ$3)=0, NotFound, SUMIFS(allFYsTable[OriginalBudget], allFYsTable[Code], SummaryTable[[#This Row],[Code]], allFYsTable[year2], AJ$3))</f>
        <v>#N/A</v>
      </c>
      <c r="AK183" s="61" t="e">
        <f>SummaryTable[[#This Row],[OriginalBudget24]]-SummaryTable[[#This Row],[OriginalBudget23]]</f>
        <v>#N/A</v>
      </c>
      <c r="AL183" s="54" t="e">
        <f>SummaryTable[[#This Row],[BudgetIncreaseAmount24]]/SummaryTable[[#This Row],[OriginalBudget23]]</f>
        <v>#N/A</v>
      </c>
      <c r="AM183" s="61" t="e">
        <f>IF(COUNTIFS(allFYsTable[Code], SummaryTable[[#This Row],[Code]], allFYsTable[year2], AK$3)=0, NotFound, SUMIFS(allFYsTable[RevisedBudget], allFYsTable[Code], SummaryTable[[#This Row],[Code]], allFYsTable[year2], AJ$3))</f>
        <v>#N/A</v>
      </c>
      <c r="AN183" s="61" t="e">
        <f>IF(COUNTIFS(allFYsTable[Code], SummaryTable[[#This Row],[Code]], allFYsTable[year2], AJ$3)=0, NotFound, SUMIFS(allFYsTable[Actual], allFYsTable[Code], SummaryTable[[#This Row],[Code]], allFYsTable[year2], AJ$3))</f>
        <v>#N/A</v>
      </c>
      <c r="AO183" s="61" t="e">
        <f>IF(COUNTIFS(allFYsTable[Code], SummaryTable[[#This Row],[Code]], allFYsTable[year2], AJ$3)=0, NotFound, SUMIFS(allFYsTable[DiffAmount], allFYsTable[Code], SummaryTable[[#This Row],[Code]], allFYsTable[year2], AJ$3))</f>
        <v>#N/A</v>
      </c>
      <c r="AP183" s="63" t="e">
        <f>IF(SummaryTable[[#This Row],[OriginalBudget24]]=0, IF(SummaryTable[[#This Row],[DiffAmount24]]=0, ZeroBudgetNoSpending, ZeroBudgetWithSpending), SummaryTable[[#This Row],[DiffAmount24]]/SummaryTable[[#This Row],[OriginalBudget24]])</f>
        <v>#N/A</v>
      </c>
      <c r="AQ183" s="62" t="e">
        <f>IF(COUNTIFS(allFYsTable[Code], SummaryTable[[#This Row],[Code]], allFYsTable[year2], AQ$3)=0, NotFound, SUMIFS(allFYsTable[OriginalBudget], allFYsTable[Code], SummaryTable[[#This Row],[Code]], allFYsTable[year2], AQ$3))</f>
        <v>#N/A</v>
      </c>
      <c r="AR183" s="61" t="e">
        <f>SummaryTable[[#This Row],[OriginalBudget23]]-SummaryTable[[#This Row],[OriginalBudget22]]</f>
        <v>#N/A</v>
      </c>
      <c r="AS183" s="54" t="e">
        <f>SummaryTable[[#This Row],[BudgetIncreaseAmount23]]/SummaryTable[[#This Row],[OriginalBudget22]]</f>
        <v>#N/A</v>
      </c>
      <c r="AT183" s="61" t="e">
        <f>IF(COUNTIFS(allFYsTable[Code], SummaryTable[[#This Row],[Code]], allFYsTable[year2], AQ$3)=0, NotFound, SUMIFS(allFYsTable[RevisedBudget], allFYsTable[Code], SummaryTable[[#This Row],[Code]], allFYsTable[year2], AQ$3))</f>
        <v>#N/A</v>
      </c>
      <c r="AU183" s="61" t="e">
        <f>IF(COUNTIFS(allFYsTable[Code], SummaryTable[[#This Row],[Code]], allFYsTable[year2], AQ$3)=0, NotFound, SUMIFS(allFYsTable[Actual], allFYsTable[Code], SummaryTable[[#This Row],[Code]], allFYsTable[year2], AQ$3))</f>
        <v>#N/A</v>
      </c>
      <c r="AV183" s="61" t="e">
        <f>IF(COUNTIFS(allFYsTable[Code], SummaryTable[[#This Row],[Code]], allFYsTable[year2], AQ$3)=0, NotFound, SUMIFS(allFYsTable[DiffAmount], allFYsTable[Code], SummaryTable[[#This Row],[Code]], allFYsTable[year2], AQ$3))</f>
        <v>#N/A</v>
      </c>
      <c r="AW183" s="63" t="e">
        <f>IF(SummaryTable[[#This Row],[OriginalBudget23]]=0, IF(SummaryTable[[#This Row],[DiffAmount23]]=0, ZeroBudgetNoSpending, ZeroBudgetWithSpending), SummaryTable[[#This Row],[DiffAmount23]]/SummaryTable[[#This Row],[OriginalBudget23]])</f>
        <v>#N/A</v>
      </c>
      <c r="AX183" s="62" t="e">
        <f>IF(COUNTIFS(allFYsTable[Code], SummaryTable[[#This Row],[Code]], allFYsTable[year2], AX$3)=0, NotFound, SUMIFS(allFYsTable[OriginalBudget], allFYsTable[Code], SummaryTable[[#This Row],[Code]], allFYsTable[year2], AX$3))</f>
        <v>#N/A</v>
      </c>
      <c r="AY183" s="61" t="e">
        <f>SummaryTable[[#This Row],[OriginalBudget22]]-SummaryTable[[#This Row],[OriginalBudget21]]</f>
        <v>#N/A</v>
      </c>
      <c r="AZ183" s="54" t="e">
        <f>SummaryTable[[#This Row],[BudgetIncreaseAmount22]]/SummaryTable[[#This Row],[OriginalBudget21]]</f>
        <v>#N/A</v>
      </c>
      <c r="BA183" s="61" t="e">
        <f>IF(COUNTIFS(allFYsTable[Code], SummaryTable[[#This Row],[Code]], allFYsTable[year2], AX$3)=0, NotFound, SUMIFS(allFYsTable[RevisedBudget], allFYsTable[Code], SummaryTable[[#This Row],[Code]], allFYsTable[year2], AX$3))</f>
        <v>#N/A</v>
      </c>
      <c r="BB183" s="61" t="e">
        <f>IF(COUNTIFS(allFYsTable[Code], SummaryTable[[#This Row],[Code]], allFYsTable[year2], AX$3)=0, NotFound, SUMIFS(allFYsTable[Actual], allFYsTable[Code], SummaryTable[[#This Row],[Code]], allFYsTable[year2], AX$3))</f>
        <v>#N/A</v>
      </c>
      <c r="BC183" s="61" t="e">
        <f>IF(COUNTIFS(allFYsTable[Code], SummaryTable[[#This Row],[Code]], allFYsTable[year2], AX$3)=0, NotFound, SUMIFS(allFYsTable[DiffAmount], allFYsTable[Code], SummaryTable[[#This Row],[Code]], allFYsTable[year2], AX$3))</f>
        <v>#N/A</v>
      </c>
      <c r="BD183" s="63" t="e">
        <f>IF(SummaryTable[[#This Row],[OriginalBudget22]]=0, IF(SummaryTable[[#This Row],[DiffAmount22]]=0, ZeroBudgetNoSpending, ZeroBudgetWithSpending), SummaryTable[[#This Row],[DiffAmount22]]/SummaryTable[[#This Row],[OriginalBudget22]])</f>
        <v>#N/A</v>
      </c>
      <c r="BE183" s="62" t="e">
        <f>IF(COUNTIFS(allFYsTable[Code], SummaryTable[[#This Row],[Code]], allFYsTable[year2], BE$3)=0, NotFound, SUMIFS(allFYsTable[OriginalBudget], allFYsTable[Code], SummaryTable[[#This Row],[Code]], allFYsTable[year2], BE$3))</f>
        <v>#N/A</v>
      </c>
      <c r="BF183" s="61" t="e">
        <f>SummaryTable[[#This Row],[OriginalBudget21]]-SummaryTable[[#This Row],[OriginalBudget20]]</f>
        <v>#N/A</v>
      </c>
      <c r="BG183" s="54" t="e">
        <f>SummaryTable[[#This Row],[BudgetIncreaseAmount21]]/SummaryTable[[#This Row],[OriginalBudget20]]</f>
        <v>#N/A</v>
      </c>
      <c r="BH183" s="61" t="e">
        <f>IF(COUNTIFS(allFYsTable[Code], SummaryTable[[#This Row],[Code]], allFYsTable[year2], BE$3)=0, NotFound, SUMIFS(allFYsTable[RevisedBudget], allFYsTable[Code], SummaryTable[[#This Row],[Code]], allFYsTable[year2], BE$3))</f>
        <v>#N/A</v>
      </c>
      <c r="BI183" s="61" t="e">
        <f>IF(COUNTIFS(allFYsTable[Code], SummaryTable[[#This Row],[Code]], allFYsTable[year2], BE$3)=0, NotFound, SUMIFS(allFYsTable[Actual], allFYsTable[Code], SummaryTable[[#This Row],[Code]], allFYsTable[year2], BE$3))</f>
        <v>#N/A</v>
      </c>
      <c r="BJ183" s="61" t="e">
        <f>IF(COUNTIFS(allFYsTable[Code], SummaryTable[[#This Row],[Code]], allFYsTable[year2], BE$3)=0, NotFound, SUMIFS(allFYsTable[DiffAmount], allFYsTable[Code], SummaryTable[[#This Row],[Code]], allFYsTable[year2], BE$3))</f>
        <v>#N/A</v>
      </c>
      <c r="BK183" s="63" t="e">
        <f>IF(SummaryTable[[#This Row],[OriginalBudget21]]=0, IF(SummaryTable[[#This Row],[DiffAmount21]]=0, ZeroBudgetNoSpending, ZeroBudgetWithSpending), SummaryTable[[#This Row],[DiffAmount21]]/SummaryTable[[#This Row],[OriginalBudget21]])</f>
        <v>#N/A</v>
      </c>
      <c r="BL183" s="62" t="e">
        <f>IF(COUNTIFS(allFYsTable[Code], SummaryTable[[#This Row],[Code]], allFYsTable[year2], BL$3)=0, NotFound, SUMIFS(allFYsTable[OriginalBudget], allFYsTable[Code], SummaryTable[[#This Row],[Code]], allFYsTable[year2], BL$3))</f>
        <v>#N/A</v>
      </c>
      <c r="BM183" s="61" t="e">
        <f>SummaryTable[[#This Row],[OriginalBudget20]]-SummaryTable[[#This Row],[OriginalBudget19]]</f>
        <v>#N/A</v>
      </c>
      <c r="BN183" s="54" t="e">
        <f>SummaryTable[[#This Row],[BudgetIncreaseAmount20]]/SummaryTable[[#This Row],[OriginalBudget19]]</f>
        <v>#N/A</v>
      </c>
      <c r="BO183" s="61" t="e">
        <f>IF(COUNTIFS(allFYsTable[Code], SummaryTable[[#This Row],[Code]], allFYsTable[year2], BL$3)=0, NotFound, SUMIFS(allFYsTable[RevisedBudget], allFYsTable[Code], SummaryTable[[#This Row],[Code]], allFYsTable[year2], BL$3))</f>
        <v>#N/A</v>
      </c>
      <c r="BP183" s="61" t="e">
        <f>IF(COUNTIFS(allFYsTable[Code], SummaryTable[[#This Row],[Code]], allFYsTable[year2], BL$3)=0, NotFound, SUMIFS(allFYsTable[Actual], allFYsTable[Code], SummaryTable[[#This Row],[Code]], allFYsTable[year2], BL$3))</f>
        <v>#N/A</v>
      </c>
      <c r="BQ183" s="61" t="e">
        <f>IF(COUNTIFS(allFYsTable[Code], SummaryTable[[#This Row],[Code]], allFYsTable[year2], BL$3)=0, NotFound, SUMIFS(allFYsTable[DiffAmount], allFYsTable[Code], SummaryTable[[#This Row],[Code]], allFYsTable[year2], BL$3))</f>
        <v>#N/A</v>
      </c>
      <c r="BR183" s="63" t="e">
        <f>IF(SummaryTable[[#This Row],[OriginalBudget20]]=0, IF(SummaryTable[[#This Row],[DiffAmount20]]=0, ZeroBudgetNoSpending, ZeroBudgetWithSpending), SummaryTable[[#This Row],[DiffAmount20]]/SummaryTable[[#This Row],[OriginalBudget20]])</f>
        <v>#N/A</v>
      </c>
      <c r="BS183" s="62" t="e">
        <f>IF(COUNTIFS(allFYsTable[Code], SummaryTable[[#This Row],[Code]], allFYsTable[year2], BS$3)=0, NotFound, SUMIFS(allFYsTable[OriginalBudget], allFYsTable[Code], SummaryTable[[#This Row],[Code]], allFYsTable[year2], BS$3))</f>
        <v>#N/A</v>
      </c>
      <c r="BT183" s="61" t="e">
        <f>SummaryTable[[#This Row],[OriginalBudget19]]-SummaryTable[[#This Row],[OriginalBudget18]]</f>
        <v>#N/A</v>
      </c>
      <c r="BU183" s="54" t="e">
        <f>SummaryTable[[#This Row],[BudgetIncreaseAmount19]]/SummaryTable[[#This Row],[OriginalBudget18]]</f>
        <v>#N/A</v>
      </c>
      <c r="BV183" s="61" t="e">
        <f>IF(COUNTIFS(allFYsTable[Code], SummaryTable[[#This Row],[Code]], allFYsTable[year2], BS$3)=0, NotFound, SUMIFS(allFYsTable[RevisedBudget], allFYsTable[Code], SummaryTable[[#This Row],[Code]], allFYsTable[year2], BS$3))</f>
        <v>#N/A</v>
      </c>
      <c r="BW183" s="61" t="e">
        <f>IF(COUNTIFS(allFYsTable[Code], SummaryTable[[#This Row],[Code]], allFYsTable[year2], BS$3)=0, NotFound, SUMIFS(allFYsTable[Actual], allFYsTable[Code], SummaryTable[[#This Row],[Code]], allFYsTable[year2], BS$3))</f>
        <v>#N/A</v>
      </c>
      <c r="BX183" s="61" t="e">
        <f>IF(COUNTIFS(allFYsTable[Code], SummaryTable[[#This Row],[Code]], allFYsTable[year2], BS$3)=0, NotFound, SUMIFS(allFYsTable[DiffAmount], allFYsTable[Code], SummaryTable[[#This Row],[Code]], allFYsTable[year2], BS$3))</f>
        <v>#N/A</v>
      </c>
      <c r="BY183" s="63" t="e">
        <f>IF(SummaryTable[[#This Row],[OriginalBudget19]]=0, IF(SummaryTable[[#This Row],[DiffAmount19]]=0, ZeroBudgetNoSpending, ZeroBudgetWithSpending), SummaryTable[[#This Row],[DiffAmount19]]/SummaryTable[[#This Row],[OriginalBudget19]])</f>
        <v>#N/A</v>
      </c>
      <c r="BZ183" s="62" t="e">
        <f>IF(COUNTIFS(allFYsTable[Code], SummaryTable[[#This Row],[Code]], allFYsTable[year2], BZ$3)=0, NotFound, SUMIFS(allFYsTable[OriginalBudget], allFYsTable[Code], SummaryTable[[#This Row],[Code]], allFYsTable[year2], BZ$3))</f>
        <v>#N/A</v>
      </c>
      <c r="CA183" s="61" t="e">
        <f>SummaryTable[[#This Row],[OriginalBudget18]]-SummaryTable[[#This Row],[OriginalBudget17]]</f>
        <v>#N/A</v>
      </c>
      <c r="CB183" s="54" t="e">
        <f>SummaryTable[[#This Row],[BudgetIncreaseAmount18]]/SummaryTable[[#This Row],[OriginalBudget17]]</f>
        <v>#N/A</v>
      </c>
      <c r="CC183" s="61" t="e">
        <f>IF(COUNTIFS(allFYsTable[Code], SummaryTable[[#This Row],[Code]], allFYsTable[year2], BZ$3)=0, NotFound, SUMIFS(allFYsTable[RevisedBudget], allFYsTable[Code], SummaryTable[[#This Row],[Code]], allFYsTable[year2], BZ$3))</f>
        <v>#N/A</v>
      </c>
      <c r="CD183" s="61" t="e">
        <f>IF(COUNTIFS(allFYsTable[Code], SummaryTable[[#This Row],[Code]], allFYsTable[year2], BZ$3)=0, NotFound, SUMIFS(allFYsTable[Actual], allFYsTable[Code], SummaryTable[[#This Row],[Code]], allFYsTable[year2], BZ$3))</f>
        <v>#N/A</v>
      </c>
      <c r="CE183" s="61" t="e">
        <f>IF(COUNTIFS(allFYsTable[Code], SummaryTable[[#This Row],[Code]], allFYsTable[year2], BZ$3)=0, NotFound, SUMIFS(allFYsTable[DiffAmount], allFYsTable[Code], SummaryTable[[#This Row],[Code]], allFYsTable[year2], BZ$3))</f>
        <v>#N/A</v>
      </c>
      <c r="CF183" s="63" t="e">
        <f>IF(SummaryTable[[#This Row],[OriginalBudget18]]=0, IF(SummaryTable[[#This Row],[DiffAmount18]]=0, ZeroBudgetNoSpending, ZeroBudgetWithSpending), SummaryTable[[#This Row],[DiffAmount18]]/SummaryTable[[#This Row],[OriginalBudget18]])</f>
        <v>#N/A</v>
      </c>
      <c r="CG183" s="62" t="e">
        <f>IF(COUNTIFS(allFYsTable[Code], SummaryTable[[#This Row],[Code]], allFYsTable[year2], CG$3)=0, NotFound, SUMIFS(allFYsTable[OriginalBudget], allFYsTable[Code], SummaryTable[[#This Row],[Code]], allFYsTable[year2], CG$3))</f>
        <v>#N/A</v>
      </c>
      <c r="CH183" s="61" t="e">
        <f>SummaryTable[[#This Row],[OriginalBudget17]]-SummaryTable[[#This Row],[OriginalBudget16]]</f>
        <v>#N/A</v>
      </c>
      <c r="CI183" s="54" t="e">
        <f>SummaryTable[[#This Row],[BudgetIncreaseAmount17]]/SummaryTable[[#This Row],[OriginalBudget16]]</f>
        <v>#N/A</v>
      </c>
      <c r="CJ183" s="61" t="e">
        <f>IF(COUNTIFS(allFYsTable[Code], SummaryTable[[#This Row],[Code]], allFYsTable[year2], CG$3)=0, NotFound, SUMIFS(allFYsTable[RevisedBudget], allFYsTable[Code], SummaryTable[[#This Row],[Code]], allFYsTable[year2], CG$3))</f>
        <v>#N/A</v>
      </c>
      <c r="CK183" s="61" t="e">
        <f>IF(COUNTIFS(allFYsTable[Code], SummaryTable[[#This Row],[Code]], allFYsTable[year2], CG$3)=0, NotFound, SUMIFS(allFYsTable[Actual], allFYsTable[Code], SummaryTable[[#This Row],[Code]], allFYsTable[year2], CG$3))</f>
        <v>#N/A</v>
      </c>
      <c r="CL183" s="61" t="e">
        <f>IF(COUNTIFS(allFYsTable[Code], SummaryTable[[#This Row],[Code]], allFYsTable[year2], CG$3)=0, NotFound, SUMIFS(allFYsTable[DiffAmount], allFYsTable[Code], SummaryTable[[#This Row],[Code]], allFYsTable[year2], CG$3))</f>
        <v>#N/A</v>
      </c>
      <c r="CM183" s="63" t="e">
        <f>IF(SummaryTable[[#This Row],[OriginalBudget17]]=0, IF(SummaryTable[[#This Row],[DiffAmount17]]=0, ZeroBudgetNoSpending, ZeroBudgetWithSpending), SummaryTable[[#This Row],[DiffAmount17]]/SummaryTable[[#This Row],[OriginalBudget17]])</f>
        <v>#N/A</v>
      </c>
      <c r="CN183" s="62" t="e">
        <f>IF(COUNTIFS(allFYsTable[Code], SummaryTable[[#This Row],[Code]], allFYsTable[year2], CN$3)=0, NotFound, SUMIFS(allFYsTable[OriginalBudget], allFYsTable[Code], SummaryTable[[#This Row],[Code]], allFYsTable[year2], CN$3))</f>
        <v>#N/A</v>
      </c>
      <c r="CO183" s="61" t="e">
        <f>SummaryTable[[#This Row],[OriginalBudget16]]-SummaryTable[[#This Row],[OriginalBudget15]]</f>
        <v>#N/A</v>
      </c>
      <c r="CP183" s="54" t="e">
        <f>SummaryTable[[#This Row],[BudgetIncreaseAmount16]]/SummaryTable[[#This Row],[OriginalBudget15]]</f>
        <v>#N/A</v>
      </c>
      <c r="CQ183" s="61" t="e">
        <f>IF(COUNTIFS(allFYsTable[Code], SummaryTable[[#This Row],[Code]], allFYsTable[year2], CN$3)=0, NotFound, SUMIFS(allFYsTable[RevisedBudget], allFYsTable[Code], SummaryTable[[#This Row],[Code]], allFYsTable[year2], CN$3))</f>
        <v>#N/A</v>
      </c>
      <c r="CR183" s="61" t="e">
        <f>IF(COUNTIFS(allFYsTable[Code], SummaryTable[[#This Row],[Code]], allFYsTable[year2], CN$3)=0, NotFound, SUMIFS(allFYsTable[Actual], allFYsTable[Code], SummaryTable[[#This Row],[Code]], allFYsTable[year2], CN$3))</f>
        <v>#N/A</v>
      </c>
      <c r="CS183" s="61" t="e">
        <f>IF(COUNTIFS(allFYsTable[Code], SummaryTable[[#This Row],[Code]], allFYsTable[year2], CN$3)=0, NotFound, SUMIFS(allFYsTable[DiffAmount], allFYsTable[Code], SummaryTable[[#This Row],[Code]], allFYsTable[year2], CN$3))</f>
        <v>#N/A</v>
      </c>
      <c r="CT183" s="63" t="e">
        <f>IF(SummaryTable[[#This Row],[OriginalBudget16]]=0, IF(SummaryTable[[#This Row],[DiffAmount16]]=0, ZeroBudgetNoSpending, ZeroBudgetWithSpending), SummaryTable[[#This Row],[DiffAmount16]]/SummaryTable[[#This Row],[OriginalBudget16]])</f>
        <v>#N/A</v>
      </c>
      <c r="CU183" s="62" t="e">
        <f>IF(COUNTIFS(allFYsTable[Code], SummaryTable[[#This Row],[Code]], allFYsTable[year2], CU$3)=0, NotFound, SUMIFS(allFYsTable[OriginalBudget], allFYsTable[Code], SummaryTable[[#This Row],[Code]], allFYsTable[year2], CU$3))</f>
        <v>#N/A</v>
      </c>
      <c r="CV183" s="61" t="e">
        <f>SummaryTable[[#This Row],[OriginalBudget15]]-SummaryTable[[#This Row],[OriginalBudget14]]</f>
        <v>#N/A</v>
      </c>
      <c r="CW183" s="54" t="e">
        <f>SummaryTable[[#This Row],[BudgetIncreaseAmount15]]/SummaryTable[[#This Row],[OriginalBudget14]]</f>
        <v>#N/A</v>
      </c>
      <c r="CX183" s="61" t="e">
        <f>IF(COUNTIFS(allFYsTable[Code], SummaryTable[[#This Row],[Code]], allFYsTable[year2], CU$3)=0, NotFound, SUMIFS(allFYsTable[RevisedBudget], allFYsTable[Code], SummaryTable[[#This Row],[Code]], allFYsTable[year2], CU$3))</f>
        <v>#N/A</v>
      </c>
      <c r="CY183" s="61" t="e">
        <f>IF(COUNTIFS(allFYsTable[Code], SummaryTable[[#This Row],[Code]], allFYsTable[year2], CU$3)=0, NotFound, SUMIFS(allFYsTable[Actual], allFYsTable[Code], SummaryTable[[#This Row],[Code]], allFYsTable[year2], CU$3))</f>
        <v>#N/A</v>
      </c>
      <c r="CZ183" s="61" t="e">
        <f>IF(COUNTIFS(allFYsTable[Code], SummaryTable[[#This Row],[Code]], allFYsTable[year2], CU$3)=0, NotFound, SUMIFS(allFYsTable[DiffAmount], allFYsTable[Code], SummaryTable[[#This Row],[Code]], allFYsTable[year2], CU$3))</f>
        <v>#N/A</v>
      </c>
      <c r="DA183" s="63" t="e">
        <f>IF(SummaryTable[[#This Row],[OriginalBudget15]]=0, IF(SummaryTable[[#This Row],[DiffAmount15]]=0, ZeroBudgetNoSpending, ZeroBudgetWithSpending), SummaryTable[[#This Row],[DiffAmount15]]/SummaryTable[[#This Row],[OriginalBudget15]])</f>
        <v>#N/A</v>
      </c>
      <c r="DB183" s="62" t="e">
        <f>IF(COUNTIFS(allFYsTable[Code], SummaryTable[[#This Row],[Code]], allFYsTable[year2], DB$3)=0, NotFound, SUMIFS(allFYsTable[OriginalBudget], allFYsTable[Code], SummaryTable[[#This Row],[Code]], allFYsTable[year2], DB$3))</f>
        <v>#N/A</v>
      </c>
      <c r="DC183" s="61" t="e">
        <f>SummaryTable[[#This Row],[OriginalBudget14]]-SummaryTable[[#This Row],[OriginalBudget13]]</f>
        <v>#N/A</v>
      </c>
      <c r="DD183" s="54" t="e">
        <f>SummaryTable[[#This Row],[BudgetIncreaseAmount14]]/SummaryTable[[#This Row],[OriginalBudget13]]</f>
        <v>#N/A</v>
      </c>
      <c r="DE183" s="61" t="e">
        <f>IF(COUNTIFS(allFYsTable[Code], SummaryTable[[#This Row],[Code]], allFYsTable[year2], DB$3)=0, NotFound, SUMIFS(allFYsTable[RevisedBudget], allFYsTable[Code], SummaryTable[[#This Row],[Code]], allFYsTable[year2], DB$3))</f>
        <v>#N/A</v>
      </c>
      <c r="DF183" s="61" t="e">
        <f>IF(COUNTIFS(allFYsTable[Code], SummaryTable[[#This Row],[Code]], allFYsTable[year2], DB$3)=0, NotFound, SUMIFS(allFYsTable[Actual], allFYsTable[Code], SummaryTable[[#This Row],[Code]], allFYsTable[year2], DB$3))</f>
        <v>#N/A</v>
      </c>
      <c r="DG183" s="61" t="e">
        <f>IF(COUNTIFS(allFYsTable[Code], SummaryTable[[#This Row],[Code]], allFYsTable[year2], DB$3)=0, NotFound, SUMIFS(allFYsTable[DiffAmount], allFYsTable[Code], SummaryTable[[#This Row],[Code]], allFYsTable[year2], DB$3))</f>
        <v>#N/A</v>
      </c>
      <c r="DH183" s="63" t="e">
        <f>IF(SummaryTable[[#This Row],[OriginalBudget14]]=0, IF(SummaryTable[[#This Row],[DiffAmount14]]=0, ZeroBudgetNoSpending, ZeroBudgetWithSpending), SummaryTable[[#This Row],[DiffAmount14]]/SummaryTable[[#This Row],[OriginalBudget14]])</f>
        <v>#N/A</v>
      </c>
      <c r="DI183" s="62" t="e">
        <f>IF(COUNTIFS(allFYsTable[Code], SummaryTable[[#This Row],[Code]], allFYsTable[year2], DI$3)=0, NotFound, SUMIFS(allFYsTable[OriginalBudget], allFYsTable[Code], SummaryTable[[#This Row],[Code]], allFYsTable[year2], DI$3))</f>
        <v>#N/A</v>
      </c>
      <c r="DJ183" s="61" t="e">
        <f>SummaryTable[[#This Row],[OriginalBudget13]]-SummaryTable[[#This Row],[OriginalBudget12]]</f>
        <v>#N/A</v>
      </c>
      <c r="DK183" s="54" t="e">
        <f>SummaryTable[[#This Row],[BudgetIncreaseAmount13]]/SummaryTable[[#This Row],[OriginalBudget12]]</f>
        <v>#N/A</v>
      </c>
      <c r="DL183" s="61" t="e">
        <f>IF(COUNTIFS(allFYsTable[Code], SummaryTable[[#This Row],[Code]], allFYsTable[year2], DI$3)=0, NotFound, SUMIFS(allFYsTable[RevisedBudget], allFYsTable[Code], SummaryTable[[#This Row],[Code]], allFYsTable[year2], DI$3))</f>
        <v>#N/A</v>
      </c>
      <c r="DM183" s="61" t="e">
        <f>IF(COUNTIFS(allFYsTable[Code], SummaryTable[[#This Row],[Code]], allFYsTable[year2], DI$3)=0, NotFound, SUMIFS(allFYsTable[Actual], allFYsTable[Code], SummaryTable[[#This Row],[Code]], allFYsTable[year2], DI$3))</f>
        <v>#N/A</v>
      </c>
      <c r="DN183" s="61" t="e">
        <f>IF(COUNTIFS(allFYsTable[Code], SummaryTable[[#This Row],[Code]], allFYsTable[year2], DI$3)=0, NotFound, SUMIFS(allFYsTable[DiffAmount], allFYsTable[Code], SummaryTable[[#This Row],[Code]], allFYsTable[year2], DI$3))</f>
        <v>#N/A</v>
      </c>
      <c r="DO183" s="63" t="e">
        <f>IF(SummaryTable[[#This Row],[OriginalBudget13]]=0, IF(SummaryTable[[#This Row],[DiffAmount13]]=0, ZeroBudgetNoSpending, ZeroBudgetWithSpending), SummaryTable[[#This Row],[DiffAmount13]]/SummaryTable[[#This Row],[OriginalBudget13]])</f>
        <v>#N/A</v>
      </c>
      <c r="DP183" s="62" t="e">
        <f>IF(COUNTIFS(allFYsTable[Code], SummaryTable[[#This Row],[Code]], allFYsTable[year2], DP$3)=0, NotFound, SUMIFS(allFYsTable[OriginalBudget], allFYsTable[Code], SummaryTable[[#This Row],[Code]], allFYsTable[year2], DP$3))</f>
        <v>#N/A</v>
      </c>
      <c r="DQ183" s="61" t="e">
        <f>SummaryTable[[#This Row],[OriginalBudget12]]-SummaryTable[[#This Row],[OriginalBudget11]]</f>
        <v>#N/A</v>
      </c>
      <c r="DR183" s="54" t="e">
        <f>SummaryTable[[#This Row],[BudgetIncreaseAmount12]]/SummaryTable[[#This Row],[OriginalBudget11]]</f>
        <v>#N/A</v>
      </c>
      <c r="DS183" s="61" t="e">
        <f>IF(COUNTIFS(allFYsTable[Code], SummaryTable[[#This Row],[Code]], allFYsTable[year2], DP$3)=0, NotFound, SUMIFS(allFYsTable[RevisedBudget], allFYsTable[Code], SummaryTable[[#This Row],[Code]], allFYsTable[year2], DP$3))</f>
        <v>#N/A</v>
      </c>
      <c r="DT183" s="61" t="e">
        <f>IF(COUNTIFS(allFYsTable[Code], SummaryTable[[#This Row],[Code]], allFYsTable[year2], DP$3)=0, NotFound, SUMIFS(allFYsTable[Actual], allFYsTable[Code], SummaryTable[[#This Row],[Code]], allFYsTable[year2], DP$3))</f>
        <v>#N/A</v>
      </c>
      <c r="DU183" s="61" t="e">
        <f>IF(COUNTIFS(allFYsTable[Code], SummaryTable[[#This Row],[Code]], allFYsTable[year2], DP$3)=0, NotFound, SUMIFS(allFYsTable[DiffAmount], allFYsTable[Code], SummaryTable[[#This Row],[Code]], allFYsTable[year2], DP$3))</f>
        <v>#N/A</v>
      </c>
      <c r="DV183" s="63" t="e">
        <f>IF(SummaryTable[[#This Row],[OriginalBudget12]]=0, IF(SummaryTable[[#This Row],[DiffAmount12]]=0, ZeroBudgetNoSpending, ZeroBudgetWithSpending), SummaryTable[[#This Row],[DiffAmount12]]/SummaryTable[[#This Row],[OriginalBudget12]])</f>
        <v>#N/A</v>
      </c>
      <c r="DW183" s="62" t="e">
        <f>IF(COUNTIFS(allFYsTable[Code], SummaryTable[[#This Row],[Code]], allFYsTable[year2], DW$3)=0, NotFound, SUMIFS(allFYsTable[OriginalBudget], allFYsTable[Code], SummaryTable[[#This Row],[Code]], allFYsTable[year2], DW$3))</f>
        <v>#N/A</v>
      </c>
      <c r="DX183" s="61" t="e">
        <f>SummaryTable[[#This Row],[OriginalBudget11]]-SummaryTable[[#This Row],[OriginalBudget10]]</f>
        <v>#N/A</v>
      </c>
      <c r="DY183" s="54" t="e">
        <f>SummaryTable[[#This Row],[BudgetIncreaseAmount11]]/SummaryTable[[#This Row],[OriginalBudget10]]</f>
        <v>#N/A</v>
      </c>
      <c r="DZ183" s="61" t="e">
        <f>IF(COUNTIFS(allFYsTable[Code], SummaryTable[[#This Row],[Code]], allFYsTable[year2], DW$3)=0, NotFound, SUMIFS(allFYsTable[RevisedBudget], allFYsTable[Code], SummaryTable[[#This Row],[Code]], allFYsTable[year2], DW$3))</f>
        <v>#N/A</v>
      </c>
      <c r="EA183" s="61" t="e">
        <f>IF(COUNTIFS(allFYsTable[Code], SummaryTable[[#This Row],[Code]], allFYsTable[year2], DW$3)=0, NotFound, SUMIFS(allFYsTable[Actual], allFYsTable[Code], SummaryTable[[#This Row],[Code]], allFYsTable[year2], DW$3))</f>
        <v>#N/A</v>
      </c>
      <c r="EB183" s="61" t="e">
        <f>IF(COUNTIFS(allFYsTable[Code], SummaryTable[[#This Row],[Code]], allFYsTable[year2], DW$3)=0, NotFound, SUMIFS(allFYsTable[DiffAmount], allFYsTable[Code], SummaryTable[[#This Row],[Code]], allFYsTable[year2], DW$3))</f>
        <v>#N/A</v>
      </c>
      <c r="EC183" s="63" t="e">
        <f>IF(SummaryTable[[#This Row],[OriginalBudget11]]=0, IF(SummaryTable[[#This Row],[DiffAmount11]]=0, ZeroBudgetNoSpending, ZeroBudgetWithSpending), SummaryTable[[#This Row],[DiffAmount11]]/SummaryTable[[#This Row],[OriginalBudget11]])</f>
        <v>#N/A</v>
      </c>
      <c r="ED183" s="62" t="e">
        <f>IF(COUNTIFS(allFYsTable[Code], SummaryTable[[#This Row],[Code]], allFYsTable[year2], ED$3)=0, NotFound, SUMIFS(allFYsTable[OriginalBudget], allFYsTable[Code], SummaryTable[[#This Row],[Code]], allFYsTable[year2], ED$3))</f>
        <v>#N/A</v>
      </c>
      <c r="EE183" s="61" t="e">
        <f>SummaryTable[[#This Row],[OriginalBudget10]]-SummaryTable[[#This Row],[OriginalBudget09]]</f>
        <v>#N/A</v>
      </c>
      <c r="EF183" s="54" t="e">
        <f>SummaryTable[[#This Row],[BudgetIncreaseAmount10]]/SummaryTable[[#This Row],[OriginalBudget09]]</f>
        <v>#N/A</v>
      </c>
      <c r="EG183" s="61" t="e">
        <f>IF(COUNTIFS(allFYsTable[Code], SummaryTable[[#This Row],[Code]], allFYsTable[year2], ED$3)=0, NotFound, SUMIFS(allFYsTable[RevisedBudget], allFYsTable[Code], SummaryTable[[#This Row],[Code]], allFYsTable[year2], ED$3))</f>
        <v>#N/A</v>
      </c>
      <c r="EH183" s="61" t="e">
        <f>IF(COUNTIFS(allFYsTable[Code], SummaryTable[[#This Row],[Code]], allFYsTable[year2], ED$3)=0, NotFound, SUMIFS(allFYsTable[Actual], allFYsTable[Code], SummaryTable[[#This Row],[Code]], allFYsTable[year2], ED$3))</f>
        <v>#N/A</v>
      </c>
      <c r="EI183" s="61" t="e">
        <f>IF(COUNTIFS(allFYsTable[Code], SummaryTable[[#This Row],[Code]], allFYsTable[year2], ED$3)=0, NotFound, SUMIFS(allFYsTable[DiffAmount], allFYsTable[Code], SummaryTable[[#This Row],[Code]], allFYsTable[year2], ED$3))</f>
        <v>#N/A</v>
      </c>
      <c r="EJ183" s="63" t="e">
        <f>IF(SummaryTable[[#This Row],[OriginalBudget10]]=0, IF(SummaryTable[[#This Row],[DiffAmount10]]=0, ZeroBudgetNoSpending, ZeroBudgetWithSpending), SummaryTable[[#This Row],[DiffAmount10]]/SummaryTable[[#This Row],[OriginalBudget10]])</f>
        <v>#N/A</v>
      </c>
      <c r="EK183" s="62" t="e">
        <f>IF(COUNTIFS(allFYsTable[Code], SummaryTable[[#This Row],[Code]], allFYsTable[year2], EK$3)=0, NotFound, SUMIFS(allFYsTable[OriginalBudget], allFYsTable[Code], SummaryTable[[#This Row],[Code]], allFYsTable[year2], EK$3))</f>
        <v>#N/A</v>
      </c>
      <c r="EL183" s="61" t="e">
        <f>SummaryTable[[#This Row],[OriginalBudget09]]-SummaryTable[[#This Row],[OriginalBudget08]]</f>
        <v>#N/A</v>
      </c>
      <c r="EM183" s="54" t="e">
        <f>SummaryTable[[#This Row],[BudgetIncreaseAmount09]]/SummaryTable[[#This Row],[OriginalBudget08]]</f>
        <v>#N/A</v>
      </c>
      <c r="EN183" s="61" t="e">
        <f>IF(COUNTIFS(allFYsTable[Code], SummaryTable[[#This Row],[Code]], allFYsTable[year2], EK$3)=0, NotFound, SUMIFS(allFYsTable[RevisedBudget], allFYsTable[Code], SummaryTable[[#This Row],[Code]], allFYsTable[year2], EK$3))</f>
        <v>#N/A</v>
      </c>
      <c r="EO183" s="61" t="e">
        <f>IF(COUNTIFS(allFYsTable[Code], SummaryTable[[#This Row],[Code]], allFYsTable[year2], EK$3)=0, NotFound, SUMIFS(allFYsTable[Actual], allFYsTable[Code], SummaryTable[[#This Row],[Code]], allFYsTable[year2], EK$3))</f>
        <v>#N/A</v>
      </c>
      <c r="EP183" s="61" t="e">
        <f>IF(COUNTIFS(allFYsTable[Code], SummaryTable[[#This Row],[Code]], allFYsTable[year2], EK$3)=0, NotFound, SUMIFS(allFYsTable[DiffAmount], allFYsTable[Code], SummaryTable[[#This Row],[Code]], allFYsTable[year2], EK$3))</f>
        <v>#N/A</v>
      </c>
      <c r="EQ183" s="63" t="e">
        <f>IF(SummaryTable[[#This Row],[OriginalBudget09]]=0, IF(SummaryTable[[#This Row],[DiffAmount09]]=0, ZeroBudgetNoSpending, ZeroBudgetWithSpending), SummaryTable[[#This Row],[DiffAmount09]]/SummaryTable[[#This Row],[OriginalBudget09]])</f>
        <v>#N/A</v>
      </c>
      <c r="ER183" s="62" t="e">
        <f>IF(COUNTIFS(allFYsTable[Code], SummaryTable[[#This Row],[Code]], allFYsTable[year2], ER$3)=0, NotFound, SUMIFS(allFYsTable[OriginalBudget], allFYsTable[Code], SummaryTable[[#This Row],[Code]], allFYsTable[year2], ER$3))</f>
        <v>#N/A</v>
      </c>
      <c r="ES183" s="61" t="e">
        <f>SummaryTable[[#This Row],[OriginalBudget08]]-SummaryTable[[#This Row],[OriginalBudget07]]</f>
        <v>#N/A</v>
      </c>
      <c r="ET183" s="54" t="e">
        <f>SummaryTable[[#This Row],[BudgetIncreaseAmount08]]/SummaryTable[[#This Row],[OriginalBudget07]]</f>
        <v>#N/A</v>
      </c>
      <c r="EU183" s="61" t="e">
        <f>IF(COUNTIFS(allFYsTable[Code], SummaryTable[[#This Row],[Code]], allFYsTable[year2], ER$3)=0, NotFound, SUMIFS(allFYsTable[RevisedBudget], allFYsTable[Code], SummaryTable[[#This Row],[Code]], allFYsTable[year2], ER$3))</f>
        <v>#N/A</v>
      </c>
      <c r="EV183" s="61" t="e">
        <f>IF(COUNTIFS(allFYsTable[Code], SummaryTable[[#This Row],[Code]], allFYsTable[year2], ER$3)=0, NotFound, SUMIFS(allFYsTable[Actual], allFYsTable[Code], SummaryTable[[#This Row],[Code]], allFYsTable[year2], ER$3))</f>
        <v>#N/A</v>
      </c>
      <c r="EW183" s="61" t="e">
        <f>IF(COUNTIFS(allFYsTable[Code], SummaryTable[[#This Row],[Code]], allFYsTable[year2], ER$3)=0, NotFound, SUMIFS(allFYsTable[DiffAmount], allFYsTable[Code], SummaryTable[[#This Row],[Code]], allFYsTable[year2], ER$3))</f>
        <v>#N/A</v>
      </c>
      <c r="EX183" s="63" t="e">
        <f>IF(SummaryTable[[#This Row],[OriginalBudget08]]=0, IF(SummaryTable[[#This Row],[DiffAmount08]]=0, ZeroBudgetNoSpending, ZeroBudgetWithSpending), SummaryTable[[#This Row],[DiffAmount08]]/SummaryTable[[#This Row],[OriginalBudget08]])</f>
        <v>#N/A</v>
      </c>
      <c r="EY183" s="62">
        <f>IF(COUNTIFS(allFYsTable[Code], SummaryTable[[#This Row],[Code]], allFYsTable[year2], EY$3)=0, NotFound, SUMIFS(allFYsTable[OriginalBudget], allFYsTable[Code], SummaryTable[[#This Row],[Code]], allFYsTable[year2], EY$3))</f>
        <v>0</v>
      </c>
      <c r="EZ183" s="61" t="e">
        <f>SummaryTable[[#This Row],[OriginalBudget07]]-SummaryTable[[#This Row],[OriginalBudget06]]</f>
        <v>#N/A</v>
      </c>
      <c r="FA183" s="54" t="e">
        <f>SummaryTable[[#This Row],[BudgetIncreaseAmount07]]/SummaryTable[[#This Row],[OriginalBudget06]]</f>
        <v>#N/A</v>
      </c>
      <c r="FB183" s="61">
        <f>IF(COUNTIFS(allFYsTable[Code], SummaryTable[[#This Row],[Code]], allFYsTable[year2], EY$3)=0, NotFound, SUMIFS(allFYsTable[RevisedBudget], allFYsTable[Code], SummaryTable[[#This Row],[Code]], allFYsTable[year2], EY$3))</f>
        <v>0</v>
      </c>
      <c r="FC183" s="61">
        <f>IF(COUNTIFS(allFYsTable[Code], SummaryTable[[#This Row],[Code]], allFYsTable[year2], EY$3)=0, NotFound, SUMIFS(allFYsTable[Actual], allFYsTable[Code], SummaryTable[[#This Row],[Code]], allFYsTable[year2], EY$3))</f>
        <v>6813</v>
      </c>
      <c r="FD183" s="61">
        <f>IF(COUNTIFS(allFYsTable[Code], SummaryTable[[#This Row],[Code]], allFYsTable[year2], EY$3)=0, NotFound, SUMIFS(allFYsTable[DiffAmount], allFYsTable[Code], SummaryTable[[#This Row],[Code]], allFYsTable[year2], EY$3))</f>
        <v>6813</v>
      </c>
      <c r="FE183" s="63">
        <f>IF(SummaryTable[[#This Row],[OriginalBudget07]]=0, IF(SummaryTable[[#This Row],[DiffAmount07]]=0, ZeroBudgetNoSpending, ZeroBudgetWithSpending), SummaryTable[[#This Row],[DiffAmount07]]/SummaryTable[[#This Row],[OriginalBudget07]])</f>
        <v>99.99</v>
      </c>
      <c r="FF183" s="62" t="e">
        <f>IF(COUNTIFS(allFYsTable[Code], SummaryTable[[#This Row],[Code]], allFYsTable[year2], FF$3)=0, NotFound, SUMIFS(allFYsTable[OriginalBudget], allFYsTable[Code], SummaryTable[[#This Row],[Code]], allFYsTable[year2], FF$3))</f>
        <v>#N/A</v>
      </c>
      <c r="FI183" s="61" t="e">
        <f>IF(COUNTIFS(allFYsTable[Code], SummaryTable[[#This Row],[Code]], allFYsTable[year2], FF$3)=0, NotFound, SUMIFS(allFYsTable[RevisedBudget], allFYsTable[Code], SummaryTable[[#This Row],[Code]], allFYsTable[year2], FF$3))</f>
        <v>#N/A</v>
      </c>
      <c r="FJ183" s="61" t="e">
        <f>IF(COUNTIFS(allFYsTable[Code], SummaryTable[[#This Row],[Code]], allFYsTable[year2], FF$3)=0, NotFound, SUMIFS(allFYsTable[Actual], allFYsTable[Code], SummaryTable[[#This Row],[Code]], allFYsTable[year2], FF$3))</f>
        <v>#N/A</v>
      </c>
      <c r="FK183" s="61" t="e">
        <f>IF(COUNTIFS(allFYsTable[Code], SummaryTable[[#This Row],[Code]], allFYsTable[year2], FF$3)=0, NotFound, SUMIFS(allFYsTable[DiffAmount], allFYsTable[Code], SummaryTable[[#This Row],[Code]], allFYsTable[year2], FF$3))</f>
        <v>#N/A</v>
      </c>
      <c r="FL183" s="63" t="e">
        <f>IF(SummaryTable[[#This Row],[OriginalBudget06]]=0, IF(SummaryTable[[#This Row],[DiffAmount06]]=0, ZeroBudgetNoSpending, ZeroBudgetWithSpending), SummaryTable[[#This Row],[DiffAmount06]]/SummaryTable[[#This Row],[OriginalBudget06]])</f>
        <v>#N/A</v>
      </c>
    </row>
    <row r="184" spans="1:168" x14ac:dyDescent="0.45">
      <c r="A184" t="s">
        <v>838</v>
      </c>
      <c r="B184">
        <f>_xlfn.MAXIFS(allFYsTable[year2], allFYsTable[Code], SummaryTable[[#This Row],[Code]])</f>
        <v>2006</v>
      </c>
      <c r="C184" t="str">
        <f>_xlfn.XLOOKUP(SummaryTable[[#This Row],[Code]], NameCodingTable[Code], NameCodingTable[Most Recent Category per allFYs])</f>
        <v>Public education system</v>
      </c>
      <c r="D184" t="str">
        <f>_xlfn.XLOOKUP(SummaryTable[[#This Row],[Code]], NameCodingTable[Code], NameCodingTable[Unit Display Name])</f>
        <v>District charter school investment fund</v>
      </c>
      <c r="E184" t="str">
        <f>_xlfn.XLOOKUP(SummaryTable[[#This Row],[Code]], NameCodingTable[Code], NameCodingTable[Type])</f>
        <v>untyped</v>
      </c>
      <c r="F184"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84"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84" s="54">
        <f>SummaryTable[[#This Row],['# Over]]/SummaryTable[[#This Row],[Count]]</f>
        <v>0</v>
      </c>
      <c r="I184"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v>
      </c>
      <c r="J184" s="54">
        <f>SummaryTable[[#This Row],['# Under]]/SummaryTable[[#This Row],[Count]]</f>
        <v>1</v>
      </c>
      <c r="K184"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84" s="54">
        <f>SummaryTable[[#This Row],['# Equal]]/SummaryTable[[#This Row],[Count]]</f>
        <v>0</v>
      </c>
      <c r="M184" s="61">
        <f>SUMIFS(allFYsTable[OriginalBudget],allFYsTable[Code],SummaryTable[[#This Row],[Code]])/SummaryTable[[#This Row],[Count]]</f>
        <v>4200</v>
      </c>
      <c r="N184" s="61">
        <f>SUMIFS(allFYsTable[Actual],allFYsTable[Code],SummaryTable[[#This Row],[Code]])/SummaryTable[[#This Row],[Count]]</f>
        <v>0</v>
      </c>
      <c r="O184" s="61">
        <f>SummaryTable[[#This Row],[AvgActAmt]]-SummaryTable[[#This Row],[AvgBudAmt]]</f>
        <v>-4200</v>
      </c>
      <c r="P184" s="54">
        <f>IF(SummaryTable[[#This Row],[AvgBudAmt]]=0, IF(SummaryTable[[#This Row],[AvgDiff'#]]=0, 0, NamedFields!$C$3), SummaryTable[[#This Row],[AvgDiff'#]]/SummaryTable[[#This Row],[AvgBudAmt]])</f>
        <v>-1</v>
      </c>
      <c r="Q184" s="61">
        <f>IFERROR(SUMIFS(allFYsTable[OriginalBudget],allFYsTable[Code],SummaryTable[[#This Row],[Code]],allFYsTable[DiffAmount], "&gt;0")/SummaryTable[[#This Row],['# Over]], 0)</f>
        <v>0</v>
      </c>
      <c r="R184" s="61">
        <f>IFERROR(SUMIFS(allFYsTable[Actual],allFYsTable[Code],SummaryTable[[#This Row],[Code]],allFYsTable[DiffAmount], "&gt;0")/SummaryTable[[#This Row],['# Over]], 0)</f>
        <v>0</v>
      </c>
      <c r="S184" s="61">
        <f>SummaryTable[[#This Row],[OverAvgAct]]-SummaryTable[[#This Row],[OverAvgBud]]</f>
        <v>0</v>
      </c>
      <c r="T184" s="54">
        <f>IF(SummaryTable[[#This Row],[OverAvgBud]]=0, IF(SummaryTable[[#This Row],[OverAvgDiff'#]]=0, ZeroBudgetNoSpending, ZeroBudgetWithSpending), SummaryTable[[#This Row],[OverAvgDiff'#]]/SummaryTable[[#This Row],[OverAvgBud]])</f>
        <v>0</v>
      </c>
      <c r="U184" s="61">
        <f>IFERROR(SUMIFS(allFYsTable[OriginalBudget],allFYsTable[Code],SummaryTable[[#This Row],[Code]],allFYsTable[DiffAmount], "&lt;0")/SummaryTable[[#This Row],['# Under]], 0)</f>
        <v>4200</v>
      </c>
      <c r="V184" s="61">
        <f>IFERROR( SUMIFS(allFYsTable[Actual],allFYsTable[Code],SummaryTable[[#This Row],[Code]],allFYsTable[DiffAmount], "&lt;0")/SummaryTable[[#This Row],['# Under]], 0)</f>
        <v>0</v>
      </c>
      <c r="W184" s="61">
        <f>SummaryTable[[#This Row],[UnderAvgAct]]-SummaryTable[[#This Row],[UnderAvgBud]]</f>
        <v>-4200</v>
      </c>
      <c r="X184" s="54">
        <f>IF(SummaryTable[[#This Row],[UnderAvgBud]]=0, IF(SummaryTable[[#This Row],[UnderAvgDiff'#]]=0, ZeroBudgetNoSpending, NamedFields!$C$3), SummaryTable[[#This Row],[UnderAvgDiff'#]]/SummaryTable[[#This Row],[UnderAvgBud]])</f>
        <v>-1</v>
      </c>
      <c r="Y184"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84"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4" s="54">
        <f>IF(SummaryTable[[#This Row],[IncreaseYears]]=0, ZeroBudgetNoSpending, SummaryTable[[#This Row],[OSinIncreaseYear'#]]/SummaryTable[[#This Row],[IncreaseYears]])</f>
        <v>0</v>
      </c>
      <c r="AB184" s="58" t="str">
        <f>SummaryTable[[#This Row],[Code]]</f>
        <v>GJ0</v>
      </c>
      <c r="AC184" s="62" t="e">
        <f>IF(COUNTIFS(allFYsTable[Code], SummaryTable[[#This Row],[Code]], allFYsTable[year2], AC$3)=0, NotFound, SUMIFS(allFYsTable[OriginalBudget], allFYsTable[Code], SummaryTable[[#This Row],[Code]], allFYsTable[year2], AC$3))</f>
        <v>#N/A</v>
      </c>
      <c r="AD184" s="61" t="e">
        <f>SummaryTable[[#This Row],[OriginalBudget25]]-SummaryTable[[#This Row],[OriginalBudget24]]</f>
        <v>#N/A</v>
      </c>
      <c r="AE184" s="54" t="e">
        <f>SummaryTable[[#This Row],[BudgetIncreaseAmount25]]/SummaryTable[[#This Row],[OriginalBudget24]]</f>
        <v>#N/A</v>
      </c>
      <c r="AF184" s="61" t="e">
        <f>IF(COUNTIFS(allFYsTable[Code], SummaryTable[[#This Row],[Code]], allFYsTable[year2], AC$3)=0, NotFound, SUMIFS(allFYsTable[RevisedBudget], allFYsTable[Code], SummaryTable[[#This Row],[Code]], allFYsTable[year2], AC$3))</f>
        <v>#N/A</v>
      </c>
      <c r="AG184" s="61" t="e">
        <f>IF(COUNTIFS(allFYsTable[Code], SummaryTable[[#This Row],[Code]], allFYsTable[year2], AC$3)=0, NotFound, SUMIFS(allFYsTable[Actual], allFYsTable[Code], SummaryTable[[#This Row],[Code]], allFYsTable[year2], AC$3))</f>
        <v>#N/A</v>
      </c>
      <c r="AH184" s="61" t="e">
        <f>IF(COUNTIFS(allFYsTable[Code], SummaryTable[[#This Row],[Code]], allFYsTable[year2], AC$3)=0, NotFound, SUMIFS(allFYsTable[DiffAmount], allFYsTable[Code], SummaryTable[[#This Row],[Code]], allFYsTable[year2], AC$3))</f>
        <v>#N/A</v>
      </c>
      <c r="AI184" s="63" t="e">
        <f>IF(SummaryTable[[#This Row],[OriginalBudget25]]=0, IF(SummaryTable[[#This Row],[DiffAmount25]]=0, ZeroBudgetNoSpending, ZeroBudgetWithSpending), SummaryTable[[#This Row],[DiffAmount25]]/SummaryTable[[#This Row],[OriginalBudget25]])</f>
        <v>#N/A</v>
      </c>
      <c r="AJ184" s="62" t="e">
        <f>IF(COUNTIFS(allFYsTable[Code], SummaryTable[[#This Row],[Code]], allFYsTable[year2], AJ$3)=0, NotFound, SUMIFS(allFYsTable[OriginalBudget], allFYsTable[Code], SummaryTable[[#This Row],[Code]], allFYsTable[year2], AJ$3))</f>
        <v>#N/A</v>
      </c>
      <c r="AK184" s="61" t="e">
        <f>SummaryTable[[#This Row],[OriginalBudget24]]-SummaryTable[[#This Row],[OriginalBudget23]]</f>
        <v>#N/A</v>
      </c>
      <c r="AL184" s="54" t="e">
        <f>SummaryTable[[#This Row],[BudgetIncreaseAmount24]]/SummaryTable[[#This Row],[OriginalBudget23]]</f>
        <v>#N/A</v>
      </c>
      <c r="AM184" s="61" t="e">
        <f>IF(COUNTIFS(allFYsTable[Code], SummaryTable[[#This Row],[Code]], allFYsTable[year2], AK$3)=0, NotFound, SUMIFS(allFYsTable[RevisedBudget], allFYsTable[Code], SummaryTable[[#This Row],[Code]], allFYsTable[year2], AJ$3))</f>
        <v>#N/A</v>
      </c>
      <c r="AN184" s="61" t="e">
        <f>IF(COUNTIFS(allFYsTable[Code], SummaryTable[[#This Row],[Code]], allFYsTable[year2], AJ$3)=0, NotFound, SUMIFS(allFYsTable[Actual], allFYsTable[Code], SummaryTable[[#This Row],[Code]], allFYsTable[year2], AJ$3))</f>
        <v>#N/A</v>
      </c>
      <c r="AO184" s="61" t="e">
        <f>IF(COUNTIFS(allFYsTable[Code], SummaryTable[[#This Row],[Code]], allFYsTable[year2], AJ$3)=0, NotFound, SUMIFS(allFYsTable[DiffAmount], allFYsTable[Code], SummaryTable[[#This Row],[Code]], allFYsTable[year2], AJ$3))</f>
        <v>#N/A</v>
      </c>
      <c r="AP184" s="63" t="e">
        <f>IF(SummaryTable[[#This Row],[OriginalBudget24]]=0, IF(SummaryTable[[#This Row],[DiffAmount24]]=0, ZeroBudgetNoSpending, ZeroBudgetWithSpending), SummaryTable[[#This Row],[DiffAmount24]]/SummaryTable[[#This Row],[OriginalBudget24]])</f>
        <v>#N/A</v>
      </c>
      <c r="AQ184" s="62" t="e">
        <f>IF(COUNTIFS(allFYsTable[Code], SummaryTable[[#This Row],[Code]], allFYsTable[year2], AQ$3)=0, NotFound, SUMIFS(allFYsTable[OriginalBudget], allFYsTable[Code], SummaryTable[[#This Row],[Code]], allFYsTable[year2], AQ$3))</f>
        <v>#N/A</v>
      </c>
      <c r="AR184" s="61" t="e">
        <f>SummaryTable[[#This Row],[OriginalBudget23]]-SummaryTable[[#This Row],[OriginalBudget22]]</f>
        <v>#N/A</v>
      </c>
      <c r="AS184" s="54" t="e">
        <f>SummaryTable[[#This Row],[BudgetIncreaseAmount23]]/SummaryTable[[#This Row],[OriginalBudget22]]</f>
        <v>#N/A</v>
      </c>
      <c r="AT184" s="61" t="e">
        <f>IF(COUNTIFS(allFYsTable[Code], SummaryTable[[#This Row],[Code]], allFYsTable[year2], AQ$3)=0, NotFound, SUMIFS(allFYsTable[RevisedBudget], allFYsTable[Code], SummaryTable[[#This Row],[Code]], allFYsTable[year2], AQ$3))</f>
        <v>#N/A</v>
      </c>
      <c r="AU184" s="61" t="e">
        <f>IF(COUNTIFS(allFYsTable[Code], SummaryTable[[#This Row],[Code]], allFYsTable[year2], AQ$3)=0, NotFound, SUMIFS(allFYsTable[Actual], allFYsTable[Code], SummaryTable[[#This Row],[Code]], allFYsTable[year2], AQ$3))</f>
        <v>#N/A</v>
      </c>
      <c r="AV184" s="61" t="e">
        <f>IF(COUNTIFS(allFYsTable[Code], SummaryTable[[#This Row],[Code]], allFYsTable[year2], AQ$3)=0, NotFound, SUMIFS(allFYsTable[DiffAmount], allFYsTable[Code], SummaryTable[[#This Row],[Code]], allFYsTable[year2], AQ$3))</f>
        <v>#N/A</v>
      </c>
      <c r="AW184" s="63" t="e">
        <f>IF(SummaryTable[[#This Row],[OriginalBudget23]]=0, IF(SummaryTable[[#This Row],[DiffAmount23]]=0, ZeroBudgetNoSpending, ZeroBudgetWithSpending), SummaryTable[[#This Row],[DiffAmount23]]/SummaryTable[[#This Row],[OriginalBudget23]])</f>
        <v>#N/A</v>
      </c>
      <c r="AX184" s="62" t="e">
        <f>IF(COUNTIFS(allFYsTable[Code], SummaryTable[[#This Row],[Code]], allFYsTable[year2], AX$3)=0, NotFound, SUMIFS(allFYsTable[OriginalBudget], allFYsTable[Code], SummaryTable[[#This Row],[Code]], allFYsTable[year2], AX$3))</f>
        <v>#N/A</v>
      </c>
      <c r="AY184" s="61" t="e">
        <f>SummaryTable[[#This Row],[OriginalBudget22]]-SummaryTable[[#This Row],[OriginalBudget21]]</f>
        <v>#N/A</v>
      </c>
      <c r="AZ184" s="54" t="e">
        <f>SummaryTable[[#This Row],[BudgetIncreaseAmount22]]/SummaryTable[[#This Row],[OriginalBudget21]]</f>
        <v>#N/A</v>
      </c>
      <c r="BA184" s="61" t="e">
        <f>IF(COUNTIFS(allFYsTable[Code], SummaryTable[[#This Row],[Code]], allFYsTable[year2], AX$3)=0, NotFound, SUMIFS(allFYsTable[RevisedBudget], allFYsTable[Code], SummaryTable[[#This Row],[Code]], allFYsTable[year2], AX$3))</f>
        <v>#N/A</v>
      </c>
      <c r="BB184" s="61" t="e">
        <f>IF(COUNTIFS(allFYsTable[Code], SummaryTable[[#This Row],[Code]], allFYsTable[year2], AX$3)=0, NotFound, SUMIFS(allFYsTable[Actual], allFYsTable[Code], SummaryTable[[#This Row],[Code]], allFYsTable[year2], AX$3))</f>
        <v>#N/A</v>
      </c>
      <c r="BC184" s="61" t="e">
        <f>IF(COUNTIFS(allFYsTable[Code], SummaryTable[[#This Row],[Code]], allFYsTable[year2], AX$3)=0, NotFound, SUMIFS(allFYsTable[DiffAmount], allFYsTable[Code], SummaryTable[[#This Row],[Code]], allFYsTable[year2], AX$3))</f>
        <v>#N/A</v>
      </c>
      <c r="BD184" s="63" t="e">
        <f>IF(SummaryTable[[#This Row],[OriginalBudget22]]=0, IF(SummaryTable[[#This Row],[DiffAmount22]]=0, ZeroBudgetNoSpending, ZeroBudgetWithSpending), SummaryTable[[#This Row],[DiffAmount22]]/SummaryTable[[#This Row],[OriginalBudget22]])</f>
        <v>#N/A</v>
      </c>
      <c r="BE184" s="62" t="e">
        <f>IF(COUNTIFS(allFYsTable[Code], SummaryTable[[#This Row],[Code]], allFYsTable[year2], BE$3)=0, NotFound, SUMIFS(allFYsTable[OriginalBudget], allFYsTable[Code], SummaryTable[[#This Row],[Code]], allFYsTable[year2], BE$3))</f>
        <v>#N/A</v>
      </c>
      <c r="BF184" s="61" t="e">
        <f>SummaryTable[[#This Row],[OriginalBudget21]]-SummaryTable[[#This Row],[OriginalBudget20]]</f>
        <v>#N/A</v>
      </c>
      <c r="BG184" s="54" t="e">
        <f>SummaryTable[[#This Row],[BudgetIncreaseAmount21]]/SummaryTable[[#This Row],[OriginalBudget20]]</f>
        <v>#N/A</v>
      </c>
      <c r="BH184" s="61" t="e">
        <f>IF(COUNTIFS(allFYsTable[Code], SummaryTable[[#This Row],[Code]], allFYsTable[year2], BE$3)=0, NotFound, SUMIFS(allFYsTable[RevisedBudget], allFYsTable[Code], SummaryTable[[#This Row],[Code]], allFYsTable[year2], BE$3))</f>
        <v>#N/A</v>
      </c>
      <c r="BI184" s="61" t="e">
        <f>IF(COUNTIFS(allFYsTable[Code], SummaryTable[[#This Row],[Code]], allFYsTable[year2], BE$3)=0, NotFound, SUMIFS(allFYsTable[Actual], allFYsTable[Code], SummaryTable[[#This Row],[Code]], allFYsTable[year2], BE$3))</f>
        <v>#N/A</v>
      </c>
      <c r="BJ184" s="61" t="e">
        <f>IF(COUNTIFS(allFYsTable[Code], SummaryTable[[#This Row],[Code]], allFYsTable[year2], BE$3)=0, NotFound, SUMIFS(allFYsTable[DiffAmount], allFYsTable[Code], SummaryTable[[#This Row],[Code]], allFYsTable[year2], BE$3))</f>
        <v>#N/A</v>
      </c>
      <c r="BK184" s="63" t="e">
        <f>IF(SummaryTable[[#This Row],[OriginalBudget21]]=0, IF(SummaryTable[[#This Row],[DiffAmount21]]=0, ZeroBudgetNoSpending, ZeroBudgetWithSpending), SummaryTable[[#This Row],[DiffAmount21]]/SummaryTable[[#This Row],[OriginalBudget21]])</f>
        <v>#N/A</v>
      </c>
      <c r="BL184" s="62" t="e">
        <f>IF(COUNTIFS(allFYsTable[Code], SummaryTable[[#This Row],[Code]], allFYsTable[year2], BL$3)=0, NotFound, SUMIFS(allFYsTable[OriginalBudget], allFYsTable[Code], SummaryTable[[#This Row],[Code]], allFYsTable[year2], BL$3))</f>
        <v>#N/A</v>
      </c>
      <c r="BM184" s="61" t="e">
        <f>SummaryTable[[#This Row],[OriginalBudget20]]-SummaryTable[[#This Row],[OriginalBudget19]]</f>
        <v>#N/A</v>
      </c>
      <c r="BN184" s="54" t="e">
        <f>SummaryTable[[#This Row],[BudgetIncreaseAmount20]]/SummaryTable[[#This Row],[OriginalBudget19]]</f>
        <v>#N/A</v>
      </c>
      <c r="BO184" s="61" t="e">
        <f>IF(COUNTIFS(allFYsTable[Code], SummaryTable[[#This Row],[Code]], allFYsTable[year2], BL$3)=0, NotFound, SUMIFS(allFYsTable[RevisedBudget], allFYsTable[Code], SummaryTable[[#This Row],[Code]], allFYsTable[year2], BL$3))</f>
        <v>#N/A</v>
      </c>
      <c r="BP184" s="61" t="e">
        <f>IF(COUNTIFS(allFYsTable[Code], SummaryTable[[#This Row],[Code]], allFYsTable[year2], BL$3)=0, NotFound, SUMIFS(allFYsTable[Actual], allFYsTable[Code], SummaryTable[[#This Row],[Code]], allFYsTable[year2], BL$3))</f>
        <v>#N/A</v>
      </c>
      <c r="BQ184" s="61" t="e">
        <f>IF(COUNTIFS(allFYsTable[Code], SummaryTable[[#This Row],[Code]], allFYsTable[year2], BL$3)=0, NotFound, SUMIFS(allFYsTable[DiffAmount], allFYsTable[Code], SummaryTable[[#This Row],[Code]], allFYsTable[year2], BL$3))</f>
        <v>#N/A</v>
      </c>
      <c r="BR184" s="63" t="e">
        <f>IF(SummaryTable[[#This Row],[OriginalBudget20]]=0, IF(SummaryTable[[#This Row],[DiffAmount20]]=0, ZeroBudgetNoSpending, ZeroBudgetWithSpending), SummaryTable[[#This Row],[DiffAmount20]]/SummaryTable[[#This Row],[OriginalBudget20]])</f>
        <v>#N/A</v>
      </c>
      <c r="BS184" s="62" t="e">
        <f>IF(COUNTIFS(allFYsTable[Code], SummaryTable[[#This Row],[Code]], allFYsTable[year2], BS$3)=0, NotFound, SUMIFS(allFYsTable[OriginalBudget], allFYsTable[Code], SummaryTable[[#This Row],[Code]], allFYsTable[year2], BS$3))</f>
        <v>#N/A</v>
      </c>
      <c r="BT184" s="61" t="e">
        <f>SummaryTable[[#This Row],[OriginalBudget19]]-SummaryTable[[#This Row],[OriginalBudget18]]</f>
        <v>#N/A</v>
      </c>
      <c r="BU184" s="54" t="e">
        <f>SummaryTable[[#This Row],[BudgetIncreaseAmount19]]/SummaryTable[[#This Row],[OriginalBudget18]]</f>
        <v>#N/A</v>
      </c>
      <c r="BV184" s="61" t="e">
        <f>IF(COUNTIFS(allFYsTable[Code], SummaryTable[[#This Row],[Code]], allFYsTable[year2], BS$3)=0, NotFound, SUMIFS(allFYsTable[RevisedBudget], allFYsTable[Code], SummaryTable[[#This Row],[Code]], allFYsTable[year2], BS$3))</f>
        <v>#N/A</v>
      </c>
      <c r="BW184" s="61" t="e">
        <f>IF(COUNTIFS(allFYsTable[Code], SummaryTable[[#This Row],[Code]], allFYsTable[year2], BS$3)=0, NotFound, SUMIFS(allFYsTable[Actual], allFYsTable[Code], SummaryTable[[#This Row],[Code]], allFYsTable[year2], BS$3))</f>
        <v>#N/A</v>
      </c>
      <c r="BX184" s="61" t="e">
        <f>IF(COUNTIFS(allFYsTable[Code], SummaryTable[[#This Row],[Code]], allFYsTable[year2], BS$3)=0, NotFound, SUMIFS(allFYsTable[DiffAmount], allFYsTable[Code], SummaryTable[[#This Row],[Code]], allFYsTable[year2], BS$3))</f>
        <v>#N/A</v>
      </c>
      <c r="BY184" s="63" t="e">
        <f>IF(SummaryTable[[#This Row],[OriginalBudget19]]=0, IF(SummaryTable[[#This Row],[DiffAmount19]]=0, ZeroBudgetNoSpending, ZeroBudgetWithSpending), SummaryTable[[#This Row],[DiffAmount19]]/SummaryTable[[#This Row],[OriginalBudget19]])</f>
        <v>#N/A</v>
      </c>
      <c r="BZ184" s="62" t="e">
        <f>IF(COUNTIFS(allFYsTable[Code], SummaryTable[[#This Row],[Code]], allFYsTable[year2], BZ$3)=0, NotFound, SUMIFS(allFYsTable[OriginalBudget], allFYsTable[Code], SummaryTable[[#This Row],[Code]], allFYsTable[year2], BZ$3))</f>
        <v>#N/A</v>
      </c>
      <c r="CA184" s="61" t="e">
        <f>SummaryTable[[#This Row],[OriginalBudget18]]-SummaryTable[[#This Row],[OriginalBudget17]]</f>
        <v>#N/A</v>
      </c>
      <c r="CB184" s="54" t="e">
        <f>SummaryTable[[#This Row],[BudgetIncreaseAmount18]]/SummaryTable[[#This Row],[OriginalBudget17]]</f>
        <v>#N/A</v>
      </c>
      <c r="CC184" s="61" t="e">
        <f>IF(COUNTIFS(allFYsTable[Code], SummaryTable[[#This Row],[Code]], allFYsTable[year2], BZ$3)=0, NotFound, SUMIFS(allFYsTable[RevisedBudget], allFYsTable[Code], SummaryTable[[#This Row],[Code]], allFYsTable[year2], BZ$3))</f>
        <v>#N/A</v>
      </c>
      <c r="CD184" s="61" t="e">
        <f>IF(COUNTIFS(allFYsTable[Code], SummaryTable[[#This Row],[Code]], allFYsTable[year2], BZ$3)=0, NotFound, SUMIFS(allFYsTable[Actual], allFYsTable[Code], SummaryTable[[#This Row],[Code]], allFYsTable[year2], BZ$3))</f>
        <v>#N/A</v>
      </c>
      <c r="CE184" s="61" t="e">
        <f>IF(COUNTIFS(allFYsTable[Code], SummaryTable[[#This Row],[Code]], allFYsTable[year2], BZ$3)=0, NotFound, SUMIFS(allFYsTable[DiffAmount], allFYsTable[Code], SummaryTable[[#This Row],[Code]], allFYsTable[year2], BZ$3))</f>
        <v>#N/A</v>
      </c>
      <c r="CF184" s="63" t="e">
        <f>IF(SummaryTable[[#This Row],[OriginalBudget18]]=0, IF(SummaryTable[[#This Row],[DiffAmount18]]=0, ZeroBudgetNoSpending, ZeroBudgetWithSpending), SummaryTable[[#This Row],[DiffAmount18]]/SummaryTable[[#This Row],[OriginalBudget18]])</f>
        <v>#N/A</v>
      </c>
      <c r="CG184" s="62" t="e">
        <f>IF(COUNTIFS(allFYsTable[Code], SummaryTable[[#This Row],[Code]], allFYsTable[year2], CG$3)=0, NotFound, SUMIFS(allFYsTable[OriginalBudget], allFYsTable[Code], SummaryTable[[#This Row],[Code]], allFYsTable[year2], CG$3))</f>
        <v>#N/A</v>
      </c>
      <c r="CH184" s="61" t="e">
        <f>SummaryTable[[#This Row],[OriginalBudget17]]-SummaryTable[[#This Row],[OriginalBudget16]]</f>
        <v>#N/A</v>
      </c>
      <c r="CI184" s="54" t="e">
        <f>SummaryTable[[#This Row],[BudgetIncreaseAmount17]]/SummaryTable[[#This Row],[OriginalBudget16]]</f>
        <v>#N/A</v>
      </c>
      <c r="CJ184" s="61" t="e">
        <f>IF(COUNTIFS(allFYsTable[Code], SummaryTable[[#This Row],[Code]], allFYsTable[year2], CG$3)=0, NotFound, SUMIFS(allFYsTable[RevisedBudget], allFYsTable[Code], SummaryTable[[#This Row],[Code]], allFYsTable[year2], CG$3))</f>
        <v>#N/A</v>
      </c>
      <c r="CK184" s="61" t="e">
        <f>IF(COUNTIFS(allFYsTable[Code], SummaryTable[[#This Row],[Code]], allFYsTable[year2], CG$3)=0, NotFound, SUMIFS(allFYsTable[Actual], allFYsTable[Code], SummaryTable[[#This Row],[Code]], allFYsTable[year2], CG$3))</f>
        <v>#N/A</v>
      </c>
      <c r="CL184" s="61" t="e">
        <f>IF(COUNTIFS(allFYsTable[Code], SummaryTable[[#This Row],[Code]], allFYsTable[year2], CG$3)=0, NotFound, SUMIFS(allFYsTable[DiffAmount], allFYsTable[Code], SummaryTable[[#This Row],[Code]], allFYsTable[year2], CG$3))</f>
        <v>#N/A</v>
      </c>
      <c r="CM184" s="63" t="e">
        <f>IF(SummaryTable[[#This Row],[OriginalBudget17]]=0, IF(SummaryTable[[#This Row],[DiffAmount17]]=0, ZeroBudgetNoSpending, ZeroBudgetWithSpending), SummaryTable[[#This Row],[DiffAmount17]]/SummaryTable[[#This Row],[OriginalBudget17]])</f>
        <v>#N/A</v>
      </c>
      <c r="CN184" s="62" t="e">
        <f>IF(COUNTIFS(allFYsTable[Code], SummaryTable[[#This Row],[Code]], allFYsTable[year2], CN$3)=0, NotFound, SUMIFS(allFYsTable[OriginalBudget], allFYsTable[Code], SummaryTable[[#This Row],[Code]], allFYsTable[year2], CN$3))</f>
        <v>#N/A</v>
      </c>
      <c r="CO184" s="61" t="e">
        <f>SummaryTable[[#This Row],[OriginalBudget16]]-SummaryTable[[#This Row],[OriginalBudget15]]</f>
        <v>#N/A</v>
      </c>
      <c r="CP184" s="54" t="e">
        <f>SummaryTable[[#This Row],[BudgetIncreaseAmount16]]/SummaryTable[[#This Row],[OriginalBudget15]]</f>
        <v>#N/A</v>
      </c>
      <c r="CQ184" s="61" t="e">
        <f>IF(COUNTIFS(allFYsTable[Code], SummaryTable[[#This Row],[Code]], allFYsTable[year2], CN$3)=0, NotFound, SUMIFS(allFYsTable[RevisedBudget], allFYsTable[Code], SummaryTable[[#This Row],[Code]], allFYsTable[year2], CN$3))</f>
        <v>#N/A</v>
      </c>
      <c r="CR184" s="61" t="e">
        <f>IF(COUNTIFS(allFYsTable[Code], SummaryTable[[#This Row],[Code]], allFYsTable[year2], CN$3)=0, NotFound, SUMIFS(allFYsTable[Actual], allFYsTable[Code], SummaryTable[[#This Row],[Code]], allFYsTable[year2], CN$3))</f>
        <v>#N/A</v>
      </c>
      <c r="CS184" s="61" t="e">
        <f>IF(COUNTIFS(allFYsTable[Code], SummaryTable[[#This Row],[Code]], allFYsTable[year2], CN$3)=0, NotFound, SUMIFS(allFYsTable[DiffAmount], allFYsTable[Code], SummaryTable[[#This Row],[Code]], allFYsTable[year2], CN$3))</f>
        <v>#N/A</v>
      </c>
      <c r="CT184" s="63" t="e">
        <f>IF(SummaryTable[[#This Row],[OriginalBudget16]]=0, IF(SummaryTable[[#This Row],[DiffAmount16]]=0, ZeroBudgetNoSpending, ZeroBudgetWithSpending), SummaryTable[[#This Row],[DiffAmount16]]/SummaryTable[[#This Row],[OriginalBudget16]])</f>
        <v>#N/A</v>
      </c>
      <c r="CU184" s="62" t="e">
        <f>IF(COUNTIFS(allFYsTable[Code], SummaryTable[[#This Row],[Code]], allFYsTable[year2], CU$3)=0, NotFound, SUMIFS(allFYsTable[OriginalBudget], allFYsTable[Code], SummaryTable[[#This Row],[Code]], allFYsTable[year2], CU$3))</f>
        <v>#N/A</v>
      </c>
      <c r="CV184" s="61" t="e">
        <f>SummaryTable[[#This Row],[OriginalBudget15]]-SummaryTable[[#This Row],[OriginalBudget14]]</f>
        <v>#N/A</v>
      </c>
      <c r="CW184" s="54" t="e">
        <f>SummaryTable[[#This Row],[BudgetIncreaseAmount15]]/SummaryTable[[#This Row],[OriginalBudget14]]</f>
        <v>#N/A</v>
      </c>
      <c r="CX184" s="61" t="e">
        <f>IF(COUNTIFS(allFYsTable[Code], SummaryTable[[#This Row],[Code]], allFYsTable[year2], CU$3)=0, NotFound, SUMIFS(allFYsTable[RevisedBudget], allFYsTable[Code], SummaryTable[[#This Row],[Code]], allFYsTable[year2], CU$3))</f>
        <v>#N/A</v>
      </c>
      <c r="CY184" s="61" t="e">
        <f>IF(COUNTIFS(allFYsTable[Code], SummaryTable[[#This Row],[Code]], allFYsTable[year2], CU$3)=0, NotFound, SUMIFS(allFYsTable[Actual], allFYsTable[Code], SummaryTable[[#This Row],[Code]], allFYsTable[year2], CU$3))</f>
        <v>#N/A</v>
      </c>
      <c r="CZ184" s="61" t="e">
        <f>IF(COUNTIFS(allFYsTable[Code], SummaryTable[[#This Row],[Code]], allFYsTable[year2], CU$3)=0, NotFound, SUMIFS(allFYsTable[DiffAmount], allFYsTable[Code], SummaryTable[[#This Row],[Code]], allFYsTable[year2], CU$3))</f>
        <v>#N/A</v>
      </c>
      <c r="DA184" s="63" t="e">
        <f>IF(SummaryTable[[#This Row],[OriginalBudget15]]=0, IF(SummaryTable[[#This Row],[DiffAmount15]]=0, ZeroBudgetNoSpending, ZeroBudgetWithSpending), SummaryTable[[#This Row],[DiffAmount15]]/SummaryTable[[#This Row],[OriginalBudget15]])</f>
        <v>#N/A</v>
      </c>
      <c r="DB184" s="62" t="e">
        <f>IF(COUNTIFS(allFYsTable[Code], SummaryTable[[#This Row],[Code]], allFYsTable[year2], DB$3)=0, NotFound, SUMIFS(allFYsTable[OriginalBudget], allFYsTable[Code], SummaryTable[[#This Row],[Code]], allFYsTable[year2], DB$3))</f>
        <v>#N/A</v>
      </c>
      <c r="DC184" s="61" t="e">
        <f>SummaryTable[[#This Row],[OriginalBudget14]]-SummaryTable[[#This Row],[OriginalBudget13]]</f>
        <v>#N/A</v>
      </c>
      <c r="DD184" s="54" t="e">
        <f>SummaryTable[[#This Row],[BudgetIncreaseAmount14]]/SummaryTable[[#This Row],[OriginalBudget13]]</f>
        <v>#N/A</v>
      </c>
      <c r="DE184" s="61" t="e">
        <f>IF(COUNTIFS(allFYsTable[Code], SummaryTable[[#This Row],[Code]], allFYsTable[year2], DB$3)=0, NotFound, SUMIFS(allFYsTable[RevisedBudget], allFYsTable[Code], SummaryTable[[#This Row],[Code]], allFYsTable[year2], DB$3))</f>
        <v>#N/A</v>
      </c>
      <c r="DF184" s="61" t="e">
        <f>IF(COUNTIFS(allFYsTable[Code], SummaryTable[[#This Row],[Code]], allFYsTable[year2], DB$3)=0, NotFound, SUMIFS(allFYsTable[Actual], allFYsTable[Code], SummaryTable[[#This Row],[Code]], allFYsTable[year2], DB$3))</f>
        <v>#N/A</v>
      </c>
      <c r="DG184" s="61" t="e">
        <f>IF(COUNTIFS(allFYsTable[Code], SummaryTable[[#This Row],[Code]], allFYsTable[year2], DB$3)=0, NotFound, SUMIFS(allFYsTable[DiffAmount], allFYsTable[Code], SummaryTable[[#This Row],[Code]], allFYsTable[year2], DB$3))</f>
        <v>#N/A</v>
      </c>
      <c r="DH184" s="63" t="e">
        <f>IF(SummaryTable[[#This Row],[OriginalBudget14]]=0, IF(SummaryTable[[#This Row],[DiffAmount14]]=0, ZeroBudgetNoSpending, ZeroBudgetWithSpending), SummaryTable[[#This Row],[DiffAmount14]]/SummaryTable[[#This Row],[OriginalBudget14]])</f>
        <v>#N/A</v>
      </c>
      <c r="DI184" s="62" t="e">
        <f>IF(COUNTIFS(allFYsTable[Code], SummaryTable[[#This Row],[Code]], allFYsTable[year2], DI$3)=0, NotFound, SUMIFS(allFYsTable[OriginalBudget], allFYsTable[Code], SummaryTable[[#This Row],[Code]], allFYsTable[year2], DI$3))</f>
        <v>#N/A</v>
      </c>
      <c r="DJ184" s="61" t="e">
        <f>SummaryTable[[#This Row],[OriginalBudget13]]-SummaryTable[[#This Row],[OriginalBudget12]]</f>
        <v>#N/A</v>
      </c>
      <c r="DK184" s="54" t="e">
        <f>SummaryTable[[#This Row],[BudgetIncreaseAmount13]]/SummaryTable[[#This Row],[OriginalBudget12]]</f>
        <v>#N/A</v>
      </c>
      <c r="DL184" s="61" t="e">
        <f>IF(COUNTIFS(allFYsTable[Code], SummaryTable[[#This Row],[Code]], allFYsTable[year2], DI$3)=0, NotFound, SUMIFS(allFYsTable[RevisedBudget], allFYsTable[Code], SummaryTable[[#This Row],[Code]], allFYsTable[year2], DI$3))</f>
        <v>#N/A</v>
      </c>
      <c r="DM184" s="61" t="e">
        <f>IF(COUNTIFS(allFYsTable[Code], SummaryTable[[#This Row],[Code]], allFYsTable[year2], DI$3)=0, NotFound, SUMIFS(allFYsTable[Actual], allFYsTable[Code], SummaryTable[[#This Row],[Code]], allFYsTable[year2], DI$3))</f>
        <v>#N/A</v>
      </c>
      <c r="DN184" s="61" t="e">
        <f>IF(COUNTIFS(allFYsTable[Code], SummaryTable[[#This Row],[Code]], allFYsTable[year2], DI$3)=0, NotFound, SUMIFS(allFYsTable[DiffAmount], allFYsTable[Code], SummaryTable[[#This Row],[Code]], allFYsTable[year2], DI$3))</f>
        <v>#N/A</v>
      </c>
      <c r="DO184" s="63" t="e">
        <f>IF(SummaryTable[[#This Row],[OriginalBudget13]]=0, IF(SummaryTable[[#This Row],[DiffAmount13]]=0, ZeroBudgetNoSpending, ZeroBudgetWithSpending), SummaryTable[[#This Row],[DiffAmount13]]/SummaryTable[[#This Row],[OriginalBudget13]])</f>
        <v>#N/A</v>
      </c>
      <c r="DP184" s="62" t="e">
        <f>IF(COUNTIFS(allFYsTable[Code], SummaryTable[[#This Row],[Code]], allFYsTable[year2], DP$3)=0, NotFound, SUMIFS(allFYsTable[OriginalBudget], allFYsTable[Code], SummaryTable[[#This Row],[Code]], allFYsTable[year2], DP$3))</f>
        <v>#N/A</v>
      </c>
      <c r="DQ184" s="61" t="e">
        <f>SummaryTable[[#This Row],[OriginalBudget12]]-SummaryTable[[#This Row],[OriginalBudget11]]</f>
        <v>#N/A</v>
      </c>
      <c r="DR184" s="54" t="e">
        <f>SummaryTable[[#This Row],[BudgetIncreaseAmount12]]/SummaryTable[[#This Row],[OriginalBudget11]]</f>
        <v>#N/A</v>
      </c>
      <c r="DS184" s="61" t="e">
        <f>IF(COUNTIFS(allFYsTable[Code], SummaryTable[[#This Row],[Code]], allFYsTable[year2], DP$3)=0, NotFound, SUMIFS(allFYsTable[RevisedBudget], allFYsTable[Code], SummaryTable[[#This Row],[Code]], allFYsTable[year2], DP$3))</f>
        <v>#N/A</v>
      </c>
      <c r="DT184" s="61" t="e">
        <f>IF(COUNTIFS(allFYsTable[Code], SummaryTable[[#This Row],[Code]], allFYsTable[year2], DP$3)=0, NotFound, SUMIFS(allFYsTable[Actual], allFYsTable[Code], SummaryTable[[#This Row],[Code]], allFYsTable[year2], DP$3))</f>
        <v>#N/A</v>
      </c>
      <c r="DU184" s="61" t="e">
        <f>IF(COUNTIFS(allFYsTable[Code], SummaryTable[[#This Row],[Code]], allFYsTable[year2], DP$3)=0, NotFound, SUMIFS(allFYsTable[DiffAmount], allFYsTable[Code], SummaryTable[[#This Row],[Code]], allFYsTable[year2], DP$3))</f>
        <v>#N/A</v>
      </c>
      <c r="DV184" s="63" t="e">
        <f>IF(SummaryTable[[#This Row],[OriginalBudget12]]=0, IF(SummaryTable[[#This Row],[DiffAmount12]]=0, ZeroBudgetNoSpending, ZeroBudgetWithSpending), SummaryTable[[#This Row],[DiffAmount12]]/SummaryTable[[#This Row],[OriginalBudget12]])</f>
        <v>#N/A</v>
      </c>
      <c r="DW184" s="62" t="e">
        <f>IF(COUNTIFS(allFYsTable[Code], SummaryTable[[#This Row],[Code]], allFYsTable[year2], DW$3)=0, NotFound, SUMIFS(allFYsTable[OriginalBudget], allFYsTable[Code], SummaryTable[[#This Row],[Code]], allFYsTable[year2], DW$3))</f>
        <v>#N/A</v>
      </c>
      <c r="DX184" s="61" t="e">
        <f>SummaryTable[[#This Row],[OriginalBudget11]]-SummaryTable[[#This Row],[OriginalBudget10]]</f>
        <v>#N/A</v>
      </c>
      <c r="DY184" s="54" t="e">
        <f>SummaryTable[[#This Row],[BudgetIncreaseAmount11]]/SummaryTable[[#This Row],[OriginalBudget10]]</f>
        <v>#N/A</v>
      </c>
      <c r="DZ184" s="61" t="e">
        <f>IF(COUNTIFS(allFYsTable[Code], SummaryTable[[#This Row],[Code]], allFYsTable[year2], DW$3)=0, NotFound, SUMIFS(allFYsTable[RevisedBudget], allFYsTable[Code], SummaryTable[[#This Row],[Code]], allFYsTable[year2], DW$3))</f>
        <v>#N/A</v>
      </c>
      <c r="EA184" s="61" t="e">
        <f>IF(COUNTIFS(allFYsTable[Code], SummaryTable[[#This Row],[Code]], allFYsTable[year2], DW$3)=0, NotFound, SUMIFS(allFYsTable[Actual], allFYsTable[Code], SummaryTable[[#This Row],[Code]], allFYsTable[year2], DW$3))</f>
        <v>#N/A</v>
      </c>
      <c r="EB184" s="61" t="e">
        <f>IF(COUNTIFS(allFYsTable[Code], SummaryTable[[#This Row],[Code]], allFYsTable[year2], DW$3)=0, NotFound, SUMIFS(allFYsTable[DiffAmount], allFYsTable[Code], SummaryTable[[#This Row],[Code]], allFYsTable[year2], DW$3))</f>
        <v>#N/A</v>
      </c>
      <c r="EC184" s="63" t="e">
        <f>IF(SummaryTable[[#This Row],[OriginalBudget11]]=0, IF(SummaryTable[[#This Row],[DiffAmount11]]=0, ZeroBudgetNoSpending, ZeroBudgetWithSpending), SummaryTable[[#This Row],[DiffAmount11]]/SummaryTable[[#This Row],[OriginalBudget11]])</f>
        <v>#N/A</v>
      </c>
      <c r="ED184" s="62" t="e">
        <f>IF(COUNTIFS(allFYsTable[Code], SummaryTable[[#This Row],[Code]], allFYsTable[year2], ED$3)=0, NotFound, SUMIFS(allFYsTable[OriginalBudget], allFYsTable[Code], SummaryTable[[#This Row],[Code]], allFYsTable[year2], ED$3))</f>
        <v>#N/A</v>
      </c>
      <c r="EE184" s="61" t="e">
        <f>SummaryTable[[#This Row],[OriginalBudget10]]-SummaryTable[[#This Row],[OriginalBudget09]]</f>
        <v>#N/A</v>
      </c>
      <c r="EF184" s="54" t="e">
        <f>SummaryTable[[#This Row],[BudgetIncreaseAmount10]]/SummaryTable[[#This Row],[OriginalBudget09]]</f>
        <v>#N/A</v>
      </c>
      <c r="EG184" s="61" t="e">
        <f>IF(COUNTIFS(allFYsTable[Code], SummaryTable[[#This Row],[Code]], allFYsTable[year2], ED$3)=0, NotFound, SUMIFS(allFYsTable[RevisedBudget], allFYsTable[Code], SummaryTable[[#This Row],[Code]], allFYsTable[year2], ED$3))</f>
        <v>#N/A</v>
      </c>
      <c r="EH184" s="61" t="e">
        <f>IF(COUNTIFS(allFYsTable[Code], SummaryTable[[#This Row],[Code]], allFYsTable[year2], ED$3)=0, NotFound, SUMIFS(allFYsTable[Actual], allFYsTable[Code], SummaryTable[[#This Row],[Code]], allFYsTable[year2], ED$3))</f>
        <v>#N/A</v>
      </c>
      <c r="EI184" s="61" t="e">
        <f>IF(COUNTIFS(allFYsTable[Code], SummaryTable[[#This Row],[Code]], allFYsTable[year2], ED$3)=0, NotFound, SUMIFS(allFYsTable[DiffAmount], allFYsTable[Code], SummaryTable[[#This Row],[Code]], allFYsTable[year2], ED$3))</f>
        <v>#N/A</v>
      </c>
      <c r="EJ184" s="63" t="e">
        <f>IF(SummaryTable[[#This Row],[OriginalBudget10]]=0, IF(SummaryTable[[#This Row],[DiffAmount10]]=0, ZeroBudgetNoSpending, ZeroBudgetWithSpending), SummaryTable[[#This Row],[DiffAmount10]]/SummaryTable[[#This Row],[OriginalBudget10]])</f>
        <v>#N/A</v>
      </c>
      <c r="EK184" s="62" t="e">
        <f>IF(COUNTIFS(allFYsTable[Code], SummaryTable[[#This Row],[Code]], allFYsTable[year2], EK$3)=0, NotFound, SUMIFS(allFYsTable[OriginalBudget], allFYsTable[Code], SummaryTable[[#This Row],[Code]], allFYsTable[year2], EK$3))</f>
        <v>#N/A</v>
      </c>
      <c r="EL184" s="61" t="e">
        <f>SummaryTable[[#This Row],[OriginalBudget09]]-SummaryTable[[#This Row],[OriginalBudget08]]</f>
        <v>#N/A</v>
      </c>
      <c r="EM184" s="54" t="e">
        <f>SummaryTable[[#This Row],[BudgetIncreaseAmount09]]/SummaryTable[[#This Row],[OriginalBudget08]]</f>
        <v>#N/A</v>
      </c>
      <c r="EN184" s="61" t="e">
        <f>IF(COUNTIFS(allFYsTable[Code], SummaryTable[[#This Row],[Code]], allFYsTable[year2], EK$3)=0, NotFound, SUMIFS(allFYsTable[RevisedBudget], allFYsTable[Code], SummaryTable[[#This Row],[Code]], allFYsTable[year2], EK$3))</f>
        <v>#N/A</v>
      </c>
      <c r="EO184" s="61" t="e">
        <f>IF(COUNTIFS(allFYsTable[Code], SummaryTable[[#This Row],[Code]], allFYsTable[year2], EK$3)=0, NotFound, SUMIFS(allFYsTable[Actual], allFYsTable[Code], SummaryTable[[#This Row],[Code]], allFYsTable[year2], EK$3))</f>
        <v>#N/A</v>
      </c>
      <c r="EP184" s="61" t="e">
        <f>IF(COUNTIFS(allFYsTable[Code], SummaryTable[[#This Row],[Code]], allFYsTable[year2], EK$3)=0, NotFound, SUMIFS(allFYsTable[DiffAmount], allFYsTable[Code], SummaryTable[[#This Row],[Code]], allFYsTable[year2], EK$3))</f>
        <v>#N/A</v>
      </c>
      <c r="EQ184" s="63" t="e">
        <f>IF(SummaryTable[[#This Row],[OriginalBudget09]]=0, IF(SummaryTable[[#This Row],[DiffAmount09]]=0, ZeroBudgetNoSpending, ZeroBudgetWithSpending), SummaryTable[[#This Row],[DiffAmount09]]/SummaryTable[[#This Row],[OriginalBudget09]])</f>
        <v>#N/A</v>
      </c>
      <c r="ER184" s="62" t="e">
        <f>IF(COUNTIFS(allFYsTable[Code], SummaryTable[[#This Row],[Code]], allFYsTable[year2], ER$3)=0, NotFound, SUMIFS(allFYsTable[OriginalBudget], allFYsTable[Code], SummaryTable[[#This Row],[Code]], allFYsTable[year2], ER$3))</f>
        <v>#N/A</v>
      </c>
      <c r="ES184" s="61" t="e">
        <f>SummaryTable[[#This Row],[OriginalBudget08]]-SummaryTable[[#This Row],[OriginalBudget07]]</f>
        <v>#N/A</v>
      </c>
      <c r="ET184" s="54" t="e">
        <f>SummaryTable[[#This Row],[BudgetIncreaseAmount08]]/SummaryTable[[#This Row],[OriginalBudget07]]</f>
        <v>#N/A</v>
      </c>
      <c r="EU184" s="61" t="e">
        <f>IF(COUNTIFS(allFYsTable[Code], SummaryTable[[#This Row],[Code]], allFYsTable[year2], ER$3)=0, NotFound, SUMIFS(allFYsTable[RevisedBudget], allFYsTable[Code], SummaryTable[[#This Row],[Code]], allFYsTable[year2], ER$3))</f>
        <v>#N/A</v>
      </c>
      <c r="EV184" s="61" t="e">
        <f>IF(COUNTIFS(allFYsTable[Code], SummaryTable[[#This Row],[Code]], allFYsTable[year2], ER$3)=0, NotFound, SUMIFS(allFYsTable[Actual], allFYsTable[Code], SummaryTable[[#This Row],[Code]], allFYsTable[year2], ER$3))</f>
        <v>#N/A</v>
      </c>
      <c r="EW184" s="61" t="e">
        <f>IF(COUNTIFS(allFYsTable[Code], SummaryTable[[#This Row],[Code]], allFYsTable[year2], ER$3)=0, NotFound, SUMIFS(allFYsTable[DiffAmount], allFYsTable[Code], SummaryTable[[#This Row],[Code]], allFYsTable[year2], ER$3))</f>
        <v>#N/A</v>
      </c>
      <c r="EX184" s="63" t="e">
        <f>IF(SummaryTable[[#This Row],[OriginalBudget08]]=0, IF(SummaryTable[[#This Row],[DiffAmount08]]=0, ZeroBudgetNoSpending, ZeroBudgetWithSpending), SummaryTable[[#This Row],[DiffAmount08]]/SummaryTable[[#This Row],[OriginalBudget08]])</f>
        <v>#N/A</v>
      </c>
      <c r="EY184" s="62" t="e">
        <f>IF(COUNTIFS(allFYsTable[Code], SummaryTable[[#This Row],[Code]], allFYsTable[year2], EY$3)=0, NotFound, SUMIFS(allFYsTable[OriginalBudget], allFYsTable[Code], SummaryTable[[#This Row],[Code]], allFYsTable[year2], EY$3))</f>
        <v>#N/A</v>
      </c>
      <c r="EZ184" s="61" t="e">
        <f>SummaryTable[[#This Row],[OriginalBudget07]]-SummaryTable[[#This Row],[OriginalBudget06]]</f>
        <v>#N/A</v>
      </c>
      <c r="FA184" s="54" t="e">
        <f>SummaryTable[[#This Row],[BudgetIncreaseAmount07]]/SummaryTable[[#This Row],[OriginalBudget06]]</f>
        <v>#N/A</v>
      </c>
      <c r="FB184" s="61" t="e">
        <f>IF(COUNTIFS(allFYsTable[Code], SummaryTable[[#This Row],[Code]], allFYsTable[year2], EY$3)=0, NotFound, SUMIFS(allFYsTable[RevisedBudget], allFYsTable[Code], SummaryTable[[#This Row],[Code]], allFYsTable[year2], EY$3))</f>
        <v>#N/A</v>
      </c>
      <c r="FC184" s="61" t="e">
        <f>IF(COUNTIFS(allFYsTable[Code], SummaryTable[[#This Row],[Code]], allFYsTable[year2], EY$3)=0, NotFound, SUMIFS(allFYsTable[Actual], allFYsTable[Code], SummaryTable[[#This Row],[Code]], allFYsTable[year2], EY$3))</f>
        <v>#N/A</v>
      </c>
      <c r="FD184" s="61" t="e">
        <f>IF(COUNTIFS(allFYsTable[Code], SummaryTable[[#This Row],[Code]], allFYsTable[year2], EY$3)=0, NotFound, SUMIFS(allFYsTable[DiffAmount], allFYsTable[Code], SummaryTable[[#This Row],[Code]], allFYsTable[year2], EY$3))</f>
        <v>#N/A</v>
      </c>
      <c r="FE184" s="63" t="e">
        <f>IF(SummaryTable[[#This Row],[OriginalBudget07]]=0, IF(SummaryTable[[#This Row],[DiffAmount07]]=0, ZeroBudgetNoSpending, ZeroBudgetWithSpending), SummaryTable[[#This Row],[DiffAmount07]]/SummaryTable[[#This Row],[OriginalBudget07]])</f>
        <v>#N/A</v>
      </c>
      <c r="FF184" s="62">
        <f>IF(COUNTIFS(allFYsTable[Code], SummaryTable[[#This Row],[Code]], allFYsTable[year2], FF$3)=0, NotFound, SUMIFS(allFYsTable[OriginalBudget], allFYsTable[Code], SummaryTable[[#This Row],[Code]], allFYsTable[year2], FF$3))</f>
        <v>4200</v>
      </c>
      <c r="FI184" s="61">
        <f>IF(COUNTIFS(allFYsTable[Code], SummaryTable[[#This Row],[Code]], allFYsTable[year2], FF$3)=0, NotFound, SUMIFS(allFYsTable[RevisedBudget], allFYsTable[Code], SummaryTable[[#This Row],[Code]], allFYsTable[year2], FF$3))</f>
        <v>1090</v>
      </c>
      <c r="FJ184" s="61">
        <f>IF(COUNTIFS(allFYsTable[Code], SummaryTable[[#This Row],[Code]], allFYsTable[year2], FF$3)=0, NotFound, SUMIFS(allFYsTable[Actual], allFYsTable[Code], SummaryTable[[#This Row],[Code]], allFYsTable[year2], FF$3))</f>
        <v>0</v>
      </c>
      <c r="FK184" s="61">
        <f>IF(COUNTIFS(allFYsTable[Code], SummaryTable[[#This Row],[Code]], allFYsTable[year2], FF$3)=0, NotFound, SUMIFS(allFYsTable[DiffAmount], allFYsTable[Code], SummaryTable[[#This Row],[Code]], allFYsTable[year2], FF$3))</f>
        <v>-4200</v>
      </c>
      <c r="FL184" s="63">
        <f>IF(SummaryTable[[#This Row],[OriginalBudget06]]=0, IF(SummaryTable[[#This Row],[DiffAmount06]]=0, ZeroBudgetNoSpending, ZeroBudgetWithSpending), SummaryTable[[#This Row],[DiffAmount06]]/SummaryTable[[#This Row],[OriginalBudget06]])</f>
        <v>-1</v>
      </c>
    </row>
    <row r="185" spans="1:168" x14ac:dyDescent="0.45">
      <c r="A185" t="s">
        <v>837</v>
      </c>
      <c r="B185">
        <f>_xlfn.MAXIFS(allFYsTable[year2], allFYsTable[Code], SummaryTable[[#This Row],[Code]])</f>
        <v>2006</v>
      </c>
      <c r="C185" t="str">
        <f>_xlfn.XLOOKUP(SummaryTable[[#This Row],[Code]], NameCodingTable[Code], NameCodingTable[Most Recent Category per allFYs])</f>
        <v>Public education system</v>
      </c>
      <c r="D185" t="str">
        <f>_xlfn.XLOOKUP(SummaryTable[[#This Row],[Code]], NameCodingTable[Code], NameCodingTable[Unit Display Name])</f>
        <v>District educational investment fund</v>
      </c>
      <c r="E185" t="str">
        <f>_xlfn.XLOOKUP(SummaryTable[[#This Row],[Code]], NameCodingTable[Code], NameCodingTable[Type])</f>
        <v>untyped</v>
      </c>
      <c r="F185"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85"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85" s="54">
        <f>SummaryTable[[#This Row],['# Over]]/SummaryTable[[#This Row],[Count]]</f>
        <v>0</v>
      </c>
      <c r="I185"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1</v>
      </c>
      <c r="J185" s="54">
        <f>SummaryTable[[#This Row],['# Under]]/SummaryTable[[#This Row],[Count]]</f>
        <v>1</v>
      </c>
      <c r="K185"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85" s="54">
        <f>SummaryTable[[#This Row],['# Equal]]/SummaryTable[[#This Row],[Count]]</f>
        <v>0</v>
      </c>
      <c r="M185" s="61">
        <f>SUMIFS(allFYsTable[OriginalBudget],allFYsTable[Code],SummaryTable[[#This Row],[Code]])/SummaryTable[[#This Row],[Count]]</f>
        <v>21000</v>
      </c>
      <c r="N185" s="61">
        <f>SUMIFS(allFYsTable[Actual],allFYsTable[Code],SummaryTable[[#This Row],[Code]])/SummaryTable[[#This Row],[Count]]</f>
        <v>0</v>
      </c>
      <c r="O185" s="61">
        <f>SummaryTable[[#This Row],[AvgActAmt]]-SummaryTable[[#This Row],[AvgBudAmt]]</f>
        <v>-21000</v>
      </c>
      <c r="P185" s="54">
        <f>IF(SummaryTable[[#This Row],[AvgBudAmt]]=0, IF(SummaryTable[[#This Row],[AvgDiff'#]]=0, 0, NamedFields!$C$3), SummaryTable[[#This Row],[AvgDiff'#]]/SummaryTable[[#This Row],[AvgBudAmt]])</f>
        <v>-1</v>
      </c>
      <c r="Q185" s="61">
        <f>IFERROR(SUMIFS(allFYsTable[OriginalBudget],allFYsTable[Code],SummaryTable[[#This Row],[Code]],allFYsTable[DiffAmount], "&gt;0")/SummaryTable[[#This Row],['# Over]], 0)</f>
        <v>0</v>
      </c>
      <c r="R185" s="61">
        <f>IFERROR(SUMIFS(allFYsTable[Actual],allFYsTable[Code],SummaryTable[[#This Row],[Code]],allFYsTable[DiffAmount], "&gt;0")/SummaryTable[[#This Row],['# Over]], 0)</f>
        <v>0</v>
      </c>
      <c r="S185" s="61">
        <f>SummaryTable[[#This Row],[OverAvgAct]]-SummaryTable[[#This Row],[OverAvgBud]]</f>
        <v>0</v>
      </c>
      <c r="T185" s="54">
        <f>IF(SummaryTable[[#This Row],[OverAvgBud]]=0, IF(SummaryTable[[#This Row],[OverAvgDiff'#]]=0, ZeroBudgetNoSpending, ZeroBudgetWithSpending), SummaryTable[[#This Row],[OverAvgDiff'#]]/SummaryTable[[#This Row],[OverAvgBud]])</f>
        <v>0</v>
      </c>
      <c r="U185" s="61">
        <f>IFERROR(SUMIFS(allFYsTable[OriginalBudget],allFYsTable[Code],SummaryTable[[#This Row],[Code]],allFYsTable[DiffAmount], "&lt;0")/SummaryTable[[#This Row],['# Under]], 0)</f>
        <v>21000</v>
      </c>
      <c r="V185" s="61">
        <f>IFERROR( SUMIFS(allFYsTable[Actual],allFYsTable[Code],SummaryTable[[#This Row],[Code]],allFYsTable[DiffAmount], "&lt;0")/SummaryTable[[#This Row],['# Under]], 0)</f>
        <v>0</v>
      </c>
      <c r="W185" s="61">
        <f>SummaryTable[[#This Row],[UnderAvgAct]]-SummaryTable[[#This Row],[UnderAvgBud]]</f>
        <v>-21000</v>
      </c>
      <c r="X185" s="54">
        <f>IF(SummaryTable[[#This Row],[UnderAvgBud]]=0, IF(SummaryTable[[#This Row],[UnderAvgDiff'#]]=0, ZeroBudgetNoSpending, NamedFields!$C$3), SummaryTable[[#This Row],[UnderAvgDiff'#]]/SummaryTable[[#This Row],[UnderAvgBud]])</f>
        <v>-1</v>
      </c>
      <c r="Y185"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85"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5" s="54">
        <f>IF(SummaryTable[[#This Row],[IncreaseYears]]=0, ZeroBudgetNoSpending, SummaryTable[[#This Row],[OSinIncreaseYear'#]]/SummaryTable[[#This Row],[IncreaseYears]])</f>
        <v>0</v>
      </c>
      <c r="AB185" s="58" t="str">
        <f>SummaryTable[[#This Row],[Code]]</f>
        <v>GI0</v>
      </c>
      <c r="AC185" s="62" t="e">
        <f>IF(COUNTIFS(allFYsTable[Code], SummaryTable[[#This Row],[Code]], allFYsTable[year2], AC$3)=0, NotFound, SUMIFS(allFYsTable[OriginalBudget], allFYsTable[Code], SummaryTable[[#This Row],[Code]], allFYsTable[year2], AC$3))</f>
        <v>#N/A</v>
      </c>
      <c r="AD185" s="61" t="e">
        <f>SummaryTable[[#This Row],[OriginalBudget25]]-SummaryTable[[#This Row],[OriginalBudget24]]</f>
        <v>#N/A</v>
      </c>
      <c r="AE185" s="54" t="e">
        <f>SummaryTable[[#This Row],[BudgetIncreaseAmount25]]/SummaryTable[[#This Row],[OriginalBudget24]]</f>
        <v>#N/A</v>
      </c>
      <c r="AF185" s="61" t="e">
        <f>IF(COUNTIFS(allFYsTable[Code], SummaryTable[[#This Row],[Code]], allFYsTable[year2], AC$3)=0, NotFound, SUMIFS(allFYsTable[RevisedBudget], allFYsTable[Code], SummaryTable[[#This Row],[Code]], allFYsTable[year2], AC$3))</f>
        <v>#N/A</v>
      </c>
      <c r="AG185" s="61" t="e">
        <f>IF(COUNTIFS(allFYsTable[Code], SummaryTable[[#This Row],[Code]], allFYsTable[year2], AC$3)=0, NotFound, SUMIFS(allFYsTable[Actual], allFYsTable[Code], SummaryTable[[#This Row],[Code]], allFYsTable[year2], AC$3))</f>
        <v>#N/A</v>
      </c>
      <c r="AH185" s="61" t="e">
        <f>IF(COUNTIFS(allFYsTable[Code], SummaryTable[[#This Row],[Code]], allFYsTable[year2], AC$3)=0, NotFound, SUMIFS(allFYsTable[DiffAmount], allFYsTable[Code], SummaryTable[[#This Row],[Code]], allFYsTable[year2], AC$3))</f>
        <v>#N/A</v>
      </c>
      <c r="AI185" s="63" t="e">
        <f>IF(SummaryTable[[#This Row],[OriginalBudget25]]=0, IF(SummaryTable[[#This Row],[DiffAmount25]]=0, ZeroBudgetNoSpending, ZeroBudgetWithSpending), SummaryTable[[#This Row],[DiffAmount25]]/SummaryTable[[#This Row],[OriginalBudget25]])</f>
        <v>#N/A</v>
      </c>
      <c r="AJ185" s="62" t="e">
        <f>IF(COUNTIFS(allFYsTable[Code], SummaryTable[[#This Row],[Code]], allFYsTable[year2], AJ$3)=0, NotFound, SUMIFS(allFYsTable[OriginalBudget], allFYsTable[Code], SummaryTable[[#This Row],[Code]], allFYsTable[year2], AJ$3))</f>
        <v>#N/A</v>
      </c>
      <c r="AK185" s="61" t="e">
        <f>SummaryTable[[#This Row],[OriginalBudget24]]-SummaryTable[[#This Row],[OriginalBudget23]]</f>
        <v>#N/A</v>
      </c>
      <c r="AL185" s="54" t="e">
        <f>SummaryTable[[#This Row],[BudgetIncreaseAmount24]]/SummaryTable[[#This Row],[OriginalBudget23]]</f>
        <v>#N/A</v>
      </c>
      <c r="AM185" s="61" t="e">
        <f>IF(COUNTIFS(allFYsTable[Code], SummaryTable[[#This Row],[Code]], allFYsTable[year2], AK$3)=0, NotFound, SUMIFS(allFYsTable[RevisedBudget], allFYsTable[Code], SummaryTable[[#This Row],[Code]], allFYsTable[year2], AJ$3))</f>
        <v>#N/A</v>
      </c>
      <c r="AN185" s="61" t="e">
        <f>IF(COUNTIFS(allFYsTable[Code], SummaryTable[[#This Row],[Code]], allFYsTable[year2], AJ$3)=0, NotFound, SUMIFS(allFYsTable[Actual], allFYsTable[Code], SummaryTable[[#This Row],[Code]], allFYsTable[year2], AJ$3))</f>
        <v>#N/A</v>
      </c>
      <c r="AO185" s="61" t="e">
        <f>IF(COUNTIFS(allFYsTable[Code], SummaryTable[[#This Row],[Code]], allFYsTable[year2], AJ$3)=0, NotFound, SUMIFS(allFYsTable[DiffAmount], allFYsTable[Code], SummaryTable[[#This Row],[Code]], allFYsTable[year2], AJ$3))</f>
        <v>#N/A</v>
      </c>
      <c r="AP185" s="63" t="e">
        <f>IF(SummaryTable[[#This Row],[OriginalBudget24]]=0, IF(SummaryTable[[#This Row],[DiffAmount24]]=0, ZeroBudgetNoSpending, ZeroBudgetWithSpending), SummaryTable[[#This Row],[DiffAmount24]]/SummaryTable[[#This Row],[OriginalBudget24]])</f>
        <v>#N/A</v>
      </c>
      <c r="AQ185" s="62" t="e">
        <f>IF(COUNTIFS(allFYsTable[Code], SummaryTable[[#This Row],[Code]], allFYsTable[year2], AQ$3)=0, NotFound, SUMIFS(allFYsTable[OriginalBudget], allFYsTable[Code], SummaryTable[[#This Row],[Code]], allFYsTable[year2], AQ$3))</f>
        <v>#N/A</v>
      </c>
      <c r="AR185" s="61" t="e">
        <f>SummaryTable[[#This Row],[OriginalBudget23]]-SummaryTable[[#This Row],[OriginalBudget22]]</f>
        <v>#N/A</v>
      </c>
      <c r="AS185" s="54" t="e">
        <f>SummaryTable[[#This Row],[BudgetIncreaseAmount23]]/SummaryTable[[#This Row],[OriginalBudget22]]</f>
        <v>#N/A</v>
      </c>
      <c r="AT185" s="61" t="e">
        <f>IF(COUNTIFS(allFYsTable[Code], SummaryTable[[#This Row],[Code]], allFYsTable[year2], AQ$3)=0, NotFound, SUMIFS(allFYsTable[RevisedBudget], allFYsTable[Code], SummaryTable[[#This Row],[Code]], allFYsTable[year2], AQ$3))</f>
        <v>#N/A</v>
      </c>
      <c r="AU185" s="61" t="e">
        <f>IF(COUNTIFS(allFYsTable[Code], SummaryTable[[#This Row],[Code]], allFYsTable[year2], AQ$3)=0, NotFound, SUMIFS(allFYsTable[Actual], allFYsTable[Code], SummaryTable[[#This Row],[Code]], allFYsTable[year2], AQ$3))</f>
        <v>#N/A</v>
      </c>
      <c r="AV185" s="61" t="e">
        <f>IF(COUNTIFS(allFYsTable[Code], SummaryTable[[#This Row],[Code]], allFYsTable[year2], AQ$3)=0, NotFound, SUMIFS(allFYsTable[DiffAmount], allFYsTable[Code], SummaryTable[[#This Row],[Code]], allFYsTable[year2], AQ$3))</f>
        <v>#N/A</v>
      </c>
      <c r="AW185" s="63" t="e">
        <f>IF(SummaryTable[[#This Row],[OriginalBudget23]]=0, IF(SummaryTable[[#This Row],[DiffAmount23]]=0, ZeroBudgetNoSpending, ZeroBudgetWithSpending), SummaryTable[[#This Row],[DiffAmount23]]/SummaryTable[[#This Row],[OriginalBudget23]])</f>
        <v>#N/A</v>
      </c>
      <c r="AX185" s="62" t="e">
        <f>IF(COUNTIFS(allFYsTable[Code], SummaryTable[[#This Row],[Code]], allFYsTable[year2], AX$3)=0, NotFound, SUMIFS(allFYsTable[OriginalBudget], allFYsTable[Code], SummaryTable[[#This Row],[Code]], allFYsTable[year2], AX$3))</f>
        <v>#N/A</v>
      </c>
      <c r="AY185" s="61" t="e">
        <f>SummaryTable[[#This Row],[OriginalBudget22]]-SummaryTable[[#This Row],[OriginalBudget21]]</f>
        <v>#N/A</v>
      </c>
      <c r="AZ185" s="54" t="e">
        <f>SummaryTable[[#This Row],[BudgetIncreaseAmount22]]/SummaryTable[[#This Row],[OriginalBudget21]]</f>
        <v>#N/A</v>
      </c>
      <c r="BA185" s="61" t="e">
        <f>IF(COUNTIFS(allFYsTable[Code], SummaryTable[[#This Row],[Code]], allFYsTable[year2], AX$3)=0, NotFound, SUMIFS(allFYsTable[RevisedBudget], allFYsTable[Code], SummaryTable[[#This Row],[Code]], allFYsTable[year2], AX$3))</f>
        <v>#N/A</v>
      </c>
      <c r="BB185" s="61" t="e">
        <f>IF(COUNTIFS(allFYsTable[Code], SummaryTable[[#This Row],[Code]], allFYsTable[year2], AX$3)=0, NotFound, SUMIFS(allFYsTable[Actual], allFYsTable[Code], SummaryTable[[#This Row],[Code]], allFYsTable[year2], AX$3))</f>
        <v>#N/A</v>
      </c>
      <c r="BC185" s="61" t="e">
        <f>IF(COUNTIFS(allFYsTable[Code], SummaryTable[[#This Row],[Code]], allFYsTable[year2], AX$3)=0, NotFound, SUMIFS(allFYsTable[DiffAmount], allFYsTable[Code], SummaryTable[[#This Row],[Code]], allFYsTable[year2], AX$3))</f>
        <v>#N/A</v>
      </c>
      <c r="BD185" s="63" t="e">
        <f>IF(SummaryTable[[#This Row],[OriginalBudget22]]=0, IF(SummaryTable[[#This Row],[DiffAmount22]]=0, ZeroBudgetNoSpending, ZeroBudgetWithSpending), SummaryTable[[#This Row],[DiffAmount22]]/SummaryTable[[#This Row],[OriginalBudget22]])</f>
        <v>#N/A</v>
      </c>
      <c r="BE185" s="62" t="e">
        <f>IF(COUNTIFS(allFYsTable[Code], SummaryTable[[#This Row],[Code]], allFYsTable[year2], BE$3)=0, NotFound, SUMIFS(allFYsTable[OriginalBudget], allFYsTable[Code], SummaryTable[[#This Row],[Code]], allFYsTable[year2], BE$3))</f>
        <v>#N/A</v>
      </c>
      <c r="BF185" s="61" t="e">
        <f>SummaryTable[[#This Row],[OriginalBudget21]]-SummaryTable[[#This Row],[OriginalBudget20]]</f>
        <v>#N/A</v>
      </c>
      <c r="BG185" s="54" t="e">
        <f>SummaryTable[[#This Row],[BudgetIncreaseAmount21]]/SummaryTable[[#This Row],[OriginalBudget20]]</f>
        <v>#N/A</v>
      </c>
      <c r="BH185" s="61" t="e">
        <f>IF(COUNTIFS(allFYsTable[Code], SummaryTable[[#This Row],[Code]], allFYsTable[year2], BE$3)=0, NotFound, SUMIFS(allFYsTable[RevisedBudget], allFYsTable[Code], SummaryTable[[#This Row],[Code]], allFYsTable[year2], BE$3))</f>
        <v>#N/A</v>
      </c>
      <c r="BI185" s="61" t="e">
        <f>IF(COUNTIFS(allFYsTable[Code], SummaryTable[[#This Row],[Code]], allFYsTable[year2], BE$3)=0, NotFound, SUMIFS(allFYsTable[Actual], allFYsTable[Code], SummaryTable[[#This Row],[Code]], allFYsTable[year2], BE$3))</f>
        <v>#N/A</v>
      </c>
      <c r="BJ185" s="61" t="e">
        <f>IF(COUNTIFS(allFYsTable[Code], SummaryTable[[#This Row],[Code]], allFYsTable[year2], BE$3)=0, NotFound, SUMIFS(allFYsTable[DiffAmount], allFYsTable[Code], SummaryTable[[#This Row],[Code]], allFYsTable[year2], BE$3))</f>
        <v>#N/A</v>
      </c>
      <c r="BK185" s="63" t="e">
        <f>IF(SummaryTable[[#This Row],[OriginalBudget21]]=0, IF(SummaryTable[[#This Row],[DiffAmount21]]=0, ZeroBudgetNoSpending, ZeroBudgetWithSpending), SummaryTable[[#This Row],[DiffAmount21]]/SummaryTable[[#This Row],[OriginalBudget21]])</f>
        <v>#N/A</v>
      </c>
      <c r="BL185" s="62" t="e">
        <f>IF(COUNTIFS(allFYsTable[Code], SummaryTable[[#This Row],[Code]], allFYsTable[year2], BL$3)=0, NotFound, SUMIFS(allFYsTable[OriginalBudget], allFYsTable[Code], SummaryTable[[#This Row],[Code]], allFYsTable[year2], BL$3))</f>
        <v>#N/A</v>
      </c>
      <c r="BM185" s="61" t="e">
        <f>SummaryTable[[#This Row],[OriginalBudget20]]-SummaryTable[[#This Row],[OriginalBudget19]]</f>
        <v>#N/A</v>
      </c>
      <c r="BN185" s="54" t="e">
        <f>SummaryTable[[#This Row],[BudgetIncreaseAmount20]]/SummaryTable[[#This Row],[OriginalBudget19]]</f>
        <v>#N/A</v>
      </c>
      <c r="BO185" s="61" t="e">
        <f>IF(COUNTIFS(allFYsTable[Code], SummaryTable[[#This Row],[Code]], allFYsTable[year2], BL$3)=0, NotFound, SUMIFS(allFYsTable[RevisedBudget], allFYsTable[Code], SummaryTable[[#This Row],[Code]], allFYsTable[year2], BL$3))</f>
        <v>#N/A</v>
      </c>
      <c r="BP185" s="61" t="e">
        <f>IF(COUNTIFS(allFYsTable[Code], SummaryTable[[#This Row],[Code]], allFYsTable[year2], BL$3)=0, NotFound, SUMIFS(allFYsTable[Actual], allFYsTable[Code], SummaryTable[[#This Row],[Code]], allFYsTable[year2], BL$3))</f>
        <v>#N/A</v>
      </c>
      <c r="BQ185" s="61" t="e">
        <f>IF(COUNTIFS(allFYsTable[Code], SummaryTable[[#This Row],[Code]], allFYsTable[year2], BL$3)=0, NotFound, SUMIFS(allFYsTable[DiffAmount], allFYsTable[Code], SummaryTable[[#This Row],[Code]], allFYsTable[year2], BL$3))</f>
        <v>#N/A</v>
      </c>
      <c r="BR185" s="63" t="e">
        <f>IF(SummaryTable[[#This Row],[OriginalBudget20]]=0, IF(SummaryTable[[#This Row],[DiffAmount20]]=0, ZeroBudgetNoSpending, ZeroBudgetWithSpending), SummaryTable[[#This Row],[DiffAmount20]]/SummaryTable[[#This Row],[OriginalBudget20]])</f>
        <v>#N/A</v>
      </c>
      <c r="BS185" s="62" t="e">
        <f>IF(COUNTIFS(allFYsTable[Code], SummaryTable[[#This Row],[Code]], allFYsTable[year2], BS$3)=0, NotFound, SUMIFS(allFYsTable[OriginalBudget], allFYsTable[Code], SummaryTable[[#This Row],[Code]], allFYsTable[year2], BS$3))</f>
        <v>#N/A</v>
      </c>
      <c r="BT185" s="61" t="e">
        <f>SummaryTable[[#This Row],[OriginalBudget19]]-SummaryTable[[#This Row],[OriginalBudget18]]</f>
        <v>#N/A</v>
      </c>
      <c r="BU185" s="54" t="e">
        <f>SummaryTable[[#This Row],[BudgetIncreaseAmount19]]/SummaryTable[[#This Row],[OriginalBudget18]]</f>
        <v>#N/A</v>
      </c>
      <c r="BV185" s="61" t="e">
        <f>IF(COUNTIFS(allFYsTable[Code], SummaryTable[[#This Row],[Code]], allFYsTable[year2], BS$3)=0, NotFound, SUMIFS(allFYsTable[RevisedBudget], allFYsTable[Code], SummaryTable[[#This Row],[Code]], allFYsTable[year2], BS$3))</f>
        <v>#N/A</v>
      </c>
      <c r="BW185" s="61" t="e">
        <f>IF(COUNTIFS(allFYsTable[Code], SummaryTable[[#This Row],[Code]], allFYsTable[year2], BS$3)=0, NotFound, SUMIFS(allFYsTable[Actual], allFYsTable[Code], SummaryTable[[#This Row],[Code]], allFYsTable[year2], BS$3))</f>
        <v>#N/A</v>
      </c>
      <c r="BX185" s="61" t="e">
        <f>IF(COUNTIFS(allFYsTable[Code], SummaryTable[[#This Row],[Code]], allFYsTable[year2], BS$3)=0, NotFound, SUMIFS(allFYsTable[DiffAmount], allFYsTable[Code], SummaryTable[[#This Row],[Code]], allFYsTable[year2], BS$3))</f>
        <v>#N/A</v>
      </c>
      <c r="BY185" s="63" t="e">
        <f>IF(SummaryTable[[#This Row],[OriginalBudget19]]=0, IF(SummaryTable[[#This Row],[DiffAmount19]]=0, ZeroBudgetNoSpending, ZeroBudgetWithSpending), SummaryTable[[#This Row],[DiffAmount19]]/SummaryTable[[#This Row],[OriginalBudget19]])</f>
        <v>#N/A</v>
      </c>
      <c r="BZ185" s="62" t="e">
        <f>IF(COUNTIFS(allFYsTable[Code], SummaryTable[[#This Row],[Code]], allFYsTable[year2], BZ$3)=0, NotFound, SUMIFS(allFYsTable[OriginalBudget], allFYsTable[Code], SummaryTable[[#This Row],[Code]], allFYsTable[year2], BZ$3))</f>
        <v>#N/A</v>
      </c>
      <c r="CA185" s="61" t="e">
        <f>SummaryTable[[#This Row],[OriginalBudget18]]-SummaryTable[[#This Row],[OriginalBudget17]]</f>
        <v>#N/A</v>
      </c>
      <c r="CB185" s="54" t="e">
        <f>SummaryTable[[#This Row],[BudgetIncreaseAmount18]]/SummaryTable[[#This Row],[OriginalBudget17]]</f>
        <v>#N/A</v>
      </c>
      <c r="CC185" s="61" t="e">
        <f>IF(COUNTIFS(allFYsTable[Code], SummaryTable[[#This Row],[Code]], allFYsTable[year2], BZ$3)=0, NotFound, SUMIFS(allFYsTable[RevisedBudget], allFYsTable[Code], SummaryTable[[#This Row],[Code]], allFYsTable[year2], BZ$3))</f>
        <v>#N/A</v>
      </c>
      <c r="CD185" s="61" t="e">
        <f>IF(COUNTIFS(allFYsTable[Code], SummaryTable[[#This Row],[Code]], allFYsTable[year2], BZ$3)=0, NotFound, SUMIFS(allFYsTable[Actual], allFYsTable[Code], SummaryTable[[#This Row],[Code]], allFYsTable[year2], BZ$3))</f>
        <v>#N/A</v>
      </c>
      <c r="CE185" s="61" t="e">
        <f>IF(COUNTIFS(allFYsTable[Code], SummaryTable[[#This Row],[Code]], allFYsTable[year2], BZ$3)=0, NotFound, SUMIFS(allFYsTable[DiffAmount], allFYsTable[Code], SummaryTable[[#This Row],[Code]], allFYsTable[year2], BZ$3))</f>
        <v>#N/A</v>
      </c>
      <c r="CF185" s="63" t="e">
        <f>IF(SummaryTable[[#This Row],[OriginalBudget18]]=0, IF(SummaryTable[[#This Row],[DiffAmount18]]=0, ZeroBudgetNoSpending, ZeroBudgetWithSpending), SummaryTable[[#This Row],[DiffAmount18]]/SummaryTable[[#This Row],[OriginalBudget18]])</f>
        <v>#N/A</v>
      </c>
      <c r="CG185" s="62" t="e">
        <f>IF(COUNTIFS(allFYsTable[Code], SummaryTable[[#This Row],[Code]], allFYsTable[year2], CG$3)=0, NotFound, SUMIFS(allFYsTable[OriginalBudget], allFYsTable[Code], SummaryTable[[#This Row],[Code]], allFYsTable[year2], CG$3))</f>
        <v>#N/A</v>
      </c>
      <c r="CH185" s="61" t="e">
        <f>SummaryTable[[#This Row],[OriginalBudget17]]-SummaryTable[[#This Row],[OriginalBudget16]]</f>
        <v>#N/A</v>
      </c>
      <c r="CI185" s="54" t="e">
        <f>SummaryTable[[#This Row],[BudgetIncreaseAmount17]]/SummaryTable[[#This Row],[OriginalBudget16]]</f>
        <v>#N/A</v>
      </c>
      <c r="CJ185" s="61" t="e">
        <f>IF(COUNTIFS(allFYsTable[Code], SummaryTable[[#This Row],[Code]], allFYsTable[year2], CG$3)=0, NotFound, SUMIFS(allFYsTable[RevisedBudget], allFYsTable[Code], SummaryTable[[#This Row],[Code]], allFYsTable[year2], CG$3))</f>
        <v>#N/A</v>
      </c>
      <c r="CK185" s="61" t="e">
        <f>IF(COUNTIFS(allFYsTable[Code], SummaryTable[[#This Row],[Code]], allFYsTable[year2], CG$3)=0, NotFound, SUMIFS(allFYsTable[Actual], allFYsTable[Code], SummaryTable[[#This Row],[Code]], allFYsTable[year2], CG$3))</f>
        <v>#N/A</v>
      </c>
      <c r="CL185" s="61" t="e">
        <f>IF(COUNTIFS(allFYsTable[Code], SummaryTable[[#This Row],[Code]], allFYsTable[year2], CG$3)=0, NotFound, SUMIFS(allFYsTable[DiffAmount], allFYsTable[Code], SummaryTable[[#This Row],[Code]], allFYsTable[year2], CG$3))</f>
        <v>#N/A</v>
      </c>
      <c r="CM185" s="63" t="e">
        <f>IF(SummaryTable[[#This Row],[OriginalBudget17]]=0, IF(SummaryTable[[#This Row],[DiffAmount17]]=0, ZeroBudgetNoSpending, ZeroBudgetWithSpending), SummaryTable[[#This Row],[DiffAmount17]]/SummaryTable[[#This Row],[OriginalBudget17]])</f>
        <v>#N/A</v>
      </c>
      <c r="CN185" s="62" t="e">
        <f>IF(COUNTIFS(allFYsTable[Code], SummaryTable[[#This Row],[Code]], allFYsTable[year2], CN$3)=0, NotFound, SUMIFS(allFYsTable[OriginalBudget], allFYsTable[Code], SummaryTable[[#This Row],[Code]], allFYsTable[year2], CN$3))</f>
        <v>#N/A</v>
      </c>
      <c r="CO185" s="61" t="e">
        <f>SummaryTable[[#This Row],[OriginalBudget16]]-SummaryTable[[#This Row],[OriginalBudget15]]</f>
        <v>#N/A</v>
      </c>
      <c r="CP185" s="54" t="e">
        <f>SummaryTable[[#This Row],[BudgetIncreaseAmount16]]/SummaryTable[[#This Row],[OriginalBudget15]]</f>
        <v>#N/A</v>
      </c>
      <c r="CQ185" s="61" t="e">
        <f>IF(COUNTIFS(allFYsTable[Code], SummaryTable[[#This Row],[Code]], allFYsTable[year2], CN$3)=0, NotFound, SUMIFS(allFYsTable[RevisedBudget], allFYsTable[Code], SummaryTable[[#This Row],[Code]], allFYsTable[year2], CN$3))</f>
        <v>#N/A</v>
      </c>
      <c r="CR185" s="61" t="e">
        <f>IF(COUNTIFS(allFYsTable[Code], SummaryTable[[#This Row],[Code]], allFYsTable[year2], CN$3)=0, NotFound, SUMIFS(allFYsTable[Actual], allFYsTable[Code], SummaryTable[[#This Row],[Code]], allFYsTable[year2], CN$3))</f>
        <v>#N/A</v>
      </c>
      <c r="CS185" s="61" t="e">
        <f>IF(COUNTIFS(allFYsTable[Code], SummaryTable[[#This Row],[Code]], allFYsTable[year2], CN$3)=0, NotFound, SUMIFS(allFYsTable[DiffAmount], allFYsTable[Code], SummaryTable[[#This Row],[Code]], allFYsTable[year2], CN$3))</f>
        <v>#N/A</v>
      </c>
      <c r="CT185" s="63" t="e">
        <f>IF(SummaryTable[[#This Row],[OriginalBudget16]]=0, IF(SummaryTable[[#This Row],[DiffAmount16]]=0, ZeroBudgetNoSpending, ZeroBudgetWithSpending), SummaryTable[[#This Row],[DiffAmount16]]/SummaryTable[[#This Row],[OriginalBudget16]])</f>
        <v>#N/A</v>
      </c>
      <c r="CU185" s="62" t="e">
        <f>IF(COUNTIFS(allFYsTable[Code], SummaryTable[[#This Row],[Code]], allFYsTable[year2], CU$3)=0, NotFound, SUMIFS(allFYsTable[OriginalBudget], allFYsTable[Code], SummaryTable[[#This Row],[Code]], allFYsTable[year2], CU$3))</f>
        <v>#N/A</v>
      </c>
      <c r="CV185" s="61" t="e">
        <f>SummaryTable[[#This Row],[OriginalBudget15]]-SummaryTable[[#This Row],[OriginalBudget14]]</f>
        <v>#N/A</v>
      </c>
      <c r="CW185" s="54" t="e">
        <f>SummaryTable[[#This Row],[BudgetIncreaseAmount15]]/SummaryTable[[#This Row],[OriginalBudget14]]</f>
        <v>#N/A</v>
      </c>
      <c r="CX185" s="61" t="e">
        <f>IF(COUNTIFS(allFYsTable[Code], SummaryTable[[#This Row],[Code]], allFYsTable[year2], CU$3)=0, NotFound, SUMIFS(allFYsTable[RevisedBudget], allFYsTable[Code], SummaryTable[[#This Row],[Code]], allFYsTable[year2], CU$3))</f>
        <v>#N/A</v>
      </c>
      <c r="CY185" s="61" t="e">
        <f>IF(COUNTIFS(allFYsTable[Code], SummaryTable[[#This Row],[Code]], allFYsTable[year2], CU$3)=0, NotFound, SUMIFS(allFYsTable[Actual], allFYsTable[Code], SummaryTable[[#This Row],[Code]], allFYsTable[year2], CU$3))</f>
        <v>#N/A</v>
      </c>
      <c r="CZ185" s="61" t="e">
        <f>IF(COUNTIFS(allFYsTable[Code], SummaryTable[[#This Row],[Code]], allFYsTable[year2], CU$3)=0, NotFound, SUMIFS(allFYsTable[DiffAmount], allFYsTable[Code], SummaryTable[[#This Row],[Code]], allFYsTable[year2], CU$3))</f>
        <v>#N/A</v>
      </c>
      <c r="DA185" s="63" t="e">
        <f>IF(SummaryTable[[#This Row],[OriginalBudget15]]=0, IF(SummaryTable[[#This Row],[DiffAmount15]]=0, ZeroBudgetNoSpending, ZeroBudgetWithSpending), SummaryTable[[#This Row],[DiffAmount15]]/SummaryTable[[#This Row],[OriginalBudget15]])</f>
        <v>#N/A</v>
      </c>
      <c r="DB185" s="62" t="e">
        <f>IF(COUNTIFS(allFYsTable[Code], SummaryTable[[#This Row],[Code]], allFYsTable[year2], DB$3)=0, NotFound, SUMIFS(allFYsTable[OriginalBudget], allFYsTable[Code], SummaryTable[[#This Row],[Code]], allFYsTable[year2], DB$3))</f>
        <v>#N/A</v>
      </c>
      <c r="DC185" s="61" t="e">
        <f>SummaryTable[[#This Row],[OriginalBudget14]]-SummaryTable[[#This Row],[OriginalBudget13]]</f>
        <v>#N/A</v>
      </c>
      <c r="DD185" s="54" t="e">
        <f>SummaryTable[[#This Row],[BudgetIncreaseAmount14]]/SummaryTable[[#This Row],[OriginalBudget13]]</f>
        <v>#N/A</v>
      </c>
      <c r="DE185" s="61" t="e">
        <f>IF(COUNTIFS(allFYsTable[Code], SummaryTable[[#This Row],[Code]], allFYsTable[year2], DB$3)=0, NotFound, SUMIFS(allFYsTable[RevisedBudget], allFYsTable[Code], SummaryTable[[#This Row],[Code]], allFYsTable[year2], DB$3))</f>
        <v>#N/A</v>
      </c>
      <c r="DF185" s="61" t="e">
        <f>IF(COUNTIFS(allFYsTable[Code], SummaryTable[[#This Row],[Code]], allFYsTable[year2], DB$3)=0, NotFound, SUMIFS(allFYsTable[Actual], allFYsTable[Code], SummaryTable[[#This Row],[Code]], allFYsTable[year2], DB$3))</f>
        <v>#N/A</v>
      </c>
      <c r="DG185" s="61" t="e">
        <f>IF(COUNTIFS(allFYsTable[Code], SummaryTable[[#This Row],[Code]], allFYsTable[year2], DB$3)=0, NotFound, SUMIFS(allFYsTable[DiffAmount], allFYsTable[Code], SummaryTable[[#This Row],[Code]], allFYsTable[year2], DB$3))</f>
        <v>#N/A</v>
      </c>
      <c r="DH185" s="63" t="e">
        <f>IF(SummaryTable[[#This Row],[OriginalBudget14]]=0, IF(SummaryTable[[#This Row],[DiffAmount14]]=0, ZeroBudgetNoSpending, ZeroBudgetWithSpending), SummaryTable[[#This Row],[DiffAmount14]]/SummaryTable[[#This Row],[OriginalBudget14]])</f>
        <v>#N/A</v>
      </c>
      <c r="DI185" s="62" t="e">
        <f>IF(COUNTIFS(allFYsTable[Code], SummaryTable[[#This Row],[Code]], allFYsTable[year2], DI$3)=0, NotFound, SUMIFS(allFYsTable[OriginalBudget], allFYsTable[Code], SummaryTable[[#This Row],[Code]], allFYsTable[year2], DI$3))</f>
        <v>#N/A</v>
      </c>
      <c r="DJ185" s="61" t="e">
        <f>SummaryTable[[#This Row],[OriginalBudget13]]-SummaryTable[[#This Row],[OriginalBudget12]]</f>
        <v>#N/A</v>
      </c>
      <c r="DK185" s="54" t="e">
        <f>SummaryTable[[#This Row],[BudgetIncreaseAmount13]]/SummaryTable[[#This Row],[OriginalBudget12]]</f>
        <v>#N/A</v>
      </c>
      <c r="DL185" s="61" t="e">
        <f>IF(COUNTIFS(allFYsTable[Code], SummaryTable[[#This Row],[Code]], allFYsTable[year2], DI$3)=0, NotFound, SUMIFS(allFYsTable[RevisedBudget], allFYsTable[Code], SummaryTable[[#This Row],[Code]], allFYsTable[year2], DI$3))</f>
        <v>#N/A</v>
      </c>
      <c r="DM185" s="61" t="e">
        <f>IF(COUNTIFS(allFYsTable[Code], SummaryTable[[#This Row],[Code]], allFYsTable[year2], DI$3)=0, NotFound, SUMIFS(allFYsTable[Actual], allFYsTable[Code], SummaryTable[[#This Row],[Code]], allFYsTable[year2], DI$3))</f>
        <v>#N/A</v>
      </c>
      <c r="DN185" s="61" t="e">
        <f>IF(COUNTIFS(allFYsTable[Code], SummaryTable[[#This Row],[Code]], allFYsTable[year2], DI$3)=0, NotFound, SUMIFS(allFYsTable[DiffAmount], allFYsTable[Code], SummaryTable[[#This Row],[Code]], allFYsTable[year2], DI$3))</f>
        <v>#N/A</v>
      </c>
      <c r="DO185" s="63" t="e">
        <f>IF(SummaryTable[[#This Row],[OriginalBudget13]]=0, IF(SummaryTable[[#This Row],[DiffAmount13]]=0, ZeroBudgetNoSpending, ZeroBudgetWithSpending), SummaryTable[[#This Row],[DiffAmount13]]/SummaryTable[[#This Row],[OriginalBudget13]])</f>
        <v>#N/A</v>
      </c>
      <c r="DP185" s="62" t="e">
        <f>IF(COUNTIFS(allFYsTable[Code], SummaryTable[[#This Row],[Code]], allFYsTable[year2], DP$3)=0, NotFound, SUMIFS(allFYsTable[OriginalBudget], allFYsTable[Code], SummaryTable[[#This Row],[Code]], allFYsTable[year2], DP$3))</f>
        <v>#N/A</v>
      </c>
      <c r="DQ185" s="61" t="e">
        <f>SummaryTable[[#This Row],[OriginalBudget12]]-SummaryTable[[#This Row],[OriginalBudget11]]</f>
        <v>#N/A</v>
      </c>
      <c r="DR185" s="54" t="e">
        <f>SummaryTable[[#This Row],[BudgetIncreaseAmount12]]/SummaryTable[[#This Row],[OriginalBudget11]]</f>
        <v>#N/A</v>
      </c>
      <c r="DS185" s="61" t="e">
        <f>IF(COUNTIFS(allFYsTable[Code], SummaryTable[[#This Row],[Code]], allFYsTable[year2], DP$3)=0, NotFound, SUMIFS(allFYsTable[RevisedBudget], allFYsTable[Code], SummaryTable[[#This Row],[Code]], allFYsTable[year2], DP$3))</f>
        <v>#N/A</v>
      </c>
      <c r="DT185" s="61" t="e">
        <f>IF(COUNTIFS(allFYsTable[Code], SummaryTable[[#This Row],[Code]], allFYsTable[year2], DP$3)=0, NotFound, SUMIFS(allFYsTable[Actual], allFYsTable[Code], SummaryTable[[#This Row],[Code]], allFYsTable[year2], DP$3))</f>
        <v>#N/A</v>
      </c>
      <c r="DU185" s="61" t="e">
        <f>IF(COUNTIFS(allFYsTable[Code], SummaryTable[[#This Row],[Code]], allFYsTable[year2], DP$3)=0, NotFound, SUMIFS(allFYsTable[DiffAmount], allFYsTable[Code], SummaryTable[[#This Row],[Code]], allFYsTable[year2], DP$3))</f>
        <v>#N/A</v>
      </c>
      <c r="DV185" s="63" t="e">
        <f>IF(SummaryTable[[#This Row],[OriginalBudget12]]=0, IF(SummaryTable[[#This Row],[DiffAmount12]]=0, ZeroBudgetNoSpending, ZeroBudgetWithSpending), SummaryTable[[#This Row],[DiffAmount12]]/SummaryTable[[#This Row],[OriginalBudget12]])</f>
        <v>#N/A</v>
      </c>
      <c r="DW185" s="62" t="e">
        <f>IF(COUNTIFS(allFYsTable[Code], SummaryTable[[#This Row],[Code]], allFYsTable[year2], DW$3)=0, NotFound, SUMIFS(allFYsTable[OriginalBudget], allFYsTable[Code], SummaryTable[[#This Row],[Code]], allFYsTable[year2], DW$3))</f>
        <v>#N/A</v>
      </c>
      <c r="DX185" s="61" t="e">
        <f>SummaryTable[[#This Row],[OriginalBudget11]]-SummaryTable[[#This Row],[OriginalBudget10]]</f>
        <v>#N/A</v>
      </c>
      <c r="DY185" s="54" t="e">
        <f>SummaryTable[[#This Row],[BudgetIncreaseAmount11]]/SummaryTable[[#This Row],[OriginalBudget10]]</f>
        <v>#N/A</v>
      </c>
      <c r="DZ185" s="61" t="e">
        <f>IF(COUNTIFS(allFYsTable[Code], SummaryTable[[#This Row],[Code]], allFYsTable[year2], DW$3)=0, NotFound, SUMIFS(allFYsTable[RevisedBudget], allFYsTable[Code], SummaryTable[[#This Row],[Code]], allFYsTable[year2], DW$3))</f>
        <v>#N/A</v>
      </c>
      <c r="EA185" s="61" t="e">
        <f>IF(COUNTIFS(allFYsTable[Code], SummaryTable[[#This Row],[Code]], allFYsTable[year2], DW$3)=0, NotFound, SUMIFS(allFYsTable[Actual], allFYsTable[Code], SummaryTable[[#This Row],[Code]], allFYsTable[year2], DW$3))</f>
        <v>#N/A</v>
      </c>
      <c r="EB185" s="61" t="e">
        <f>IF(COUNTIFS(allFYsTable[Code], SummaryTable[[#This Row],[Code]], allFYsTable[year2], DW$3)=0, NotFound, SUMIFS(allFYsTable[DiffAmount], allFYsTable[Code], SummaryTable[[#This Row],[Code]], allFYsTable[year2], DW$3))</f>
        <v>#N/A</v>
      </c>
      <c r="EC185" s="63" t="e">
        <f>IF(SummaryTable[[#This Row],[OriginalBudget11]]=0, IF(SummaryTable[[#This Row],[DiffAmount11]]=0, ZeroBudgetNoSpending, ZeroBudgetWithSpending), SummaryTable[[#This Row],[DiffAmount11]]/SummaryTable[[#This Row],[OriginalBudget11]])</f>
        <v>#N/A</v>
      </c>
      <c r="ED185" s="62" t="e">
        <f>IF(COUNTIFS(allFYsTable[Code], SummaryTable[[#This Row],[Code]], allFYsTable[year2], ED$3)=0, NotFound, SUMIFS(allFYsTable[OriginalBudget], allFYsTable[Code], SummaryTable[[#This Row],[Code]], allFYsTable[year2], ED$3))</f>
        <v>#N/A</v>
      </c>
      <c r="EE185" s="61" t="e">
        <f>SummaryTable[[#This Row],[OriginalBudget10]]-SummaryTable[[#This Row],[OriginalBudget09]]</f>
        <v>#N/A</v>
      </c>
      <c r="EF185" s="54" t="e">
        <f>SummaryTable[[#This Row],[BudgetIncreaseAmount10]]/SummaryTable[[#This Row],[OriginalBudget09]]</f>
        <v>#N/A</v>
      </c>
      <c r="EG185" s="61" t="e">
        <f>IF(COUNTIFS(allFYsTable[Code], SummaryTable[[#This Row],[Code]], allFYsTable[year2], ED$3)=0, NotFound, SUMIFS(allFYsTable[RevisedBudget], allFYsTable[Code], SummaryTable[[#This Row],[Code]], allFYsTable[year2], ED$3))</f>
        <v>#N/A</v>
      </c>
      <c r="EH185" s="61" t="e">
        <f>IF(COUNTIFS(allFYsTable[Code], SummaryTable[[#This Row],[Code]], allFYsTable[year2], ED$3)=0, NotFound, SUMIFS(allFYsTable[Actual], allFYsTable[Code], SummaryTable[[#This Row],[Code]], allFYsTable[year2], ED$3))</f>
        <v>#N/A</v>
      </c>
      <c r="EI185" s="61" t="e">
        <f>IF(COUNTIFS(allFYsTable[Code], SummaryTable[[#This Row],[Code]], allFYsTable[year2], ED$3)=0, NotFound, SUMIFS(allFYsTable[DiffAmount], allFYsTable[Code], SummaryTable[[#This Row],[Code]], allFYsTable[year2], ED$3))</f>
        <v>#N/A</v>
      </c>
      <c r="EJ185" s="63" t="e">
        <f>IF(SummaryTable[[#This Row],[OriginalBudget10]]=0, IF(SummaryTable[[#This Row],[DiffAmount10]]=0, ZeroBudgetNoSpending, ZeroBudgetWithSpending), SummaryTable[[#This Row],[DiffAmount10]]/SummaryTable[[#This Row],[OriginalBudget10]])</f>
        <v>#N/A</v>
      </c>
      <c r="EK185" s="62" t="e">
        <f>IF(COUNTIFS(allFYsTable[Code], SummaryTable[[#This Row],[Code]], allFYsTable[year2], EK$3)=0, NotFound, SUMIFS(allFYsTable[OriginalBudget], allFYsTable[Code], SummaryTable[[#This Row],[Code]], allFYsTable[year2], EK$3))</f>
        <v>#N/A</v>
      </c>
      <c r="EL185" s="61" t="e">
        <f>SummaryTable[[#This Row],[OriginalBudget09]]-SummaryTable[[#This Row],[OriginalBudget08]]</f>
        <v>#N/A</v>
      </c>
      <c r="EM185" s="54" t="e">
        <f>SummaryTable[[#This Row],[BudgetIncreaseAmount09]]/SummaryTable[[#This Row],[OriginalBudget08]]</f>
        <v>#N/A</v>
      </c>
      <c r="EN185" s="61" t="e">
        <f>IF(COUNTIFS(allFYsTable[Code], SummaryTable[[#This Row],[Code]], allFYsTable[year2], EK$3)=0, NotFound, SUMIFS(allFYsTable[RevisedBudget], allFYsTable[Code], SummaryTable[[#This Row],[Code]], allFYsTable[year2], EK$3))</f>
        <v>#N/A</v>
      </c>
      <c r="EO185" s="61" t="e">
        <f>IF(COUNTIFS(allFYsTable[Code], SummaryTable[[#This Row],[Code]], allFYsTable[year2], EK$3)=0, NotFound, SUMIFS(allFYsTable[Actual], allFYsTable[Code], SummaryTable[[#This Row],[Code]], allFYsTable[year2], EK$3))</f>
        <v>#N/A</v>
      </c>
      <c r="EP185" s="61" t="e">
        <f>IF(COUNTIFS(allFYsTable[Code], SummaryTable[[#This Row],[Code]], allFYsTable[year2], EK$3)=0, NotFound, SUMIFS(allFYsTable[DiffAmount], allFYsTable[Code], SummaryTable[[#This Row],[Code]], allFYsTable[year2], EK$3))</f>
        <v>#N/A</v>
      </c>
      <c r="EQ185" s="63" t="e">
        <f>IF(SummaryTable[[#This Row],[OriginalBudget09]]=0, IF(SummaryTable[[#This Row],[DiffAmount09]]=0, ZeroBudgetNoSpending, ZeroBudgetWithSpending), SummaryTable[[#This Row],[DiffAmount09]]/SummaryTable[[#This Row],[OriginalBudget09]])</f>
        <v>#N/A</v>
      </c>
      <c r="ER185" s="62" t="e">
        <f>IF(COUNTIFS(allFYsTable[Code], SummaryTable[[#This Row],[Code]], allFYsTable[year2], ER$3)=0, NotFound, SUMIFS(allFYsTable[OriginalBudget], allFYsTable[Code], SummaryTable[[#This Row],[Code]], allFYsTable[year2], ER$3))</f>
        <v>#N/A</v>
      </c>
      <c r="ES185" s="61" t="e">
        <f>SummaryTable[[#This Row],[OriginalBudget08]]-SummaryTable[[#This Row],[OriginalBudget07]]</f>
        <v>#N/A</v>
      </c>
      <c r="ET185" s="54" t="e">
        <f>SummaryTable[[#This Row],[BudgetIncreaseAmount08]]/SummaryTable[[#This Row],[OriginalBudget07]]</f>
        <v>#N/A</v>
      </c>
      <c r="EU185" s="61" t="e">
        <f>IF(COUNTIFS(allFYsTable[Code], SummaryTable[[#This Row],[Code]], allFYsTable[year2], ER$3)=0, NotFound, SUMIFS(allFYsTable[RevisedBudget], allFYsTable[Code], SummaryTable[[#This Row],[Code]], allFYsTable[year2], ER$3))</f>
        <v>#N/A</v>
      </c>
      <c r="EV185" s="61" t="e">
        <f>IF(COUNTIFS(allFYsTable[Code], SummaryTable[[#This Row],[Code]], allFYsTable[year2], ER$3)=0, NotFound, SUMIFS(allFYsTable[Actual], allFYsTable[Code], SummaryTable[[#This Row],[Code]], allFYsTable[year2], ER$3))</f>
        <v>#N/A</v>
      </c>
      <c r="EW185" s="61" t="e">
        <f>IF(COUNTIFS(allFYsTable[Code], SummaryTable[[#This Row],[Code]], allFYsTable[year2], ER$3)=0, NotFound, SUMIFS(allFYsTable[DiffAmount], allFYsTable[Code], SummaryTable[[#This Row],[Code]], allFYsTable[year2], ER$3))</f>
        <v>#N/A</v>
      </c>
      <c r="EX185" s="63" t="e">
        <f>IF(SummaryTable[[#This Row],[OriginalBudget08]]=0, IF(SummaryTable[[#This Row],[DiffAmount08]]=0, ZeroBudgetNoSpending, ZeroBudgetWithSpending), SummaryTable[[#This Row],[DiffAmount08]]/SummaryTable[[#This Row],[OriginalBudget08]])</f>
        <v>#N/A</v>
      </c>
      <c r="EY185" s="62" t="e">
        <f>IF(COUNTIFS(allFYsTable[Code], SummaryTable[[#This Row],[Code]], allFYsTable[year2], EY$3)=0, NotFound, SUMIFS(allFYsTable[OriginalBudget], allFYsTable[Code], SummaryTable[[#This Row],[Code]], allFYsTable[year2], EY$3))</f>
        <v>#N/A</v>
      </c>
      <c r="EZ185" s="61" t="e">
        <f>SummaryTable[[#This Row],[OriginalBudget07]]-SummaryTable[[#This Row],[OriginalBudget06]]</f>
        <v>#N/A</v>
      </c>
      <c r="FA185" s="54" t="e">
        <f>SummaryTable[[#This Row],[BudgetIncreaseAmount07]]/SummaryTable[[#This Row],[OriginalBudget06]]</f>
        <v>#N/A</v>
      </c>
      <c r="FB185" s="61" t="e">
        <f>IF(COUNTIFS(allFYsTable[Code], SummaryTable[[#This Row],[Code]], allFYsTable[year2], EY$3)=0, NotFound, SUMIFS(allFYsTable[RevisedBudget], allFYsTable[Code], SummaryTable[[#This Row],[Code]], allFYsTable[year2], EY$3))</f>
        <v>#N/A</v>
      </c>
      <c r="FC185" s="61" t="e">
        <f>IF(COUNTIFS(allFYsTable[Code], SummaryTable[[#This Row],[Code]], allFYsTable[year2], EY$3)=0, NotFound, SUMIFS(allFYsTable[Actual], allFYsTable[Code], SummaryTable[[#This Row],[Code]], allFYsTable[year2], EY$3))</f>
        <v>#N/A</v>
      </c>
      <c r="FD185" s="61" t="e">
        <f>IF(COUNTIFS(allFYsTable[Code], SummaryTable[[#This Row],[Code]], allFYsTable[year2], EY$3)=0, NotFound, SUMIFS(allFYsTable[DiffAmount], allFYsTable[Code], SummaryTable[[#This Row],[Code]], allFYsTable[year2], EY$3))</f>
        <v>#N/A</v>
      </c>
      <c r="FE185" s="63" t="e">
        <f>IF(SummaryTable[[#This Row],[OriginalBudget07]]=0, IF(SummaryTable[[#This Row],[DiffAmount07]]=0, ZeroBudgetNoSpending, ZeroBudgetWithSpending), SummaryTable[[#This Row],[DiffAmount07]]/SummaryTable[[#This Row],[OriginalBudget07]])</f>
        <v>#N/A</v>
      </c>
      <c r="FF185" s="62">
        <f>IF(COUNTIFS(allFYsTable[Code], SummaryTable[[#This Row],[Code]], allFYsTable[year2], FF$3)=0, NotFound, SUMIFS(allFYsTable[OriginalBudget], allFYsTable[Code], SummaryTable[[#This Row],[Code]], allFYsTable[year2], FF$3))</f>
        <v>21000</v>
      </c>
      <c r="FI185" s="61">
        <f>IF(COUNTIFS(allFYsTable[Code], SummaryTable[[#This Row],[Code]], allFYsTable[year2], FF$3)=0, NotFound, SUMIFS(allFYsTable[RevisedBudget], allFYsTable[Code], SummaryTable[[#This Row],[Code]], allFYsTable[year2], FF$3))</f>
        <v>0</v>
      </c>
      <c r="FJ185" s="61">
        <f>IF(COUNTIFS(allFYsTable[Code], SummaryTable[[#This Row],[Code]], allFYsTable[year2], FF$3)=0, NotFound, SUMIFS(allFYsTable[Actual], allFYsTable[Code], SummaryTable[[#This Row],[Code]], allFYsTable[year2], FF$3))</f>
        <v>0</v>
      </c>
      <c r="FK185" s="61">
        <f>IF(COUNTIFS(allFYsTable[Code], SummaryTable[[#This Row],[Code]], allFYsTable[year2], FF$3)=0, NotFound, SUMIFS(allFYsTable[DiffAmount], allFYsTable[Code], SummaryTable[[#This Row],[Code]], allFYsTable[year2], FF$3))</f>
        <v>-21000</v>
      </c>
      <c r="FL185" s="63">
        <f>IF(SummaryTable[[#This Row],[OriginalBudget06]]=0, IF(SummaryTable[[#This Row],[DiffAmount06]]=0, ZeroBudgetNoSpending, ZeroBudgetWithSpending), SummaryTable[[#This Row],[DiffAmount06]]/SummaryTable[[#This Row],[OriginalBudget06]])</f>
        <v>-1</v>
      </c>
    </row>
    <row r="186" spans="1:168" x14ac:dyDescent="0.45">
      <c r="A186" t="s">
        <v>1054</v>
      </c>
      <c r="B186">
        <f>_xlfn.MAXIFS(allFYsTable[year2], allFYsTable[Code], SummaryTable[[#This Row],[Code]])</f>
        <v>2006</v>
      </c>
      <c r="C186" t="str">
        <f>_xlfn.XLOOKUP(SummaryTable[[#This Row],[Code]], NameCodingTable[Code], NameCodingTable[Most Recent Category per allFYs])</f>
        <v>Other</v>
      </c>
      <c r="D186" t="str">
        <f>_xlfn.XLOOKUP(SummaryTable[[#This Row],[Code]], NameCodingTable[Code], NameCodingTable[Unit Display Name])</f>
        <v>Tax increment financing</v>
      </c>
      <c r="E186" t="str">
        <f>_xlfn.XLOOKUP(SummaryTable[[#This Row],[Code]], NameCodingTable[Code], NameCodingTable[Type])</f>
        <v>untyped</v>
      </c>
      <c r="F186"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1</v>
      </c>
      <c r="G186"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1</v>
      </c>
      <c r="H186" s="54">
        <f>SummaryTable[[#This Row],['# Over]]/SummaryTable[[#This Row],[Count]]</f>
        <v>1</v>
      </c>
      <c r="I186"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86" s="54">
        <f>SummaryTable[[#This Row],['# Under]]/SummaryTable[[#This Row],[Count]]</f>
        <v>0</v>
      </c>
      <c r="K186"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86" s="54">
        <f>SummaryTable[[#This Row],['# Equal]]/SummaryTable[[#This Row],[Count]]</f>
        <v>0</v>
      </c>
      <c r="M186" s="61">
        <f>SUMIFS(allFYsTable[OriginalBudget],allFYsTable[Code],SummaryTable[[#This Row],[Code]])/SummaryTable[[#This Row],[Count]]</f>
        <v>0</v>
      </c>
      <c r="N186" s="61">
        <f>SUMIFS(allFYsTable[Actual],allFYsTable[Code],SummaryTable[[#This Row],[Code]])/SummaryTable[[#This Row],[Count]]</f>
        <v>6980</v>
      </c>
      <c r="O186" s="61">
        <f>SummaryTable[[#This Row],[AvgActAmt]]-SummaryTable[[#This Row],[AvgBudAmt]]</f>
        <v>6980</v>
      </c>
      <c r="P186" s="54">
        <f>IF(SummaryTable[[#This Row],[AvgBudAmt]]=0, IF(SummaryTable[[#This Row],[AvgDiff'#]]=0, 0, NamedFields!$C$3), SummaryTable[[#This Row],[AvgDiff'#]]/SummaryTable[[#This Row],[AvgBudAmt]])</f>
        <v>99.99</v>
      </c>
      <c r="Q186" s="61">
        <f>IFERROR(SUMIFS(allFYsTable[OriginalBudget],allFYsTable[Code],SummaryTable[[#This Row],[Code]],allFYsTable[DiffAmount], "&gt;0")/SummaryTable[[#This Row],['# Over]], 0)</f>
        <v>0</v>
      </c>
      <c r="R186" s="61">
        <f>IFERROR(SUMIFS(allFYsTable[Actual],allFYsTable[Code],SummaryTable[[#This Row],[Code]],allFYsTable[DiffAmount], "&gt;0")/SummaryTable[[#This Row],['# Over]], 0)</f>
        <v>6980</v>
      </c>
      <c r="S186" s="61">
        <f>SummaryTable[[#This Row],[OverAvgAct]]-SummaryTable[[#This Row],[OverAvgBud]]</f>
        <v>6980</v>
      </c>
      <c r="T186" s="54">
        <f>IF(SummaryTable[[#This Row],[OverAvgBud]]=0, IF(SummaryTable[[#This Row],[OverAvgDiff'#]]=0, ZeroBudgetNoSpending, ZeroBudgetWithSpending), SummaryTable[[#This Row],[OverAvgDiff'#]]/SummaryTable[[#This Row],[OverAvgBud]])</f>
        <v>99.99</v>
      </c>
      <c r="U186" s="61">
        <f>IFERROR(SUMIFS(allFYsTable[OriginalBudget],allFYsTable[Code],SummaryTable[[#This Row],[Code]],allFYsTable[DiffAmount], "&lt;0")/SummaryTable[[#This Row],['# Under]], 0)</f>
        <v>0</v>
      </c>
      <c r="V186" s="61">
        <f>IFERROR( SUMIFS(allFYsTable[Actual],allFYsTable[Code],SummaryTable[[#This Row],[Code]],allFYsTable[DiffAmount], "&lt;0")/SummaryTable[[#This Row],['# Under]], 0)</f>
        <v>0</v>
      </c>
      <c r="W186" s="61">
        <f>SummaryTable[[#This Row],[UnderAvgAct]]-SummaryTable[[#This Row],[UnderAvgBud]]</f>
        <v>0</v>
      </c>
      <c r="X186" s="54">
        <f>IF(SummaryTable[[#This Row],[UnderAvgBud]]=0, IF(SummaryTable[[#This Row],[UnderAvgDiff'#]]=0, ZeroBudgetNoSpending, NamedFields!$C$3), SummaryTable[[#This Row],[UnderAvgDiff'#]]/SummaryTable[[#This Row],[UnderAvgBud]])</f>
        <v>0</v>
      </c>
      <c r="Y186"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86"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6" s="54">
        <f>IF(SummaryTable[[#This Row],[IncreaseYears]]=0, ZeroBudgetNoSpending, SummaryTable[[#This Row],[OSinIncreaseYear'#]]/SummaryTable[[#This Row],[IncreaseYears]])</f>
        <v>0</v>
      </c>
      <c r="AB186" s="58" t="str">
        <f>SummaryTable[[#This Row],[Code]]</f>
        <v>TX0</v>
      </c>
      <c r="AC186" s="62" t="e">
        <f>IF(COUNTIFS(allFYsTable[Code], SummaryTable[[#This Row],[Code]], allFYsTable[year2], AC$3)=0, NotFound, SUMIFS(allFYsTable[OriginalBudget], allFYsTable[Code], SummaryTable[[#This Row],[Code]], allFYsTable[year2], AC$3))</f>
        <v>#N/A</v>
      </c>
      <c r="AD186" s="61" t="e">
        <f>SummaryTable[[#This Row],[OriginalBudget25]]-SummaryTable[[#This Row],[OriginalBudget24]]</f>
        <v>#N/A</v>
      </c>
      <c r="AE186" s="54" t="e">
        <f>SummaryTable[[#This Row],[BudgetIncreaseAmount25]]/SummaryTable[[#This Row],[OriginalBudget24]]</f>
        <v>#N/A</v>
      </c>
      <c r="AF186" s="61" t="e">
        <f>IF(COUNTIFS(allFYsTable[Code], SummaryTable[[#This Row],[Code]], allFYsTable[year2], AC$3)=0, NotFound, SUMIFS(allFYsTable[RevisedBudget], allFYsTable[Code], SummaryTable[[#This Row],[Code]], allFYsTable[year2], AC$3))</f>
        <v>#N/A</v>
      </c>
      <c r="AG186" s="61" t="e">
        <f>IF(COUNTIFS(allFYsTable[Code], SummaryTable[[#This Row],[Code]], allFYsTable[year2], AC$3)=0, NotFound, SUMIFS(allFYsTable[Actual], allFYsTable[Code], SummaryTable[[#This Row],[Code]], allFYsTable[year2], AC$3))</f>
        <v>#N/A</v>
      </c>
      <c r="AH186" s="61" t="e">
        <f>IF(COUNTIFS(allFYsTable[Code], SummaryTable[[#This Row],[Code]], allFYsTable[year2], AC$3)=0, NotFound, SUMIFS(allFYsTable[DiffAmount], allFYsTable[Code], SummaryTable[[#This Row],[Code]], allFYsTable[year2], AC$3))</f>
        <v>#N/A</v>
      </c>
      <c r="AI186" s="63" t="e">
        <f>IF(SummaryTable[[#This Row],[OriginalBudget25]]=0, IF(SummaryTable[[#This Row],[DiffAmount25]]=0, ZeroBudgetNoSpending, ZeroBudgetWithSpending), SummaryTable[[#This Row],[DiffAmount25]]/SummaryTable[[#This Row],[OriginalBudget25]])</f>
        <v>#N/A</v>
      </c>
      <c r="AJ186" s="62" t="e">
        <f>IF(COUNTIFS(allFYsTable[Code], SummaryTable[[#This Row],[Code]], allFYsTable[year2], AJ$3)=0, NotFound, SUMIFS(allFYsTable[OriginalBudget], allFYsTable[Code], SummaryTable[[#This Row],[Code]], allFYsTable[year2], AJ$3))</f>
        <v>#N/A</v>
      </c>
      <c r="AK186" s="61" t="e">
        <f>SummaryTable[[#This Row],[OriginalBudget24]]-SummaryTable[[#This Row],[OriginalBudget23]]</f>
        <v>#N/A</v>
      </c>
      <c r="AL186" s="54" t="e">
        <f>SummaryTable[[#This Row],[BudgetIncreaseAmount24]]/SummaryTable[[#This Row],[OriginalBudget23]]</f>
        <v>#N/A</v>
      </c>
      <c r="AM186" s="61" t="e">
        <f>IF(COUNTIFS(allFYsTable[Code], SummaryTable[[#This Row],[Code]], allFYsTable[year2], AK$3)=0, NotFound, SUMIFS(allFYsTable[RevisedBudget], allFYsTable[Code], SummaryTable[[#This Row],[Code]], allFYsTable[year2], AJ$3))</f>
        <v>#N/A</v>
      </c>
      <c r="AN186" s="61" t="e">
        <f>IF(COUNTIFS(allFYsTable[Code], SummaryTable[[#This Row],[Code]], allFYsTable[year2], AJ$3)=0, NotFound, SUMIFS(allFYsTable[Actual], allFYsTable[Code], SummaryTable[[#This Row],[Code]], allFYsTable[year2], AJ$3))</f>
        <v>#N/A</v>
      </c>
      <c r="AO186" s="61" t="e">
        <f>IF(COUNTIFS(allFYsTable[Code], SummaryTable[[#This Row],[Code]], allFYsTable[year2], AJ$3)=0, NotFound, SUMIFS(allFYsTable[DiffAmount], allFYsTable[Code], SummaryTable[[#This Row],[Code]], allFYsTable[year2], AJ$3))</f>
        <v>#N/A</v>
      </c>
      <c r="AP186" s="63" t="e">
        <f>IF(SummaryTable[[#This Row],[OriginalBudget24]]=0, IF(SummaryTable[[#This Row],[DiffAmount24]]=0, ZeroBudgetNoSpending, ZeroBudgetWithSpending), SummaryTable[[#This Row],[DiffAmount24]]/SummaryTable[[#This Row],[OriginalBudget24]])</f>
        <v>#N/A</v>
      </c>
      <c r="AQ186" s="62" t="e">
        <f>IF(COUNTIFS(allFYsTable[Code], SummaryTable[[#This Row],[Code]], allFYsTable[year2], AQ$3)=0, NotFound, SUMIFS(allFYsTable[OriginalBudget], allFYsTable[Code], SummaryTable[[#This Row],[Code]], allFYsTable[year2], AQ$3))</f>
        <v>#N/A</v>
      </c>
      <c r="AR186" s="61" t="e">
        <f>SummaryTable[[#This Row],[OriginalBudget23]]-SummaryTable[[#This Row],[OriginalBudget22]]</f>
        <v>#N/A</v>
      </c>
      <c r="AS186" s="54" t="e">
        <f>SummaryTable[[#This Row],[BudgetIncreaseAmount23]]/SummaryTable[[#This Row],[OriginalBudget22]]</f>
        <v>#N/A</v>
      </c>
      <c r="AT186" s="61" t="e">
        <f>IF(COUNTIFS(allFYsTable[Code], SummaryTable[[#This Row],[Code]], allFYsTable[year2], AQ$3)=0, NotFound, SUMIFS(allFYsTable[RevisedBudget], allFYsTable[Code], SummaryTable[[#This Row],[Code]], allFYsTable[year2], AQ$3))</f>
        <v>#N/A</v>
      </c>
      <c r="AU186" s="61" t="e">
        <f>IF(COUNTIFS(allFYsTable[Code], SummaryTable[[#This Row],[Code]], allFYsTable[year2], AQ$3)=0, NotFound, SUMIFS(allFYsTable[Actual], allFYsTable[Code], SummaryTable[[#This Row],[Code]], allFYsTable[year2], AQ$3))</f>
        <v>#N/A</v>
      </c>
      <c r="AV186" s="61" t="e">
        <f>IF(COUNTIFS(allFYsTable[Code], SummaryTable[[#This Row],[Code]], allFYsTable[year2], AQ$3)=0, NotFound, SUMIFS(allFYsTable[DiffAmount], allFYsTable[Code], SummaryTable[[#This Row],[Code]], allFYsTable[year2], AQ$3))</f>
        <v>#N/A</v>
      </c>
      <c r="AW186" s="63" t="e">
        <f>IF(SummaryTable[[#This Row],[OriginalBudget23]]=0, IF(SummaryTable[[#This Row],[DiffAmount23]]=0, ZeroBudgetNoSpending, ZeroBudgetWithSpending), SummaryTable[[#This Row],[DiffAmount23]]/SummaryTable[[#This Row],[OriginalBudget23]])</f>
        <v>#N/A</v>
      </c>
      <c r="AX186" s="62" t="e">
        <f>IF(COUNTIFS(allFYsTable[Code], SummaryTable[[#This Row],[Code]], allFYsTable[year2], AX$3)=0, NotFound, SUMIFS(allFYsTable[OriginalBudget], allFYsTable[Code], SummaryTable[[#This Row],[Code]], allFYsTable[year2], AX$3))</f>
        <v>#N/A</v>
      </c>
      <c r="AY186" s="61" t="e">
        <f>SummaryTable[[#This Row],[OriginalBudget22]]-SummaryTable[[#This Row],[OriginalBudget21]]</f>
        <v>#N/A</v>
      </c>
      <c r="AZ186" s="54" t="e">
        <f>SummaryTable[[#This Row],[BudgetIncreaseAmount22]]/SummaryTable[[#This Row],[OriginalBudget21]]</f>
        <v>#N/A</v>
      </c>
      <c r="BA186" s="61" t="e">
        <f>IF(COUNTIFS(allFYsTable[Code], SummaryTable[[#This Row],[Code]], allFYsTable[year2], AX$3)=0, NotFound, SUMIFS(allFYsTable[RevisedBudget], allFYsTable[Code], SummaryTable[[#This Row],[Code]], allFYsTable[year2], AX$3))</f>
        <v>#N/A</v>
      </c>
      <c r="BB186" s="61" t="e">
        <f>IF(COUNTIFS(allFYsTable[Code], SummaryTable[[#This Row],[Code]], allFYsTable[year2], AX$3)=0, NotFound, SUMIFS(allFYsTable[Actual], allFYsTable[Code], SummaryTable[[#This Row],[Code]], allFYsTable[year2], AX$3))</f>
        <v>#N/A</v>
      </c>
      <c r="BC186" s="61" t="e">
        <f>IF(COUNTIFS(allFYsTable[Code], SummaryTable[[#This Row],[Code]], allFYsTable[year2], AX$3)=0, NotFound, SUMIFS(allFYsTable[DiffAmount], allFYsTable[Code], SummaryTable[[#This Row],[Code]], allFYsTable[year2], AX$3))</f>
        <v>#N/A</v>
      </c>
      <c r="BD186" s="63" t="e">
        <f>IF(SummaryTable[[#This Row],[OriginalBudget22]]=0, IF(SummaryTable[[#This Row],[DiffAmount22]]=0, ZeroBudgetNoSpending, ZeroBudgetWithSpending), SummaryTable[[#This Row],[DiffAmount22]]/SummaryTable[[#This Row],[OriginalBudget22]])</f>
        <v>#N/A</v>
      </c>
      <c r="BE186" s="62" t="e">
        <f>IF(COUNTIFS(allFYsTable[Code], SummaryTable[[#This Row],[Code]], allFYsTable[year2], BE$3)=0, NotFound, SUMIFS(allFYsTable[OriginalBudget], allFYsTable[Code], SummaryTable[[#This Row],[Code]], allFYsTable[year2], BE$3))</f>
        <v>#N/A</v>
      </c>
      <c r="BF186" s="61" t="e">
        <f>SummaryTable[[#This Row],[OriginalBudget21]]-SummaryTable[[#This Row],[OriginalBudget20]]</f>
        <v>#N/A</v>
      </c>
      <c r="BG186" s="54" t="e">
        <f>SummaryTable[[#This Row],[BudgetIncreaseAmount21]]/SummaryTable[[#This Row],[OriginalBudget20]]</f>
        <v>#N/A</v>
      </c>
      <c r="BH186" s="61" t="e">
        <f>IF(COUNTIFS(allFYsTable[Code], SummaryTable[[#This Row],[Code]], allFYsTable[year2], BE$3)=0, NotFound, SUMIFS(allFYsTable[RevisedBudget], allFYsTable[Code], SummaryTable[[#This Row],[Code]], allFYsTable[year2], BE$3))</f>
        <v>#N/A</v>
      </c>
      <c r="BI186" s="61" t="e">
        <f>IF(COUNTIFS(allFYsTable[Code], SummaryTable[[#This Row],[Code]], allFYsTable[year2], BE$3)=0, NotFound, SUMIFS(allFYsTable[Actual], allFYsTable[Code], SummaryTable[[#This Row],[Code]], allFYsTable[year2], BE$3))</f>
        <v>#N/A</v>
      </c>
      <c r="BJ186" s="61" t="e">
        <f>IF(COUNTIFS(allFYsTable[Code], SummaryTable[[#This Row],[Code]], allFYsTable[year2], BE$3)=0, NotFound, SUMIFS(allFYsTable[DiffAmount], allFYsTable[Code], SummaryTable[[#This Row],[Code]], allFYsTable[year2], BE$3))</f>
        <v>#N/A</v>
      </c>
      <c r="BK186" s="63" t="e">
        <f>IF(SummaryTable[[#This Row],[OriginalBudget21]]=0, IF(SummaryTable[[#This Row],[DiffAmount21]]=0, ZeroBudgetNoSpending, ZeroBudgetWithSpending), SummaryTable[[#This Row],[DiffAmount21]]/SummaryTable[[#This Row],[OriginalBudget21]])</f>
        <v>#N/A</v>
      </c>
      <c r="BL186" s="62" t="e">
        <f>IF(COUNTIFS(allFYsTable[Code], SummaryTable[[#This Row],[Code]], allFYsTable[year2], BL$3)=0, NotFound, SUMIFS(allFYsTable[OriginalBudget], allFYsTable[Code], SummaryTable[[#This Row],[Code]], allFYsTable[year2], BL$3))</f>
        <v>#N/A</v>
      </c>
      <c r="BM186" s="61" t="e">
        <f>SummaryTable[[#This Row],[OriginalBudget20]]-SummaryTable[[#This Row],[OriginalBudget19]]</f>
        <v>#N/A</v>
      </c>
      <c r="BN186" s="54" t="e">
        <f>SummaryTable[[#This Row],[BudgetIncreaseAmount20]]/SummaryTable[[#This Row],[OriginalBudget19]]</f>
        <v>#N/A</v>
      </c>
      <c r="BO186" s="61" t="e">
        <f>IF(COUNTIFS(allFYsTable[Code], SummaryTable[[#This Row],[Code]], allFYsTable[year2], BL$3)=0, NotFound, SUMIFS(allFYsTable[RevisedBudget], allFYsTable[Code], SummaryTable[[#This Row],[Code]], allFYsTable[year2], BL$3))</f>
        <v>#N/A</v>
      </c>
      <c r="BP186" s="61" t="e">
        <f>IF(COUNTIFS(allFYsTable[Code], SummaryTable[[#This Row],[Code]], allFYsTable[year2], BL$3)=0, NotFound, SUMIFS(allFYsTable[Actual], allFYsTable[Code], SummaryTable[[#This Row],[Code]], allFYsTable[year2], BL$3))</f>
        <v>#N/A</v>
      </c>
      <c r="BQ186" s="61" t="e">
        <f>IF(COUNTIFS(allFYsTable[Code], SummaryTable[[#This Row],[Code]], allFYsTable[year2], BL$3)=0, NotFound, SUMIFS(allFYsTable[DiffAmount], allFYsTable[Code], SummaryTable[[#This Row],[Code]], allFYsTable[year2], BL$3))</f>
        <v>#N/A</v>
      </c>
      <c r="BR186" s="63" t="e">
        <f>IF(SummaryTable[[#This Row],[OriginalBudget20]]=0, IF(SummaryTable[[#This Row],[DiffAmount20]]=0, ZeroBudgetNoSpending, ZeroBudgetWithSpending), SummaryTable[[#This Row],[DiffAmount20]]/SummaryTable[[#This Row],[OriginalBudget20]])</f>
        <v>#N/A</v>
      </c>
      <c r="BS186" s="62" t="e">
        <f>IF(COUNTIFS(allFYsTable[Code], SummaryTable[[#This Row],[Code]], allFYsTable[year2], BS$3)=0, NotFound, SUMIFS(allFYsTable[OriginalBudget], allFYsTable[Code], SummaryTable[[#This Row],[Code]], allFYsTable[year2], BS$3))</f>
        <v>#N/A</v>
      </c>
      <c r="BT186" s="61" t="e">
        <f>SummaryTable[[#This Row],[OriginalBudget19]]-SummaryTable[[#This Row],[OriginalBudget18]]</f>
        <v>#N/A</v>
      </c>
      <c r="BU186" s="54" t="e">
        <f>SummaryTable[[#This Row],[BudgetIncreaseAmount19]]/SummaryTable[[#This Row],[OriginalBudget18]]</f>
        <v>#N/A</v>
      </c>
      <c r="BV186" s="61" t="e">
        <f>IF(COUNTIFS(allFYsTable[Code], SummaryTable[[#This Row],[Code]], allFYsTable[year2], BS$3)=0, NotFound, SUMIFS(allFYsTable[RevisedBudget], allFYsTable[Code], SummaryTable[[#This Row],[Code]], allFYsTable[year2], BS$3))</f>
        <v>#N/A</v>
      </c>
      <c r="BW186" s="61" t="e">
        <f>IF(COUNTIFS(allFYsTable[Code], SummaryTable[[#This Row],[Code]], allFYsTable[year2], BS$3)=0, NotFound, SUMIFS(allFYsTable[Actual], allFYsTable[Code], SummaryTable[[#This Row],[Code]], allFYsTable[year2], BS$3))</f>
        <v>#N/A</v>
      </c>
      <c r="BX186" s="61" t="e">
        <f>IF(COUNTIFS(allFYsTable[Code], SummaryTable[[#This Row],[Code]], allFYsTable[year2], BS$3)=0, NotFound, SUMIFS(allFYsTable[DiffAmount], allFYsTable[Code], SummaryTable[[#This Row],[Code]], allFYsTable[year2], BS$3))</f>
        <v>#N/A</v>
      </c>
      <c r="BY186" s="63" t="e">
        <f>IF(SummaryTable[[#This Row],[OriginalBudget19]]=0, IF(SummaryTable[[#This Row],[DiffAmount19]]=0, ZeroBudgetNoSpending, ZeroBudgetWithSpending), SummaryTable[[#This Row],[DiffAmount19]]/SummaryTable[[#This Row],[OriginalBudget19]])</f>
        <v>#N/A</v>
      </c>
      <c r="BZ186" s="62" t="e">
        <f>IF(COUNTIFS(allFYsTable[Code], SummaryTable[[#This Row],[Code]], allFYsTable[year2], BZ$3)=0, NotFound, SUMIFS(allFYsTable[OriginalBudget], allFYsTable[Code], SummaryTable[[#This Row],[Code]], allFYsTable[year2], BZ$3))</f>
        <v>#N/A</v>
      </c>
      <c r="CA186" s="61" t="e">
        <f>SummaryTable[[#This Row],[OriginalBudget18]]-SummaryTable[[#This Row],[OriginalBudget17]]</f>
        <v>#N/A</v>
      </c>
      <c r="CB186" s="54" t="e">
        <f>SummaryTable[[#This Row],[BudgetIncreaseAmount18]]/SummaryTable[[#This Row],[OriginalBudget17]]</f>
        <v>#N/A</v>
      </c>
      <c r="CC186" s="61" t="e">
        <f>IF(COUNTIFS(allFYsTable[Code], SummaryTable[[#This Row],[Code]], allFYsTable[year2], BZ$3)=0, NotFound, SUMIFS(allFYsTable[RevisedBudget], allFYsTable[Code], SummaryTable[[#This Row],[Code]], allFYsTable[year2], BZ$3))</f>
        <v>#N/A</v>
      </c>
      <c r="CD186" s="61" t="e">
        <f>IF(COUNTIFS(allFYsTable[Code], SummaryTable[[#This Row],[Code]], allFYsTable[year2], BZ$3)=0, NotFound, SUMIFS(allFYsTable[Actual], allFYsTable[Code], SummaryTable[[#This Row],[Code]], allFYsTable[year2], BZ$3))</f>
        <v>#N/A</v>
      </c>
      <c r="CE186" s="61" t="e">
        <f>IF(COUNTIFS(allFYsTable[Code], SummaryTable[[#This Row],[Code]], allFYsTable[year2], BZ$3)=0, NotFound, SUMIFS(allFYsTable[DiffAmount], allFYsTable[Code], SummaryTable[[#This Row],[Code]], allFYsTable[year2], BZ$3))</f>
        <v>#N/A</v>
      </c>
      <c r="CF186" s="63" t="e">
        <f>IF(SummaryTable[[#This Row],[OriginalBudget18]]=0, IF(SummaryTable[[#This Row],[DiffAmount18]]=0, ZeroBudgetNoSpending, ZeroBudgetWithSpending), SummaryTable[[#This Row],[DiffAmount18]]/SummaryTable[[#This Row],[OriginalBudget18]])</f>
        <v>#N/A</v>
      </c>
      <c r="CG186" s="62" t="e">
        <f>IF(COUNTIFS(allFYsTable[Code], SummaryTable[[#This Row],[Code]], allFYsTable[year2], CG$3)=0, NotFound, SUMIFS(allFYsTable[OriginalBudget], allFYsTable[Code], SummaryTable[[#This Row],[Code]], allFYsTable[year2], CG$3))</f>
        <v>#N/A</v>
      </c>
      <c r="CH186" s="61" t="e">
        <f>SummaryTable[[#This Row],[OriginalBudget17]]-SummaryTable[[#This Row],[OriginalBudget16]]</f>
        <v>#N/A</v>
      </c>
      <c r="CI186" s="54" t="e">
        <f>SummaryTable[[#This Row],[BudgetIncreaseAmount17]]/SummaryTable[[#This Row],[OriginalBudget16]]</f>
        <v>#N/A</v>
      </c>
      <c r="CJ186" s="61" t="e">
        <f>IF(COUNTIFS(allFYsTable[Code], SummaryTable[[#This Row],[Code]], allFYsTable[year2], CG$3)=0, NotFound, SUMIFS(allFYsTable[RevisedBudget], allFYsTable[Code], SummaryTable[[#This Row],[Code]], allFYsTable[year2], CG$3))</f>
        <v>#N/A</v>
      </c>
      <c r="CK186" s="61" t="e">
        <f>IF(COUNTIFS(allFYsTable[Code], SummaryTable[[#This Row],[Code]], allFYsTable[year2], CG$3)=0, NotFound, SUMIFS(allFYsTable[Actual], allFYsTable[Code], SummaryTable[[#This Row],[Code]], allFYsTable[year2], CG$3))</f>
        <v>#N/A</v>
      </c>
      <c r="CL186" s="61" t="e">
        <f>IF(COUNTIFS(allFYsTable[Code], SummaryTable[[#This Row],[Code]], allFYsTable[year2], CG$3)=0, NotFound, SUMIFS(allFYsTable[DiffAmount], allFYsTable[Code], SummaryTable[[#This Row],[Code]], allFYsTable[year2], CG$3))</f>
        <v>#N/A</v>
      </c>
      <c r="CM186" s="63" t="e">
        <f>IF(SummaryTable[[#This Row],[OriginalBudget17]]=0, IF(SummaryTable[[#This Row],[DiffAmount17]]=0, ZeroBudgetNoSpending, ZeroBudgetWithSpending), SummaryTable[[#This Row],[DiffAmount17]]/SummaryTable[[#This Row],[OriginalBudget17]])</f>
        <v>#N/A</v>
      </c>
      <c r="CN186" s="62" t="e">
        <f>IF(COUNTIFS(allFYsTable[Code], SummaryTable[[#This Row],[Code]], allFYsTable[year2], CN$3)=0, NotFound, SUMIFS(allFYsTable[OriginalBudget], allFYsTable[Code], SummaryTable[[#This Row],[Code]], allFYsTable[year2], CN$3))</f>
        <v>#N/A</v>
      </c>
      <c r="CO186" s="61" t="e">
        <f>SummaryTable[[#This Row],[OriginalBudget16]]-SummaryTable[[#This Row],[OriginalBudget15]]</f>
        <v>#N/A</v>
      </c>
      <c r="CP186" s="54" t="e">
        <f>SummaryTable[[#This Row],[BudgetIncreaseAmount16]]/SummaryTable[[#This Row],[OriginalBudget15]]</f>
        <v>#N/A</v>
      </c>
      <c r="CQ186" s="61" t="e">
        <f>IF(COUNTIFS(allFYsTable[Code], SummaryTable[[#This Row],[Code]], allFYsTable[year2], CN$3)=0, NotFound, SUMIFS(allFYsTable[RevisedBudget], allFYsTable[Code], SummaryTable[[#This Row],[Code]], allFYsTable[year2], CN$3))</f>
        <v>#N/A</v>
      </c>
      <c r="CR186" s="61" t="e">
        <f>IF(COUNTIFS(allFYsTable[Code], SummaryTable[[#This Row],[Code]], allFYsTable[year2], CN$3)=0, NotFound, SUMIFS(allFYsTable[Actual], allFYsTable[Code], SummaryTable[[#This Row],[Code]], allFYsTable[year2], CN$3))</f>
        <v>#N/A</v>
      </c>
      <c r="CS186" s="61" t="e">
        <f>IF(COUNTIFS(allFYsTable[Code], SummaryTable[[#This Row],[Code]], allFYsTable[year2], CN$3)=0, NotFound, SUMIFS(allFYsTable[DiffAmount], allFYsTable[Code], SummaryTable[[#This Row],[Code]], allFYsTable[year2], CN$3))</f>
        <v>#N/A</v>
      </c>
      <c r="CT186" s="63" t="e">
        <f>IF(SummaryTable[[#This Row],[OriginalBudget16]]=0, IF(SummaryTable[[#This Row],[DiffAmount16]]=0, ZeroBudgetNoSpending, ZeroBudgetWithSpending), SummaryTable[[#This Row],[DiffAmount16]]/SummaryTable[[#This Row],[OriginalBudget16]])</f>
        <v>#N/A</v>
      </c>
      <c r="CU186" s="62" t="e">
        <f>IF(COUNTIFS(allFYsTable[Code], SummaryTable[[#This Row],[Code]], allFYsTable[year2], CU$3)=0, NotFound, SUMIFS(allFYsTable[OriginalBudget], allFYsTable[Code], SummaryTable[[#This Row],[Code]], allFYsTable[year2], CU$3))</f>
        <v>#N/A</v>
      </c>
      <c r="CV186" s="61" t="e">
        <f>SummaryTable[[#This Row],[OriginalBudget15]]-SummaryTable[[#This Row],[OriginalBudget14]]</f>
        <v>#N/A</v>
      </c>
      <c r="CW186" s="54" t="e">
        <f>SummaryTable[[#This Row],[BudgetIncreaseAmount15]]/SummaryTable[[#This Row],[OriginalBudget14]]</f>
        <v>#N/A</v>
      </c>
      <c r="CX186" s="61" t="e">
        <f>IF(COUNTIFS(allFYsTable[Code], SummaryTable[[#This Row],[Code]], allFYsTable[year2], CU$3)=0, NotFound, SUMIFS(allFYsTable[RevisedBudget], allFYsTable[Code], SummaryTable[[#This Row],[Code]], allFYsTable[year2], CU$3))</f>
        <v>#N/A</v>
      </c>
      <c r="CY186" s="61" t="e">
        <f>IF(COUNTIFS(allFYsTable[Code], SummaryTable[[#This Row],[Code]], allFYsTable[year2], CU$3)=0, NotFound, SUMIFS(allFYsTable[Actual], allFYsTable[Code], SummaryTable[[#This Row],[Code]], allFYsTable[year2], CU$3))</f>
        <v>#N/A</v>
      </c>
      <c r="CZ186" s="61" t="e">
        <f>IF(COUNTIFS(allFYsTable[Code], SummaryTable[[#This Row],[Code]], allFYsTable[year2], CU$3)=0, NotFound, SUMIFS(allFYsTable[DiffAmount], allFYsTable[Code], SummaryTable[[#This Row],[Code]], allFYsTable[year2], CU$3))</f>
        <v>#N/A</v>
      </c>
      <c r="DA186" s="63" t="e">
        <f>IF(SummaryTable[[#This Row],[OriginalBudget15]]=0, IF(SummaryTable[[#This Row],[DiffAmount15]]=0, ZeroBudgetNoSpending, ZeroBudgetWithSpending), SummaryTable[[#This Row],[DiffAmount15]]/SummaryTable[[#This Row],[OriginalBudget15]])</f>
        <v>#N/A</v>
      </c>
      <c r="DB186" s="62" t="e">
        <f>IF(COUNTIFS(allFYsTable[Code], SummaryTable[[#This Row],[Code]], allFYsTable[year2], DB$3)=0, NotFound, SUMIFS(allFYsTable[OriginalBudget], allFYsTable[Code], SummaryTable[[#This Row],[Code]], allFYsTable[year2], DB$3))</f>
        <v>#N/A</v>
      </c>
      <c r="DC186" s="61" t="e">
        <f>SummaryTable[[#This Row],[OriginalBudget14]]-SummaryTable[[#This Row],[OriginalBudget13]]</f>
        <v>#N/A</v>
      </c>
      <c r="DD186" s="54" t="e">
        <f>SummaryTable[[#This Row],[BudgetIncreaseAmount14]]/SummaryTable[[#This Row],[OriginalBudget13]]</f>
        <v>#N/A</v>
      </c>
      <c r="DE186" s="61" t="e">
        <f>IF(COUNTIFS(allFYsTable[Code], SummaryTable[[#This Row],[Code]], allFYsTable[year2], DB$3)=0, NotFound, SUMIFS(allFYsTable[RevisedBudget], allFYsTable[Code], SummaryTable[[#This Row],[Code]], allFYsTable[year2], DB$3))</f>
        <v>#N/A</v>
      </c>
      <c r="DF186" s="61" t="e">
        <f>IF(COUNTIFS(allFYsTable[Code], SummaryTable[[#This Row],[Code]], allFYsTable[year2], DB$3)=0, NotFound, SUMIFS(allFYsTable[Actual], allFYsTable[Code], SummaryTable[[#This Row],[Code]], allFYsTable[year2], DB$3))</f>
        <v>#N/A</v>
      </c>
      <c r="DG186" s="61" t="e">
        <f>IF(COUNTIFS(allFYsTable[Code], SummaryTable[[#This Row],[Code]], allFYsTable[year2], DB$3)=0, NotFound, SUMIFS(allFYsTable[DiffAmount], allFYsTable[Code], SummaryTable[[#This Row],[Code]], allFYsTable[year2], DB$3))</f>
        <v>#N/A</v>
      </c>
      <c r="DH186" s="63" t="e">
        <f>IF(SummaryTable[[#This Row],[OriginalBudget14]]=0, IF(SummaryTable[[#This Row],[DiffAmount14]]=0, ZeroBudgetNoSpending, ZeroBudgetWithSpending), SummaryTable[[#This Row],[DiffAmount14]]/SummaryTable[[#This Row],[OriginalBudget14]])</f>
        <v>#N/A</v>
      </c>
      <c r="DI186" s="62" t="e">
        <f>IF(COUNTIFS(allFYsTable[Code], SummaryTable[[#This Row],[Code]], allFYsTable[year2], DI$3)=0, NotFound, SUMIFS(allFYsTable[OriginalBudget], allFYsTable[Code], SummaryTable[[#This Row],[Code]], allFYsTable[year2], DI$3))</f>
        <v>#N/A</v>
      </c>
      <c r="DJ186" s="61" t="e">
        <f>SummaryTable[[#This Row],[OriginalBudget13]]-SummaryTable[[#This Row],[OriginalBudget12]]</f>
        <v>#N/A</v>
      </c>
      <c r="DK186" s="54" t="e">
        <f>SummaryTable[[#This Row],[BudgetIncreaseAmount13]]/SummaryTable[[#This Row],[OriginalBudget12]]</f>
        <v>#N/A</v>
      </c>
      <c r="DL186" s="61" t="e">
        <f>IF(COUNTIFS(allFYsTable[Code], SummaryTable[[#This Row],[Code]], allFYsTable[year2], DI$3)=0, NotFound, SUMIFS(allFYsTable[RevisedBudget], allFYsTable[Code], SummaryTable[[#This Row],[Code]], allFYsTable[year2], DI$3))</f>
        <v>#N/A</v>
      </c>
      <c r="DM186" s="61" t="e">
        <f>IF(COUNTIFS(allFYsTable[Code], SummaryTable[[#This Row],[Code]], allFYsTable[year2], DI$3)=0, NotFound, SUMIFS(allFYsTable[Actual], allFYsTable[Code], SummaryTable[[#This Row],[Code]], allFYsTable[year2], DI$3))</f>
        <v>#N/A</v>
      </c>
      <c r="DN186" s="61" t="e">
        <f>IF(COUNTIFS(allFYsTable[Code], SummaryTable[[#This Row],[Code]], allFYsTable[year2], DI$3)=0, NotFound, SUMIFS(allFYsTable[DiffAmount], allFYsTable[Code], SummaryTable[[#This Row],[Code]], allFYsTable[year2], DI$3))</f>
        <v>#N/A</v>
      </c>
      <c r="DO186" s="63" t="e">
        <f>IF(SummaryTable[[#This Row],[OriginalBudget13]]=0, IF(SummaryTable[[#This Row],[DiffAmount13]]=0, ZeroBudgetNoSpending, ZeroBudgetWithSpending), SummaryTable[[#This Row],[DiffAmount13]]/SummaryTable[[#This Row],[OriginalBudget13]])</f>
        <v>#N/A</v>
      </c>
      <c r="DP186" s="62" t="e">
        <f>IF(COUNTIFS(allFYsTable[Code], SummaryTable[[#This Row],[Code]], allFYsTable[year2], DP$3)=0, NotFound, SUMIFS(allFYsTable[OriginalBudget], allFYsTable[Code], SummaryTable[[#This Row],[Code]], allFYsTable[year2], DP$3))</f>
        <v>#N/A</v>
      </c>
      <c r="DQ186" s="61" t="e">
        <f>SummaryTable[[#This Row],[OriginalBudget12]]-SummaryTable[[#This Row],[OriginalBudget11]]</f>
        <v>#N/A</v>
      </c>
      <c r="DR186" s="54" t="e">
        <f>SummaryTable[[#This Row],[BudgetIncreaseAmount12]]/SummaryTable[[#This Row],[OriginalBudget11]]</f>
        <v>#N/A</v>
      </c>
      <c r="DS186" s="61" t="e">
        <f>IF(COUNTIFS(allFYsTable[Code], SummaryTable[[#This Row],[Code]], allFYsTable[year2], DP$3)=0, NotFound, SUMIFS(allFYsTable[RevisedBudget], allFYsTable[Code], SummaryTable[[#This Row],[Code]], allFYsTable[year2], DP$3))</f>
        <v>#N/A</v>
      </c>
      <c r="DT186" s="61" t="e">
        <f>IF(COUNTIFS(allFYsTable[Code], SummaryTable[[#This Row],[Code]], allFYsTable[year2], DP$3)=0, NotFound, SUMIFS(allFYsTable[Actual], allFYsTable[Code], SummaryTable[[#This Row],[Code]], allFYsTable[year2], DP$3))</f>
        <v>#N/A</v>
      </c>
      <c r="DU186" s="61" t="e">
        <f>IF(COUNTIFS(allFYsTable[Code], SummaryTable[[#This Row],[Code]], allFYsTable[year2], DP$3)=0, NotFound, SUMIFS(allFYsTable[DiffAmount], allFYsTable[Code], SummaryTable[[#This Row],[Code]], allFYsTable[year2], DP$3))</f>
        <v>#N/A</v>
      </c>
      <c r="DV186" s="63" t="e">
        <f>IF(SummaryTable[[#This Row],[OriginalBudget12]]=0, IF(SummaryTable[[#This Row],[DiffAmount12]]=0, ZeroBudgetNoSpending, ZeroBudgetWithSpending), SummaryTable[[#This Row],[DiffAmount12]]/SummaryTable[[#This Row],[OriginalBudget12]])</f>
        <v>#N/A</v>
      </c>
      <c r="DW186" s="62" t="e">
        <f>IF(COUNTIFS(allFYsTable[Code], SummaryTable[[#This Row],[Code]], allFYsTable[year2], DW$3)=0, NotFound, SUMIFS(allFYsTable[OriginalBudget], allFYsTable[Code], SummaryTable[[#This Row],[Code]], allFYsTable[year2], DW$3))</f>
        <v>#N/A</v>
      </c>
      <c r="DX186" s="61" t="e">
        <f>SummaryTable[[#This Row],[OriginalBudget11]]-SummaryTable[[#This Row],[OriginalBudget10]]</f>
        <v>#N/A</v>
      </c>
      <c r="DY186" s="54" t="e">
        <f>SummaryTable[[#This Row],[BudgetIncreaseAmount11]]/SummaryTable[[#This Row],[OriginalBudget10]]</f>
        <v>#N/A</v>
      </c>
      <c r="DZ186" s="61" t="e">
        <f>IF(COUNTIFS(allFYsTable[Code], SummaryTable[[#This Row],[Code]], allFYsTable[year2], DW$3)=0, NotFound, SUMIFS(allFYsTable[RevisedBudget], allFYsTable[Code], SummaryTable[[#This Row],[Code]], allFYsTable[year2], DW$3))</f>
        <v>#N/A</v>
      </c>
      <c r="EA186" s="61" t="e">
        <f>IF(COUNTIFS(allFYsTable[Code], SummaryTable[[#This Row],[Code]], allFYsTable[year2], DW$3)=0, NotFound, SUMIFS(allFYsTable[Actual], allFYsTable[Code], SummaryTable[[#This Row],[Code]], allFYsTable[year2], DW$3))</f>
        <v>#N/A</v>
      </c>
      <c r="EB186" s="61" t="e">
        <f>IF(COUNTIFS(allFYsTable[Code], SummaryTable[[#This Row],[Code]], allFYsTable[year2], DW$3)=0, NotFound, SUMIFS(allFYsTable[DiffAmount], allFYsTable[Code], SummaryTable[[#This Row],[Code]], allFYsTable[year2], DW$3))</f>
        <v>#N/A</v>
      </c>
      <c r="EC186" s="63" t="e">
        <f>IF(SummaryTable[[#This Row],[OriginalBudget11]]=0, IF(SummaryTable[[#This Row],[DiffAmount11]]=0, ZeroBudgetNoSpending, ZeroBudgetWithSpending), SummaryTable[[#This Row],[DiffAmount11]]/SummaryTable[[#This Row],[OriginalBudget11]])</f>
        <v>#N/A</v>
      </c>
      <c r="ED186" s="62" t="e">
        <f>IF(COUNTIFS(allFYsTable[Code], SummaryTable[[#This Row],[Code]], allFYsTable[year2], ED$3)=0, NotFound, SUMIFS(allFYsTable[OriginalBudget], allFYsTable[Code], SummaryTable[[#This Row],[Code]], allFYsTable[year2], ED$3))</f>
        <v>#N/A</v>
      </c>
      <c r="EE186" s="61" t="e">
        <f>SummaryTable[[#This Row],[OriginalBudget10]]-SummaryTable[[#This Row],[OriginalBudget09]]</f>
        <v>#N/A</v>
      </c>
      <c r="EF186" s="54" t="e">
        <f>SummaryTable[[#This Row],[BudgetIncreaseAmount10]]/SummaryTable[[#This Row],[OriginalBudget09]]</f>
        <v>#N/A</v>
      </c>
      <c r="EG186" s="61" t="e">
        <f>IF(COUNTIFS(allFYsTable[Code], SummaryTable[[#This Row],[Code]], allFYsTable[year2], ED$3)=0, NotFound, SUMIFS(allFYsTable[RevisedBudget], allFYsTable[Code], SummaryTable[[#This Row],[Code]], allFYsTable[year2], ED$3))</f>
        <v>#N/A</v>
      </c>
      <c r="EH186" s="61" t="e">
        <f>IF(COUNTIFS(allFYsTable[Code], SummaryTable[[#This Row],[Code]], allFYsTable[year2], ED$3)=0, NotFound, SUMIFS(allFYsTable[Actual], allFYsTable[Code], SummaryTable[[#This Row],[Code]], allFYsTable[year2], ED$3))</f>
        <v>#N/A</v>
      </c>
      <c r="EI186" s="61" t="e">
        <f>IF(COUNTIFS(allFYsTable[Code], SummaryTable[[#This Row],[Code]], allFYsTable[year2], ED$3)=0, NotFound, SUMIFS(allFYsTable[DiffAmount], allFYsTable[Code], SummaryTable[[#This Row],[Code]], allFYsTable[year2], ED$3))</f>
        <v>#N/A</v>
      </c>
      <c r="EJ186" s="63" t="e">
        <f>IF(SummaryTable[[#This Row],[OriginalBudget10]]=0, IF(SummaryTable[[#This Row],[DiffAmount10]]=0, ZeroBudgetNoSpending, ZeroBudgetWithSpending), SummaryTable[[#This Row],[DiffAmount10]]/SummaryTable[[#This Row],[OriginalBudget10]])</f>
        <v>#N/A</v>
      </c>
      <c r="EK186" s="62" t="e">
        <f>IF(COUNTIFS(allFYsTable[Code], SummaryTable[[#This Row],[Code]], allFYsTable[year2], EK$3)=0, NotFound, SUMIFS(allFYsTable[OriginalBudget], allFYsTable[Code], SummaryTable[[#This Row],[Code]], allFYsTable[year2], EK$3))</f>
        <v>#N/A</v>
      </c>
      <c r="EL186" s="61" t="e">
        <f>SummaryTable[[#This Row],[OriginalBudget09]]-SummaryTable[[#This Row],[OriginalBudget08]]</f>
        <v>#N/A</v>
      </c>
      <c r="EM186" s="54" t="e">
        <f>SummaryTable[[#This Row],[BudgetIncreaseAmount09]]/SummaryTable[[#This Row],[OriginalBudget08]]</f>
        <v>#N/A</v>
      </c>
      <c r="EN186" s="61" t="e">
        <f>IF(COUNTIFS(allFYsTable[Code], SummaryTable[[#This Row],[Code]], allFYsTable[year2], EK$3)=0, NotFound, SUMIFS(allFYsTable[RevisedBudget], allFYsTable[Code], SummaryTable[[#This Row],[Code]], allFYsTable[year2], EK$3))</f>
        <v>#N/A</v>
      </c>
      <c r="EO186" s="61" t="e">
        <f>IF(COUNTIFS(allFYsTable[Code], SummaryTable[[#This Row],[Code]], allFYsTable[year2], EK$3)=0, NotFound, SUMIFS(allFYsTable[Actual], allFYsTable[Code], SummaryTable[[#This Row],[Code]], allFYsTable[year2], EK$3))</f>
        <v>#N/A</v>
      </c>
      <c r="EP186" s="61" t="e">
        <f>IF(COUNTIFS(allFYsTable[Code], SummaryTable[[#This Row],[Code]], allFYsTable[year2], EK$3)=0, NotFound, SUMIFS(allFYsTable[DiffAmount], allFYsTable[Code], SummaryTable[[#This Row],[Code]], allFYsTable[year2], EK$3))</f>
        <v>#N/A</v>
      </c>
      <c r="EQ186" s="63" t="e">
        <f>IF(SummaryTable[[#This Row],[OriginalBudget09]]=0, IF(SummaryTable[[#This Row],[DiffAmount09]]=0, ZeroBudgetNoSpending, ZeroBudgetWithSpending), SummaryTable[[#This Row],[DiffAmount09]]/SummaryTable[[#This Row],[OriginalBudget09]])</f>
        <v>#N/A</v>
      </c>
      <c r="ER186" s="62" t="e">
        <f>IF(COUNTIFS(allFYsTable[Code], SummaryTable[[#This Row],[Code]], allFYsTable[year2], ER$3)=0, NotFound, SUMIFS(allFYsTable[OriginalBudget], allFYsTable[Code], SummaryTable[[#This Row],[Code]], allFYsTable[year2], ER$3))</f>
        <v>#N/A</v>
      </c>
      <c r="ES186" s="61" t="e">
        <f>SummaryTable[[#This Row],[OriginalBudget08]]-SummaryTable[[#This Row],[OriginalBudget07]]</f>
        <v>#N/A</v>
      </c>
      <c r="ET186" s="54" t="e">
        <f>SummaryTable[[#This Row],[BudgetIncreaseAmount08]]/SummaryTable[[#This Row],[OriginalBudget07]]</f>
        <v>#N/A</v>
      </c>
      <c r="EU186" s="61" t="e">
        <f>IF(COUNTIFS(allFYsTable[Code], SummaryTable[[#This Row],[Code]], allFYsTable[year2], ER$3)=0, NotFound, SUMIFS(allFYsTable[RevisedBudget], allFYsTable[Code], SummaryTable[[#This Row],[Code]], allFYsTable[year2], ER$3))</f>
        <v>#N/A</v>
      </c>
      <c r="EV186" s="61" t="e">
        <f>IF(COUNTIFS(allFYsTable[Code], SummaryTable[[#This Row],[Code]], allFYsTable[year2], ER$3)=0, NotFound, SUMIFS(allFYsTable[Actual], allFYsTable[Code], SummaryTable[[#This Row],[Code]], allFYsTable[year2], ER$3))</f>
        <v>#N/A</v>
      </c>
      <c r="EW186" s="61" t="e">
        <f>IF(COUNTIFS(allFYsTable[Code], SummaryTable[[#This Row],[Code]], allFYsTable[year2], ER$3)=0, NotFound, SUMIFS(allFYsTable[DiffAmount], allFYsTable[Code], SummaryTable[[#This Row],[Code]], allFYsTable[year2], ER$3))</f>
        <v>#N/A</v>
      </c>
      <c r="EX186" s="63" t="e">
        <f>IF(SummaryTable[[#This Row],[OriginalBudget08]]=0, IF(SummaryTable[[#This Row],[DiffAmount08]]=0, ZeroBudgetNoSpending, ZeroBudgetWithSpending), SummaryTable[[#This Row],[DiffAmount08]]/SummaryTable[[#This Row],[OriginalBudget08]])</f>
        <v>#N/A</v>
      </c>
      <c r="EY186" s="62" t="e">
        <f>IF(COUNTIFS(allFYsTable[Code], SummaryTable[[#This Row],[Code]], allFYsTable[year2], EY$3)=0, NotFound, SUMIFS(allFYsTable[OriginalBudget], allFYsTable[Code], SummaryTable[[#This Row],[Code]], allFYsTable[year2], EY$3))</f>
        <v>#N/A</v>
      </c>
      <c r="EZ186" s="61" t="e">
        <f>SummaryTable[[#This Row],[OriginalBudget07]]-SummaryTable[[#This Row],[OriginalBudget06]]</f>
        <v>#N/A</v>
      </c>
      <c r="FA186" s="54" t="e">
        <f>SummaryTable[[#This Row],[BudgetIncreaseAmount07]]/SummaryTable[[#This Row],[OriginalBudget06]]</f>
        <v>#N/A</v>
      </c>
      <c r="FB186" s="61" t="e">
        <f>IF(COUNTIFS(allFYsTable[Code], SummaryTable[[#This Row],[Code]], allFYsTable[year2], EY$3)=0, NotFound, SUMIFS(allFYsTable[RevisedBudget], allFYsTable[Code], SummaryTable[[#This Row],[Code]], allFYsTable[year2], EY$3))</f>
        <v>#N/A</v>
      </c>
      <c r="FC186" s="61" t="e">
        <f>IF(COUNTIFS(allFYsTable[Code], SummaryTable[[#This Row],[Code]], allFYsTable[year2], EY$3)=0, NotFound, SUMIFS(allFYsTable[Actual], allFYsTable[Code], SummaryTable[[#This Row],[Code]], allFYsTable[year2], EY$3))</f>
        <v>#N/A</v>
      </c>
      <c r="FD186" s="61" t="e">
        <f>IF(COUNTIFS(allFYsTable[Code], SummaryTable[[#This Row],[Code]], allFYsTable[year2], EY$3)=0, NotFound, SUMIFS(allFYsTable[DiffAmount], allFYsTable[Code], SummaryTable[[#This Row],[Code]], allFYsTable[year2], EY$3))</f>
        <v>#N/A</v>
      </c>
      <c r="FE186" s="63" t="e">
        <f>IF(SummaryTable[[#This Row],[OriginalBudget07]]=0, IF(SummaryTable[[#This Row],[DiffAmount07]]=0, ZeroBudgetNoSpending, ZeroBudgetWithSpending), SummaryTable[[#This Row],[DiffAmount07]]/SummaryTable[[#This Row],[OriginalBudget07]])</f>
        <v>#N/A</v>
      </c>
      <c r="FF186" s="62">
        <f>IF(COUNTIFS(allFYsTable[Code], SummaryTable[[#This Row],[Code]], allFYsTable[year2], FF$3)=0, NotFound, SUMIFS(allFYsTable[OriginalBudget], allFYsTable[Code], SummaryTable[[#This Row],[Code]], allFYsTable[year2], FF$3))</f>
        <v>0</v>
      </c>
      <c r="FI186" s="61">
        <f>IF(COUNTIFS(allFYsTable[Code], SummaryTable[[#This Row],[Code]], allFYsTable[year2], FF$3)=0, NotFound, SUMIFS(allFYsTable[RevisedBudget], allFYsTable[Code], SummaryTable[[#This Row],[Code]], allFYsTable[year2], FF$3))</f>
        <v>1468</v>
      </c>
      <c r="FJ186" s="61">
        <f>IF(COUNTIFS(allFYsTable[Code], SummaryTable[[#This Row],[Code]], allFYsTable[year2], FF$3)=0, NotFound, SUMIFS(allFYsTable[Actual], allFYsTable[Code], SummaryTable[[#This Row],[Code]], allFYsTable[year2], FF$3))</f>
        <v>1423</v>
      </c>
      <c r="FK186" s="61">
        <f>IF(COUNTIFS(allFYsTable[Code], SummaryTable[[#This Row],[Code]], allFYsTable[year2], FF$3)=0, NotFound, SUMIFS(allFYsTable[DiffAmount], allFYsTable[Code], SummaryTable[[#This Row],[Code]], allFYsTable[year2], FF$3))</f>
        <v>1423</v>
      </c>
      <c r="FL186" s="63">
        <f>IF(SummaryTable[[#This Row],[OriginalBudget06]]=0, IF(SummaryTable[[#This Row],[DiffAmount06]]=0, ZeroBudgetNoSpending, ZeroBudgetWithSpending), SummaryTable[[#This Row],[DiffAmount06]]/SummaryTable[[#This Row],[OriginalBudget06]])</f>
        <v>99.99</v>
      </c>
    </row>
    <row r="187" spans="1:168" x14ac:dyDescent="0.45">
      <c r="A187" t="s">
        <v>1046</v>
      </c>
      <c r="B187">
        <f>_xlfn.MAXIFS(allFYsTable[year2], allFYsTable[Code], SummaryTable[[#This Row],[Code]])</f>
        <v>2005</v>
      </c>
      <c r="C187" t="str">
        <f>_xlfn.XLOOKUP(SummaryTable[[#This Row],[Code]], NameCodingTable[Code], NameCodingTable[Most Recent Category per allFYs])</f>
        <v>Other</v>
      </c>
      <c r="D187" t="str">
        <f>_xlfn.XLOOKUP(SummaryTable[[#This Row],[Code]], NameCodingTable[Code], NameCodingTable[Unit Display Name])</f>
        <v>Contigency reserve baseball</v>
      </c>
      <c r="E187" t="str">
        <f>_xlfn.XLOOKUP(SummaryTable[[#This Row],[Code]], NameCodingTable[Code], NameCodingTable[Type])</f>
        <v>untyped</v>
      </c>
      <c r="F187"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0</v>
      </c>
      <c r="G187"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87" s="54" t="e">
        <f>SummaryTable[[#This Row],['# Over]]/SummaryTable[[#This Row],[Count]]</f>
        <v>#DIV/0!</v>
      </c>
      <c r="I187"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87" s="54" t="e">
        <f>SummaryTable[[#This Row],['# Under]]/SummaryTable[[#This Row],[Count]]</f>
        <v>#DIV/0!</v>
      </c>
      <c r="K187"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87" s="54" t="e">
        <f>SummaryTable[[#This Row],['# Equal]]/SummaryTable[[#This Row],[Count]]</f>
        <v>#DIV/0!</v>
      </c>
      <c r="M187" s="61" t="e">
        <f>SUMIFS(allFYsTable[OriginalBudget],allFYsTable[Code],SummaryTable[[#This Row],[Code]])/SummaryTable[[#This Row],[Count]]</f>
        <v>#DIV/0!</v>
      </c>
      <c r="N187" s="61" t="e">
        <f>SUMIFS(allFYsTable[Actual],allFYsTable[Code],SummaryTable[[#This Row],[Code]])/SummaryTable[[#This Row],[Count]]</f>
        <v>#DIV/0!</v>
      </c>
      <c r="O187" s="61" t="e">
        <f>SummaryTable[[#This Row],[AvgActAmt]]-SummaryTable[[#This Row],[AvgBudAmt]]</f>
        <v>#DIV/0!</v>
      </c>
      <c r="P187" s="54" t="e">
        <f>IF(SummaryTable[[#This Row],[AvgBudAmt]]=0, IF(SummaryTable[[#This Row],[AvgDiff'#]]=0, 0, NamedFields!$C$3), SummaryTable[[#This Row],[AvgDiff'#]]/SummaryTable[[#This Row],[AvgBudAmt]])</f>
        <v>#DIV/0!</v>
      </c>
      <c r="Q187" s="61">
        <f>IFERROR(SUMIFS(allFYsTable[OriginalBudget],allFYsTable[Code],SummaryTable[[#This Row],[Code]],allFYsTable[DiffAmount], "&gt;0")/SummaryTable[[#This Row],['# Over]], 0)</f>
        <v>0</v>
      </c>
      <c r="R187" s="61">
        <f>IFERROR(SUMIFS(allFYsTable[Actual],allFYsTable[Code],SummaryTable[[#This Row],[Code]],allFYsTable[DiffAmount], "&gt;0")/SummaryTable[[#This Row],['# Over]], 0)</f>
        <v>0</v>
      </c>
      <c r="S187" s="61">
        <f>SummaryTable[[#This Row],[OverAvgAct]]-SummaryTable[[#This Row],[OverAvgBud]]</f>
        <v>0</v>
      </c>
      <c r="T187" s="54">
        <f>IF(SummaryTable[[#This Row],[OverAvgBud]]=0, IF(SummaryTable[[#This Row],[OverAvgDiff'#]]=0, ZeroBudgetNoSpending, ZeroBudgetWithSpending), SummaryTable[[#This Row],[OverAvgDiff'#]]/SummaryTable[[#This Row],[OverAvgBud]])</f>
        <v>0</v>
      </c>
      <c r="U187" s="61">
        <f>IFERROR(SUMIFS(allFYsTable[OriginalBudget],allFYsTable[Code],SummaryTable[[#This Row],[Code]],allFYsTable[DiffAmount], "&lt;0")/SummaryTable[[#This Row],['# Under]], 0)</f>
        <v>0</v>
      </c>
      <c r="V187" s="61">
        <f>IFERROR( SUMIFS(allFYsTable[Actual],allFYsTable[Code],SummaryTable[[#This Row],[Code]],allFYsTable[DiffAmount], "&lt;0")/SummaryTable[[#This Row],['# Under]], 0)</f>
        <v>0</v>
      </c>
      <c r="W187" s="61">
        <f>SummaryTable[[#This Row],[UnderAvgAct]]-SummaryTable[[#This Row],[UnderAvgBud]]</f>
        <v>0</v>
      </c>
      <c r="X187" s="54">
        <f>IF(SummaryTable[[#This Row],[UnderAvgBud]]=0, IF(SummaryTable[[#This Row],[UnderAvgDiff'#]]=0, ZeroBudgetNoSpending, NamedFields!$C$3), SummaryTable[[#This Row],[UnderAvgDiff'#]]/SummaryTable[[#This Row],[UnderAvgBud]])</f>
        <v>0</v>
      </c>
      <c r="Y187"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87"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7" s="54">
        <f>IF(SummaryTable[[#This Row],[IncreaseYears]]=0, ZeroBudgetNoSpending, SummaryTable[[#This Row],[OSinIncreaseYear'#]]/SummaryTable[[#This Row],[IncreaseYears]])</f>
        <v>0</v>
      </c>
      <c r="AB187" s="58" t="str">
        <f>SummaryTable[[#This Row],[Code]]</f>
        <v>BK0</v>
      </c>
      <c r="AC187" s="62" t="e">
        <f>IF(COUNTIFS(allFYsTable[Code], SummaryTable[[#This Row],[Code]], allFYsTable[year2], AC$3)=0, NotFound, SUMIFS(allFYsTable[OriginalBudget], allFYsTable[Code], SummaryTable[[#This Row],[Code]], allFYsTable[year2], AC$3))</f>
        <v>#N/A</v>
      </c>
      <c r="AD187" s="61" t="e">
        <f>SummaryTable[[#This Row],[OriginalBudget25]]-SummaryTable[[#This Row],[OriginalBudget24]]</f>
        <v>#N/A</v>
      </c>
      <c r="AE187" s="54" t="e">
        <f>SummaryTable[[#This Row],[BudgetIncreaseAmount25]]/SummaryTable[[#This Row],[OriginalBudget24]]</f>
        <v>#N/A</v>
      </c>
      <c r="AF187" s="61" t="e">
        <f>IF(COUNTIFS(allFYsTable[Code], SummaryTable[[#This Row],[Code]], allFYsTable[year2], AC$3)=0, NotFound, SUMIFS(allFYsTable[RevisedBudget], allFYsTable[Code], SummaryTable[[#This Row],[Code]], allFYsTable[year2], AC$3))</f>
        <v>#N/A</v>
      </c>
      <c r="AG187" s="61" t="e">
        <f>IF(COUNTIFS(allFYsTable[Code], SummaryTable[[#This Row],[Code]], allFYsTable[year2], AC$3)=0, NotFound, SUMIFS(allFYsTable[Actual], allFYsTable[Code], SummaryTable[[#This Row],[Code]], allFYsTable[year2], AC$3))</f>
        <v>#N/A</v>
      </c>
      <c r="AH187" s="61" t="e">
        <f>IF(COUNTIFS(allFYsTable[Code], SummaryTable[[#This Row],[Code]], allFYsTable[year2], AC$3)=0, NotFound, SUMIFS(allFYsTable[DiffAmount], allFYsTable[Code], SummaryTable[[#This Row],[Code]], allFYsTable[year2], AC$3))</f>
        <v>#N/A</v>
      </c>
      <c r="AI187" s="63" t="e">
        <f>IF(SummaryTable[[#This Row],[OriginalBudget25]]=0, IF(SummaryTable[[#This Row],[DiffAmount25]]=0, ZeroBudgetNoSpending, ZeroBudgetWithSpending), SummaryTable[[#This Row],[DiffAmount25]]/SummaryTable[[#This Row],[OriginalBudget25]])</f>
        <v>#N/A</v>
      </c>
      <c r="AJ187" s="62" t="e">
        <f>IF(COUNTIFS(allFYsTable[Code], SummaryTable[[#This Row],[Code]], allFYsTable[year2], AJ$3)=0, NotFound, SUMIFS(allFYsTable[OriginalBudget], allFYsTable[Code], SummaryTable[[#This Row],[Code]], allFYsTable[year2], AJ$3))</f>
        <v>#N/A</v>
      </c>
      <c r="AK187" s="61" t="e">
        <f>SummaryTable[[#This Row],[OriginalBudget24]]-SummaryTable[[#This Row],[OriginalBudget23]]</f>
        <v>#N/A</v>
      </c>
      <c r="AL187" s="54" t="e">
        <f>SummaryTable[[#This Row],[BudgetIncreaseAmount24]]/SummaryTable[[#This Row],[OriginalBudget23]]</f>
        <v>#N/A</v>
      </c>
      <c r="AM187" s="61" t="e">
        <f>IF(COUNTIFS(allFYsTable[Code], SummaryTable[[#This Row],[Code]], allFYsTable[year2], AK$3)=0, NotFound, SUMIFS(allFYsTable[RevisedBudget], allFYsTable[Code], SummaryTable[[#This Row],[Code]], allFYsTable[year2], AJ$3))</f>
        <v>#N/A</v>
      </c>
      <c r="AN187" s="61" t="e">
        <f>IF(COUNTIFS(allFYsTable[Code], SummaryTable[[#This Row],[Code]], allFYsTable[year2], AJ$3)=0, NotFound, SUMIFS(allFYsTable[Actual], allFYsTable[Code], SummaryTable[[#This Row],[Code]], allFYsTable[year2], AJ$3))</f>
        <v>#N/A</v>
      </c>
      <c r="AO187" s="61" t="e">
        <f>IF(COUNTIFS(allFYsTable[Code], SummaryTable[[#This Row],[Code]], allFYsTable[year2], AJ$3)=0, NotFound, SUMIFS(allFYsTable[DiffAmount], allFYsTable[Code], SummaryTable[[#This Row],[Code]], allFYsTable[year2], AJ$3))</f>
        <v>#N/A</v>
      </c>
      <c r="AP187" s="63" t="e">
        <f>IF(SummaryTable[[#This Row],[OriginalBudget24]]=0, IF(SummaryTable[[#This Row],[DiffAmount24]]=0, ZeroBudgetNoSpending, ZeroBudgetWithSpending), SummaryTable[[#This Row],[DiffAmount24]]/SummaryTable[[#This Row],[OriginalBudget24]])</f>
        <v>#N/A</v>
      </c>
      <c r="AQ187" s="62" t="e">
        <f>IF(COUNTIFS(allFYsTable[Code], SummaryTable[[#This Row],[Code]], allFYsTable[year2], AQ$3)=0, NotFound, SUMIFS(allFYsTable[OriginalBudget], allFYsTable[Code], SummaryTable[[#This Row],[Code]], allFYsTable[year2], AQ$3))</f>
        <v>#N/A</v>
      </c>
      <c r="AR187" s="61" t="e">
        <f>SummaryTable[[#This Row],[OriginalBudget23]]-SummaryTable[[#This Row],[OriginalBudget22]]</f>
        <v>#N/A</v>
      </c>
      <c r="AS187" s="54" t="e">
        <f>SummaryTable[[#This Row],[BudgetIncreaseAmount23]]/SummaryTable[[#This Row],[OriginalBudget22]]</f>
        <v>#N/A</v>
      </c>
      <c r="AT187" s="61" t="e">
        <f>IF(COUNTIFS(allFYsTable[Code], SummaryTable[[#This Row],[Code]], allFYsTable[year2], AQ$3)=0, NotFound, SUMIFS(allFYsTable[RevisedBudget], allFYsTable[Code], SummaryTable[[#This Row],[Code]], allFYsTable[year2], AQ$3))</f>
        <v>#N/A</v>
      </c>
      <c r="AU187" s="61" t="e">
        <f>IF(COUNTIFS(allFYsTable[Code], SummaryTable[[#This Row],[Code]], allFYsTable[year2], AQ$3)=0, NotFound, SUMIFS(allFYsTable[Actual], allFYsTable[Code], SummaryTable[[#This Row],[Code]], allFYsTable[year2], AQ$3))</f>
        <v>#N/A</v>
      </c>
      <c r="AV187" s="61" t="e">
        <f>IF(COUNTIFS(allFYsTable[Code], SummaryTable[[#This Row],[Code]], allFYsTable[year2], AQ$3)=0, NotFound, SUMIFS(allFYsTable[DiffAmount], allFYsTable[Code], SummaryTable[[#This Row],[Code]], allFYsTable[year2], AQ$3))</f>
        <v>#N/A</v>
      </c>
      <c r="AW187" s="63" t="e">
        <f>IF(SummaryTable[[#This Row],[OriginalBudget23]]=0, IF(SummaryTable[[#This Row],[DiffAmount23]]=0, ZeroBudgetNoSpending, ZeroBudgetWithSpending), SummaryTable[[#This Row],[DiffAmount23]]/SummaryTable[[#This Row],[OriginalBudget23]])</f>
        <v>#N/A</v>
      </c>
      <c r="AX187" s="62" t="e">
        <f>IF(COUNTIFS(allFYsTable[Code], SummaryTable[[#This Row],[Code]], allFYsTable[year2], AX$3)=0, NotFound, SUMIFS(allFYsTable[OriginalBudget], allFYsTable[Code], SummaryTable[[#This Row],[Code]], allFYsTable[year2], AX$3))</f>
        <v>#N/A</v>
      </c>
      <c r="AY187" s="61" t="e">
        <f>SummaryTable[[#This Row],[OriginalBudget22]]-SummaryTable[[#This Row],[OriginalBudget21]]</f>
        <v>#N/A</v>
      </c>
      <c r="AZ187" s="54" t="e">
        <f>SummaryTable[[#This Row],[BudgetIncreaseAmount22]]/SummaryTable[[#This Row],[OriginalBudget21]]</f>
        <v>#N/A</v>
      </c>
      <c r="BA187" s="61" t="e">
        <f>IF(COUNTIFS(allFYsTable[Code], SummaryTable[[#This Row],[Code]], allFYsTable[year2], AX$3)=0, NotFound, SUMIFS(allFYsTable[RevisedBudget], allFYsTable[Code], SummaryTable[[#This Row],[Code]], allFYsTable[year2], AX$3))</f>
        <v>#N/A</v>
      </c>
      <c r="BB187" s="61" t="e">
        <f>IF(COUNTIFS(allFYsTable[Code], SummaryTable[[#This Row],[Code]], allFYsTable[year2], AX$3)=0, NotFound, SUMIFS(allFYsTable[Actual], allFYsTable[Code], SummaryTable[[#This Row],[Code]], allFYsTable[year2], AX$3))</f>
        <v>#N/A</v>
      </c>
      <c r="BC187" s="61" t="e">
        <f>IF(COUNTIFS(allFYsTable[Code], SummaryTable[[#This Row],[Code]], allFYsTable[year2], AX$3)=0, NotFound, SUMIFS(allFYsTable[DiffAmount], allFYsTable[Code], SummaryTable[[#This Row],[Code]], allFYsTable[year2], AX$3))</f>
        <v>#N/A</v>
      </c>
      <c r="BD187" s="63" t="e">
        <f>IF(SummaryTable[[#This Row],[OriginalBudget22]]=0, IF(SummaryTable[[#This Row],[DiffAmount22]]=0, ZeroBudgetNoSpending, ZeroBudgetWithSpending), SummaryTable[[#This Row],[DiffAmount22]]/SummaryTable[[#This Row],[OriginalBudget22]])</f>
        <v>#N/A</v>
      </c>
      <c r="BE187" s="62" t="e">
        <f>IF(COUNTIFS(allFYsTable[Code], SummaryTable[[#This Row],[Code]], allFYsTable[year2], BE$3)=0, NotFound, SUMIFS(allFYsTable[OriginalBudget], allFYsTable[Code], SummaryTable[[#This Row],[Code]], allFYsTable[year2], BE$3))</f>
        <v>#N/A</v>
      </c>
      <c r="BF187" s="61" t="e">
        <f>SummaryTable[[#This Row],[OriginalBudget21]]-SummaryTable[[#This Row],[OriginalBudget20]]</f>
        <v>#N/A</v>
      </c>
      <c r="BG187" s="54" t="e">
        <f>SummaryTable[[#This Row],[BudgetIncreaseAmount21]]/SummaryTable[[#This Row],[OriginalBudget20]]</f>
        <v>#N/A</v>
      </c>
      <c r="BH187" s="61" t="e">
        <f>IF(COUNTIFS(allFYsTable[Code], SummaryTable[[#This Row],[Code]], allFYsTable[year2], BE$3)=0, NotFound, SUMIFS(allFYsTable[RevisedBudget], allFYsTable[Code], SummaryTable[[#This Row],[Code]], allFYsTable[year2], BE$3))</f>
        <v>#N/A</v>
      </c>
      <c r="BI187" s="61" t="e">
        <f>IF(COUNTIFS(allFYsTable[Code], SummaryTable[[#This Row],[Code]], allFYsTable[year2], BE$3)=0, NotFound, SUMIFS(allFYsTable[Actual], allFYsTable[Code], SummaryTable[[#This Row],[Code]], allFYsTable[year2], BE$3))</f>
        <v>#N/A</v>
      </c>
      <c r="BJ187" s="61" t="e">
        <f>IF(COUNTIFS(allFYsTable[Code], SummaryTable[[#This Row],[Code]], allFYsTable[year2], BE$3)=0, NotFound, SUMIFS(allFYsTable[DiffAmount], allFYsTable[Code], SummaryTable[[#This Row],[Code]], allFYsTable[year2], BE$3))</f>
        <v>#N/A</v>
      </c>
      <c r="BK187" s="63" t="e">
        <f>IF(SummaryTable[[#This Row],[OriginalBudget21]]=0, IF(SummaryTable[[#This Row],[DiffAmount21]]=0, ZeroBudgetNoSpending, ZeroBudgetWithSpending), SummaryTable[[#This Row],[DiffAmount21]]/SummaryTable[[#This Row],[OriginalBudget21]])</f>
        <v>#N/A</v>
      </c>
      <c r="BL187" s="62" t="e">
        <f>IF(COUNTIFS(allFYsTable[Code], SummaryTable[[#This Row],[Code]], allFYsTable[year2], BL$3)=0, NotFound, SUMIFS(allFYsTable[OriginalBudget], allFYsTable[Code], SummaryTable[[#This Row],[Code]], allFYsTable[year2], BL$3))</f>
        <v>#N/A</v>
      </c>
      <c r="BM187" s="61" t="e">
        <f>SummaryTable[[#This Row],[OriginalBudget20]]-SummaryTable[[#This Row],[OriginalBudget19]]</f>
        <v>#N/A</v>
      </c>
      <c r="BN187" s="54" t="e">
        <f>SummaryTable[[#This Row],[BudgetIncreaseAmount20]]/SummaryTable[[#This Row],[OriginalBudget19]]</f>
        <v>#N/A</v>
      </c>
      <c r="BO187" s="61" t="e">
        <f>IF(COUNTIFS(allFYsTable[Code], SummaryTable[[#This Row],[Code]], allFYsTable[year2], BL$3)=0, NotFound, SUMIFS(allFYsTable[RevisedBudget], allFYsTable[Code], SummaryTable[[#This Row],[Code]], allFYsTable[year2], BL$3))</f>
        <v>#N/A</v>
      </c>
      <c r="BP187" s="61" t="e">
        <f>IF(COUNTIFS(allFYsTable[Code], SummaryTable[[#This Row],[Code]], allFYsTable[year2], BL$3)=0, NotFound, SUMIFS(allFYsTable[Actual], allFYsTable[Code], SummaryTable[[#This Row],[Code]], allFYsTable[year2], BL$3))</f>
        <v>#N/A</v>
      </c>
      <c r="BQ187" s="61" t="e">
        <f>IF(COUNTIFS(allFYsTable[Code], SummaryTable[[#This Row],[Code]], allFYsTable[year2], BL$3)=0, NotFound, SUMIFS(allFYsTable[DiffAmount], allFYsTable[Code], SummaryTable[[#This Row],[Code]], allFYsTable[year2], BL$3))</f>
        <v>#N/A</v>
      </c>
      <c r="BR187" s="63" t="e">
        <f>IF(SummaryTable[[#This Row],[OriginalBudget20]]=0, IF(SummaryTable[[#This Row],[DiffAmount20]]=0, ZeroBudgetNoSpending, ZeroBudgetWithSpending), SummaryTable[[#This Row],[DiffAmount20]]/SummaryTable[[#This Row],[OriginalBudget20]])</f>
        <v>#N/A</v>
      </c>
      <c r="BS187" s="62" t="e">
        <f>IF(COUNTIFS(allFYsTable[Code], SummaryTable[[#This Row],[Code]], allFYsTable[year2], BS$3)=0, NotFound, SUMIFS(allFYsTable[OriginalBudget], allFYsTable[Code], SummaryTable[[#This Row],[Code]], allFYsTable[year2], BS$3))</f>
        <v>#N/A</v>
      </c>
      <c r="BT187" s="61" t="e">
        <f>SummaryTable[[#This Row],[OriginalBudget19]]-SummaryTable[[#This Row],[OriginalBudget18]]</f>
        <v>#N/A</v>
      </c>
      <c r="BU187" s="54" t="e">
        <f>SummaryTable[[#This Row],[BudgetIncreaseAmount19]]/SummaryTable[[#This Row],[OriginalBudget18]]</f>
        <v>#N/A</v>
      </c>
      <c r="BV187" s="61" t="e">
        <f>IF(COUNTIFS(allFYsTable[Code], SummaryTable[[#This Row],[Code]], allFYsTable[year2], BS$3)=0, NotFound, SUMIFS(allFYsTable[RevisedBudget], allFYsTable[Code], SummaryTable[[#This Row],[Code]], allFYsTable[year2], BS$3))</f>
        <v>#N/A</v>
      </c>
      <c r="BW187" s="61" t="e">
        <f>IF(COUNTIFS(allFYsTable[Code], SummaryTable[[#This Row],[Code]], allFYsTable[year2], BS$3)=0, NotFound, SUMIFS(allFYsTable[Actual], allFYsTable[Code], SummaryTable[[#This Row],[Code]], allFYsTable[year2], BS$3))</f>
        <v>#N/A</v>
      </c>
      <c r="BX187" s="61" t="e">
        <f>IF(COUNTIFS(allFYsTable[Code], SummaryTable[[#This Row],[Code]], allFYsTable[year2], BS$3)=0, NotFound, SUMIFS(allFYsTable[DiffAmount], allFYsTable[Code], SummaryTable[[#This Row],[Code]], allFYsTable[year2], BS$3))</f>
        <v>#N/A</v>
      </c>
      <c r="BY187" s="63" t="e">
        <f>IF(SummaryTable[[#This Row],[OriginalBudget19]]=0, IF(SummaryTable[[#This Row],[DiffAmount19]]=0, ZeroBudgetNoSpending, ZeroBudgetWithSpending), SummaryTable[[#This Row],[DiffAmount19]]/SummaryTable[[#This Row],[OriginalBudget19]])</f>
        <v>#N/A</v>
      </c>
      <c r="BZ187" s="62" t="e">
        <f>IF(COUNTIFS(allFYsTable[Code], SummaryTable[[#This Row],[Code]], allFYsTable[year2], BZ$3)=0, NotFound, SUMIFS(allFYsTable[OriginalBudget], allFYsTable[Code], SummaryTable[[#This Row],[Code]], allFYsTable[year2], BZ$3))</f>
        <v>#N/A</v>
      </c>
      <c r="CA187" s="61" t="e">
        <f>SummaryTable[[#This Row],[OriginalBudget18]]-SummaryTable[[#This Row],[OriginalBudget17]]</f>
        <v>#N/A</v>
      </c>
      <c r="CB187" s="54" t="e">
        <f>SummaryTable[[#This Row],[BudgetIncreaseAmount18]]/SummaryTable[[#This Row],[OriginalBudget17]]</f>
        <v>#N/A</v>
      </c>
      <c r="CC187" s="61" t="e">
        <f>IF(COUNTIFS(allFYsTable[Code], SummaryTable[[#This Row],[Code]], allFYsTable[year2], BZ$3)=0, NotFound, SUMIFS(allFYsTable[RevisedBudget], allFYsTable[Code], SummaryTable[[#This Row],[Code]], allFYsTable[year2], BZ$3))</f>
        <v>#N/A</v>
      </c>
      <c r="CD187" s="61" t="e">
        <f>IF(COUNTIFS(allFYsTable[Code], SummaryTable[[#This Row],[Code]], allFYsTable[year2], BZ$3)=0, NotFound, SUMIFS(allFYsTable[Actual], allFYsTable[Code], SummaryTable[[#This Row],[Code]], allFYsTable[year2], BZ$3))</f>
        <v>#N/A</v>
      </c>
      <c r="CE187" s="61" t="e">
        <f>IF(COUNTIFS(allFYsTable[Code], SummaryTable[[#This Row],[Code]], allFYsTable[year2], BZ$3)=0, NotFound, SUMIFS(allFYsTable[DiffAmount], allFYsTable[Code], SummaryTable[[#This Row],[Code]], allFYsTable[year2], BZ$3))</f>
        <v>#N/A</v>
      </c>
      <c r="CF187" s="63" t="e">
        <f>IF(SummaryTable[[#This Row],[OriginalBudget18]]=0, IF(SummaryTable[[#This Row],[DiffAmount18]]=0, ZeroBudgetNoSpending, ZeroBudgetWithSpending), SummaryTable[[#This Row],[DiffAmount18]]/SummaryTable[[#This Row],[OriginalBudget18]])</f>
        <v>#N/A</v>
      </c>
      <c r="CG187" s="62" t="e">
        <f>IF(COUNTIFS(allFYsTable[Code], SummaryTable[[#This Row],[Code]], allFYsTable[year2], CG$3)=0, NotFound, SUMIFS(allFYsTable[OriginalBudget], allFYsTable[Code], SummaryTable[[#This Row],[Code]], allFYsTable[year2], CG$3))</f>
        <v>#N/A</v>
      </c>
      <c r="CH187" s="61" t="e">
        <f>SummaryTable[[#This Row],[OriginalBudget17]]-SummaryTable[[#This Row],[OriginalBudget16]]</f>
        <v>#N/A</v>
      </c>
      <c r="CI187" s="54" t="e">
        <f>SummaryTable[[#This Row],[BudgetIncreaseAmount17]]/SummaryTable[[#This Row],[OriginalBudget16]]</f>
        <v>#N/A</v>
      </c>
      <c r="CJ187" s="61" t="e">
        <f>IF(COUNTIFS(allFYsTable[Code], SummaryTable[[#This Row],[Code]], allFYsTable[year2], CG$3)=0, NotFound, SUMIFS(allFYsTable[RevisedBudget], allFYsTable[Code], SummaryTable[[#This Row],[Code]], allFYsTable[year2], CG$3))</f>
        <v>#N/A</v>
      </c>
      <c r="CK187" s="61" t="e">
        <f>IF(COUNTIFS(allFYsTable[Code], SummaryTable[[#This Row],[Code]], allFYsTable[year2], CG$3)=0, NotFound, SUMIFS(allFYsTable[Actual], allFYsTable[Code], SummaryTable[[#This Row],[Code]], allFYsTable[year2], CG$3))</f>
        <v>#N/A</v>
      </c>
      <c r="CL187" s="61" t="e">
        <f>IF(COUNTIFS(allFYsTable[Code], SummaryTable[[#This Row],[Code]], allFYsTable[year2], CG$3)=0, NotFound, SUMIFS(allFYsTable[DiffAmount], allFYsTable[Code], SummaryTable[[#This Row],[Code]], allFYsTable[year2], CG$3))</f>
        <v>#N/A</v>
      </c>
      <c r="CM187" s="63" t="e">
        <f>IF(SummaryTable[[#This Row],[OriginalBudget17]]=0, IF(SummaryTable[[#This Row],[DiffAmount17]]=0, ZeroBudgetNoSpending, ZeroBudgetWithSpending), SummaryTable[[#This Row],[DiffAmount17]]/SummaryTable[[#This Row],[OriginalBudget17]])</f>
        <v>#N/A</v>
      </c>
      <c r="CN187" s="62" t="e">
        <f>IF(COUNTIFS(allFYsTable[Code], SummaryTable[[#This Row],[Code]], allFYsTable[year2], CN$3)=0, NotFound, SUMIFS(allFYsTable[OriginalBudget], allFYsTable[Code], SummaryTable[[#This Row],[Code]], allFYsTable[year2], CN$3))</f>
        <v>#N/A</v>
      </c>
      <c r="CO187" s="61" t="e">
        <f>SummaryTable[[#This Row],[OriginalBudget16]]-SummaryTable[[#This Row],[OriginalBudget15]]</f>
        <v>#N/A</v>
      </c>
      <c r="CP187" s="54" t="e">
        <f>SummaryTable[[#This Row],[BudgetIncreaseAmount16]]/SummaryTable[[#This Row],[OriginalBudget15]]</f>
        <v>#N/A</v>
      </c>
      <c r="CQ187" s="61" t="e">
        <f>IF(COUNTIFS(allFYsTable[Code], SummaryTable[[#This Row],[Code]], allFYsTable[year2], CN$3)=0, NotFound, SUMIFS(allFYsTable[RevisedBudget], allFYsTable[Code], SummaryTable[[#This Row],[Code]], allFYsTable[year2], CN$3))</f>
        <v>#N/A</v>
      </c>
      <c r="CR187" s="61" t="e">
        <f>IF(COUNTIFS(allFYsTable[Code], SummaryTable[[#This Row],[Code]], allFYsTable[year2], CN$3)=0, NotFound, SUMIFS(allFYsTable[Actual], allFYsTable[Code], SummaryTable[[#This Row],[Code]], allFYsTable[year2], CN$3))</f>
        <v>#N/A</v>
      </c>
      <c r="CS187" s="61" t="e">
        <f>IF(COUNTIFS(allFYsTable[Code], SummaryTable[[#This Row],[Code]], allFYsTable[year2], CN$3)=0, NotFound, SUMIFS(allFYsTable[DiffAmount], allFYsTable[Code], SummaryTable[[#This Row],[Code]], allFYsTable[year2], CN$3))</f>
        <v>#N/A</v>
      </c>
      <c r="CT187" s="63" t="e">
        <f>IF(SummaryTable[[#This Row],[OriginalBudget16]]=0, IF(SummaryTable[[#This Row],[DiffAmount16]]=0, ZeroBudgetNoSpending, ZeroBudgetWithSpending), SummaryTable[[#This Row],[DiffAmount16]]/SummaryTable[[#This Row],[OriginalBudget16]])</f>
        <v>#N/A</v>
      </c>
      <c r="CU187" s="62" t="e">
        <f>IF(COUNTIFS(allFYsTable[Code], SummaryTable[[#This Row],[Code]], allFYsTable[year2], CU$3)=0, NotFound, SUMIFS(allFYsTable[OriginalBudget], allFYsTable[Code], SummaryTable[[#This Row],[Code]], allFYsTable[year2], CU$3))</f>
        <v>#N/A</v>
      </c>
      <c r="CV187" s="61" t="e">
        <f>SummaryTable[[#This Row],[OriginalBudget15]]-SummaryTable[[#This Row],[OriginalBudget14]]</f>
        <v>#N/A</v>
      </c>
      <c r="CW187" s="54" t="e">
        <f>SummaryTable[[#This Row],[BudgetIncreaseAmount15]]/SummaryTable[[#This Row],[OriginalBudget14]]</f>
        <v>#N/A</v>
      </c>
      <c r="CX187" s="61" t="e">
        <f>IF(COUNTIFS(allFYsTable[Code], SummaryTable[[#This Row],[Code]], allFYsTable[year2], CU$3)=0, NotFound, SUMIFS(allFYsTable[RevisedBudget], allFYsTable[Code], SummaryTable[[#This Row],[Code]], allFYsTable[year2], CU$3))</f>
        <v>#N/A</v>
      </c>
      <c r="CY187" s="61" t="e">
        <f>IF(COUNTIFS(allFYsTable[Code], SummaryTable[[#This Row],[Code]], allFYsTable[year2], CU$3)=0, NotFound, SUMIFS(allFYsTable[Actual], allFYsTable[Code], SummaryTable[[#This Row],[Code]], allFYsTable[year2], CU$3))</f>
        <v>#N/A</v>
      </c>
      <c r="CZ187" s="61" t="e">
        <f>IF(COUNTIFS(allFYsTable[Code], SummaryTable[[#This Row],[Code]], allFYsTable[year2], CU$3)=0, NotFound, SUMIFS(allFYsTable[DiffAmount], allFYsTable[Code], SummaryTable[[#This Row],[Code]], allFYsTable[year2], CU$3))</f>
        <v>#N/A</v>
      </c>
      <c r="DA187" s="63" t="e">
        <f>IF(SummaryTable[[#This Row],[OriginalBudget15]]=0, IF(SummaryTable[[#This Row],[DiffAmount15]]=0, ZeroBudgetNoSpending, ZeroBudgetWithSpending), SummaryTable[[#This Row],[DiffAmount15]]/SummaryTable[[#This Row],[OriginalBudget15]])</f>
        <v>#N/A</v>
      </c>
      <c r="DB187" s="62" t="e">
        <f>IF(COUNTIFS(allFYsTable[Code], SummaryTable[[#This Row],[Code]], allFYsTable[year2], DB$3)=0, NotFound, SUMIFS(allFYsTable[OriginalBudget], allFYsTable[Code], SummaryTable[[#This Row],[Code]], allFYsTable[year2], DB$3))</f>
        <v>#N/A</v>
      </c>
      <c r="DC187" s="61" t="e">
        <f>SummaryTable[[#This Row],[OriginalBudget14]]-SummaryTable[[#This Row],[OriginalBudget13]]</f>
        <v>#N/A</v>
      </c>
      <c r="DD187" s="54" t="e">
        <f>SummaryTable[[#This Row],[BudgetIncreaseAmount14]]/SummaryTable[[#This Row],[OriginalBudget13]]</f>
        <v>#N/A</v>
      </c>
      <c r="DE187" s="61" t="e">
        <f>IF(COUNTIFS(allFYsTable[Code], SummaryTable[[#This Row],[Code]], allFYsTable[year2], DB$3)=0, NotFound, SUMIFS(allFYsTable[RevisedBudget], allFYsTable[Code], SummaryTable[[#This Row],[Code]], allFYsTable[year2], DB$3))</f>
        <v>#N/A</v>
      </c>
      <c r="DF187" s="61" t="e">
        <f>IF(COUNTIFS(allFYsTable[Code], SummaryTable[[#This Row],[Code]], allFYsTable[year2], DB$3)=0, NotFound, SUMIFS(allFYsTable[Actual], allFYsTable[Code], SummaryTable[[#This Row],[Code]], allFYsTable[year2], DB$3))</f>
        <v>#N/A</v>
      </c>
      <c r="DG187" s="61" t="e">
        <f>IF(COUNTIFS(allFYsTable[Code], SummaryTable[[#This Row],[Code]], allFYsTable[year2], DB$3)=0, NotFound, SUMIFS(allFYsTable[DiffAmount], allFYsTable[Code], SummaryTable[[#This Row],[Code]], allFYsTable[year2], DB$3))</f>
        <v>#N/A</v>
      </c>
      <c r="DH187" s="63" t="e">
        <f>IF(SummaryTable[[#This Row],[OriginalBudget14]]=0, IF(SummaryTable[[#This Row],[DiffAmount14]]=0, ZeroBudgetNoSpending, ZeroBudgetWithSpending), SummaryTable[[#This Row],[DiffAmount14]]/SummaryTable[[#This Row],[OriginalBudget14]])</f>
        <v>#N/A</v>
      </c>
      <c r="DI187" s="62" t="e">
        <f>IF(COUNTIFS(allFYsTable[Code], SummaryTable[[#This Row],[Code]], allFYsTable[year2], DI$3)=0, NotFound, SUMIFS(allFYsTable[OriginalBudget], allFYsTable[Code], SummaryTable[[#This Row],[Code]], allFYsTable[year2], DI$3))</f>
        <v>#N/A</v>
      </c>
      <c r="DJ187" s="61" t="e">
        <f>SummaryTable[[#This Row],[OriginalBudget13]]-SummaryTable[[#This Row],[OriginalBudget12]]</f>
        <v>#N/A</v>
      </c>
      <c r="DK187" s="54" t="e">
        <f>SummaryTable[[#This Row],[BudgetIncreaseAmount13]]/SummaryTable[[#This Row],[OriginalBudget12]]</f>
        <v>#N/A</v>
      </c>
      <c r="DL187" s="61" t="e">
        <f>IF(COUNTIFS(allFYsTable[Code], SummaryTable[[#This Row],[Code]], allFYsTable[year2], DI$3)=0, NotFound, SUMIFS(allFYsTable[RevisedBudget], allFYsTable[Code], SummaryTable[[#This Row],[Code]], allFYsTable[year2], DI$3))</f>
        <v>#N/A</v>
      </c>
      <c r="DM187" s="61" t="e">
        <f>IF(COUNTIFS(allFYsTable[Code], SummaryTable[[#This Row],[Code]], allFYsTable[year2], DI$3)=0, NotFound, SUMIFS(allFYsTable[Actual], allFYsTable[Code], SummaryTable[[#This Row],[Code]], allFYsTable[year2], DI$3))</f>
        <v>#N/A</v>
      </c>
      <c r="DN187" s="61" t="e">
        <f>IF(COUNTIFS(allFYsTable[Code], SummaryTable[[#This Row],[Code]], allFYsTable[year2], DI$3)=0, NotFound, SUMIFS(allFYsTable[DiffAmount], allFYsTable[Code], SummaryTable[[#This Row],[Code]], allFYsTable[year2], DI$3))</f>
        <v>#N/A</v>
      </c>
      <c r="DO187" s="63" t="e">
        <f>IF(SummaryTable[[#This Row],[OriginalBudget13]]=0, IF(SummaryTable[[#This Row],[DiffAmount13]]=0, ZeroBudgetNoSpending, ZeroBudgetWithSpending), SummaryTable[[#This Row],[DiffAmount13]]/SummaryTable[[#This Row],[OriginalBudget13]])</f>
        <v>#N/A</v>
      </c>
      <c r="DP187" s="62" t="e">
        <f>IF(COUNTIFS(allFYsTable[Code], SummaryTable[[#This Row],[Code]], allFYsTable[year2], DP$3)=0, NotFound, SUMIFS(allFYsTable[OriginalBudget], allFYsTable[Code], SummaryTable[[#This Row],[Code]], allFYsTable[year2], DP$3))</f>
        <v>#N/A</v>
      </c>
      <c r="DQ187" s="61" t="e">
        <f>SummaryTable[[#This Row],[OriginalBudget12]]-SummaryTable[[#This Row],[OriginalBudget11]]</f>
        <v>#N/A</v>
      </c>
      <c r="DR187" s="54" t="e">
        <f>SummaryTable[[#This Row],[BudgetIncreaseAmount12]]/SummaryTable[[#This Row],[OriginalBudget11]]</f>
        <v>#N/A</v>
      </c>
      <c r="DS187" s="61" t="e">
        <f>IF(COUNTIFS(allFYsTable[Code], SummaryTable[[#This Row],[Code]], allFYsTable[year2], DP$3)=0, NotFound, SUMIFS(allFYsTable[RevisedBudget], allFYsTable[Code], SummaryTable[[#This Row],[Code]], allFYsTable[year2], DP$3))</f>
        <v>#N/A</v>
      </c>
      <c r="DT187" s="61" t="e">
        <f>IF(COUNTIFS(allFYsTable[Code], SummaryTable[[#This Row],[Code]], allFYsTable[year2], DP$3)=0, NotFound, SUMIFS(allFYsTable[Actual], allFYsTable[Code], SummaryTable[[#This Row],[Code]], allFYsTable[year2], DP$3))</f>
        <v>#N/A</v>
      </c>
      <c r="DU187" s="61" t="e">
        <f>IF(COUNTIFS(allFYsTable[Code], SummaryTable[[#This Row],[Code]], allFYsTable[year2], DP$3)=0, NotFound, SUMIFS(allFYsTable[DiffAmount], allFYsTable[Code], SummaryTable[[#This Row],[Code]], allFYsTable[year2], DP$3))</f>
        <v>#N/A</v>
      </c>
      <c r="DV187" s="63" t="e">
        <f>IF(SummaryTable[[#This Row],[OriginalBudget12]]=0, IF(SummaryTable[[#This Row],[DiffAmount12]]=0, ZeroBudgetNoSpending, ZeroBudgetWithSpending), SummaryTable[[#This Row],[DiffAmount12]]/SummaryTable[[#This Row],[OriginalBudget12]])</f>
        <v>#N/A</v>
      </c>
      <c r="DW187" s="62" t="e">
        <f>IF(COUNTIFS(allFYsTable[Code], SummaryTable[[#This Row],[Code]], allFYsTable[year2], DW$3)=0, NotFound, SUMIFS(allFYsTable[OriginalBudget], allFYsTable[Code], SummaryTable[[#This Row],[Code]], allFYsTable[year2], DW$3))</f>
        <v>#N/A</v>
      </c>
      <c r="DX187" s="61" t="e">
        <f>SummaryTable[[#This Row],[OriginalBudget11]]-SummaryTable[[#This Row],[OriginalBudget10]]</f>
        <v>#N/A</v>
      </c>
      <c r="DY187" s="54" t="e">
        <f>SummaryTable[[#This Row],[BudgetIncreaseAmount11]]/SummaryTable[[#This Row],[OriginalBudget10]]</f>
        <v>#N/A</v>
      </c>
      <c r="DZ187" s="61" t="e">
        <f>IF(COUNTIFS(allFYsTable[Code], SummaryTable[[#This Row],[Code]], allFYsTable[year2], DW$3)=0, NotFound, SUMIFS(allFYsTable[RevisedBudget], allFYsTable[Code], SummaryTable[[#This Row],[Code]], allFYsTable[year2], DW$3))</f>
        <v>#N/A</v>
      </c>
      <c r="EA187" s="61" t="e">
        <f>IF(COUNTIFS(allFYsTable[Code], SummaryTable[[#This Row],[Code]], allFYsTable[year2], DW$3)=0, NotFound, SUMIFS(allFYsTable[Actual], allFYsTable[Code], SummaryTable[[#This Row],[Code]], allFYsTable[year2], DW$3))</f>
        <v>#N/A</v>
      </c>
      <c r="EB187" s="61" t="e">
        <f>IF(COUNTIFS(allFYsTable[Code], SummaryTable[[#This Row],[Code]], allFYsTable[year2], DW$3)=0, NotFound, SUMIFS(allFYsTable[DiffAmount], allFYsTable[Code], SummaryTable[[#This Row],[Code]], allFYsTable[year2], DW$3))</f>
        <v>#N/A</v>
      </c>
      <c r="EC187" s="63" t="e">
        <f>IF(SummaryTable[[#This Row],[OriginalBudget11]]=0, IF(SummaryTable[[#This Row],[DiffAmount11]]=0, ZeroBudgetNoSpending, ZeroBudgetWithSpending), SummaryTable[[#This Row],[DiffAmount11]]/SummaryTable[[#This Row],[OriginalBudget11]])</f>
        <v>#N/A</v>
      </c>
      <c r="ED187" s="62" t="e">
        <f>IF(COUNTIFS(allFYsTable[Code], SummaryTable[[#This Row],[Code]], allFYsTable[year2], ED$3)=0, NotFound, SUMIFS(allFYsTable[OriginalBudget], allFYsTable[Code], SummaryTable[[#This Row],[Code]], allFYsTable[year2], ED$3))</f>
        <v>#N/A</v>
      </c>
      <c r="EE187" s="61" t="e">
        <f>SummaryTable[[#This Row],[OriginalBudget10]]-SummaryTable[[#This Row],[OriginalBudget09]]</f>
        <v>#N/A</v>
      </c>
      <c r="EF187" s="54" t="e">
        <f>SummaryTable[[#This Row],[BudgetIncreaseAmount10]]/SummaryTable[[#This Row],[OriginalBudget09]]</f>
        <v>#N/A</v>
      </c>
      <c r="EG187" s="61" t="e">
        <f>IF(COUNTIFS(allFYsTable[Code], SummaryTable[[#This Row],[Code]], allFYsTable[year2], ED$3)=0, NotFound, SUMIFS(allFYsTable[RevisedBudget], allFYsTable[Code], SummaryTable[[#This Row],[Code]], allFYsTable[year2], ED$3))</f>
        <v>#N/A</v>
      </c>
      <c r="EH187" s="61" t="e">
        <f>IF(COUNTIFS(allFYsTable[Code], SummaryTable[[#This Row],[Code]], allFYsTable[year2], ED$3)=0, NotFound, SUMIFS(allFYsTable[Actual], allFYsTable[Code], SummaryTable[[#This Row],[Code]], allFYsTable[year2], ED$3))</f>
        <v>#N/A</v>
      </c>
      <c r="EI187" s="61" t="e">
        <f>IF(COUNTIFS(allFYsTable[Code], SummaryTable[[#This Row],[Code]], allFYsTable[year2], ED$3)=0, NotFound, SUMIFS(allFYsTable[DiffAmount], allFYsTable[Code], SummaryTable[[#This Row],[Code]], allFYsTable[year2], ED$3))</f>
        <v>#N/A</v>
      </c>
      <c r="EJ187" s="63" t="e">
        <f>IF(SummaryTable[[#This Row],[OriginalBudget10]]=0, IF(SummaryTable[[#This Row],[DiffAmount10]]=0, ZeroBudgetNoSpending, ZeroBudgetWithSpending), SummaryTable[[#This Row],[DiffAmount10]]/SummaryTable[[#This Row],[OriginalBudget10]])</f>
        <v>#N/A</v>
      </c>
      <c r="EK187" s="62" t="e">
        <f>IF(COUNTIFS(allFYsTable[Code], SummaryTable[[#This Row],[Code]], allFYsTable[year2], EK$3)=0, NotFound, SUMIFS(allFYsTable[OriginalBudget], allFYsTable[Code], SummaryTable[[#This Row],[Code]], allFYsTable[year2], EK$3))</f>
        <v>#N/A</v>
      </c>
      <c r="EL187" s="61" t="e">
        <f>SummaryTable[[#This Row],[OriginalBudget09]]-SummaryTable[[#This Row],[OriginalBudget08]]</f>
        <v>#N/A</v>
      </c>
      <c r="EM187" s="54" t="e">
        <f>SummaryTable[[#This Row],[BudgetIncreaseAmount09]]/SummaryTable[[#This Row],[OriginalBudget08]]</f>
        <v>#N/A</v>
      </c>
      <c r="EN187" s="61" t="e">
        <f>IF(COUNTIFS(allFYsTable[Code], SummaryTable[[#This Row],[Code]], allFYsTable[year2], EK$3)=0, NotFound, SUMIFS(allFYsTable[RevisedBudget], allFYsTable[Code], SummaryTable[[#This Row],[Code]], allFYsTable[year2], EK$3))</f>
        <v>#N/A</v>
      </c>
      <c r="EO187" s="61" t="e">
        <f>IF(COUNTIFS(allFYsTable[Code], SummaryTable[[#This Row],[Code]], allFYsTable[year2], EK$3)=0, NotFound, SUMIFS(allFYsTable[Actual], allFYsTable[Code], SummaryTable[[#This Row],[Code]], allFYsTable[year2], EK$3))</f>
        <v>#N/A</v>
      </c>
      <c r="EP187" s="61" t="e">
        <f>IF(COUNTIFS(allFYsTable[Code], SummaryTable[[#This Row],[Code]], allFYsTable[year2], EK$3)=0, NotFound, SUMIFS(allFYsTable[DiffAmount], allFYsTable[Code], SummaryTable[[#This Row],[Code]], allFYsTable[year2], EK$3))</f>
        <v>#N/A</v>
      </c>
      <c r="EQ187" s="63" t="e">
        <f>IF(SummaryTable[[#This Row],[OriginalBudget09]]=0, IF(SummaryTable[[#This Row],[DiffAmount09]]=0, ZeroBudgetNoSpending, ZeroBudgetWithSpending), SummaryTable[[#This Row],[DiffAmount09]]/SummaryTable[[#This Row],[OriginalBudget09]])</f>
        <v>#N/A</v>
      </c>
      <c r="ER187" s="62" t="e">
        <f>IF(COUNTIFS(allFYsTable[Code], SummaryTable[[#This Row],[Code]], allFYsTable[year2], ER$3)=0, NotFound, SUMIFS(allFYsTable[OriginalBudget], allFYsTable[Code], SummaryTable[[#This Row],[Code]], allFYsTable[year2], ER$3))</f>
        <v>#N/A</v>
      </c>
      <c r="ES187" s="61" t="e">
        <f>SummaryTable[[#This Row],[OriginalBudget08]]-SummaryTable[[#This Row],[OriginalBudget07]]</f>
        <v>#N/A</v>
      </c>
      <c r="ET187" s="54" t="e">
        <f>SummaryTable[[#This Row],[BudgetIncreaseAmount08]]/SummaryTable[[#This Row],[OriginalBudget07]]</f>
        <v>#N/A</v>
      </c>
      <c r="EU187" s="61" t="e">
        <f>IF(COUNTIFS(allFYsTable[Code], SummaryTable[[#This Row],[Code]], allFYsTable[year2], ER$3)=0, NotFound, SUMIFS(allFYsTable[RevisedBudget], allFYsTable[Code], SummaryTable[[#This Row],[Code]], allFYsTable[year2], ER$3))</f>
        <v>#N/A</v>
      </c>
      <c r="EV187" s="61" t="e">
        <f>IF(COUNTIFS(allFYsTable[Code], SummaryTable[[#This Row],[Code]], allFYsTable[year2], ER$3)=0, NotFound, SUMIFS(allFYsTable[Actual], allFYsTable[Code], SummaryTable[[#This Row],[Code]], allFYsTable[year2], ER$3))</f>
        <v>#N/A</v>
      </c>
      <c r="EW187" s="61" t="e">
        <f>IF(COUNTIFS(allFYsTable[Code], SummaryTable[[#This Row],[Code]], allFYsTable[year2], ER$3)=0, NotFound, SUMIFS(allFYsTable[DiffAmount], allFYsTable[Code], SummaryTable[[#This Row],[Code]], allFYsTable[year2], ER$3))</f>
        <v>#N/A</v>
      </c>
      <c r="EX187" s="63" t="e">
        <f>IF(SummaryTable[[#This Row],[OriginalBudget08]]=0, IF(SummaryTable[[#This Row],[DiffAmount08]]=0, ZeroBudgetNoSpending, ZeroBudgetWithSpending), SummaryTable[[#This Row],[DiffAmount08]]/SummaryTable[[#This Row],[OriginalBudget08]])</f>
        <v>#N/A</v>
      </c>
      <c r="EY187" s="62" t="e">
        <f>IF(COUNTIFS(allFYsTable[Code], SummaryTable[[#This Row],[Code]], allFYsTable[year2], EY$3)=0, NotFound, SUMIFS(allFYsTable[OriginalBudget], allFYsTable[Code], SummaryTable[[#This Row],[Code]], allFYsTable[year2], EY$3))</f>
        <v>#N/A</v>
      </c>
      <c r="EZ187" s="61" t="e">
        <f>SummaryTable[[#This Row],[OriginalBudget07]]-SummaryTable[[#This Row],[OriginalBudget06]]</f>
        <v>#N/A</v>
      </c>
      <c r="FA187" s="54" t="e">
        <f>SummaryTable[[#This Row],[BudgetIncreaseAmount07]]/SummaryTable[[#This Row],[OriginalBudget06]]</f>
        <v>#N/A</v>
      </c>
      <c r="FB187" s="61" t="e">
        <f>IF(COUNTIFS(allFYsTable[Code], SummaryTable[[#This Row],[Code]], allFYsTable[year2], EY$3)=0, NotFound, SUMIFS(allFYsTable[RevisedBudget], allFYsTable[Code], SummaryTable[[#This Row],[Code]], allFYsTable[year2], EY$3))</f>
        <v>#N/A</v>
      </c>
      <c r="FC187" s="61" t="e">
        <f>IF(COUNTIFS(allFYsTable[Code], SummaryTable[[#This Row],[Code]], allFYsTable[year2], EY$3)=0, NotFound, SUMIFS(allFYsTable[Actual], allFYsTable[Code], SummaryTable[[#This Row],[Code]], allFYsTable[year2], EY$3))</f>
        <v>#N/A</v>
      </c>
      <c r="FD187" s="61" t="e">
        <f>IF(COUNTIFS(allFYsTable[Code], SummaryTable[[#This Row],[Code]], allFYsTable[year2], EY$3)=0, NotFound, SUMIFS(allFYsTable[DiffAmount], allFYsTable[Code], SummaryTable[[#This Row],[Code]], allFYsTable[year2], EY$3))</f>
        <v>#N/A</v>
      </c>
      <c r="FE187" s="63" t="e">
        <f>IF(SummaryTable[[#This Row],[OriginalBudget07]]=0, IF(SummaryTable[[#This Row],[DiffAmount07]]=0, ZeroBudgetNoSpending, ZeroBudgetWithSpending), SummaryTable[[#This Row],[DiffAmount07]]/SummaryTable[[#This Row],[OriginalBudget07]])</f>
        <v>#N/A</v>
      </c>
      <c r="FF187" s="62" t="e">
        <f>IF(COUNTIFS(allFYsTable[Code], SummaryTable[[#This Row],[Code]], allFYsTable[year2], FF$3)=0, NotFound, SUMIFS(allFYsTable[OriginalBudget], allFYsTable[Code], SummaryTable[[#This Row],[Code]], allFYsTable[year2], FF$3))</f>
        <v>#N/A</v>
      </c>
      <c r="FI187" s="61" t="e">
        <f>IF(COUNTIFS(allFYsTable[Code], SummaryTable[[#This Row],[Code]], allFYsTable[year2], FF$3)=0, NotFound, SUMIFS(allFYsTable[RevisedBudget], allFYsTable[Code], SummaryTable[[#This Row],[Code]], allFYsTable[year2], FF$3))</f>
        <v>#N/A</v>
      </c>
      <c r="FJ187" s="61" t="e">
        <f>IF(COUNTIFS(allFYsTable[Code], SummaryTable[[#This Row],[Code]], allFYsTable[year2], FF$3)=0, NotFound, SUMIFS(allFYsTable[Actual], allFYsTable[Code], SummaryTable[[#This Row],[Code]], allFYsTable[year2], FF$3))</f>
        <v>#N/A</v>
      </c>
      <c r="FK187" s="61" t="e">
        <f>IF(COUNTIFS(allFYsTable[Code], SummaryTable[[#This Row],[Code]], allFYsTable[year2], FF$3)=0, NotFound, SUMIFS(allFYsTable[DiffAmount], allFYsTable[Code], SummaryTable[[#This Row],[Code]], allFYsTable[year2], FF$3))</f>
        <v>#N/A</v>
      </c>
      <c r="FL187" s="63" t="e">
        <f>IF(SummaryTable[[#This Row],[OriginalBudget06]]=0, IF(SummaryTable[[#This Row],[DiffAmount06]]=0, ZeroBudgetNoSpending, ZeroBudgetWithSpending), SummaryTable[[#This Row],[DiffAmount06]]/SummaryTable[[#This Row],[OriginalBudget06]])</f>
        <v>#N/A</v>
      </c>
    </row>
    <row r="188" spans="1:168" x14ac:dyDescent="0.45">
      <c r="A188" t="s">
        <v>1045</v>
      </c>
      <c r="B188">
        <f>_xlfn.MAXIFS(allFYsTable[year2], allFYsTable[Code], SummaryTable[[#This Row],[Code]])</f>
        <v>2005</v>
      </c>
      <c r="C188" t="str">
        <f>_xlfn.XLOOKUP(SummaryTable[[#This Row],[Code]], NameCodingTable[Code], NameCodingTable[Most Recent Category per allFYs])</f>
        <v>Other</v>
      </c>
      <c r="D188" t="str">
        <f>_xlfn.XLOOKUP(SummaryTable[[#This Row],[Code]], NameCodingTable[Code], NameCodingTable[Unit Display Name])</f>
        <v>Pay go contingency</v>
      </c>
      <c r="E188" t="str">
        <f>_xlfn.XLOOKUP(SummaryTable[[#This Row],[Code]], NameCodingTable[Code], NameCodingTable[Type])</f>
        <v>untyped</v>
      </c>
      <c r="F188" s="53">
        <f>COUNT(SummaryTable[[#This Row],[OriginalBudget25]],SummaryTable[[#This Row],[OriginalBudget24]],SummaryTable[[#This Row],[OriginalBudget23]],SummaryTable[[#This Row],[OriginalBudget22]],SummaryTable[[#This Row],[OriginalBudget21]],SummaryTable[[#This Row],[OriginalBudget20]],SummaryTable[[#This Row],[OriginalBudget19]],SummaryTable[[#This Row],[OriginalBudget18]],SummaryTable[[#This Row],[OriginalBudget17]],SummaryTable[[#This Row],[OriginalBudget16]],SummaryTable[[#This Row],[OriginalBudget15]],SummaryTable[[#This Row],[OriginalBudget14]],SummaryTable[[#This Row],[OriginalBudget13]],SummaryTable[[#This Row],[OriginalBudget12]],SummaryTable[[#This Row],[OriginalBudget11]],SummaryTable[[#This Row],[OriginalBudget10]],SummaryTable[[#This Row],[OriginalBudget09]],SummaryTable[[#This Row],[OriginalBudget08]],SummaryTable[[#This Row],[OriginalBudget07]],SummaryTable[[#This Row],[OriginalBudget06]])</f>
        <v>0</v>
      </c>
      <c r="G188" s="53">
        <f>SUMPRODUCT( IFERROR((SummaryTable[[#This Row],[DiffAmount25]]&gt;0), 0)+IFERROR((SummaryTable[[#This Row],[DiffAmount24]]&gt;0), 0) + IFERROR((SummaryTable[[#This Row],[DiffAmount23]]&gt;0), 0) + IFERROR((SummaryTable[[#This Row],[DiffAmount22]]&gt;0), 0) + IFERROR((SummaryTable[[#This Row],[DiffAmount21]]&gt;0), 0) + IFERROR((SummaryTable[[#This Row],[DiffAmount20]]&gt;0), 0) + IFERROR((SummaryTable[[#This Row],[DiffAmount19]]&gt;0), 0) + IFERROR((SummaryTable[[#This Row],[DiffAmount18]]&gt;0), 0) + IFERROR((SummaryTable[[#This Row],[DiffAmount17]]&gt;0), 0) + IFERROR((SummaryTable[[#This Row],[DiffAmount16]]&gt;0), 0) + IFERROR((SummaryTable[[#This Row],[DiffAmount15]]&gt;0), 0) + IFERROR((SummaryTable[[#This Row],[DiffAmount14]]&gt;0), 0) + IFERROR((SummaryTable[[#This Row],[DiffAmount13]]&gt;0), 0) + IFERROR((SummaryTable[[#This Row],[DiffAmount12]]&gt;0), 0) + IFERROR((SummaryTable[[#This Row],[DiffAmount11]]&gt;0), 0) + IFERROR((SummaryTable[[#This Row],[DiffAmount10]]&gt;0), 0) + IFERROR((SummaryTable[[#This Row],[DiffAmount09]]&gt;0), 0) + IFERROR((SummaryTable[[#This Row],[DiffAmount08]]&gt;0), 0) + IFERROR((SummaryTable[[#This Row],[DiffAmount07]]&gt;0), 0) + IFERROR((SummaryTable[[#This Row],[DiffAmount06]]&gt;0), 0))</f>
        <v>0</v>
      </c>
      <c r="H188" s="54" t="e">
        <f>SummaryTable[[#This Row],['# Over]]/SummaryTable[[#This Row],[Count]]</f>
        <v>#DIV/0!</v>
      </c>
      <c r="I188" s="53">
        <f>SUMPRODUCT(IFERROR((SummaryTable[[#This Row],[DiffAmount25]]&lt;0), 0) + IFERROR((SummaryTable[[#This Row],[DiffAmount24]]&lt;0), 0) + IFERROR((SummaryTable[[#This Row],[DiffAmount23]]&lt;0), 0) + IFERROR((SummaryTable[[#This Row],[DiffAmount22]]&lt;0), 0) + IFERROR((SummaryTable[[#This Row],[DiffAmount21]]&lt;0), 0) + IFERROR((SummaryTable[[#This Row],[DiffAmount20]]&lt;0), 0) + IFERROR((SummaryTable[[#This Row],[DiffAmount19]]&lt;0), 0) + IFERROR((SummaryTable[[#This Row],[DiffAmount18]]&lt;0), 0) + IFERROR((SummaryTable[[#This Row],[DiffAmount17]]&lt;0), 0) + IFERROR((SummaryTable[[#This Row],[DiffAmount16]]&lt;0), 0) + IFERROR((SummaryTable[[#This Row],[DiffAmount15]]&lt;0), 0) + IFERROR((SummaryTable[[#This Row],[DiffAmount14]]&lt;0), 0) + IFERROR((SummaryTable[[#This Row],[DiffAmount13]]&lt;0), 0) + IFERROR((SummaryTable[[#This Row],[DiffAmount12]]&lt;0), 0) + IFERROR((SummaryTable[[#This Row],[DiffAmount11]]&lt;0), 0) + IFERROR((SummaryTable[[#This Row],[DiffAmount10]]&lt;0), 0) + IFERROR((SummaryTable[[#This Row],[DiffAmount09]]&lt;0), 0) + IFERROR((SummaryTable[[#This Row],[DiffAmount08]]&lt;0), 0) + IFERROR((SummaryTable[[#This Row],[DiffAmount07]]&lt;0), 0) + IFERROR((SummaryTable[[#This Row],[DiffAmount06]]&lt;0), 0))</f>
        <v>0</v>
      </c>
      <c r="J188" s="54" t="e">
        <f>SummaryTable[[#This Row],['# Under]]/SummaryTable[[#This Row],[Count]]</f>
        <v>#DIV/0!</v>
      </c>
      <c r="K188" s="53">
        <f>SUMPRODUCT(IFERROR((SummaryTable[[#This Row],[DiffAmount25]]=0), 0) + IFERROR((SummaryTable[[#This Row],[DiffAmount24]]=0), 0) + IFERROR((SummaryTable[[#This Row],[DiffAmount23]]=0), 0) + IFERROR((SummaryTable[[#This Row],[DiffAmount22]]=0), 0) + IFERROR((SummaryTable[[#This Row],[DiffAmount21]]=0), 0) + IFERROR((SummaryTable[[#This Row],[DiffAmount20]]=0), 0) + IFERROR((SummaryTable[[#This Row],[DiffAmount19]]=0), 0) + IFERROR((SummaryTable[[#This Row],[DiffAmount18]]=0), 0) + IFERROR((SummaryTable[[#This Row],[DiffAmount17]]=0), 0) + IFERROR((SummaryTable[[#This Row],[DiffAmount16]]=0), 0) + IFERROR((SummaryTable[[#This Row],[DiffAmount15]]=0), 0) + IFERROR((SummaryTable[[#This Row],[DiffAmount14]]=0), 0) + IFERROR((SummaryTable[[#This Row],[DiffAmount13]]=0), 0) + IFERROR((SummaryTable[[#This Row],[DiffAmount12]]=0), 0) + IFERROR((SummaryTable[[#This Row],[DiffAmount11]]=0), 0) + IFERROR((SummaryTable[[#This Row],[DiffAmount10]]=0), 0) + IFERROR((SummaryTable[[#This Row],[DiffAmount09]]=0), 0) + IFERROR((SummaryTable[[#This Row],[DiffAmount08]]=0), 0) + IFERROR((SummaryTable[[#This Row],[DiffAmount07]]=0), 0) + IFERROR((SummaryTable[[#This Row],[DiffAmount06]]=0), 0))</f>
        <v>0</v>
      </c>
      <c r="L188" s="54" t="e">
        <f>SummaryTable[[#This Row],['# Equal]]/SummaryTable[[#This Row],[Count]]</f>
        <v>#DIV/0!</v>
      </c>
      <c r="M188" s="61" t="e">
        <f>SUMIFS(allFYsTable[OriginalBudget],allFYsTable[Code],SummaryTable[[#This Row],[Code]])/SummaryTable[[#This Row],[Count]]</f>
        <v>#DIV/0!</v>
      </c>
      <c r="N188" s="61" t="e">
        <f>SUMIFS(allFYsTable[Actual],allFYsTable[Code],SummaryTable[[#This Row],[Code]])/SummaryTable[[#This Row],[Count]]</f>
        <v>#DIV/0!</v>
      </c>
      <c r="O188" s="61" t="e">
        <f>SummaryTable[[#This Row],[AvgActAmt]]-SummaryTable[[#This Row],[AvgBudAmt]]</f>
        <v>#DIV/0!</v>
      </c>
      <c r="P188" s="54" t="e">
        <f>IF(SummaryTable[[#This Row],[AvgBudAmt]]=0, IF(SummaryTable[[#This Row],[AvgDiff'#]]=0, 0, NamedFields!$C$3), SummaryTable[[#This Row],[AvgDiff'#]]/SummaryTable[[#This Row],[AvgBudAmt]])</f>
        <v>#DIV/0!</v>
      </c>
      <c r="Q188" s="61">
        <f>IFERROR(SUMIFS(allFYsTable[OriginalBudget],allFYsTable[Code],SummaryTable[[#This Row],[Code]],allFYsTable[DiffAmount], "&gt;0")/SummaryTable[[#This Row],['# Over]], 0)</f>
        <v>0</v>
      </c>
      <c r="R188" s="61">
        <f>IFERROR(SUMIFS(allFYsTable[Actual],allFYsTable[Code],SummaryTable[[#This Row],[Code]],allFYsTable[DiffAmount], "&gt;0")/SummaryTable[[#This Row],['# Over]], 0)</f>
        <v>0</v>
      </c>
      <c r="S188" s="61">
        <f>SummaryTable[[#This Row],[OverAvgAct]]-SummaryTable[[#This Row],[OverAvgBud]]</f>
        <v>0</v>
      </c>
      <c r="T188" s="54">
        <f>IF(SummaryTable[[#This Row],[OverAvgBud]]=0, IF(SummaryTable[[#This Row],[OverAvgDiff'#]]=0, ZeroBudgetNoSpending, ZeroBudgetWithSpending), SummaryTable[[#This Row],[OverAvgDiff'#]]/SummaryTable[[#This Row],[OverAvgBud]])</f>
        <v>0</v>
      </c>
      <c r="U188" s="61">
        <f>IFERROR(SUMIFS(allFYsTable[OriginalBudget],allFYsTable[Code],SummaryTable[[#This Row],[Code]],allFYsTable[DiffAmount], "&lt;0")/SummaryTable[[#This Row],['# Under]], 0)</f>
        <v>0</v>
      </c>
      <c r="V188" s="61">
        <f>IFERROR( SUMIFS(allFYsTable[Actual],allFYsTable[Code],SummaryTable[[#This Row],[Code]],allFYsTable[DiffAmount], "&lt;0")/SummaryTable[[#This Row],['# Under]], 0)</f>
        <v>0</v>
      </c>
      <c r="W188" s="61">
        <f>SummaryTable[[#This Row],[UnderAvgAct]]-SummaryTable[[#This Row],[UnderAvgBud]]</f>
        <v>0</v>
      </c>
      <c r="X188" s="54">
        <f>IF(SummaryTable[[#This Row],[UnderAvgBud]]=0, IF(SummaryTable[[#This Row],[UnderAvgDiff'#]]=0, ZeroBudgetNoSpending, NamedFields!$C$3), SummaryTable[[#This Row],[UnderAvgDiff'#]]/SummaryTable[[#This Row],[UnderAvgBud]])</f>
        <v>0</v>
      </c>
      <c r="Y188" s="57">
        <f>SUMPRODUCT( IFERROR((SummaryTable[[#This Row],[BudgetIncreasePercent25]]&gt;Y$3), 0)+IFERROR((SummaryTable[[#This Row],[BudgetIncreasePercent24]]&gt;Y$3), 0) + IFERROR((SummaryTable[[#This Row],[BudgetIncreasePercent23]]&gt;Y$3), 0) + IFERROR((SummaryTable[[#This Row],[BudgetIncreasePercent22]]&gt;Y$3), 0) + IFERROR((SummaryTable[[#This Row],[BudgetIncreasePercent21]]&gt;Y$3), 0) + IFERROR((SummaryTable[[#This Row],[BudgetIncreasePercent20]]&gt;Y$3), 0) + IFERROR((SummaryTable[[#This Row],[BudgetIncreasePercent19]]&gt;Y$3), 0) + IFERROR((SummaryTable[[#This Row],[BudgetIncreasePercent18]]&gt;Y$3), 0) + IFERROR((SummaryTable[[#This Row],[BudgetIncreasePercent17]]&gt;Y$3), 0) + IFERROR((SummaryTable[[#This Row],[BudgetIncreasePercent16]]&gt;Y$3), 0) + IFERROR((SummaryTable[[#This Row],[BudgetIncreasePercent15]]&gt;Y$3), 0) + IFERROR((SummaryTable[[#This Row],[BudgetIncreasePercent14]]&gt;Y$3), 0) + IFERROR((SummaryTable[[#This Row],[BudgetIncreasePercent13]]&gt;Y$3), 0) + IFERROR((SummaryTable[[#This Row],[BudgetIncreasePercent12]]&gt;Y$3), 0) + IFERROR((SummaryTable[[#This Row],[BudgetIncreasePercent11]]&gt;Y$3), 0) + IFERROR((SummaryTable[[#This Row],[BudgetIncreasePercent10]]&gt;Y$3), 0) + IFERROR((SummaryTable[[#This Row],[BudgetIncreasePercent09]]&gt;Y$3), 0) + IFERROR((SummaryTable[[#This Row],[BudgetIncreasePercent08]]&gt;Y$3), 0) + IFERROR((SummaryTable[[#This Row],[BudgetIncreasePercent07]]&gt;Y$3), 0) + IFERROR((SummaryTable[[#This Row],[BudgetIncreasePercent06]]&gt;Y$3), 0))</f>
        <v>0</v>
      </c>
      <c r="Z188" s="57">
        <f>SUMPRODUCT( IFERROR((SummaryTable[[#This Row],[BudgetIncreasePercent25]]&gt;Y$3)*(SummaryTable[[#This Row],[DiffPercent25]]&gt;Z$3), 0)+IFERROR((SummaryTable[[#This Row],[BudgetIncreasePercent24]]&gt;Y$3)*(SummaryTable[[#This Row],[DiffPercent24]]&gt;Z$3), 0) + IFERROR((SummaryTable[[#This Row],[BudgetIncreasePercent23]]&gt;Y$3)*(SummaryTable[[#This Row],[DiffPercent23]]&gt;Z$3), 0) + IFERROR((SummaryTable[[#This Row],[BudgetIncreasePercent22]]&gt;Y$3)*(SummaryTable[[#This Row],[DiffPercent22]]&gt;Z$3), 0) + IFERROR((SummaryTable[[#This Row],[BudgetIncreasePercent21]]&gt;Y$3)*(SummaryTable[[#This Row],[DiffPercent21]]&gt;Z$3), 0) + IFERROR((SummaryTable[[#This Row],[BudgetIncreasePercent20]]&gt;Y$3)*(SummaryTable[[#This Row],[DiffPercent20]]&gt;Z$3), 0) + IFERROR((SummaryTable[[#This Row],[BudgetIncreasePercent19]]&gt;Y$3)*(SummaryTable[[#This Row],[DiffPercent19]]&gt;Z$3), 0) + IFERROR((SummaryTable[[#This Row],[BudgetIncreasePercent18]]&gt;Y$3)*(SummaryTable[[#This Row],[DiffPercent18]]&gt;Z$3), 0) + IFERROR((SummaryTable[[#This Row],[BudgetIncreasePercent17]]&gt;Y$3)*(SummaryTable[[#This Row],[DiffPercent17]]&gt;Z$3), 0) + IFERROR((SummaryTable[[#This Row],[BudgetIncreasePercent16]]&gt;Y$3)*(SummaryTable[[#This Row],[DiffPercent16]]&gt;Z$3), 0) + IFERROR((SummaryTable[[#This Row],[BudgetIncreasePercent15]]&gt;Y$3)*(SummaryTable[[#This Row],[DiffPercent15]]&gt;Z$3), 0) + IFERROR((SummaryTable[[#This Row],[BudgetIncreasePercent14]]&gt;Y$3)*(SummaryTable[[#This Row],[DiffPercent14]]&gt;Z$3), 0) + IFERROR((SummaryTable[[#This Row],[BudgetIncreasePercent13]]&gt;Y$3)*(SummaryTable[[#This Row],[DiffPercent13]]&gt;Z$3), 0) + IFERROR((SummaryTable[[#This Row],[BudgetIncreasePercent12]]&gt;Y$3)*(SummaryTable[[#This Row],[DiffPercent12]]&gt;Z$3), 0) + IFERROR((SummaryTable[[#This Row],[BudgetIncreasePercent11]]&gt;Y$3)*(SummaryTable[[#This Row],[DiffPercent11]]&gt;Z$3), 0) + IFERROR((SummaryTable[[#This Row],[BudgetIncreasePercent10]]&gt;Y$3)*(SummaryTable[[#This Row],[DiffPercent10]]&gt;Z$3), 0) + IFERROR((SummaryTable[[#This Row],[BudgetIncreasePercent09]]&gt;Y$3)*(SummaryTable[[#This Row],[DiffPercent09]]&gt;Z$3), 0) + IFERROR((SummaryTable[[#This Row],[BudgetIncreasePercent08]]&gt;Y$3)*(SummaryTable[[#This Row],[DiffPercent08]]&gt;Z$3), 0) + IFERROR((SummaryTable[[#This Row],[BudgetIncreasePercent07]]&gt;Y$3)*(SummaryTable[[#This Row],[DiffPercent07]]&gt;Z$3), 0) + IFERROR((SummaryTable[[#This Row],[BudgetIncreasePercent06]]&gt;Y$3)*(SummaryTable[[#This Row],[DiffPercent06]]&gt;Z$3), 0))</f>
        <v>0</v>
      </c>
      <c r="AA188" s="54">
        <f>IF(SummaryTable[[#This Row],[IncreaseYears]]=0, ZeroBudgetNoSpending, SummaryTable[[#This Row],[OSinIncreaseYear'#]]/SummaryTable[[#This Row],[IncreaseYears]])</f>
        <v>0</v>
      </c>
      <c r="AB188" s="58" t="str">
        <f>SummaryTable[[#This Row],[Code]]</f>
        <v>XPG</v>
      </c>
      <c r="AC188" s="62" t="e">
        <f>IF(COUNTIFS(allFYsTable[Code], SummaryTable[[#This Row],[Code]], allFYsTable[year2], AC$3)=0, NotFound, SUMIFS(allFYsTable[OriginalBudget], allFYsTable[Code], SummaryTable[[#This Row],[Code]], allFYsTable[year2], AC$3))</f>
        <v>#N/A</v>
      </c>
      <c r="AD188" s="61" t="e">
        <f>SummaryTable[[#This Row],[OriginalBudget25]]-SummaryTable[[#This Row],[OriginalBudget24]]</f>
        <v>#N/A</v>
      </c>
      <c r="AE188" s="54" t="e">
        <f>SummaryTable[[#This Row],[BudgetIncreaseAmount25]]/SummaryTable[[#This Row],[OriginalBudget24]]</f>
        <v>#N/A</v>
      </c>
      <c r="AF188" s="61" t="e">
        <f>IF(COUNTIFS(allFYsTable[Code], SummaryTable[[#This Row],[Code]], allFYsTable[year2], AC$3)=0, NotFound, SUMIFS(allFYsTable[RevisedBudget], allFYsTable[Code], SummaryTable[[#This Row],[Code]], allFYsTable[year2], AC$3))</f>
        <v>#N/A</v>
      </c>
      <c r="AG188" s="61" t="e">
        <f>IF(COUNTIFS(allFYsTable[Code], SummaryTable[[#This Row],[Code]], allFYsTable[year2], AC$3)=0, NotFound, SUMIFS(allFYsTable[Actual], allFYsTable[Code], SummaryTable[[#This Row],[Code]], allFYsTable[year2], AC$3))</f>
        <v>#N/A</v>
      </c>
      <c r="AH188" s="61" t="e">
        <f>IF(COUNTIFS(allFYsTable[Code], SummaryTable[[#This Row],[Code]], allFYsTable[year2], AC$3)=0, NotFound, SUMIFS(allFYsTable[DiffAmount], allFYsTable[Code], SummaryTable[[#This Row],[Code]], allFYsTable[year2], AC$3))</f>
        <v>#N/A</v>
      </c>
      <c r="AI188" s="63" t="e">
        <f>IF(SummaryTable[[#This Row],[OriginalBudget25]]=0, IF(SummaryTable[[#This Row],[DiffAmount25]]=0, ZeroBudgetNoSpending, ZeroBudgetWithSpending), SummaryTable[[#This Row],[DiffAmount25]]/SummaryTable[[#This Row],[OriginalBudget25]])</f>
        <v>#N/A</v>
      </c>
      <c r="AJ188" s="62" t="e">
        <f>IF(COUNTIFS(allFYsTable[Code], SummaryTable[[#This Row],[Code]], allFYsTable[year2], AJ$3)=0, NotFound, SUMIFS(allFYsTable[OriginalBudget], allFYsTable[Code], SummaryTable[[#This Row],[Code]], allFYsTable[year2], AJ$3))</f>
        <v>#N/A</v>
      </c>
      <c r="AK188" s="61" t="e">
        <f>SummaryTable[[#This Row],[OriginalBudget24]]-SummaryTable[[#This Row],[OriginalBudget23]]</f>
        <v>#N/A</v>
      </c>
      <c r="AL188" s="54" t="e">
        <f>SummaryTable[[#This Row],[BudgetIncreaseAmount24]]/SummaryTable[[#This Row],[OriginalBudget23]]</f>
        <v>#N/A</v>
      </c>
      <c r="AM188" s="61" t="e">
        <f>IF(COUNTIFS(allFYsTable[Code], SummaryTable[[#This Row],[Code]], allFYsTable[year2], AK$3)=0, NotFound, SUMIFS(allFYsTable[RevisedBudget], allFYsTable[Code], SummaryTable[[#This Row],[Code]], allFYsTable[year2], AJ$3))</f>
        <v>#N/A</v>
      </c>
      <c r="AN188" s="61" t="e">
        <f>IF(COUNTIFS(allFYsTable[Code], SummaryTable[[#This Row],[Code]], allFYsTable[year2], AJ$3)=0, NotFound, SUMIFS(allFYsTable[Actual], allFYsTable[Code], SummaryTable[[#This Row],[Code]], allFYsTable[year2], AJ$3))</f>
        <v>#N/A</v>
      </c>
      <c r="AO188" s="61" t="e">
        <f>IF(COUNTIFS(allFYsTable[Code], SummaryTable[[#This Row],[Code]], allFYsTable[year2], AJ$3)=0, NotFound, SUMIFS(allFYsTable[DiffAmount], allFYsTable[Code], SummaryTable[[#This Row],[Code]], allFYsTable[year2], AJ$3))</f>
        <v>#N/A</v>
      </c>
      <c r="AP188" s="63" t="e">
        <f>IF(SummaryTable[[#This Row],[OriginalBudget24]]=0, IF(SummaryTable[[#This Row],[DiffAmount24]]=0, ZeroBudgetNoSpending, ZeroBudgetWithSpending), SummaryTable[[#This Row],[DiffAmount24]]/SummaryTable[[#This Row],[OriginalBudget24]])</f>
        <v>#N/A</v>
      </c>
      <c r="AQ188" s="62" t="e">
        <f>IF(COUNTIFS(allFYsTable[Code], SummaryTable[[#This Row],[Code]], allFYsTable[year2], AQ$3)=0, NotFound, SUMIFS(allFYsTable[OriginalBudget], allFYsTable[Code], SummaryTable[[#This Row],[Code]], allFYsTable[year2], AQ$3))</f>
        <v>#N/A</v>
      </c>
      <c r="AR188" s="61" t="e">
        <f>SummaryTable[[#This Row],[OriginalBudget23]]-SummaryTable[[#This Row],[OriginalBudget22]]</f>
        <v>#N/A</v>
      </c>
      <c r="AS188" s="54" t="e">
        <f>SummaryTable[[#This Row],[BudgetIncreaseAmount23]]/SummaryTable[[#This Row],[OriginalBudget22]]</f>
        <v>#N/A</v>
      </c>
      <c r="AT188" s="61" t="e">
        <f>IF(COUNTIFS(allFYsTable[Code], SummaryTable[[#This Row],[Code]], allFYsTable[year2], AQ$3)=0, NotFound, SUMIFS(allFYsTable[RevisedBudget], allFYsTable[Code], SummaryTable[[#This Row],[Code]], allFYsTable[year2], AQ$3))</f>
        <v>#N/A</v>
      </c>
      <c r="AU188" s="61" t="e">
        <f>IF(COUNTIFS(allFYsTable[Code], SummaryTable[[#This Row],[Code]], allFYsTable[year2], AQ$3)=0, NotFound, SUMIFS(allFYsTable[Actual], allFYsTable[Code], SummaryTable[[#This Row],[Code]], allFYsTable[year2], AQ$3))</f>
        <v>#N/A</v>
      </c>
      <c r="AV188" s="61" t="e">
        <f>IF(COUNTIFS(allFYsTable[Code], SummaryTable[[#This Row],[Code]], allFYsTable[year2], AQ$3)=0, NotFound, SUMIFS(allFYsTable[DiffAmount], allFYsTable[Code], SummaryTable[[#This Row],[Code]], allFYsTable[year2], AQ$3))</f>
        <v>#N/A</v>
      </c>
      <c r="AW188" s="63" t="e">
        <f>IF(SummaryTable[[#This Row],[OriginalBudget23]]=0, IF(SummaryTable[[#This Row],[DiffAmount23]]=0, ZeroBudgetNoSpending, ZeroBudgetWithSpending), SummaryTable[[#This Row],[DiffAmount23]]/SummaryTable[[#This Row],[OriginalBudget23]])</f>
        <v>#N/A</v>
      </c>
      <c r="AX188" s="62" t="e">
        <f>IF(COUNTIFS(allFYsTable[Code], SummaryTable[[#This Row],[Code]], allFYsTable[year2], AX$3)=0, NotFound, SUMIFS(allFYsTable[OriginalBudget], allFYsTable[Code], SummaryTable[[#This Row],[Code]], allFYsTable[year2], AX$3))</f>
        <v>#N/A</v>
      </c>
      <c r="AY188" s="61" t="e">
        <f>SummaryTable[[#This Row],[OriginalBudget22]]-SummaryTable[[#This Row],[OriginalBudget21]]</f>
        <v>#N/A</v>
      </c>
      <c r="AZ188" s="54" t="e">
        <f>SummaryTable[[#This Row],[BudgetIncreaseAmount22]]/SummaryTable[[#This Row],[OriginalBudget21]]</f>
        <v>#N/A</v>
      </c>
      <c r="BA188" s="61" t="e">
        <f>IF(COUNTIFS(allFYsTable[Code], SummaryTable[[#This Row],[Code]], allFYsTable[year2], AX$3)=0, NotFound, SUMIFS(allFYsTable[RevisedBudget], allFYsTable[Code], SummaryTable[[#This Row],[Code]], allFYsTable[year2], AX$3))</f>
        <v>#N/A</v>
      </c>
      <c r="BB188" s="61" t="e">
        <f>IF(COUNTIFS(allFYsTable[Code], SummaryTable[[#This Row],[Code]], allFYsTable[year2], AX$3)=0, NotFound, SUMIFS(allFYsTable[Actual], allFYsTable[Code], SummaryTable[[#This Row],[Code]], allFYsTable[year2], AX$3))</f>
        <v>#N/A</v>
      </c>
      <c r="BC188" s="61" t="e">
        <f>IF(COUNTIFS(allFYsTable[Code], SummaryTable[[#This Row],[Code]], allFYsTable[year2], AX$3)=0, NotFound, SUMIFS(allFYsTable[DiffAmount], allFYsTable[Code], SummaryTable[[#This Row],[Code]], allFYsTable[year2], AX$3))</f>
        <v>#N/A</v>
      </c>
      <c r="BD188" s="63" t="e">
        <f>IF(SummaryTable[[#This Row],[OriginalBudget22]]=0, IF(SummaryTable[[#This Row],[DiffAmount22]]=0, ZeroBudgetNoSpending, ZeroBudgetWithSpending), SummaryTable[[#This Row],[DiffAmount22]]/SummaryTable[[#This Row],[OriginalBudget22]])</f>
        <v>#N/A</v>
      </c>
      <c r="BE188" s="62" t="e">
        <f>IF(COUNTIFS(allFYsTable[Code], SummaryTable[[#This Row],[Code]], allFYsTable[year2], BE$3)=0, NotFound, SUMIFS(allFYsTable[OriginalBudget], allFYsTable[Code], SummaryTable[[#This Row],[Code]], allFYsTable[year2], BE$3))</f>
        <v>#N/A</v>
      </c>
      <c r="BF188" s="61" t="e">
        <f>SummaryTable[[#This Row],[OriginalBudget21]]-SummaryTable[[#This Row],[OriginalBudget20]]</f>
        <v>#N/A</v>
      </c>
      <c r="BG188" s="54" t="e">
        <f>SummaryTable[[#This Row],[BudgetIncreaseAmount21]]/SummaryTable[[#This Row],[OriginalBudget20]]</f>
        <v>#N/A</v>
      </c>
      <c r="BH188" s="61" t="e">
        <f>IF(COUNTIFS(allFYsTable[Code], SummaryTable[[#This Row],[Code]], allFYsTable[year2], BE$3)=0, NotFound, SUMIFS(allFYsTable[RevisedBudget], allFYsTable[Code], SummaryTable[[#This Row],[Code]], allFYsTable[year2], BE$3))</f>
        <v>#N/A</v>
      </c>
      <c r="BI188" s="61" t="e">
        <f>IF(COUNTIFS(allFYsTable[Code], SummaryTable[[#This Row],[Code]], allFYsTable[year2], BE$3)=0, NotFound, SUMIFS(allFYsTable[Actual], allFYsTable[Code], SummaryTable[[#This Row],[Code]], allFYsTable[year2], BE$3))</f>
        <v>#N/A</v>
      </c>
      <c r="BJ188" s="61" t="e">
        <f>IF(COUNTIFS(allFYsTable[Code], SummaryTable[[#This Row],[Code]], allFYsTable[year2], BE$3)=0, NotFound, SUMIFS(allFYsTable[DiffAmount], allFYsTable[Code], SummaryTable[[#This Row],[Code]], allFYsTable[year2], BE$3))</f>
        <v>#N/A</v>
      </c>
      <c r="BK188" s="63" t="e">
        <f>IF(SummaryTable[[#This Row],[OriginalBudget21]]=0, IF(SummaryTable[[#This Row],[DiffAmount21]]=0, ZeroBudgetNoSpending, ZeroBudgetWithSpending), SummaryTable[[#This Row],[DiffAmount21]]/SummaryTable[[#This Row],[OriginalBudget21]])</f>
        <v>#N/A</v>
      </c>
      <c r="BL188" s="62" t="e">
        <f>IF(COUNTIFS(allFYsTable[Code], SummaryTable[[#This Row],[Code]], allFYsTable[year2], BL$3)=0, NotFound, SUMIFS(allFYsTable[OriginalBudget], allFYsTable[Code], SummaryTable[[#This Row],[Code]], allFYsTable[year2], BL$3))</f>
        <v>#N/A</v>
      </c>
      <c r="BM188" s="61" t="e">
        <f>SummaryTable[[#This Row],[OriginalBudget20]]-SummaryTable[[#This Row],[OriginalBudget19]]</f>
        <v>#N/A</v>
      </c>
      <c r="BN188" s="54" t="e">
        <f>SummaryTable[[#This Row],[BudgetIncreaseAmount20]]/SummaryTable[[#This Row],[OriginalBudget19]]</f>
        <v>#N/A</v>
      </c>
      <c r="BO188" s="61" t="e">
        <f>IF(COUNTIFS(allFYsTable[Code], SummaryTable[[#This Row],[Code]], allFYsTable[year2], BL$3)=0, NotFound, SUMIFS(allFYsTable[RevisedBudget], allFYsTable[Code], SummaryTable[[#This Row],[Code]], allFYsTable[year2], BL$3))</f>
        <v>#N/A</v>
      </c>
      <c r="BP188" s="61" t="e">
        <f>IF(COUNTIFS(allFYsTable[Code], SummaryTable[[#This Row],[Code]], allFYsTable[year2], BL$3)=0, NotFound, SUMIFS(allFYsTable[Actual], allFYsTable[Code], SummaryTable[[#This Row],[Code]], allFYsTable[year2], BL$3))</f>
        <v>#N/A</v>
      </c>
      <c r="BQ188" s="61" t="e">
        <f>IF(COUNTIFS(allFYsTable[Code], SummaryTable[[#This Row],[Code]], allFYsTable[year2], BL$3)=0, NotFound, SUMIFS(allFYsTable[DiffAmount], allFYsTable[Code], SummaryTable[[#This Row],[Code]], allFYsTable[year2], BL$3))</f>
        <v>#N/A</v>
      </c>
      <c r="BR188" s="63" t="e">
        <f>IF(SummaryTable[[#This Row],[OriginalBudget20]]=0, IF(SummaryTable[[#This Row],[DiffAmount20]]=0, ZeroBudgetNoSpending, ZeroBudgetWithSpending), SummaryTable[[#This Row],[DiffAmount20]]/SummaryTable[[#This Row],[OriginalBudget20]])</f>
        <v>#N/A</v>
      </c>
      <c r="BS188" s="62" t="e">
        <f>IF(COUNTIFS(allFYsTable[Code], SummaryTable[[#This Row],[Code]], allFYsTable[year2], BS$3)=0, NotFound, SUMIFS(allFYsTable[OriginalBudget], allFYsTable[Code], SummaryTable[[#This Row],[Code]], allFYsTable[year2], BS$3))</f>
        <v>#N/A</v>
      </c>
      <c r="BT188" s="61" t="e">
        <f>SummaryTable[[#This Row],[OriginalBudget19]]-SummaryTable[[#This Row],[OriginalBudget18]]</f>
        <v>#N/A</v>
      </c>
      <c r="BU188" s="54" t="e">
        <f>SummaryTable[[#This Row],[BudgetIncreaseAmount19]]/SummaryTable[[#This Row],[OriginalBudget18]]</f>
        <v>#N/A</v>
      </c>
      <c r="BV188" s="61" t="e">
        <f>IF(COUNTIFS(allFYsTable[Code], SummaryTable[[#This Row],[Code]], allFYsTable[year2], BS$3)=0, NotFound, SUMIFS(allFYsTable[RevisedBudget], allFYsTable[Code], SummaryTable[[#This Row],[Code]], allFYsTable[year2], BS$3))</f>
        <v>#N/A</v>
      </c>
      <c r="BW188" s="61" t="e">
        <f>IF(COUNTIFS(allFYsTable[Code], SummaryTable[[#This Row],[Code]], allFYsTable[year2], BS$3)=0, NotFound, SUMIFS(allFYsTable[Actual], allFYsTable[Code], SummaryTable[[#This Row],[Code]], allFYsTable[year2], BS$3))</f>
        <v>#N/A</v>
      </c>
      <c r="BX188" s="61" t="e">
        <f>IF(COUNTIFS(allFYsTable[Code], SummaryTable[[#This Row],[Code]], allFYsTable[year2], BS$3)=0, NotFound, SUMIFS(allFYsTable[DiffAmount], allFYsTable[Code], SummaryTable[[#This Row],[Code]], allFYsTable[year2], BS$3))</f>
        <v>#N/A</v>
      </c>
      <c r="BY188" s="63" t="e">
        <f>IF(SummaryTable[[#This Row],[OriginalBudget19]]=0, IF(SummaryTable[[#This Row],[DiffAmount19]]=0, ZeroBudgetNoSpending, ZeroBudgetWithSpending), SummaryTable[[#This Row],[DiffAmount19]]/SummaryTable[[#This Row],[OriginalBudget19]])</f>
        <v>#N/A</v>
      </c>
      <c r="BZ188" s="62" t="e">
        <f>IF(COUNTIFS(allFYsTable[Code], SummaryTable[[#This Row],[Code]], allFYsTable[year2], BZ$3)=0, NotFound, SUMIFS(allFYsTable[OriginalBudget], allFYsTable[Code], SummaryTable[[#This Row],[Code]], allFYsTable[year2], BZ$3))</f>
        <v>#N/A</v>
      </c>
      <c r="CA188" s="61" t="e">
        <f>SummaryTable[[#This Row],[OriginalBudget18]]-SummaryTable[[#This Row],[OriginalBudget17]]</f>
        <v>#N/A</v>
      </c>
      <c r="CB188" s="54" t="e">
        <f>SummaryTable[[#This Row],[BudgetIncreaseAmount18]]/SummaryTable[[#This Row],[OriginalBudget17]]</f>
        <v>#N/A</v>
      </c>
      <c r="CC188" s="61" t="e">
        <f>IF(COUNTIFS(allFYsTable[Code], SummaryTable[[#This Row],[Code]], allFYsTable[year2], BZ$3)=0, NotFound, SUMIFS(allFYsTable[RevisedBudget], allFYsTable[Code], SummaryTable[[#This Row],[Code]], allFYsTable[year2], BZ$3))</f>
        <v>#N/A</v>
      </c>
      <c r="CD188" s="61" t="e">
        <f>IF(COUNTIFS(allFYsTable[Code], SummaryTable[[#This Row],[Code]], allFYsTable[year2], BZ$3)=0, NotFound, SUMIFS(allFYsTable[Actual], allFYsTable[Code], SummaryTable[[#This Row],[Code]], allFYsTable[year2], BZ$3))</f>
        <v>#N/A</v>
      </c>
      <c r="CE188" s="61" t="e">
        <f>IF(COUNTIFS(allFYsTable[Code], SummaryTable[[#This Row],[Code]], allFYsTable[year2], BZ$3)=0, NotFound, SUMIFS(allFYsTable[DiffAmount], allFYsTable[Code], SummaryTable[[#This Row],[Code]], allFYsTable[year2], BZ$3))</f>
        <v>#N/A</v>
      </c>
      <c r="CF188" s="63" t="e">
        <f>IF(SummaryTable[[#This Row],[OriginalBudget18]]=0, IF(SummaryTable[[#This Row],[DiffAmount18]]=0, ZeroBudgetNoSpending, ZeroBudgetWithSpending), SummaryTable[[#This Row],[DiffAmount18]]/SummaryTable[[#This Row],[OriginalBudget18]])</f>
        <v>#N/A</v>
      </c>
      <c r="CG188" s="62" t="e">
        <f>IF(COUNTIFS(allFYsTable[Code], SummaryTable[[#This Row],[Code]], allFYsTable[year2], CG$3)=0, NotFound, SUMIFS(allFYsTable[OriginalBudget], allFYsTable[Code], SummaryTable[[#This Row],[Code]], allFYsTable[year2], CG$3))</f>
        <v>#N/A</v>
      </c>
      <c r="CH188" s="61" t="e">
        <f>SummaryTable[[#This Row],[OriginalBudget17]]-SummaryTable[[#This Row],[OriginalBudget16]]</f>
        <v>#N/A</v>
      </c>
      <c r="CI188" s="54" t="e">
        <f>SummaryTable[[#This Row],[BudgetIncreaseAmount17]]/SummaryTable[[#This Row],[OriginalBudget16]]</f>
        <v>#N/A</v>
      </c>
      <c r="CJ188" s="61" t="e">
        <f>IF(COUNTIFS(allFYsTable[Code], SummaryTable[[#This Row],[Code]], allFYsTable[year2], CG$3)=0, NotFound, SUMIFS(allFYsTable[RevisedBudget], allFYsTable[Code], SummaryTable[[#This Row],[Code]], allFYsTable[year2], CG$3))</f>
        <v>#N/A</v>
      </c>
      <c r="CK188" s="61" t="e">
        <f>IF(COUNTIFS(allFYsTable[Code], SummaryTable[[#This Row],[Code]], allFYsTable[year2], CG$3)=0, NotFound, SUMIFS(allFYsTable[Actual], allFYsTable[Code], SummaryTable[[#This Row],[Code]], allFYsTable[year2], CG$3))</f>
        <v>#N/A</v>
      </c>
      <c r="CL188" s="61" t="e">
        <f>IF(COUNTIFS(allFYsTable[Code], SummaryTable[[#This Row],[Code]], allFYsTable[year2], CG$3)=0, NotFound, SUMIFS(allFYsTable[DiffAmount], allFYsTable[Code], SummaryTable[[#This Row],[Code]], allFYsTable[year2], CG$3))</f>
        <v>#N/A</v>
      </c>
      <c r="CM188" s="63" t="e">
        <f>IF(SummaryTable[[#This Row],[OriginalBudget17]]=0, IF(SummaryTable[[#This Row],[DiffAmount17]]=0, ZeroBudgetNoSpending, ZeroBudgetWithSpending), SummaryTable[[#This Row],[DiffAmount17]]/SummaryTable[[#This Row],[OriginalBudget17]])</f>
        <v>#N/A</v>
      </c>
      <c r="CN188" s="62" t="e">
        <f>IF(COUNTIFS(allFYsTable[Code], SummaryTable[[#This Row],[Code]], allFYsTable[year2], CN$3)=0, NotFound, SUMIFS(allFYsTable[OriginalBudget], allFYsTable[Code], SummaryTable[[#This Row],[Code]], allFYsTable[year2], CN$3))</f>
        <v>#N/A</v>
      </c>
      <c r="CO188" s="61" t="e">
        <f>SummaryTable[[#This Row],[OriginalBudget16]]-SummaryTable[[#This Row],[OriginalBudget15]]</f>
        <v>#N/A</v>
      </c>
      <c r="CP188" s="54" t="e">
        <f>SummaryTable[[#This Row],[BudgetIncreaseAmount16]]/SummaryTable[[#This Row],[OriginalBudget15]]</f>
        <v>#N/A</v>
      </c>
      <c r="CQ188" s="61" t="e">
        <f>IF(COUNTIFS(allFYsTable[Code], SummaryTable[[#This Row],[Code]], allFYsTable[year2], CN$3)=0, NotFound, SUMIFS(allFYsTable[RevisedBudget], allFYsTable[Code], SummaryTable[[#This Row],[Code]], allFYsTable[year2], CN$3))</f>
        <v>#N/A</v>
      </c>
      <c r="CR188" s="61" t="e">
        <f>IF(COUNTIFS(allFYsTable[Code], SummaryTable[[#This Row],[Code]], allFYsTable[year2], CN$3)=0, NotFound, SUMIFS(allFYsTable[Actual], allFYsTable[Code], SummaryTable[[#This Row],[Code]], allFYsTable[year2], CN$3))</f>
        <v>#N/A</v>
      </c>
      <c r="CS188" s="61" t="e">
        <f>IF(COUNTIFS(allFYsTable[Code], SummaryTable[[#This Row],[Code]], allFYsTable[year2], CN$3)=0, NotFound, SUMIFS(allFYsTable[DiffAmount], allFYsTable[Code], SummaryTable[[#This Row],[Code]], allFYsTable[year2], CN$3))</f>
        <v>#N/A</v>
      </c>
      <c r="CT188" s="63" t="e">
        <f>IF(SummaryTable[[#This Row],[OriginalBudget16]]=0, IF(SummaryTable[[#This Row],[DiffAmount16]]=0, ZeroBudgetNoSpending, ZeroBudgetWithSpending), SummaryTable[[#This Row],[DiffAmount16]]/SummaryTable[[#This Row],[OriginalBudget16]])</f>
        <v>#N/A</v>
      </c>
      <c r="CU188" s="62" t="e">
        <f>IF(COUNTIFS(allFYsTable[Code], SummaryTable[[#This Row],[Code]], allFYsTable[year2], CU$3)=0, NotFound, SUMIFS(allFYsTable[OriginalBudget], allFYsTable[Code], SummaryTable[[#This Row],[Code]], allFYsTable[year2], CU$3))</f>
        <v>#N/A</v>
      </c>
      <c r="CV188" s="61" t="e">
        <f>SummaryTable[[#This Row],[OriginalBudget15]]-SummaryTable[[#This Row],[OriginalBudget14]]</f>
        <v>#N/A</v>
      </c>
      <c r="CW188" s="54" t="e">
        <f>SummaryTable[[#This Row],[BudgetIncreaseAmount15]]/SummaryTable[[#This Row],[OriginalBudget14]]</f>
        <v>#N/A</v>
      </c>
      <c r="CX188" s="61" t="e">
        <f>IF(COUNTIFS(allFYsTable[Code], SummaryTable[[#This Row],[Code]], allFYsTable[year2], CU$3)=0, NotFound, SUMIFS(allFYsTable[RevisedBudget], allFYsTable[Code], SummaryTable[[#This Row],[Code]], allFYsTable[year2], CU$3))</f>
        <v>#N/A</v>
      </c>
      <c r="CY188" s="61" t="e">
        <f>IF(COUNTIFS(allFYsTable[Code], SummaryTable[[#This Row],[Code]], allFYsTable[year2], CU$3)=0, NotFound, SUMIFS(allFYsTable[Actual], allFYsTable[Code], SummaryTable[[#This Row],[Code]], allFYsTable[year2], CU$3))</f>
        <v>#N/A</v>
      </c>
      <c r="CZ188" s="61" t="e">
        <f>IF(COUNTIFS(allFYsTable[Code], SummaryTable[[#This Row],[Code]], allFYsTable[year2], CU$3)=0, NotFound, SUMIFS(allFYsTable[DiffAmount], allFYsTable[Code], SummaryTable[[#This Row],[Code]], allFYsTable[year2], CU$3))</f>
        <v>#N/A</v>
      </c>
      <c r="DA188" s="63" t="e">
        <f>IF(SummaryTable[[#This Row],[OriginalBudget15]]=0, IF(SummaryTable[[#This Row],[DiffAmount15]]=0, ZeroBudgetNoSpending, ZeroBudgetWithSpending), SummaryTable[[#This Row],[DiffAmount15]]/SummaryTable[[#This Row],[OriginalBudget15]])</f>
        <v>#N/A</v>
      </c>
      <c r="DB188" s="62" t="e">
        <f>IF(COUNTIFS(allFYsTable[Code], SummaryTable[[#This Row],[Code]], allFYsTable[year2], DB$3)=0, NotFound, SUMIFS(allFYsTable[OriginalBudget], allFYsTable[Code], SummaryTable[[#This Row],[Code]], allFYsTable[year2], DB$3))</f>
        <v>#N/A</v>
      </c>
      <c r="DC188" s="61" t="e">
        <f>SummaryTable[[#This Row],[OriginalBudget14]]-SummaryTable[[#This Row],[OriginalBudget13]]</f>
        <v>#N/A</v>
      </c>
      <c r="DD188" s="54" t="e">
        <f>SummaryTable[[#This Row],[BudgetIncreaseAmount14]]/SummaryTable[[#This Row],[OriginalBudget13]]</f>
        <v>#N/A</v>
      </c>
      <c r="DE188" s="61" t="e">
        <f>IF(COUNTIFS(allFYsTable[Code], SummaryTable[[#This Row],[Code]], allFYsTable[year2], DB$3)=0, NotFound, SUMIFS(allFYsTable[RevisedBudget], allFYsTable[Code], SummaryTable[[#This Row],[Code]], allFYsTable[year2], DB$3))</f>
        <v>#N/A</v>
      </c>
      <c r="DF188" s="61" t="e">
        <f>IF(COUNTIFS(allFYsTable[Code], SummaryTable[[#This Row],[Code]], allFYsTable[year2], DB$3)=0, NotFound, SUMIFS(allFYsTable[Actual], allFYsTable[Code], SummaryTable[[#This Row],[Code]], allFYsTable[year2], DB$3))</f>
        <v>#N/A</v>
      </c>
      <c r="DG188" s="61" t="e">
        <f>IF(COUNTIFS(allFYsTable[Code], SummaryTable[[#This Row],[Code]], allFYsTable[year2], DB$3)=0, NotFound, SUMIFS(allFYsTable[DiffAmount], allFYsTable[Code], SummaryTable[[#This Row],[Code]], allFYsTable[year2], DB$3))</f>
        <v>#N/A</v>
      </c>
      <c r="DH188" s="63" t="e">
        <f>IF(SummaryTable[[#This Row],[OriginalBudget14]]=0, IF(SummaryTable[[#This Row],[DiffAmount14]]=0, ZeroBudgetNoSpending, ZeroBudgetWithSpending), SummaryTable[[#This Row],[DiffAmount14]]/SummaryTable[[#This Row],[OriginalBudget14]])</f>
        <v>#N/A</v>
      </c>
      <c r="DI188" s="62" t="e">
        <f>IF(COUNTIFS(allFYsTable[Code], SummaryTable[[#This Row],[Code]], allFYsTable[year2], DI$3)=0, NotFound, SUMIFS(allFYsTable[OriginalBudget], allFYsTable[Code], SummaryTable[[#This Row],[Code]], allFYsTable[year2], DI$3))</f>
        <v>#N/A</v>
      </c>
      <c r="DJ188" s="61" t="e">
        <f>SummaryTable[[#This Row],[OriginalBudget13]]-SummaryTable[[#This Row],[OriginalBudget12]]</f>
        <v>#N/A</v>
      </c>
      <c r="DK188" s="54" t="e">
        <f>SummaryTable[[#This Row],[BudgetIncreaseAmount13]]/SummaryTable[[#This Row],[OriginalBudget12]]</f>
        <v>#N/A</v>
      </c>
      <c r="DL188" s="61" t="e">
        <f>IF(COUNTIFS(allFYsTable[Code], SummaryTable[[#This Row],[Code]], allFYsTable[year2], DI$3)=0, NotFound, SUMIFS(allFYsTable[RevisedBudget], allFYsTable[Code], SummaryTable[[#This Row],[Code]], allFYsTable[year2], DI$3))</f>
        <v>#N/A</v>
      </c>
      <c r="DM188" s="61" t="e">
        <f>IF(COUNTIFS(allFYsTable[Code], SummaryTable[[#This Row],[Code]], allFYsTable[year2], DI$3)=0, NotFound, SUMIFS(allFYsTable[Actual], allFYsTable[Code], SummaryTable[[#This Row],[Code]], allFYsTable[year2], DI$3))</f>
        <v>#N/A</v>
      </c>
      <c r="DN188" s="61" t="e">
        <f>IF(COUNTIFS(allFYsTable[Code], SummaryTable[[#This Row],[Code]], allFYsTable[year2], DI$3)=0, NotFound, SUMIFS(allFYsTable[DiffAmount], allFYsTable[Code], SummaryTable[[#This Row],[Code]], allFYsTable[year2], DI$3))</f>
        <v>#N/A</v>
      </c>
      <c r="DO188" s="63" t="e">
        <f>IF(SummaryTable[[#This Row],[OriginalBudget13]]=0, IF(SummaryTable[[#This Row],[DiffAmount13]]=0, ZeroBudgetNoSpending, ZeroBudgetWithSpending), SummaryTable[[#This Row],[DiffAmount13]]/SummaryTable[[#This Row],[OriginalBudget13]])</f>
        <v>#N/A</v>
      </c>
      <c r="DP188" s="62" t="e">
        <f>IF(COUNTIFS(allFYsTable[Code], SummaryTable[[#This Row],[Code]], allFYsTable[year2], DP$3)=0, NotFound, SUMIFS(allFYsTable[OriginalBudget], allFYsTable[Code], SummaryTable[[#This Row],[Code]], allFYsTable[year2], DP$3))</f>
        <v>#N/A</v>
      </c>
      <c r="DQ188" s="61" t="e">
        <f>SummaryTable[[#This Row],[OriginalBudget12]]-SummaryTable[[#This Row],[OriginalBudget11]]</f>
        <v>#N/A</v>
      </c>
      <c r="DR188" s="54" t="e">
        <f>SummaryTable[[#This Row],[BudgetIncreaseAmount12]]/SummaryTable[[#This Row],[OriginalBudget11]]</f>
        <v>#N/A</v>
      </c>
      <c r="DS188" s="61" t="e">
        <f>IF(COUNTIFS(allFYsTable[Code], SummaryTable[[#This Row],[Code]], allFYsTable[year2], DP$3)=0, NotFound, SUMIFS(allFYsTable[RevisedBudget], allFYsTable[Code], SummaryTable[[#This Row],[Code]], allFYsTable[year2], DP$3))</f>
        <v>#N/A</v>
      </c>
      <c r="DT188" s="61" t="e">
        <f>IF(COUNTIFS(allFYsTable[Code], SummaryTable[[#This Row],[Code]], allFYsTable[year2], DP$3)=0, NotFound, SUMIFS(allFYsTable[Actual], allFYsTable[Code], SummaryTable[[#This Row],[Code]], allFYsTable[year2], DP$3))</f>
        <v>#N/A</v>
      </c>
      <c r="DU188" s="61" t="e">
        <f>IF(COUNTIFS(allFYsTable[Code], SummaryTable[[#This Row],[Code]], allFYsTable[year2], DP$3)=0, NotFound, SUMIFS(allFYsTable[DiffAmount], allFYsTable[Code], SummaryTable[[#This Row],[Code]], allFYsTable[year2], DP$3))</f>
        <v>#N/A</v>
      </c>
      <c r="DV188" s="63" t="e">
        <f>IF(SummaryTable[[#This Row],[OriginalBudget12]]=0, IF(SummaryTable[[#This Row],[DiffAmount12]]=0, ZeroBudgetNoSpending, ZeroBudgetWithSpending), SummaryTable[[#This Row],[DiffAmount12]]/SummaryTable[[#This Row],[OriginalBudget12]])</f>
        <v>#N/A</v>
      </c>
      <c r="DW188" s="62" t="e">
        <f>IF(COUNTIFS(allFYsTable[Code], SummaryTable[[#This Row],[Code]], allFYsTable[year2], DW$3)=0, NotFound, SUMIFS(allFYsTable[OriginalBudget], allFYsTable[Code], SummaryTable[[#This Row],[Code]], allFYsTable[year2], DW$3))</f>
        <v>#N/A</v>
      </c>
      <c r="DX188" s="61" t="e">
        <f>SummaryTable[[#This Row],[OriginalBudget11]]-SummaryTable[[#This Row],[OriginalBudget10]]</f>
        <v>#N/A</v>
      </c>
      <c r="DY188" s="54" t="e">
        <f>SummaryTable[[#This Row],[BudgetIncreaseAmount11]]/SummaryTable[[#This Row],[OriginalBudget10]]</f>
        <v>#N/A</v>
      </c>
      <c r="DZ188" s="61" t="e">
        <f>IF(COUNTIFS(allFYsTable[Code], SummaryTable[[#This Row],[Code]], allFYsTable[year2], DW$3)=0, NotFound, SUMIFS(allFYsTable[RevisedBudget], allFYsTable[Code], SummaryTable[[#This Row],[Code]], allFYsTable[year2], DW$3))</f>
        <v>#N/A</v>
      </c>
      <c r="EA188" s="61" t="e">
        <f>IF(COUNTIFS(allFYsTable[Code], SummaryTable[[#This Row],[Code]], allFYsTable[year2], DW$3)=0, NotFound, SUMIFS(allFYsTable[Actual], allFYsTable[Code], SummaryTable[[#This Row],[Code]], allFYsTable[year2], DW$3))</f>
        <v>#N/A</v>
      </c>
      <c r="EB188" s="61" t="e">
        <f>IF(COUNTIFS(allFYsTable[Code], SummaryTable[[#This Row],[Code]], allFYsTable[year2], DW$3)=0, NotFound, SUMIFS(allFYsTable[DiffAmount], allFYsTable[Code], SummaryTable[[#This Row],[Code]], allFYsTable[year2], DW$3))</f>
        <v>#N/A</v>
      </c>
      <c r="EC188" s="63" t="e">
        <f>IF(SummaryTable[[#This Row],[OriginalBudget11]]=0, IF(SummaryTable[[#This Row],[DiffAmount11]]=0, ZeroBudgetNoSpending, ZeroBudgetWithSpending), SummaryTable[[#This Row],[DiffAmount11]]/SummaryTable[[#This Row],[OriginalBudget11]])</f>
        <v>#N/A</v>
      </c>
      <c r="ED188" s="62" t="e">
        <f>IF(COUNTIFS(allFYsTable[Code], SummaryTable[[#This Row],[Code]], allFYsTable[year2], ED$3)=0, NotFound, SUMIFS(allFYsTable[OriginalBudget], allFYsTable[Code], SummaryTable[[#This Row],[Code]], allFYsTable[year2], ED$3))</f>
        <v>#N/A</v>
      </c>
      <c r="EE188" s="61" t="e">
        <f>SummaryTable[[#This Row],[OriginalBudget10]]-SummaryTable[[#This Row],[OriginalBudget09]]</f>
        <v>#N/A</v>
      </c>
      <c r="EF188" s="54" t="e">
        <f>SummaryTable[[#This Row],[BudgetIncreaseAmount10]]/SummaryTable[[#This Row],[OriginalBudget09]]</f>
        <v>#N/A</v>
      </c>
      <c r="EG188" s="61" t="e">
        <f>IF(COUNTIFS(allFYsTable[Code], SummaryTable[[#This Row],[Code]], allFYsTable[year2], ED$3)=0, NotFound, SUMIFS(allFYsTable[RevisedBudget], allFYsTable[Code], SummaryTable[[#This Row],[Code]], allFYsTable[year2], ED$3))</f>
        <v>#N/A</v>
      </c>
      <c r="EH188" s="61" t="e">
        <f>IF(COUNTIFS(allFYsTable[Code], SummaryTable[[#This Row],[Code]], allFYsTable[year2], ED$3)=0, NotFound, SUMIFS(allFYsTable[Actual], allFYsTable[Code], SummaryTable[[#This Row],[Code]], allFYsTable[year2], ED$3))</f>
        <v>#N/A</v>
      </c>
      <c r="EI188" s="61" t="e">
        <f>IF(COUNTIFS(allFYsTable[Code], SummaryTable[[#This Row],[Code]], allFYsTable[year2], ED$3)=0, NotFound, SUMIFS(allFYsTable[DiffAmount], allFYsTable[Code], SummaryTable[[#This Row],[Code]], allFYsTable[year2], ED$3))</f>
        <v>#N/A</v>
      </c>
      <c r="EJ188" s="63" t="e">
        <f>IF(SummaryTable[[#This Row],[OriginalBudget10]]=0, IF(SummaryTable[[#This Row],[DiffAmount10]]=0, ZeroBudgetNoSpending, ZeroBudgetWithSpending), SummaryTable[[#This Row],[DiffAmount10]]/SummaryTable[[#This Row],[OriginalBudget10]])</f>
        <v>#N/A</v>
      </c>
      <c r="EK188" s="62" t="e">
        <f>IF(COUNTIFS(allFYsTable[Code], SummaryTable[[#This Row],[Code]], allFYsTable[year2], EK$3)=0, NotFound, SUMIFS(allFYsTable[OriginalBudget], allFYsTable[Code], SummaryTable[[#This Row],[Code]], allFYsTable[year2], EK$3))</f>
        <v>#N/A</v>
      </c>
      <c r="EL188" s="61" t="e">
        <f>SummaryTable[[#This Row],[OriginalBudget09]]-SummaryTable[[#This Row],[OriginalBudget08]]</f>
        <v>#N/A</v>
      </c>
      <c r="EM188" s="54" t="e">
        <f>SummaryTable[[#This Row],[BudgetIncreaseAmount09]]/SummaryTable[[#This Row],[OriginalBudget08]]</f>
        <v>#N/A</v>
      </c>
      <c r="EN188" s="61" t="e">
        <f>IF(COUNTIFS(allFYsTable[Code], SummaryTable[[#This Row],[Code]], allFYsTable[year2], EK$3)=0, NotFound, SUMIFS(allFYsTable[RevisedBudget], allFYsTable[Code], SummaryTable[[#This Row],[Code]], allFYsTable[year2], EK$3))</f>
        <v>#N/A</v>
      </c>
      <c r="EO188" s="61" t="e">
        <f>IF(COUNTIFS(allFYsTable[Code], SummaryTable[[#This Row],[Code]], allFYsTable[year2], EK$3)=0, NotFound, SUMIFS(allFYsTable[Actual], allFYsTable[Code], SummaryTable[[#This Row],[Code]], allFYsTable[year2], EK$3))</f>
        <v>#N/A</v>
      </c>
      <c r="EP188" s="61" t="e">
        <f>IF(COUNTIFS(allFYsTable[Code], SummaryTable[[#This Row],[Code]], allFYsTable[year2], EK$3)=0, NotFound, SUMIFS(allFYsTable[DiffAmount], allFYsTable[Code], SummaryTable[[#This Row],[Code]], allFYsTable[year2], EK$3))</f>
        <v>#N/A</v>
      </c>
      <c r="EQ188" s="63" t="e">
        <f>IF(SummaryTable[[#This Row],[OriginalBudget09]]=0, IF(SummaryTable[[#This Row],[DiffAmount09]]=0, ZeroBudgetNoSpending, ZeroBudgetWithSpending), SummaryTable[[#This Row],[DiffAmount09]]/SummaryTable[[#This Row],[OriginalBudget09]])</f>
        <v>#N/A</v>
      </c>
      <c r="ER188" s="62" t="e">
        <f>IF(COUNTIFS(allFYsTable[Code], SummaryTable[[#This Row],[Code]], allFYsTable[year2], ER$3)=0, NotFound, SUMIFS(allFYsTable[OriginalBudget], allFYsTable[Code], SummaryTable[[#This Row],[Code]], allFYsTable[year2], ER$3))</f>
        <v>#N/A</v>
      </c>
      <c r="ES188" s="61" t="e">
        <f>SummaryTable[[#This Row],[OriginalBudget08]]-SummaryTable[[#This Row],[OriginalBudget07]]</f>
        <v>#N/A</v>
      </c>
      <c r="ET188" s="54" t="e">
        <f>SummaryTable[[#This Row],[BudgetIncreaseAmount08]]/SummaryTable[[#This Row],[OriginalBudget07]]</f>
        <v>#N/A</v>
      </c>
      <c r="EU188" s="61" t="e">
        <f>IF(COUNTIFS(allFYsTable[Code], SummaryTable[[#This Row],[Code]], allFYsTable[year2], ER$3)=0, NotFound, SUMIFS(allFYsTable[RevisedBudget], allFYsTable[Code], SummaryTable[[#This Row],[Code]], allFYsTable[year2], ER$3))</f>
        <v>#N/A</v>
      </c>
      <c r="EV188" s="61" t="e">
        <f>IF(COUNTIFS(allFYsTable[Code], SummaryTable[[#This Row],[Code]], allFYsTable[year2], ER$3)=0, NotFound, SUMIFS(allFYsTable[Actual], allFYsTable[Code], SummaryTable[[#This Row],[Code]], allFYsTable[year2], ER$3))</f>
        <v>#N/A</v>
      </c>
      <c r="EW188" s="61" t="e">
        <f>IF(COUNTIFS(allFYsTable[Code], SummaryTable[[#This Row],[Code]], allFYsTable[year2], ER$3)=0, NotFound, SUMIFS(allFYsTable[DiffAmount], allFYsTable[Code], SummaryTable[[#This Row],[Code]], allFYsTable[year2], ER$3))</f>
        <v>#N/A</v>
      </c>
      <c r="EX188" s="63" t="e">
        <f>IF(SummaryTable[[#This Row],[OriginalBudget08]]=0, IF(SummaryTable[[#This Row],[DiffAmount08]]=0, ZeroBudgetNoSpending, ZeroBudgetWithSpending), SummaryTable[[#This Row],[DiffAmount08]]/SummaryTable[[#This Row],[OriginalBudget08]])</f>
        <v>#N/A</v>
      </c>
      <c r="EY188" s="62" t="e">
        <f>IF(COUNTIFS(allFYsTable[Code], SummaryTable[[#This Row],[Code]], allFYsTable[year2], EY$3)=0, NotFound, SUMIFS(allFYsTable[OriginalBudget], allFYsTable[Code], SummaryTable[[#This Row],[Code]], allFYsTable[year2], EY$3))</f>
        <v>#N/A</v>
      </c>
      <c r="EZ188" s="61" t="e">
        <f>SummaryTable[[#This Row],[OriginalBudget07]]-SummaryTable[[#This Row],[OriginalBudget06]]</f>
        <v>#N/A</v>
      </c>
      <c r="FA188" s="54" t="e">
        <f>SummaryTable[[#This Row],[BudgetIncreaseAmount07]]/SummaryTable[[#This Row],[OriginalBudget06]]</f>
        <v>#N/A</v>
      </c>
      <c r="FB188" s="61" t="e">
        <f>IF(COUNTIFS(allFYsTable[Code], SummaryTable[[#This Row],[Code]], allFYsTable[year2], EY$3)=0, NotFound, SUMIFS(allFYsTable[RevisedBudget], allFYsTable[Code], SummaryTable[[#This Row],[Code]], allFYsTable[year2], EY$3))</f>
        <v>#N/A</v>
      </c>
      <c r="FC188" s="61" t="e">
        <f>IF(COUNTIFS(allFYsTable[Code], SummaryTable[[#This Row],[Code]], allFYsTable[year2], EY$3)=0, NotFound, SUMIFS(allFYsTable[Actual], allFYsTable[Code], SummaryTable[[#This Row],[Code]], allFYsTable[year2], EY$3))</f>
        <v>#N/A</v>
      </c>
      <c r="FD188" s="61" t="e">
        <f>IF(COUNTIFS(allFYsTable[Code], SummaryTable[[#This Row],[Code]], allFYsTable[year2], EY$3)=0, NotFound, SUMIFS(allFYsTable[DiffAmount], allFYsTable[Code], SummaryTable[[#This Row],[Code]], allFYsTable[year2], EY$3))</f>
        <v>#N/A</v>
      </c>
      <c r="FE188" s="63" t="e">
        <f>IF(SummaryTable[[#This Row],[OriginalBudget07]]=0, IF(SummaryTable[[#This Row],[DiffAmount07]]=0, ZeroBudgetNoSpending, ZeroBudgetWithSpending), SummaryTable[[#This Row],[DiffAmount07]]/SummaryTable[[#This Row],[OriginalBudget07]])</f>
        <v>#N/A</v>
      </c>
      <c r="FF188" s="62" t="e">
        <f>IF(COUNTIFS(allFYsTable[Code], SummaryTable[[#This Row],[Code]], allFYsTable[year2], FF$3)=0, NotFound, SUMIFS(allFYsTable[OriginalBudget], allFYsTable[Code], SummaryTable[[#This Row],[Code]], allFYsTable[year2], FF$3))</f>
        <v>#N/A</v>
      </c>
      <c r="FI188" s="61" t="e">
        <f>IF(COUNTIFS(allFYsTable[Code], SummaryTable[[#This Row],[Code]], allFYsTable[year2], FF$3)=0, NotFound, SUMIFS(allFYsTable[RevisedBudget], allFYsTable[Code], SummaryTable[[#This Row],[Code]], allFYsTable[year2], FF$3))</f>
        <v>#N/A</v>
      </c>
      <c r="FJ188" s="61" t="e">
        <f>IF(COUNTIFS(allFYsTable[Code], SummaryTable[[#This Row],[Code]], allFYsTable[year2], FF$3)=0, NotFound, SUMIFS(allFYsTable[Actual], allFYsTable[Code], SummaryTable[[#This Row],[Code]], allFYsTable[year2], FF$3))</f>
        <v>#N/A</v>
      </c>
      <c r="FK188" s="61" t="e">
        <f>IF(COUNTIFS(allFYsTable[Code], SummaryTable[[#This Row],[Code]], allFYsTable[year2], FF$3)=0, NotFound, SUMIFS(allFYsTable[DiffAmount], allFYsTable[Code], SummaryTable[[#This Row],[Code]], allFYsTable[year2], FF$3))</f>
        <v>#N/A</v>
      </c>
      <c r="FL188" s="63" t="e">
        <f>IF(SummaryTable[[#This Row],[OriginalBudget06]]=0, IF(SummaryTable[[#This Row],[DiffAmount06]]=0, ZeroBudgetNoSpending, ZeroBudgetWithSpending), SummaryTable[[#This Row],[DiffAmount06]]/SummaryTable[[#This Row],[OriginalBudget06]])</f>
        <v>#N/A</v>
      </c>
    </row>
  </sheetData>
  <sheetProtection selectLockedCells="1" sort="0" autoFilter="0" selectUnlockedCells="1"/>
  <phoneticPr fontId="6" type="noConversion"/>
  <conditionalFormatting sqref="A5:C188">
    <cfRule type="expression" dxfId="2" priority="140">
      <formula>$CF5=1</formula>
    </cfRule>
  </conditionalFormatting>
  <conditionalFormatting sqref="D5:E5">
    <cfRule type="expression" dxfId="1" priority="1">
      <formula>$CF5=1</formula>
    </cfRule>
  </conditionalFormatting>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A8A8-EBC9-4384-9EDD-BF56FD059417}">
  <sheetPr codeName="Sheet14"/>
  <dimension ref="B2:D6"/>
  <sheetViews>
    <sheetView workbookViewId="0">
      <selection activeCell="F14" sqref="F14"/>
    </sheetView>
  </sheetViews>
  <sheetFormatPr defaultRowHeight="14.25" x14ac:dyDescent="0.45"/>
  <cols>
    <col min="2" max="2" width="22" customWidth="1"/>
    <col min="4" max="4" width="88.86328125" customWidth="1"/>
  </cols>
  <sheetData>
    <row r="2" spans="2:4" x14ac:dyDescent="0.45">
      <c r="B2" s="36" t="s">
        <v>1157</v>
      </c>
      <c r="C2" s="36" t="s">
        <v>1158</v>
      </c>
      <c r="D2" s="36" t="s">
        <v>1159</v>
      </c>
    </row>
    <row r="3" spans="2:4" x14ac:dyDescent="0.45">
      <c r="B3" s="2" t="s">
        <v>1156</v>
      </c>
      <c r="C3" s="11">
        <v>99.99</v>
      </c>
      <c r="D3" t="s">
        <v>1160</v>
      </c>
    </row>
    <row r="4" spans="2:4" x14ac:dyDescent="0.45">
      <c r="B4" s="2" t="s">
        <v>1161</v>
      </c>
      <c r="C4" s="11">
        <v>0</v>
      </c>
      <c r="D4" t="s">
        <v>1162</v>
      </c>
    </row>
    <row r="5" spans="2:4" x14ac:dyDescent="0.45">
      <c r="B5" s="2" t="s">
        <v>1163</v>
      </c>
      <c r="C5" s="34" t="e">
        <v>#N/A</v>
      </c>
      <c r="D5" t="s">
        <v>1252</v>
      </c>
    </row>
    <row r="6" spans="2:4" x14ac:dyDescent="0.45">
      <c r="B6" s="2" t="s">
        <v>1251</v>
      </c>
      <c r="D6" t="s">
        <v>1253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7A932-7952-4E6A-AA14-E96E4FE1935E}">
  <sheetPr codeName="Sheet12"/>
  <dimension ref="A1:H184"/>
  <sheetViews>
    <sheetView zoomScale="54" zoomScaleNormal="54" workbookViewId="0">
      <selection activeCell="F14" sqref="F14"/>
    </sheetView>
  </sheetViews>
  <sheetFormatPr defaultRowHeight="14.25" x14ac:dyDescent="0.45"/>
  <cols>
    <col min="1" max="1" width="4.86328125" style="3" customWidth="1"/>
    <col min="2" max="2" width="7.796875" style="3" customWidth="1"/>
    <col min="3" max="3" width="10" style="3" customWidth="1"/>
    <col min="4" max="4" width="32.19921875" style="66" bestFit="1" customWidth="1"/>
    <col min="5" max="5" width="49.796875" style="3" customWidth="1"/>
    <col min="6" max="6" width="64.86328125" style="3" bestFit="1" customWidth="1"/>
    <col min="7" max="7" width="9.59765625" style="66" bestFit="1" customWidth="1"/>
    <col min="8" max="8" width="33" style="3" customWidth="1"/>
    <col min="9" max="9" width="14.73046875" style="3" customWidth="1"/>
    <col min="10" max="16384" width="9.06640625" style="3"/>
  </cols>
  <sheetData>
    <row r="1" spans="1:8" s="48" customFormat="1" x14ac:dyDescent="0.45">
      <c r="A1" s="48" t="s">
        <v>1425</v>
      </c>
      <c r="B1" s="48" t="s">
        <v>836</v>
      </c>
      <c r="C1" s="48" t="s">
        <v>1093</v>
      </c>
      <c r="D1" s="67" t="s">
        <v>1426</v>
      </c>
      <c r="E1" s="48" t="s">
        <v>1422</v>
      </c>
      <c r="F1" s="67" t="s">
        <v>1428</v>
      </c>
      <c r="G1" s="48" t="s">
        <v>1182</v>
      </c>
      <c r="H1" s="48" t="s">
        <v>1430</v>
      </c>
    </row>
    <row r="2" spans="1:8" x14ac:dyDescent="0.45">
      <c r="A2" s="3">
        <v>9</v>
      </c>
      <c r="B2" s="3" t="s">
        <v>707</v>
      </c>
      <c r="C2" s="3">
        <f>_xlfn.MAXIFS(allFYsTable[year2], allFYsTable[Code], NameCodingTable[[#This Row],[Code]])</f>
        <v>2025</v>
      </c>
      <c r="D2" s="66" t="str" cm="1">
        <f t="array" ref="D2">_xlfn.IFNA(_xlfn.XLOOKUP(NameCodingTable[[#This Row],[Code]]&amp;NameCodingTable[[#This Row],[maxyear]],allFYsTable[Code]&amp;allFYsTable[year2], allFYsTable[Category]), "")</f>
        <v>Governmental direction and support</v>
      </c>
      <c r="E2" s="3" t="str" cm="1">
        <f t="array" ref="E2">_xlfn.TEXTJOIN(", ", TRUE, _xlfn.UNIQUE(IF(allFYsTable[Code] = NameCodingTable[[#This Row],[Code]], allFYsTable[Unit], "")))</f>
        <v>Mayor, Office of the mayor, Office  of  the  mayor, Executive office of the mayor, Executive Office of the Mayor (EOM)</v>
      </c>
      <c r="F2" s="66" t="s">
        <v>1313</v>
      </c>
      <c r="G2" s="3" t="s">
        <v>1183</v>
      </c>
    </row>
    <row r="3" spans="1:8" x14ac:dyDescent="0.45">
      <c r="A3" s="3">
        <v>5</v>
      </c>
      <c r="B3" s="3" t="s">
        <v>703</v>
      </c>
      <c r="C3" s="3">
        <f>_xlfn.MAXIFS(allFYsTable[year2], allFYsTable[Code], NameCodingTable[[#This Row],[Code]])</f>
        <v>2025</v>
      </c>
      <c r="D3" s="66" t="str" cm="1">
        <f t="array" ref="D3">_xlfn.IFNA(_xlfn.XLOOKUP(NameCodingTable[[#This Row],[Code]]&amp;NameCodingTable[[#This Row],[maxyear]],allFYsTable[Code]&amp;allFYsTable[year2], allFYsTable[Category]), "")</f>
        <v>Governmental direction and support</v>
      </c>
      <c r="E3" s="3" t="str" cm="1">
        <f t="array" ref="E3">_xlfn.TEXTJOIN(", ", TRUE, _xlfn.UNIQUE(IF(allFYsTable[Code] = NameCodingTable[[#This Row],[Code]], allFYsTable[Unit], "")))</f>
        <v>City Council, Council  of  the  district  of  columhia, _x000D__x000D_
Council  of  the  district  of  columbia, Council of the district of columbia, Council of the Ditrict of Columbia, Council of the District of Cciumbia</v>
      </c>
      <c r="F3" s="66" t="s">
        <v>96</v>
      </c>
      <c r="G3" s="3" t="s">
        <v>1183</v>
      </c>
    </row>
    <row r="4" spans="1:8" x14ac:dyDescent="0.45">
      <c r="A4" s="3">
        <v>25</v>
      </c>
      <c r="B4" s="3" t="s">
        <v>723</v>
      </c>
      <c r="C4" s="3">
        <f>_xlfn.MAXIFS(allFYsTable[year2], allFYsTable[Code], NameCodingTable[[#This Row],[Code]])</f>
        <v>2025</v>
      </c>
      <c r="D4" s="66" t="str" cm="1">
        <f t="array" ref="D4">_xlfn.IFNA(_xlfn.XLOOKUP(NameCodingTable[[#This Row],[Code]]&amp;NameCodingTable[[#This Row],[maxyear]],allFYsTable[Code]&amp;allFYsTable[year2], allFYsTable[Category]), "")</f>
        <v>Governmental direction and support</v>
      </c>
      <c r="E4" s="3" t="str" cm="1">
        <f t="array" ref="E4">_xlfn.TEXTJOIN(", ", TRUE, _xlfn.UNIQUE(IF(allFYsTable[Code] = NameCodingTable[[#This Row],[Code]], allFYsTable[Unit], "")))</f>
        <v>DC auditor, Office of the dc auditor, Office  of  the  dc  auditor, Office of the d.c. auditor, Office of the D.C  auditor, Office of the District of Columbia auditor, Office of the District of Columbia Auditor (ODCA)</v>
      </c>
      <c r="F4" s="66" t="s">
        <v>1328</v>
      </c>
      <c r="G4" s="3" t="s">
        <v>1183</v>
      </c>
    </row>
    <row r="5" spans="1:8" x14ac:dyDescent="0.45">
      <c r="A5" s="3">
        <v>26</v>
      </c>
      <c r="B5" s="3" t="s">
        <v>724</v>
      </c>
      <c r="C5" s="3">
        <f>_xlfn.MAXIFS(allFYsTable[year2], allFYsTable[Code], NameCodingTable[[#This Row],[Code]])</f>
        <v>2025</v>
      </c>
      <c r="D5" s="66" t="str" cm="1">
        <f t="array" ref="D5">_xlfn.IFNA(_xlfn.XLOOKUP(NameCodingTable[[#This Row],[Code]]&amp;NameCodingTable[[#This Row],[maxyear]],allFYsTable[Code]&amp;allFYsTable[year2], allFYsTable[Category]), "")</f>
        <v>Governmental direction and support</v>
      </c>
      <c r="E5" s="3" t="str" cm="1">
        <f t="array" ref="E5">_xlfn.TEXTJOIN(", ", TRUE, _xlfn.UNIQUE(IF(allFYsTable[Code] = NameCodingTable[[#This Row],[Code]], allFYsTable[Unit], "")))</f>
        <v>Inspector general, Office of the inspector general, Office  of  the  inspector  general, Office of the Inspector General (OIG)</v>
      </c>
      <c r="F5" s="66" t="s">
        <v>1329</v>
      </c>
      <c r="G5" s="3" t="s">
        <v>1183</v>
      </c>
    </row>
    <row r="6" spans="1:8" x14ac:dyDescent="0.45">
      <c r="A6" s="3">
        <v>24</v>
      </c>
      <c r="B6" s="3" t="s">
        <v>722</v>
      </c>
      <c r="C6" s="3">
        <f>_xlfn.MAXIFS(allFYsTable[year2], allFYsTable[Code], NameCodingTable[[#This Row],[Code]])</f>
        <v>2025</v>
      </c>
      <c r="D6" s="66" t="str" cm="1">
        <f t="array" ref="D6">_xlfn.IFNA(_xlfn.XLOOKUP(NameCodingTable[[#This Row],[Code]]&amp;NameCodingTable[[#This Row],[maxyear]],allFYsTable[Code]&amp;allFYsTable[year2], allFYsTable[Category]), "")</f>
        <v>Governmental direction and support</v>
      </c>
      <c r="E6" s="3" t="str" cm="1">
        <f t="array" ref="E6">_xlfn.TEXTJOIN(", ", TRUE, _xlfn.UNIQUE(IF(allFYsTable[Code] = NameCodingTable[[#This Row],[Code]], allFYsTable[Unit], "")))</f>
        <v>City administator, City administrator, City administrator/deputy mayor, City  achninistrator  /   deputy  mayor, City administrator / deputy  mayor, City administrator   deputy  mayor, City Admlnistrator, Office of the city administrator, Office of the City Administrator (OCA)</v>
      </c>
      <c r="F6" s="66" t="s">
        <v>1327</v>
      </c>
      <c r="G6" s="3" t="s">
        <v>1183</v>
      </c>
    </row>
    <row r="7" spans="1:8" x14ac:dyDescent="0.45">
      <c r="A7" s="3">
        <v>4</v>
      </c>
      <c r="B7" s="3" t="s">
        <v>702</v>
      </c>
      <c r="C7" s="3">
        <f>_xlfn.MAXIFS(allFYsTable[year2], allFYsTable[Code], NameCodingTable[[#This Row],[Code]])</f>
        <v>2025</v>
      </c>
      <c r="D7" s="66" t="str" cm="1">
        <f t="array" ref="D7">_xlfn.IFNA(_xlfn.XLOOKUP(NameCodingTable[[#This Row],[Code]]&amp;NameCodingTable[[#This Row],[maxyear]],allFYsTable[Code]&amp;allFYsTable[year2], allFYsTable[Category]), "")</f>
        <v>Governmental direction and support</v>
      </c>
      <c r="E7" s="3" t="str" cm="1">
        <f t="array" ref="E7">_xlfn.TEXTJOIN(", ", TRUE, _xlfn.UNIQUE(IF(allFYsTable[Code] = NameCodingTable[[#This Row],[Code]], allFYsTable[Unit], "")))</f>
        <v>Contract appeals, Contract  appeals, Contract appeals &amp; board, Contract   appeals   board, Contract  appeals  board, Contract appeals board, Contract Appeals Board (CAB)</v>
      </c>
      <c r="F7" s="66" t="s">
        <v>1309</v>
      </c>
      <c r="G7" s="3" t="s">
        <v>1183</v>
      </c>
    </row>
    <row r="8" spans="1:8" x14ac:dyDescent="0.45">
      <c r="A8" s="3">
        <v>2</v>
      </c>
      <c r="B8" s="3" t="s">
        <v>700</v>
      </c>
      <c r="C8" s="3">
        <f>_xlfn.MAXIFS(allFYsTable[year2], allFYsTable[Code], NameCodingTable[[#This Row],[Code]])</f>
        <v>2025</v>
      </c>
      <c r="D8" s="66" t="str" cm="1">
        <f t="array" ref="D8">_xlfn.IFNA(_xlfn.XLOOKUP(NameCodingTable[[#This Row],[Code]]&amp;NameCodingTable[[#This Row],[maxyear]],allFYsTable[Code]&amp;allFYsTable[year2], allFYsTable[Category]), "")</f>
        <v>Governmental direction and support</v>
      </c>
      <c r="E8" s="3" t="str" cm="1">
        <f t="array" ref="E8">_xlfn.TEXTJOIN(", ", TRUE, _xlfn.UNIQUE(IF(allFYsTable[Code] = NameCodingTable[[#This Row],[Code]], allFYsTable[Unit], "")))</f>
        <v>District  of columbia  office  of  open  government, District of columbia office of open government, DC Board of ethics and accountability, D.C. Board of ethics and accountability, D.C.board of ethics and accountability, D.C. board of ethics and government accountability, Board of ethics and government accountability, Board of Ethics and Government Accountability (BEGA)</v>
      </c>
      <c r="F8" s="66" t="s">
        <v>1307</v>
      </c>
      <c r="G8" s="3" t="s">
        <v>1183</v>
      </c>
    </row>
    <row r="9" spans="1:8" x14ac:dyDescent="0.45">
      <c r="A9" s="3">
        <v>10</v>
      </c>
      <c r="B9" s="3" t="s">
        <v>708</v>
      </c>
      <c r="C9" s="3">
        <f>_xlfn.MAXIFS(allFYsTable[year2], allFYsTable[Code], NameCodingTable[[#This Row],[Code]])</f>
        <v>2025</v>
      </c>
      <c r="D9" s="66" t="str" cm="1">
        <f t="array" ref="D9">_xlfn.IFNA(_xlfn.XLOOKUP(NameCodingTable[[#This Row],[Code]]&amp;NameCodingTable[[#This Row],[maxyear]],allFYsTable[Code]&amp;allFYsTable[year2], allFYsTable[Category]), "")</f>
        <v>Governmental direction and support</v>
      </c>
      <c r="E9" s="3" t="str" cm="1">
        <f t="array" ref="E9">_xlfn.TEXTJOIN(", ", TRUE, _xlfn.UNIQUE(IF(allFYsTable[Code] = NameCodingTable[[#This Row],[Code]], allFYsTable[Unit], "")))</f>
        <v>Mayor's office of legal counsel, Mayor’s office of legal counsel</v>
      </c>
      <c r="F9" s="66" t="s">
        <v>1314</v>
      </c>
      <c r="G9" s="3" t="s">
        <v>1183</v>
      </c>
    </row>
    <row r="10" spans="1:8" x14ac:dyDescent="0.45">
      <c r="A10" s="3">
        <v>28</v>
      </c>
      <c r="B10" s="3" t="s">
        <v>726</v>
      </c>
      <c r="C10" s="3">
        <f>_xlfn.MAXIFS(allFYsTable[year2], allFYsTable[Code], NameCodingTable[[#This Row],[Code]])</f>
        <v>2025</v>
      </c>
      <c r="D10" s="66" t="str" cm="1">
        <f t="array" ref="D10">_xlfn.IFNA(_xlfn.XLOOKUP(NameCodingTable[[#This Row],[Code]]&amp;NameCodingTable[[#This Row],[maxyear]],allFYsTable[Code]&amp;allFYsTable[year2], allFYsTable[Category]), "")</f>
        <v>Governmental direction and support</v>
      </c>
      <c r="E10" s="3" t="str" cm="1">
        <f t="array" ref="E10">_xlfn.TEXTJOIN(", ", TRUE, _xlfn.UNIQUE(IF(allFYsTable[Code] = NameCodingTable[[#This Row],[Code]], allFYsTable[Unit], "")))</f>
        <v>Office of senior advisor, Office of the senior advisor</v>
      </c>
      <c r="F10" s="66" t="s">
        <v>1331</v>
      </c>
      <c r="G10" s="3" t="s">
        <v>1183</v>
      </c>
    </row>
    <row r="11" spans="1:8" x14ac:dyDescent="0.45">
      <c r="A11" s="3">
        <v>19</v>
      </c>
      <c r="B11" s="3" t="s">
        <v>717</v>
      </c>
      <c r="C11" s="3">
        <f>_xlfn.MAXIFS(allFYsTable[year2], allFYsTable[Code], NameCodingTable[[#This Row],[Code]])</f>
        <v>2025</v>
      </c>
      <c r="D11" s="66" t="str" cm="1">
        <f t="array" ref="D11">_xlfn.IFNA(_xlfn.XLOOKUP(NameCodingTable[[#This Row],[Code]]&amp;NameCodingTable[[#This Row],[maxyear]],allFYsTable[Code]&amp;allFYsTable[year2], allFYsTable[Category]), "")</f>
        <v>Governmental direction and support</v>
      </c>
      <c r="E11" s="3" t="str" cm="1">
        <f t="array" ref="E11">_xlfn.TEXTJOIN(", ", TRUE, _xlfn.UNIQUE(IF(allFYsTable[Code] = NameCodingTable[[#This Row],[Code]], allFYsTable[Unit], "")))</f>
        <v>Office of labor relations and collective bargaining</v>
      </c>
      <c r="F11" s="66" t="s">
        <v>1321</v>
      </c>
      <c r="G11" s="3" t="s">
        <v>1183</v>
      </c>
    </row>
    <row r="12" spans="1:8" x14ac:dyDescent="0.45">
      <c r="A12" s="3">
        <v>35</v>
      </c>
      <c r="B12" s="3" t="s">
        <v>733</v>
      </c>
      <c r="C12" s="3">
        <f>_xlfn.MAXIFS(allFYsTable[year2], allFYsTable[Code], NameCodingTable[[#This Row],[Code]])</f>
        <v>2025</v>
      </c>
      <c r="D12" s="66" t="str" cm="1">
        <f t="array" ref="D12">_xlfn.IFNA(_xlfn.XLOOKUP(NameCodingTable[[#This Row],[Code]]&amp;NameCodingTable[[#This Row],[maxyear]],allFYsTable[Code]&amp;allFYsTable[year2], allFYsTable[Category]), "")</f>
        <v>Governmental direction and support</v>
      </c>
      <c r="E12" s="3" t="str" cm="1">
        <f t="array" ref="E12">_xlfn.TEXTJOIN(", ", TRUE, _xlfn.UNIQUE(IF(allFYsTable[Code] = NameCodingTable[[#This Row],[Code]], allFYsTable[Unit], "")))</f>
        <v>Uniform law commission</v>
      </c>
      <c r="F12" s="66" t="s">
        <v>1338</v>
      </c>
      <c r="G12" s="3" t="s">
        <v>1183</v>
      </c>
    </row>
    <row r="13" spans="1:8" x14ac:dyDescent="0.45">
      <c r="A13" s="3">
        <v>7</v>
      </c>
      <c r="B13" s="3" t="s">
        <v>705</v>
      </c>
      <c r="C13" s="3">
        <f>_xlfn.MAXIFS(allFYsTable[year2], allFYsTable[Code], NameCodingTable[[#This Row],[Code]])</f>
        <v>2025</v>
      </c>
      <c r="D13" s="66" t="str" cm="1">
        <f t="array" ref="D13">_xlfn.IFNA(_xlfn.XLOOKUP(NameCodingTable[[#This Row],[Code]]&amp;NameCodingTable[[#This Row],[maxyear]],allFYsTable[Code]&amp;allFYsTable[year2], allFYsTable[Category]), "")</f>
        <v>Governmental direction and support</v>
      </c>
      <c r="E13" s="3" t="str" cm="1">
        <f t="array" ref="E13">_xlfn.TEXTJOIN(", ", TRUE, _xlfn.UNIQUE(IF(allFYsTable[Code] = NameCodingTable[[#This Row],[Code]], allFYsTable[Unit], "")))</f>
        <v>Property management, Department of Property Management, Department   of  property   management, Department  of general  services, Department of general services, Department of General Services (DGS)</v>
      </c>
      <c r="F13" s="66" t="s">
        <v>1311</v>
      </c>
      <c r="G13" s="3" t="s">
        <v>1183</v>
      </c>
    </row>
    <row r="14" spans="1:8" x14ac:dyDescent="0.45">
      <c r="A14" s="3">
        <v>30</v>
      </c>
      <c r="B14" s="3" t="s">
        <v>728</v>
      </c>
      <c r="C14" s="3">
        <f>_xlfn.MAXIFS(allFYsTable[year2], allFYsTable[Code], NameCodingTable[[#This Row],[Code]])</f>
        <v>2025</v>
      </c>
      <c r="D14" s="66" t="str" cm="1">
        <f t="array" ref="D14">_xlfn.IFNA(_xlfn.XLOOKUP(NameCodingTable[[#This Row],[Code]]&amp;NameCodingTable[[#This Row],[maxyear]],allFYsTable[Code]&amp;allFYsTable[year2], allFYsTable[Category]), "")</f>
        <v>Governmental direction and support</v>
      </c>
      <c r="E14" s="3" t="str" cm="1">
        <f t="array" ref="E14">_xlfn.TEXTJOIN(", ", TRUE, _xlfn.UNIQUE(IF(allFYsTable[Code] = NameCodingTable[[#This Row],[Code]], allFYsTable[Unit], "")))</f>
        <v>Asian and pacific islandr affairs, Asian and pacific islander affairs, Asian  and pacific  islander  affairs, Asian  and  pacific   islander  affairs, Offcie of asian and pacific islander affairs, Office on asian and pacific islander affairs, Office of asian and pacific islander affairs</v>
      </c>
      <c r="F14" s="66" t="s">
        <v>1333</v>
      </c>
      <c r="G14" s="3" t="s">
        <v>1183</v>
      </c>
    </row>
    <row r="15" spans="1:8" x14ac:dyDescent="0.45">
      <c r="A15" s="3">
        <v>19.5</v>
      </c>
      <c r="B15" s="3" t="s">
        <v>1395</v>
      </c>
      <c r="C15" s="3">
        <f>_xlfn.MAXIFS(allFYsTable[year2], allFYsTable[Code], NameCodingTable[[#This Row],[Code]])</f>
        <v>2025</v>
      </c>
      <c r="D15" s="66" t="str" cm="1">
        <f t="array" ref="D15">_xlfn.IFNA(_xlfn.XLOOKUP(NameCodingTable[[#This Row],[Code]]&amp;NameCodingTable[[#This Row],[maxyear]],allFYsTable[Code]&amp;allFYsTable[year2], allFYsTable[Category]), "")</f>
        <v>Governmental direction and support</v>
      </c>
      <c r="E15" s="3" t="str" cm="1">
        <f t="array" ref="E15">_xlfn.TEXTJOIN(", ", TRUE, _xlfn.UNIQUE(IF(allFYsTable[Code] = NameCodingTable[[#This Row],[Code]], allFYsTable[Unit], "")))</f>
        <v>Office of LGBTQ Affairs</v>
      </c>
      <c r="F15" s="66" t="s">
        <v>1396</v>
      </c>
      <c r="G15" s="3" t="s">
        <v>1183</v>
      </c>
    </row>
    <row r="16" spans="1:8" x14ac:dyDescent="0.45">
      <c r="A16" s="3">
        <v>33</v>
      </c>
      <c r="B16" s="3" t="s">
        <v>731</v>
      </c>
      <c r="C16" s="3">
        <f>_xlfn.MAXIFS(allFYsTable[year2], allFYsTable[Code], NameCodingTable[[#This Row],[Code]])</f>
        <v>2025</v>
      </c>
      <c r="D16" s="66" t="str" cm="1">
        <f t="array" ref="D16">_xlfn.IFNA(_xlfn.XLOOKUP(NameCodingTable[[#This Row],[Code]]&amp;NameCodingTable[[#This Row],[maxyear]],allFYsTable[Code]&amp;allFYsTable[year2], allFYsTable[Category]), "")</f>
        <v>Governmental direction and support</v>
      </c>
      <c r="E16" s="3" t="str" cm="1">
        <f t="array" ref="E16">_xlfn.TEXTJOIN(", ", TRUE, _xlfn.UNIQUE(IF(allFYsTable[Code] = NameCodingTable[[#This Row],[Code]], allFYsTable[Unit], "")))</f>
        <v>Statehood Initiative Agency, Statehood initiatives</v>
      </c>
      <c r="F16" s="66" t="s">
        <v>1336</v>
      </c>
      <c r="G16" s="3" t="s">
        <v>1183</v>
      </c>
    </row>
    <row r="17" spans="1:7" x14ac:dyDescent="0.45">
      <c r="A17" s="3">
        <v>18</v>
      </c>
      <c r="B17" s="3" t="s">
        <v>716</v>
      </c>
      <c r="C17" s="3">
        <f>_xlfn.MAXIFS(allFYsTable[year2], allFYsTable[Code], NameCodingTable[[#This Row],[Code]])</f>
        <v>2025</v>
      </c>
      <c r="D17" s="66" t="str" cm="1">
        <f t="array" ref="D17">_xlfn.IFNA(_xlfn.XLOOKUP(NameCodingTable[[#This Row],[Code]]&amp;NameCodingTable[[#This Row],[maxyear]],allFYsTable[Code]&amp;allFYsTable[year2], allFYsTable[Category]), "")</f>
        <v>Governmental direction and support</v>
      </c>
      <c r="E17" s="3" t="str" cm="1">
        <f t="array" ref="E17">_xlfn.TEXTJOIN(", ", TRUE, _xlfn.UNIQUE(IF(allFYsTable[Code] = NameCodingTable[[#This Row],[Code]], allFYsTable[Unit], "")))</f>
        <v>Finance and resource management, Office of finance &amp; resources mgmt, Office  of  finance  &amp;  resource  mgrnt, Office of finance &amp; resource mgmt, Office of finance &amp; resource market, Office of finance &amp; resource management, Office of finance and resource management, Office of Finance and Resource Management (OFRM)</v>
      </c>
      <c r="F17" s="66" t="s">
        <v>1320</v>
      </c>
      <c r="G17" s="3" t="s">
        <v>1183</v>
      </c>
    </row>
    <row r="18" spans="1:7" x14ac:dyDescent="0.45">
      <c r="A18" s="3">
        <v>22</v>
      </c>
      <c r="B18" s="3" t="s">
        <v>720</v>
      </c>
      <c r="C18" s="3">
        <f>_xlfn.MAXIFS(allFYsTable[year2], allFYsTable[Code], NameCodingTable[[#This Row],[Code]])</f>
        <v>2025</v>
      </c>
      <c r="D18" s="66" t="str" cm="1">
        <f t="array" ref="D18">_xlfn.IFNA(_xlfn.XLOOKUP(NameCodingTable[[#This Row],[Code]]&amp;NameCodingTable[[#This Row],[maxyear]],allFYsTable[Code]&amp;allFYsTable[year2], allFYsTable[Category]), "")</f>
        <v>Governmental direction and support</v>
      </c>
      <c r="E18" s="3" t="str" cm="1">
        <f t="array" ref="E18">_xlfn.TEXTJOIN(", ", TRUE, _xlfn.UNIQUE(IF(allFYsTable[Code] = NameCodingTable[[#This Row],[Code]], allFYsTable[Unit], "")))</f>
        <v>Chief financial officer, Office of the chief financial officer, Office  of  the  chief  financial  officer, Office of the Chief Financial Officer (OCFO)</v>
      </c>
      <c r="F18" s="66" t="s">
        <v>1325</v>
      </c>
      <c r="G18" s="3" t="s">
        <v>1183</v>
      </c>
    </row>
    <row r="19" spans="1:7" x14ac:dyDescent="0.45">
      <c r="A19" s="3">
        <v>27</v>
      </c>
      <c r="B19" s="3" t="s">
        <v>725</v>
      </c>
      <c r="C19" s="3">
        <f>_xlfn.MAXIFS(allFYsTable[year2], allFYsTable[Code], NameCodingTable[[#This Row],[Code]])</f>
        <v>2025</v>
      </c>
      <c r="D19" s="66" t="str" cm="1">
        <f t="array" ref="D19">_xlfn.IFNA(_xlfn.XLOOKUP(NameCodingTable[[#This Row],[Code]]&amp;NameCodingTable[[#This Row],[maxyear]],allFYsTable[Code]&amp;allFYsTable[year2], allFYsTable[Category]), "")</f>
        <v>Governmental direction and support</v>
      </c>
      <c r="E19" s="3" t="str" cm="1">
        <f t="array" ref="E19">_xlfn.TEXTJOIN(", ", TRUE, _xlfn.UNIQUE(IF(allFYsTable[Code] = NameCodingTable[[#This Row],[Code]], allFYsTable[Unit], "")))</f>
        <v>Executive secretary, Office of the secretary, Office  of  the  secretary</v>
      </c>
      <c r="F19" s="66" t="s">
        <v>1330</v>
      </c>
      <c r="G19" s="3" t="s">
        <v>1183</v>
      </c>
    </row>
    <row r="20" spans="1:7" x14ac:dyDescent="0.45">
      <c r="A20" s="3">
        <v>44</v>
      </c>
      <c r="B20" s="3" t="s">
        <v>742</v>
      </c>
      <c r="C20" s="3">
        <f>_xlfn.MAXIFS(allFYsTable[year2], allFYsTable[Code], NameCodingTable[[#This Row],[Code]])</f>
        <v>2025</v>
      </c>
      <c r="D20" s="66" t="str" cm="1">
        <f t="array" ref="D20">_xlfn.IFNA(_xlfn.XLOOKUP(NameCodingTable[[#This Row],[Code]]&amp;NameCodingTable[[#This Row],[maxyear]],allFYsTable[Code]&amp;allFYsTable[year2], allFYsTable[Category]), "")</f>
        <v>Economic development and regulation</v>
      </c>
      <c r="E20" s="3" t="str" cm="1">
        <f t="array" ref="E20">_xlfn.TEXTJOIN(", ", TRUE, _xlfn.UNIQUE(IF(allFYsTable[Code] = NameCodingTable[[#This Row],[Code]], allFYsTable[Unit], "")))</f>
        <v>Office of planning, Office  of  municipal  planning, Office  of  municipal   planning, Office of municipaL planning, Office of municipal  planning</v>
      </c>
      <c r="F20" s="66" t="s">
        <v>1347</v>
      </c>
      <c r="G20" s="3" t="s">
        <v>1183</v>
      </c>
    </row>
    <row r="21" spans="1:7" x14ac:dyDescent="0.45">
      <c r="A21" s="3">
        <v>6</v>
      </c>
      <c r="B21" s="3" t="s">
        <v>704</v>
      </c>
      <c r="C21" s="3">
        <f>_xlfn.MAXIFS(allFYsTable[year2], allFYsTable[Code], NameCodingTable[[#This Row],[Code]])</f>
        <v>2025</v>
      </c>
      <c r="D21" s="66" t="str" cm="1">
        <f t="array" ref="D21">_xlfn.IFNA(_xlfn.XLOOKUP(NameCodingTable[[#This Row],[Code]]&amp;NameCodingTable[[#This Row],[maxyear]],allFYsTable[Code]&amp;allFYsTable[year2], allFYsTable[Category]), "")</f>
        <v>Governmental direction and support</v>
      </c>
      <c r="E21" s="3" t="str" cm="1">
        <f t="array" ref="E21">_xlfn.TEXTJOIN(", ", TRUE, _xlfn.UNIQUE(IF(allFYsTable[Code] = NameCodingTable[[#This Row],[Code]], allFYsTable[Unit], "")))</f>
        <v>Personnel, Human resources development, DC office of personnel, DC  office  of  personnel, D.C.department of human resources, DC.  department of human resources, D. C. department of human resources, D.C. department of human resources, Department of human resources, Department of Human Resources (DCHR)</v>
      </c>
      <c r="F21" s="66" t="s">
        <v>1310</v>
      </c>
      <c r="G21" s="3" t="s">
        <v>1183</v>
      </c>
    </row>
    <row r="22" spans="1:7" x14ac:dyDescent="0.45">
      <c r="A22" s="3">
        <v>47</v>
      </c>
      <c r="B22" s="3" t="s">
        <v>744</v>
      </c>
      <c r="C22" s="3">
        <f>_xlfn.MAXIFS(allFYsTable[year2], allFYsTable[Code], NameCodingTable[[#This Row],[Code]])</f>
        <v>2025</v>
      </c>
      <c r="D22" s="66" t="str" cm="1">
        <f t="array" ref="D22">_xlfn.IFNA(_xlfn.XLOOKUP(NameCodingTable[[#This Row],[Code]]&amp;NameCodingTable[[#This Row],[maxyear]],allFYsTable[Code]&amp;allFYsTable[year2], allFYsTable[Category]), "")</f>
        <v>Economic development and regulation</v>
      </c>
      <c r="E22" s="3" t="str" cm="1">
        <f t="array" ref="E22">_xlfn.TEXTJOIN(", ", TRUE, _xlfn.UNIQUE(IF(allFYsTable[Code] = NameCodingTable[[#This Row],[Code]], allFYsTable[Unit], "")))</f>
        <v>Office of zoning, Oflice of zoning, Office  of  zoning</v>
      </c>
      <c r="F22" s="66" t="s">
        <v>496</v>
      </c>
      <c r="G22" s="3" t="s">
        <v>1183</v>
      </c>
    </row>
    <row r="23" spans="1:7" x14ac:dyDescent="0.45">
      <c r="A23" s="3">
        <v>61</v>
      </c>
      <c r="B23" s="3" t="s">
        <v>756</v>
      </c>
      <c r="C23" s="3">
        <f>_xlfn.MAXIFS(allFYsTable[year2], allFYsTable[Code], NameCodingTable[[#This Row],[Code]])</f>
        <v>2025</v>
      </c>
      <c r="D23" s="66" t="str" cm="1">
        <f t="array" ref="D23">_xlfn.IFNA(_xlfn.XLOOKUP(NameCodingTable[[#This Row],[Code]]&amp;NameCodingTable[[#This Row],[maxyear]],allFYsTable[Code]&amp;allFYsTable[year2], allFYsTable[Category]), "")</f>
        <v>Public safety and justice</v>
      </c>
      <c r="E23" s="3" t="str" cm="1">
        <f t="array" ref="E23">_xlfn.TEXTJOIN(", ", TRUE, _xlfn.UNIQUE(IF(allFYsTable[Code] = NameCodingTable[[#This Row],[Code]], allFYsTable[Unit], "")))</f>
        <v>Emergency prepardness, Emergency and disaster, Emergency preparedness, Emergencyent   agency, Emergency   manageinent   agency, Emergency  management  agency, Homeland secuirty and emergency management agency, Homeland security and emergency management agency, Homeland security and emergency  management agency, Homeland Security and Emergency Management Agency (HSEMA)</v>
      </c>
      <c r="F23" s="66" t="s">
        <v>1355</v>
      </c>
      <c r="G23" s="3" t="s">
        <v>1183</v>
      </c>
    </row>
    <row r="24" spans="1:7" x14ac:dyDescent="0.45">
      <c r="A24" s="3">
        <v>38</v>
      </c>
      <c r="B24" s="3" t="s">
        <v>736</v>
      </c>
      <c r="C24" s="3">
        <f>_xlfn.MAXIFS(allFYsTable[year2], allFYsTable[Code], NameCodingTable[[#This Row],[Code]])</f>
        <v>2025</v>
      </c>
      <c r="D24" s="66" t="str" cm="1">
        <f t="array" ref="D24">_xlfn.IFNA(_xlfn.XLOOKUP(NameCodingTable[[#This Row],[Code]]&amp;NameCodingTable[[#This Row],[maxyear]],allFYsTable[Code]&amp;allFYsTable[year2], allFYsTable[Category]), "")</f>
        <v>Economic development and regulation</v>
      </c>
      <c r="E24" s="3" t="str" cm="1">
        <f t="array" ref="E24">_xlfn.TEXTJOIN(", ", TRUE, _xlfn.UNIQUE(IF(allFYsTable[Code] = NameCodingTable[[#This Row],[Code]], allFYsTable[Unit], "")))</f>
        <v>Commission on arts &amp; humanities, Commission  on art &amp; humanities, Commission on arts &amp; humanaities, Commission  on  arts  &amp;  humanities, Commission on arts and humanities, D.C. commission on the arts and humanities, Commission on the arts and humanities</v>
      </c>
      <c r="F24" s="66" t="s">
        <v>1341</v>
      </c>
      <c r="G24" s="3" t="s">
        <v>1183</v>
      </c>
    </row>
    <row r="25" spans="1:7" x14ac:dyDescent="0.45">
      <c r="A25" s="3">
        <v>94</v>
      </c>
      <c r="B25" s="3" t="s">
        <v>786</v>
      </c>
      <c r="C25" s="3">
        <f>_xlfn.MAXIFS(allFYsTable[year2], allFYsTable[Code], NameCodingTable[[#This Row],[Code]])</f>
        <v>2025</v>
      </c>
      <c r="D25" s="66" t="str" cm="1">
        <f t="array" ref="D25">_xlfn.IFNA(_xlfn.XLOOKUP(NameCodingTable[[#This Row],[Code]]&amp;NameCodingTable[[#This Row],[maxyear]],allFYsTable[Code]&amp;allFYsTable[year2], allFYsTable[Category]), "")</f>
        <v>Human support services</v>
      </c>
      <c r="E25" s="3" t="str" cm="1">
        <f t="array" ref="E25">_xlfn.TEXTJOIN(", ", TRUE, _xlfn.UNIQUE(IF(allFYsTable[Code] = NameCodingTable[[#This Row],[Code]], allFYsTable[Unit], "")))</f>
        <v>Aging, DC  office  on aging, DC  office  on  aging, DC office on aging, DC office of aging, D.C. office on aging, Department of aging and community living</v>
      </c>
      <c r="F25" s="66" t="s">
        <v>1280</v>
      </c>
      <c r="G25" s="3" t="s">
        <v>1183</v>
      </c>
    </row>
    <row r="26" spans="1:7" x14ac:dyDescent="0.45">
      <c r="A26" s="3">
        <v>31</v>
      </c>
      <c r="B26" s="3" t="s">
        <v>729</v>
      </c>
      <c r="C26" s="3">
        <f>_xlfn.MAXIFS(allFYsTable[year2], allFYsTable[Code], NameCodingTable[[#This Row],[Code]])</f>
        <v>2025</v>
      </c>
      <c r="D26" s="66" t="str" cm="1">
        <f t="array" ref="D26">_xlfn.IFNA(_xlfn.XLOOKUP(NameCodingTable[[#This Row],[Code]]&amp;NameCodingTable[[#This Row],[maxyear]],allFYsTable[Code]&amp;allFYsTable[year2], allFYsTable[Category]), "")</f>
        <v>Governmental direction and support</v>
      </c>
      <c r="E26" s="3" t="str" cm="1">
        <f t="array" ref="E26">_xlfn.TEXTJOIN(", ", TRUE, _xlfn.UNIQUE(IF(allFYsTable[Code] = NameCodingTable[[#This Row],[Code]], allFYsTable[Unit], "")))</f>
        <v>Latino affairs, Office  on   latino affairs, Office  on  latino  affairs, Office on latino affairs, Office of latino affairs</v>
      </c>
      <c r="F26" s="66" t="s">
        <v>1334</v>
      </c>
      <c r="G26" s="3" t="s">
        <v>1183</v>
      </c>
    </row>
    <row r="27" spans="1:7" x14ac:dyDescent="0.45">
      <c r="A27" s="3">
        <v>21</v>
      </c>
      <c r="B27" s="3" t="s">
        <v>719</v>
      </c>
      <c r="C27" s="3">
        <f>_xlfn.MAXIFS(allFYsTable[year2], allFYsTable[Code], NameCodingTable[[#This Row],[Code]])</f>
        <v>2025</v>
      </c>
      <c r="D27" s="66" t="str" cm="1">
        <f t="array" ref="D27">_xlfn.IFNA(_xlfn.XLOOKUP(NameCodingTable[[#This Row],[Code]]&amp;NameCodingTable[[#This Row],[maxyear]],allFYsTable[Code]&amp;allFYsTable[year2], allFYsTable[Category]), "")</f>
        <v>Governmental direction and support</v>
      </c>
      <c r="E27" s="3" t="str" cm="1">
        <f t="array" ref="E27">_xlfn.TEXTJOIN(", ", TRUE, _xlfn.UNIQUE(IF(allFYsTable[Code] = NameCodingTable[[#This Row],[Code]], allFYsTable[Unit], "")))</f>
        <v>Corporation counsel, Attorney general, Office of the attorney, Office  of  the  attorney   general, Office of the attorney general, Office of the attorney  general, Office of the attorney general for the district of columbia, Office of the Attorney General for the District of Columbia (OAG)</v>
      </c>
      <c r="F27" s="66" t="s">
        <v>1324</v>
      </c>
      <c r="G27" s="3" t="s">
        <v>1183</v>
      </c>
    </row>
    <row r="28" spans="1:7" x14ac:dyDescent="0.45">
      <c r="A28" s="3">
        <v>82</v>
      </c>
      <c r="B28" s="3" t="s">
        <v>774</v>
      </c>
      <c r="C28" s="3">
        <f>_xlfn.MAXIFS(allFYsTable[year2], allFYsTable[Code], NameCodingTable[[#This Row],[Code]])</f>
        <v>2025</v>
      </c>
      <c r="D28" s="66" t="str" cm="1">
        <f t="array" ref="D28">_xlfn.IFNA(_xlfn.XLOOKUP(NameCodingTable[[#This Row],[Code]]&amp;NameCodingTable[[#This Row],[maxyear]],allFYsTable[Code]&amp;allFYsTable[year2], allFYsTable[Category]), "")</f>
        <v>Public education system</v>
      </c>
      <c r="E28" s="3" t="str" cm="1">
        <f t="array" ref="E28">_xlfn.TEXTJOIN(", ", TRUE, _xlfn.UNIQUE(IF(allFYsTable[Code] = NameCodingTable[[#This Row],[Code]], allFYsTable[Unit], "")))</f>
        <v>Public library, DC public library, DC  public  library, DC  public library, D.C. public library, District of Columbia public library, Distnct of Columbia public library, District of Columbia Public Library (DCPL)</v>
      </c>
      <c r="F28" s="66" t="s">
        <v>1368</v>
      </c>
      <c r="G28" s="3" t="s">
        <v>1183</v>
      </c>
    </row>
    <row r="29" spans="1:7" x14ac:dyDescent="0.45">
      <c r="A29" s="3">
        <v>75</v>
      </c>
      <c r="B29" s="3" t="s">
        <v>769</v>
      </c>
      <c r="C29" s="3">
        <f>_xlfn.MAXIFS(allFYsTable[year2], allFYsTable[Code], NameCodingTable[[#This Row],[Code]])</f>
        <v>2025</v>
      </c>
      <c r="D29" s="66" t="str" cm="1">
        <f t="array" ref="D29">_xlfn.IFNA(_xlfn.XLOOKUP(NameCodingTable[[#This Row],[Code]]&amp;NameCodingTable[[#This Row],[maxyear]],allFYsTable[Code]&amp;allFYsTable[year2], allFYsTable[Category]), "")</f>
        <v>Public education system</v>
      </c>
      <c r="E29" s="3" t="str" cm="1">
        <f t="array" ref="E29">_xlfn.TEXTJOIN(", ", TRUE, _xlfn.UNIQUE(IF(allFYsTable[Code] = NameCodingTable[[#This Row],[Code]], allFYsTable[Unit], "")))</f>
        <v>Employment services, Department  of employment  services, Department of employment   services, Department  of employment services, Department of employment services, Department of Employment Services (DOES)</v>
      </c>
      <c r="F29" s="66" t="s">
        <v>1365</v>
      </c>
      <c r="G29" s="3" t="s">
        <v>1183</v>
      </c>
    </row>
    <row r="30" spans="1:7" x14ac:dyDescent="0.45">
      <c r="A30" s="3">
        <v>32</v>
      </c>
      <c r="B30" s="3" t="s">
        <v>730</v>
      </c>
      <c r="C30" s="3">
        <f>_xlfn.MAXIFS(allFYsTable[year2], allFYsTable[Code], NameCodingTable[[#This Row],[Code]])</f>
        <v>2025</v>
      </c>
      <c r="D30" s="66" t="str" cm="1">
        <f t="array" ref="D30">_xlfn.IFNA(_xlfn.XLOOKUP(NameCodingTable[[#This Row],[Code]]&amp;NameCodingTable[[#This Row],[maxyear]],allFYsTable[Code]&amp;allFYsTable[year2], allFYsTable[Category]), "")</f>
        <v>Governmental direction and support</v>
      </c>
      <c r="E30" s="3" t="str" cm="1">
        <f t="array" ref="E30">_xlfn.TEXTJOIN(", ", TRUE, _xlfn.UNIQUE(IF(allFYsTable[Code] = NameCodingTable[[#This Row],[Code]], allFYsTable[Unit], "")))</f>
        <v>Public employee relations, Public employee relations board, Public   employee   relations   board, Public  employee  relations  board, Public Employee Relations Board (PERB)</v>
      </c>
      <c r="F30" s="66" t="s">
        <v>1335</v>
      </c>
      <c r="G30" s="3" t="s">
        <v>1183</v>
      </c>
    </row>
    <row r="31" spans="1:7" x14ac:dyDescent="0.45">
      <c r="A31" s="3">
        <v>17</v>
      </c>
      <c r="B31" s="3" t="s">
        <v>715</v>
      </c>
      <c r="C31" s="3">
        <f>_xlfn.MAXIFS(allFYsTable[year2], allFYsTable[Code], NameCodingTable[[#This Row],[Code]])</f>
        <v>2025</v>
      </c>
      <c r="D31" s="66" t="str" cm="1">
        <f t="array" ref="D31">_xlfn.IFNA(_xlfn.XLOOKUP(NameCodingTable[[#This Row],[Code]]&amp;NameCodingTable[[#This Row],[maxyear]],allFYsTable[Code]&amp;allFYsTable[year2], allFYsTable[Category]), "")</f>
        <v>Governmental direction and support</v>
      </c>
      <c r="E31" s="3" t="str" cm="1">
        <f t="array" ref="E31">_xlfn.TEXTJOIN(", ", TRUE, _xlfn.UNIQUE(IF(allFYsTable[Code] = NameCodingTable[[#This Row],[Code]], allFYsTable[Unit], "")))</f>
        <v>Employee appeals, Office of employees appeals, Office  of  employee  appeals, Office of employee appeals, Office of Employee Appeals (OEA)</v>
      </c>
      <c r="F31" s="66" t="s">
        <v>1319</v>
      </c>
      <c r="G31" s="3" t="s">
        <v>1183</v>
      </c>
    </row>
    <row r="32" spans="1:7" x14ac:dyDescent="0.45">
      <c r="A32" s="3">
        <v>43</v>
      </c>
      <c r="B32" s="3" t="s">
        <v>741</v>
      </c>
      <c r="C32" s="3">
        <f>_xlfn.MAXIFS(allFYsTable[year2], allFYsTable[Code], NameCodingTable[[#This Row],[Code]])</f>
        <v>2025</v>
      </c>
      <c r="D32" s="66" t="str" cm="1">
        <f t="array" ref="D32">_xlfn.IFNA(_xlfn.XLOOKUP(NameCodingTable[[#This Row],[Code]]&amp;NameCodingTable[[#This Row],[maxyear]],allFYsTable[Code]&amp;allFYsTable[year2], allFYsTable[Category]), "")</f>
        <v>Economic development and regulation</v>
      </c>
      <c r="E32" s="3" t="str" cm="1">
        <f t="array" ref="E32">_xlfn.TEXTJOIN(", ", TRUE, _xlfn.UNIQUE(IF(allFYsTable[Code] = NameCodingTable[[#This Row],[Code]], allFYsTable[Unit], "")))</f>
        <v>Motion picture and television development, Office of cable tv, Office  of  motion  picture  and  television  development, Office  of  motion  picture  and   television  development, Office  of  cable  tv, Office of motion picture and television development, Office of film, television and entertainment, Office of cable television, film, music and entertainment, Office of Cable Television, Film, Music, and Entertainment</v>
      </c>
      <c r="F32" s="66" t="s">
        <v>1346</v>
      </c>
      <c r="G32" s="3" t="s">
        <v>1183</v>
      </c>
    </row>
    <row r="33" spans="1:7" x14ac:dyDescent="0.45">
      <c r="A33" s="3">
        <v>14</v>
      </c>
      <c r="B33" s="3" t="s">
        <v>712</v>
      </c>
      <c r="C33" s="3">
        <f>_xlfn.MAXIFS(allFYsTable[year2], allFYsTable[Code], NameCodingTable[[#This Row],[Code]])</f>
        <v>2025</v>
      </c>
      <c r="D33" s="66" t="str" cm="1">
        <f t="array" ref="D33">_xlfn.IFNA(_xlfn.XLOOKUP(NameCodingTable[[#This Row],[Code]]&amp;NameCodingTable[[#This Row],[maxyear]],allFYsTable[Code]&amp;allFYsTable[year2], allFYsTable[Category]), "")</f>
        <v>Governmental direction and support</v>
      </c>
      <c r="E33" s="3" t="str" cm="1">
        <f t="array" ref="E33">_xlfn.TEXTJOIN(", ", TRUE, _xlfn.UNIQUE(IF(allFYsTable[Code] = NameCodingTable[[#This Row],[Code]], allFYsTable[Unit], "")))</f>
        <v>Campaign finance, Campaign  finance, Office of campaign finance, Office  of  campaign  finance, Office of campaign  finance</v>
      </c>
      <c r="F33" s="66" t="s">
        <v>248</v>
      </c>
      <c r="G33" s="3" t="s">
        <v>1183</v>
      </c>
    </row>
    <row r="34" spans="1:7" x14ac:dyDescent="0.45">
      <c r="A34" s="3">
        <v>46</v>
      </c>
      <c r="B34" s="3" t="s">
        <v>839</v>
      </c>
      <c r="C34" s="3">
        <f>_xlfn.MAXIFS(allFYsTable[year2], allFYsTable[Code], NameCodingTable[[#This Row],[Code]])</f>
        <v>2025</v>
      </c>
      <c r="D34" s="66" t="str" cm="1">
        <f t="array" ref="D34">_xlfn.IFNA(_xlfn.XLOOKUP(NameCodingTable[[#This Row],[Code]]&amp;NameCodingTable[[#This Row],[maxyear]],allFYsTable[Code]&amp;allFYsTable[year2], allFYsTable[Category]), "")</f>
        <v>Economic development and regulation</v>
      </c>
      <c r="E34" s="3" t="str" cm="1">
        <f t="array" ref="E34">_xlfn.TEXTJOIN(", ", TRUE, _xlfn.UNIQUE(IF(allFYsTable[Code] = NameCodingTable[[#This Row],[Code]], allFYsTable[Unit], "")))</f>
        <v>Office of tenant advocate, Office of tennat advocate, Office  of  tenant  advocate, Office of the tenant advocate</v>
      </c>
      <c r="F34" s="66" t="s">
        <v>1305</v>
      </c>
      <c r="G34" s="3" t="s">
        <v>1183</v>
      </c>
    </row>
    <row r="35" spans="1:7" x14ac:dyDescent="0.45">
      <c r="A35" s="3">
        <v>105</v>
      </c>
      <c r="B35" s="3" t="s">
        <v>797</v>
      </c>
      <c r="C35" s="3">
        <f>_xlfn.MAXIFS(allFYsTable[year2], allFYsTable[Code], NameCodingTable[[#This Row],[Code]])</f>
        <v>2025</v>
      </c>
      <c r="D35" s="66" t="str" cm="1">
        <f t="array" ref="D35">_xlfn.IFNA(_xlfn.XLOOKUP(NameCodingTable[[#This Row],[Code]]&amp;NameCodingTable[[#This Row],[maxyear]],allFYsTable[Code]&amp;allFYsTable[year2], allFYsTable[Category]), "")</f>
        <v>Operations and infrastructure</v>
      </c>
      <c r="E35" s="3" t="str" cm="1">
        <f t="array" ref="E35">_xlfn.TEXTJOIN(", ", TRUE, _xlfn.UNIQUE(IF(allFYsTable[Code] = NameCodingTable[[#This Row],[Code]], allFYsTable[Unit], "")))</f>
        <v>Consumer and regulatory affairs, Dept  of  consumer  and  regulatory  affairs, Dept of consumer and regulatory  affairs, Dept of consumer and regulatory affairs, Dept.of consumer &amp; regulatory affairs, Dept  of consumer &amp; regulator,  affairs, Department of consumer &amp; regulatory affairs, Department of consumer and regulatory affairs, Department of licensing and consumer protection, Department of Licensing and Consumer Protection (DLCP)</v>
      </c>
      <c r="F35" s="66" t="s">
        <v>1375</v>
      </c>
      <c r="G35" s="3" t="s">
        <v>1183</v>
      </c>
    </row>
    <row r="36" spans="1:7" x14ac:dyDescent="0.45">
      <c r="A36" s="3">
        <v>104</v>
      </c>
      <c r="B36" s="3" t="s">
        <v>796</v>
      </c>
      <c r="C36" s="3">
        <f>_xlfn.MAXIFS(allFYsTable[year2], allFYsTable[Code], NameCodingTable[[#This Row],[Code]])</f>
        <v>2025</v>
      </c>
      <c r="D36" s="66" t="str" cm="1">
        <f t="array" ref="D36">_xlfn.IFNA(_xlfn.XLOOKUP(NameCodingTable[[#This Row],[Code]]&amp;NameCodingTable[[#This Row],[maxyear]],allFYsTable[Code]&amp;allFYsTable[year2], allFYsTable[Category]), "")</f>
        <v>Operations and infrastructure</v>
      </c>
      <c r="E36" s="3" t="str" cm="1">
        <f t="array" ref="E36">_xlfn.TEXTJOIN(", ", TRUE, _xlfn.UNIQUE(IF(allFYsTable[Code] = NameCodingTable[[#This Row],[Code]], allFYsTable[Unit], "")))</f>
        <v>Department of buildings, Department of Buildings (DOB)</v>
      </c>
      <c r="F36" s="66" t="s">
        <v>1374</v>
      </c>
      <c r="G36" s="3" t="s">
        <v>1183</v>
      </c>
    </row>
    <row r="37" spans="1:7" x14ac:dyDescent="0.45">
      <c r="A37" s="3">
        <v>48</v>
      </c>
      <c r="B37" s="3" t="s">
        <v>745</v>
      </c>
      <c r="C37" s="3">
        <f>_xlfn.MAXIFS(allFYsTable[year2], allFYsTable[Code], NameCodingTable[[#This Row],[Code]])</f>
        <v>2025</v>
      </c>
      <c r="D37" s="66" t="str" cm="1">
        <f t="array" ref="D37">_xlfn.IFNA(_xlfn.XLOOKUP(NameCodingTable[[#This Row],[Code]]&amp;NameCodingTable[[#This Row],[maxyear]],allFYsTable[Code]&amp;allFYsTable[year2], allFYsTable[Category]), "")</f>
        <v>Economic development and regulation</v>
      </c>
      <c r="E37" s="3" t="str" cm="1">
        <f t="array" ref="E37">_xlfn.TEXTJOIN(", ", TRUE, _xlfn.UNIQUE(IF(allFYsTable[Code] = NameCodingTable[[#This Row],[Code]], allFYsTable[Unit], "")))</f>
        <v>Real property assesment and appeals, Real property assessment  and appeals, Board  of  real  property  assess  &amp;  appeals, Board of real property assess &amp; appeals, Board of real property  assess &amp; appeals, Real property tax appeals, Real property tax appeals commission</v>
      </c>
      <c r="F37" s="66" t="s">
        <v>1304</v>
      </c>
      <c r="G37" s="3" t="s">
        <v>1183</v>
      </c>
    </row>
    <row r="38" spans="1:7" x14ac:dyDescent="0.45">
      <c r="A38" s="3">
        <v>39</v>
      </c>
      <c r="B38" s="3" t="s">
        <v>737</v>
      </c>
      <c r="C38" s="3">
        <f>_xlfn.MAXIFS(allFYsTable[year2], allFYsTable[Code], NameCodingTable[[#This Row],[Code]])</f>
        <v>2025</v>
      </c>
      <c r="D38" s="66" t="str" cm="1">
        <f t="array" ref="D38">_xlfn.IFNA(_xlfn.XLOOKUP(NameCodingTable[[#This Row],[Code]]&amp;NameCodingTable[[#This Row],[maxyear]],allFYsTable[Code]&amp;allFYsTable[year2], allFYsTable[Category]), "")</f>
        <v>Economic development and regulation</v>
      </c>
      <c r="E38" s="3" t="str" cm="1">
        <f t="array" ref="E38">_xlfn.TEXTJOIN(", ", TRUE, _xlfn.UNIQUE(IF(allFYsTable[Code] = NameCodingTable[[#This Row],[Code]], allFYsTable[Unit], "")))</f>
        <v>Housing and community development, Dept  of   housing  and  community  development, Dept  of  housing  and  community  development, Dept of housing and community  development, Dept. of housing and community development, Department of housing and community development, Department of Housing and Community Development (DHCD)</v>
      </c>
      <c r="F38" s="66" t="s">
        <v>1342</v>
      </c>
      <c r="G38" s="3" t="s">
        <v>1183</v>
      </c>
    </row>
    <row r="39" spans="1:7" x14ac:dyDescent="0.45">
      <c r="A39" s="3">
        <v>114</v>
      </c>
      <c r="B39" s="3" t="s">
        <v>806</v>
      </c>
      <c r="C39" s="3">
        <f>_xlfn.MAXIFS(allFYsTable[year2], allFYsTable[Code], NameCodingTable[[#This Row],[Code]])</f>
        <v>2025</v>
      </c>
      <c r="D39" s="66" t="str" cm="1">
        <f t="array" ref="D39">_xlfn.IFNA(_xlfn.XLOOKUP(NameCodingTable[[#This Row],[Code]]&amp;NameCodingTable[[#This Row],[maxyear]],allFYsTable[Code]&amp;allFYsTable[year2], allFYsTable[Category]), "")</f>
        <v>Operations and infrastructure</v>
      </c>
      <c r="E39" s="3" t="str" cm="1">
        <f t="array" ref="E39">_xlfn.TEXTJOIN(", ", TRUE, _xlfn.UNIQUE(IF(allFYsTable[Code] = NameCodingTable[[#This Row],[Code]], allFYsTable[Unit], "")))</f>
        <v>Public service commission, Public Services  commission, Public service commissiou, Public Service Commission (PSC)</v>
      </c>
      <c r="F39" s="66" t="s">
        <v>1382</v>
      </c>
      <c r="G39" s="3" t="s">
        <v>1183</v>
      </c>
    </row>
    <row r="40" spans="1:7" x14ac:dyDescent="0.45">
      <c r="A40" s="3">
        <v>113</v>
      </c>
      <c r="B40" s="3" t="s">
        <v>805</v>
      </c>
      <c r="C40" s="3">
        <f>_xlfn.MAXIFS(allFYsTable[year2], allFYsTable[Code], NameCodingTable[[#This Row],[Code]])</f>
        <v>2025</v>
      </c>
      <c r="D40" s="66" t="str" cm="1">
        <f t="array" ref="D40">_xlfn.IFNA(_xlfn.XLOOKUP(NameCodingTable[[#This Row],[Code]]&amp;NameCodingTable[[#This Row],[maxyear]],allFYsTable[Code]&amp;allFYsTable[year2], allFYsTable[Category]), "")</f>
        <v>Operations and infrastructure</v>
      </c>
      <c r="E40" s="3" t="str" cm="1">
        <f t="array" ref="E40">_xlfn.TEXTJOIN(", ", TRUE, _xlfn.UNIQUE(IF(allFYsTable[Code] = NameCodingTable[[#This Row],[Code]], allFYsTable[Unit], "")))</f>
        <v>Office of peoples counsel, Office of people's counsel, Office  of  people's  counsel, Office of people counsel, Office of  people's counsel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 Office of the people's counsel, Office of people’s counsel</v>
      </c>
      <c r="F40" s="66" t="s">
        <v>1272</v>
      </c>
      <c r="G40" s="3" t="s">
        <v>1183</v>
      </c>
    </row>
    <row r="41" spans="1:7" x14ac:dyDescent="0.45">
      <c r="A41" s="3">
        <v>1</v>
      </c>
      <c r="B41" s="3" t="s">
        <v>699</v>
      </c>
      <c r="C41" s="3">
        <f>_xlfn.MAXIFS(allFYsTable[year2], allFYsTable[Code], NameCodingTable[[#This Row],[Code]])</f>
        <v>2025</v>
      </c>
      <c r="D41" s="66" t="str" cm="1">
        <f t="array" ref="D41">_xlfn.IFNA(_xlfn.XLOOKUP(NameCodingTable[[#This Row],[Code]]&amp;NameCodingTable[[#This Row],[maxyear]],allFYsTable[Code]&amp;allFYsTable[year2], allFYsTable[Category]), "")</f>
        <v>Governmental direction and support</v>
      </c>
      <c r="E41" s="3" t="str" cm="1">
        <f t="array" ref="E41">_xlfn.TEXTJOIN(", ", TRUE, _xlfn.UNIQUE(IF(allFYsTable[Code] = NameCodingTable[[#This Row],[Code]], allFYsTable[Unit], "")))</f>
        <v>Elections and ethics, Board  of  elections  and  ethics, Board  of  elections   and   ethics, Board of elections and ethics, Board of elections, Board of Elections (BOE)</v>
      </c>
      <c r="F41" s="66" t="s">
        <v>1306</v>
      </c>
      <c r="G41" s="3" t="s">
        <v>1183</v>
      </c>
    </row>
    <row r="42" spans="1:7" x14ac:dyDescent="0.45">
      <c r="A42" s="3">
        <v>51</v>
      </c>
      <c r="B42" s="3" t="s">
        <v>746</v>
      </c>
      <c r="C42" s="3">
        <f>_xlfn.MAXIFS(allFYsTable[year2], allFYsTable[Code], NameCodingTable[[#This Row],[Code]])</f>
        <v>2025</v>
      </c>
      <c r="D42" s="66" t="str" cm="1">
        <f t="array" ref="D42">_xlfn.IFNA(_xlfn.XLOOKUP(NameCodingTable[[#This Row],[Code]]&amp;NameCodingTable[[#This Row],[maxyear]],allFYsTable[Code]&amp;allFYsTable[year2], allFYsTable[Category]), "")</f>
        <v>Public safety and justice</v>
      </c>
      <c r="E42" s="3" t="str" cm="1">
        <f t="array" ref="E42">_xlfn.TEXTJOIN(", ", TRUE, _xlfn.UNIQUE(IF(allFYsTable[Code] = NameCodingTable[[#This Row],[Code]], allFYsTable[Unit], "")))</f>
        <v>Judicial disabilities and tenure, Judicial disabilities  and tenure, Commission on judicial disabilities and tenure, Commission   on  judicial   disabilities   and   tenure, Commission on judicial  disabilities  and  tenure, Commission  on judicial disabilities  and tenure, Commission on judicial disbalilities and tenure</v>
      </c>
      <c r="F42" s="66" t="s">
        <v>1301</v>
      </c>
      <c r="G42" s="3" t="s">
        <v>1183</v>
      </c>
    </row>
    <row r="43" spans="1:7" x14ac:dyDescent="0.45">
      <c r="A43" s="3">
        <v>49</v>
      </c>
      <c r="B43" s="3" t="s">
        <v>735</v>
      </c>
      <c r="C43" s="3">
        <f>_xlfn.MAXIFS(allFYsTable[year2], allFYsTable[Code], NameCodingTable[[#This Row],[Code]])</f>
        <v>2025</v>
      </c>
      <c r="D43" s="66" t="str" cm="1">
        <f t="array" ref="D43">_xlfn.IFNA(_xlfn.XLOOKUP(NameCodingTable[[#This Row],[Code]]&amp;NameCodingTable[[#This Row],[maxyear]],allFYsTable[Code]&amp;allFYsTable[year2], allFYsTable[Category]), "")</f>
        <v>Economic development and regulation</v>
      </c>
      <c r="E43" s="3" t="str" cm="1">
        <f t="array" ref="E43">_xlfn.TEXTJOIN(", ", TRUE, _xlfn.UNIQUE(IF(allFYsTable[Code] = NameCodingTable[[#This Row],[Code]], allFYsTable[Unit], "")))</f>
        <v>Rental housing commission</v>
      </c>
      <c r="F43" s="66" t="s">
        <v>1303</v>
      </c>
      <c r="G43" s="3" t="s">
        <v>1183</v>
      </c>
    </row>
    <row r="44" spans="1:7" x14ac:dyDescent="0.45">
      <c r="A44" s="3">
        <v>62</v>
      </c>
      <c r="B44" s="3" t="s">
        <v>757</v>
      </c>
      <c r="C44" s="3">
        <f>_xlfn.MAXIFS(allFYsTable[year2], allFYsTable[Code], NameCodingTable[[#This Row],[Code]])</f>
        <v>2025</v>
      </c>
      <c r="D44" s="66" t="str" cm="1">
        <f t="array" ref="D44">_xlfn.IFNA(_xlfn.XLOOKUP(NameCodingTable[[#This Row],[Code]]&amp;NameCodingTable[[#This Row],[maxyear]],allFYsTable[Code]&amp;allFYsTable[year2], allFYsTable[Category]), "")</f>
        <v>Public safety and justice</v>
      </c>
      <c r="E44" s="3" t="str" cm="1">
        <f t="array" ref="E44">_xlfn.TEXTJOIN(", ", TRUE, _xlfn.UNIQUE(IF(allFYsTable[Code] = NameCodingTable[[#This Row],[Code]], allFYsTable[Unit], "")))</f>
        <v>Judicial nominations, Judicial  nomination, Judicial nomination commission, Judicial   nomination commission, Judicial  nomination  commission</v>
      </c>
      <c r="F44" s="66" t="s">
        <v>1297</v>
      </c>
      <c r="G44" s="3" t="s">
        <v>1183</v>
      </c>
    </row>
    <row r="45" spans="1:7" x14ac:dyDescent="0.45">
      <c r="A45" s="3">
        <v>13</v>
      </c>
      <c r="B45" s="3" t="s">
        <v>711</v>
      </c>
      <c r="C45" s="3">
        <f>_xlfn.MAXIFS(allFYsTable[year2], allFYsTable[Code], NameCodingTable[[#This Row],[Code]])</f>
        <v>2025</v>
      </c>
      <c r="D45" s="66" t="str" cm="1">
        <f t="array" ref="D45">_xlfn.IFNA(_xlfn.XLOOKUP(NameCodingTable[[#This Row],[Code]]&amp;NameCodingTable[[#This Row],[maxyear]],allFYsTable[Code]&amp;allFYsTable[year2], allFYsTable[Category]), "")</f>
        <v>Governmental direction and support</v>
      </c>
      <c r="E45" s="3" t="str" cm="1">
        <f t="array" ref="E45">_xlfn.TEXTJOIN(", ", TRUE, _xlfn.UNIQUE(IF(allFYsTable[Code] = NameCodingTable[[#This Row],[Code]], allFYsTable[Unit], "")))</f>
        <v>Advisory neighborhood commission, Advisory neighborhood  Commission, Advisory Neighborhood Commissions, Advisory   neighborhood    commissions, Advisory  neighborhood  commissions, Office of advisory neighborhood commissions, Office of Advisory Neighborhood Commissions (OANC)</v>
      </c>
      <c r="F45" s="66" t="s">
        <v>1317</v>
      </c>
      <c r="G45" s="3" t="s">
        <v>1183</v>
      </c>
    </row>
    <row r="46" spans="1:7" x14ac:dyDescent="0.45">
      <c r="A46" s="3">
        <v>45</v>
      </c>
      <c r="B46" s="3" t="s">
        <v>743</v>
      </c>
      <c r="C46" s="3">
        <f>_xlfn.MAXIFS(allFYsTable[year2], allFYsTable[Code], NameCodingTable[[#This Row],[Code]])</f>
        <v>2025</v>
      </c>
      <c r="D46" s="66" t="str" cm="1">
        <f t="array" ref="D46">_xlfn.IFNA(_xlfn.XLOOKUP(NameCodingTable[[#This Row],[Code]]&amp;NameCodingTable[[#This Row],[maxyear]],allFYsTable[Code]&amp;allFYsTable[year2], allFYsTable[Category]), "")</f>
        <v>Economic development and regulation</v>
      </c>
      <c r="E46" s="3" t="str" cm="1">
        <f t="array" ref="E46">_xlfn.TEXTJOIN(", ", TRUE, _xlfn.UNIQUE(IF(allFYsTable[Code] = NameCodingTable[[#This Row],[Code]], allFYsTable[Unit], "")))</f>
        <v>Business services and economic development, National capital revitilization corporation, Business Service and economic development, Deputy Mayor for planning&amp; economic development, Deputy mayor for planning &amp; economic development, Deputy mayor for planning and economic development, Office of the deputy mayor for planning and economic development, Office of the Deputy Mayor for Planning and Economic Development (DMPED)</v>
      </c>
      <c r="F46" s="66" t="s">
        <v>1348</v>
      </c>
      <c r="G46" s="3" t="s">
        <v>1183</v>
      </c>
    </row>
    <row r="47" spans="1:7" x14ac:dyDescent="0.45">
      <c r="A47" s="3">
        <v>40</v>
      </c>
      <c r="B47" s="3" t="s">
        <v>738</v>
      </c>
      <c r="C47" s="3">
        <f>_xlfn.MAXIFS(allFYsTable[year2], allFYsTable[Code], NameCodingTable[[#This Row],[Code]])</f>
        <v>2025</v>
      </c>
      <c r="D47" s="66" t="str" cm="1">
        <f t="array" ref="D47">_xlfn.IFNA(_xlfn.XLOOKUP(NameCodingTable[[#This Row],[Code]]&amp;NameCodingTable[[#This Row],[maxyear]],allFYsTable[Code]&amp;allFYsTable[year2], allFYsTable[Category]), "")</f>
        <v>Economic development and regulation</v>
      </c>
      <c r="E47" s="3" t="str" cm="1">
        <f t="array" ref="E47">_xlfn.TEXTJOIN(", ", TRUE, _xlfn.UNIQUE(IF(allFYsTable[Code] = NameCodingTable[[#This Row],[Code]], allFYsTable[Unit], "")))</f>
        <v>Local business development, Office  of   local  Business  development, Office  of  local  business  development, Office of local  business development, Office of local business development, Department of small and local business development, Department of Small and Local Business Development (DSLBD)</v>
      </c>
      <c r="F47" s="66" t="s">
        <v>1343</v>
      </c>
      <c r="G47" s="3" t="s">
        <v>1183</v>
      </c>
    </row>
    <row r="48" spans="1:7" x14ac:dyDescent="0.45">
      <c r="A48" s="3">
        <v>63</v>
      </c>
      <c r="B48" s="3" t="s">
        <v>758</v>
      </c>
      <c r="C48" s="3">
        <f>_xlfn.MAXIFS(allFYsTable[year2], allFYsTable[Code], NameCodingTable[[#This Row],[Code]])</f>
        <v>2025</v>
      </c>
      <c r="D48" s="66" t="str" cm="1">
        <f t="array" ref="D48">_xlfn.IFNA(_xlfn.XLOOKUP(NameCodingTable[[#This Row],[Code]]&amp;NameCodingTable[[#This Row],[maxyear]],allFYsTable[Code]&amp;allFYsTable[year2], allFYsTable[Category]), "")</f>
        <v>Public safety and justice</v>
      </c>
      <c r="E48" s="3" t="str" cm="1">
        <f t="array" ref="E48">_xlfn.TEXTJOIN(", ", TRUE, _xlfn.UNIQUE(IF(allFYsTable[Code] = NameCodingTable[[#This Row],[Code]], allFYsTable[Unit], "")))</f>
        <v>Police, Metropolitan   police  department, Metropolitan   police   department, Metropolitan  police department, Metropolitan police department, Metropolitan Police Department (MPD)</v>
      </c>
      <c r="F48" s="66" t="s">
        <v>1356</v>
      </c>
      <c r="G48" s="3" t="s">
        <v>1183</v>
      </c>
    </row>
    <row r="49" spans="1:7" x14ac:dyDescent="0.45">
      <c r="A49" s="3">
        <v>60</v>
      </c>
      <c r="B49" s="3" t="s">
        <v>755</v>
      </c>
      <c r="C49" s="3">
        <f>_xlfn.MAXIFS(allFYsTable[year2], allFYsTable[Code], NameCodingTable[[#This Row],[Code]])</f>
        <v>2025</v>
      </c>
      <c r="D49" s="66" t="str" cm="1">
        <f t="array" ref="D49">_xlfn.IFNA(_xlfn.XLOOKUP(NameCodingTable[[#This Row],[Code]]&amp;NameCodingTable[[#This Row],[maxyear]],allFYsTable[Code]&amp;allFYsTable[year2], allFYsTable[Category]), "")</f>
        <v>Public safety and justice</v>
      </c>
      <c r="E49" s="3" t="str" cm="1">
        <f t="array" ref="E49">_xlfn.TEXTJOIN(", ", TRUE, _xlfn.UNIQUE(IF(allFYsTable[Code] = NameCodingTable[[#This Row],[Code]], allFYsTable[Unit], "")))</f>
        <v>Fire and emergency medical services, Fire and emergency medical service, Fire  and  emergency   medical  setvices, Fire and emergency  medical  services, Fire and emergency  medical services, Fire and emergency medical services department, Fire and Emergency Medical Services Department (FEMS)</v>
      </c>
      <c r="F49" s="66" t="s">
        <v>1354</v>
      </c>
      <c r="G49" s="3" t="s">
        <v>1183</v>
      </c>
    </row>
    <row r="50" spans="1:7" x14ac:dyDescent="0.45">
      <c r="A50" s="3">
        <v>72</v>
      </c>
      <c r="B50" s="3" t="s">
        <v>767</v>
      </c>
      <c r="C50" s="3">
        <f>_xlfn.MAXIFS(allFYsTable[year2], allFYsTable[Code], NameCodingTable[[#This Row],[Code]])</f>
        <v>2025</v>
      </c>
      <c r="D50" s="66" t="str" cm="1">
        <f t="array" ref="D50">_xlfn.IFNA(_xlfn.XLOOKUP(NameCodingTable[[#This Row],[Code]]&amp;NameCodingTable[[#This Row],[maxyear]],allFYsTable[Code]&amp;allFYsTable[year2], allFYsTable[Category]), "")</f>
        <v>Public safety and justice</v>
      </c>
      <c r="E50" s="3" t="str" cm="1">
        <f t="array" ref="E50">_xlfn.TEXTJOIN(", ", TRUE, _xlfn.UNIQUE(IF(allFYsTable[Code] = NameCodingTable[[#This Row],[Code]], allFYsTable[Unit], "")))</f>
        <v>Office of justice grant administration, Office of victim services and justice grants</v>
      </c>
      <c r="F50" s="66" t="s">
        <v>1295</v>
      </c>
      <c r="G50" s="3" t="s">
        <v>1183</v>
      </c>
    </row>
    <row r="51" spans="1:7" x14ac:dyDescent="0.45">
      <c r="A51" s="3">
        <v>67</v>
      </c>
      <c r="B51" s="3" t="s">
        <v>762</v>
      </c>
      <c r="C51" s="3">
        <f>_xlfn.MAXIFS(allFYsTable[year2], allFYsTable[Code], NameCodingTable[[#This Row],[Code]])</f>
        <v>2025</v>
      </c>
      <c r="D51" s="66" t="str" cm="1">
        <f t="array" ref="D51">_xlfn.IFNA(_xlfn.XLOOKUP(NameCodingTable[[#This Row],[Code]]&amp;NameCodingTable[[#This Row],[maxyear]],allFYsTable[Code]&amp;allFYsTable[year2], allFYsTable[Category]), "")</f>
        <v>Public safety and justice</v>
      </c>
      <c r="E51" s="3" t="str" cm="1">
        <f t="array" ref="E51">_xlfn.TEXTJOIN(", ", TRUE, _xlfn.UNIQUE(IF(allFYsTable[Code] = NameCodingTable[[#This Row],[Code]], allFYsTable[Unit], "")))</f>
        <v>Citizen complaint review board, Citizen complaint  review  board, Citizen   complaint   review  board, Citizen  complaint review board, Office of police complaints, Office of Police Complaints (OPC)</v>
      </c>
      <c r="F51" s="66" t="s">
        <v>1360</v>
      </c>
      <c r="G51" s="3" t="s">
        <v>1183</v>
      </c>
    </row>
    <row r="52" spans="1:7" x14ac:dyDescent="0.45">
      <c r="A52" s="3">
        <v>52</v>
      </c>
      <c r="B52" s="3" t="s">
        <v>747</v>
      </c>
      <c r="C52" s="3">
        <f>_xlfn.MAXIFS(allFYsTable[year2], allFYsTable[Code], NameCodingTable[[#This Row],[Code]])</f>
        <v>2025</v>
      </c>
      <c r="D52" s="66" t="str" cm="1">
        <f t="array" ref="D52">_xlfn.IFNA(_xlfn.XLOOKUP(NameCodingTable[[#This Row],[Code]]&amp;NameCodingTable[[#This Row],[maxyear]],allFYsTable[Code]&amp;allFYsTable[year2], allFYsTable[Category]), "")</f>
        <v>Public safety and justice</v>
      </c>
      <c r="E52" s="3" t="str" cm="1">
        <f t="array" ref="E52">_xlfn.TEXTJOIN(", ", TRUE, _xlfn.UNIQUE(IF(allFYsTable[Code] = NameCodingTable[[#This Row],[Code]], allFYsTable[Unit], "")))</f>
        <v>Corrections information council, Corrections  information council</v>
      </c>
      <c r="F52" s="66" t="s">
        <v>1300</v>
      </c>
      <c r="G52" s="3" t="s">
        <v>1183</v>
      </c>
    </row>
    <row r="53" spans="1:7" x14ac:dyDescent="0.45">
      <c r="A53" s="3">
        <v>54</v>
      </c>
      <c r="B53" s="3" t="s">
        <v>749</v>
      </c>
      <c r="C53" s="3">
        <f>_xlfn.MAXIFS(allFYsTable[year2], allFYsTable[Code], NameCodingTable[[#This Row],[Code]])</f>
        <v>2025</v>
      </c>
      <c r="D53" s="66" t="str" cm="1">
        <f t="array" ref="D53">_xlfn.IFNA(_xlfn.XLOOKUP(NameCodingTable[[#This Row],[Code]]&amp;NameCodingTable[[#This Row],[maxyear]],allFYsTable[Code]&amp;allFYsTable[year2], allFYsTable[Category]), "")</f>
        <v>Public safety and justice</v>
      </c>
      <c r="E53" s="3" t="str" cm="1">
        <f t="array" ref="E53">_xlfn.TEXTJOIN(", ", TRUE, _xlfn.UNIQUE(IF(allFYsTable[Code] = NameCodingTable[[#This Row],[Code]], allFYsTable[Unit], "")))</f>
        <v>Criminal justice cooordinating council, Criminal judicial coordinating council, Criminal justice coordinating council, Criminal   justice   coordinating   council, Criminal  justice coordinating  council, Criminal  justice  coordinating  council, Criminal Justice Coordinating Council (CJCC)</v>
      </c>
      <c r="F53" s="66" t="s">
        <v>1350</v>
      </c>
      <c r="G53" s="3" t="s">
        <v>1183</v>
      </c>
    </row>
    <row r="54" spans="1:7" x14ac:dyDescent="0.45">
      <c r="A54" s="3">
        <v>58</v>
      </c>
      <c r="B54" s="3" t="s">
        <v>753</v>
      </c>
      <c r="C54" s="3">
        <f>_xlfn.MAXIFS(allFYsTable[year2], allFYsTable[Code], NameCodingTable[[#This Row],[Code]])</f>
        <v>2025</v>
      </c>
      <c r="D54" s="66" t="str" cm="1">
        <f t="array" ref="D54">_xlfn.IFNA(_xlfn.XLOOKUP(NameCodingTable[[#This Row],[Code]]&amp;NameCodingTable[[#This Row],[maxyear]],allFYsTable[Code]&amp;allFYsTable[year2], allFYsTable[Category]), "")</f>
        <v>Public safety and justice</v>
      </c>
      <c r="E54" s="3" t="str" cm="1">
        <f t="array" ref="E54">_xlfn.TEXTJOIN(", ", TRUE, _xlfn.UNIQUE(IF(allFYsTable[Code] = NameCodingTable[[#This Row],[Code]], allFYsTable[Unit], "")))</f>
        <v>National guard, DC national  guard, DC  national  guard, DC national guard, D.C. national guard, District of Columbia national guard, Distnct of Columbia national guard</v>
      </c>
      <c r="F54" s="66" t="s">
        <v>1299</v>
      </c>
      <c r="G54" s="3" t="s">
        <v>1183</v>
      </c>
    </row>
    <row r="55" spans="1:7" x14ac:dyDescent="0.45">
      <c r="A55" s="3">
        <v>55</v>
      </c>
      <c r="B55" s="3" t="s">
        <v>750</v>
      </c>
      <c r="C55" s="3">
        <f>_xlfn.MAXIFS(allFYsTable[year2], allFYsTable[Code], NameCodingTable[[#This Row],[Code]])</f>
        <v>2025</v>
      </c>
      <c r="D55" s="66" t="str" cm="1">
        <f t="array" ref="D55">_xlfn.IFNA(_xlfn.XLOOKUP(NameCodingTable[[#This Row],[Code]]&amp;NameCodingTable[[#This Row],[maxyear]],allFYsTable[Code]&amp;allFYsTable[year2], allFYsTable[Category]), "")</f>
        <v>Public safety and justice</v>
      </c>
      <c r="E55" s="3" t="str" cm="1">
        <f t="array" ref="E55">_xlfn.TEXTJOIN(", ", TRUE, _xlfn.UNIQUE(IF(allFYsTable[Code] = NameCodingTable[[#This Row],[Code]], allFYsTable[Unit], "")))</f>
        <v>Corrections, Department  of  corrections, Department   of  corrections, Department of corrections, Department of Corrections (DOC)</v>
      </c>
      <c r="F55" s="66" t="s">
        <v>1351</v>
      </c>
      <c r="G55" s="3" t="s">
        <v>1183</v>
      </c>
    </row>
    <row r="56" spans="1:7" x14ac:dyDescent="0.45">
      <c r="A56" s="3">
        <v>70</v>
      </c>
      <c r="B56" s="3" t="s">
        <v>765</v>
      </c>
      <c r="C56" s="3">
        <f>_xlfn.MAXIFS(allFYsTable[year2], allFYsTable[Code], NameCodingTable[[#This Row],[Code]])</f>
        <v>2025</v>
      </c>
      <c r="D56" s="66" t="str" cm="1">
        <f t="array" ref="D56">_xlfn.IFNA(_xlfn.XLOOKUP(NameCodingTable[[#This Row],[Code]]&amp;NameCodingTable[[#This Row],[maxyear]],allFYsTable[Code]&amp;allFYsTable[year2], allFYsTable[Category]), "")</f>
        <v>Public safety and justice</v>
      </c>
      <c r="E56" s="3" t="str" cm="1">
        <f t="array" ref="E56">_xlfn.TEXTJOIN(", ", TRUE, _xlfn.UNIQUE(IF(allFYsTable[Code] = NameCodingTable[[#This Row],[Code]], allFYsTable[Unit], "")))</f>
        <v>Office  of  deputy  mayor  for  public  safety  and  justice, Office of deputy  mayor for public safety and justice Â Â Â Â Â Â Â Â Â Â Â Â Â Â Â Â Â , Office of deputy  mayor for  public safety and justice                 11,144, Office of the deputy mayor for public safety and justice</v>
      </c>
      <c r="F56" s="66" t="s">
        <v>1296</v>
      </c>
      <c r="G56" s="3" t="s">
        <v>1183</v>
      </c>
    </row>
    <row r="57" spans="1:7" x14ac:dyDescent="0.45">
      <c r="A57" s="3">
        <v>56</v>
      </c>
      <c r="B57" s="3" t="s">
        <v>751</v>
      </c>
      <c r="C57" s="3">
        <f>_xlfn.MAXIFS(allFYsTable[year2], allFYsTable[Code], NameCodingTable[[#This Row],[Code]])</f>
        <v>2025</v>
      </c>
      <c r="D57" s="66" t="str" cm="1">
        <f t="array" ref="D57">_xlfn.IFNA(_xlfn.XLOOKUP(NameCodingTable[[#This Row],[Code]]&amp;NameCodingTable[[#This Row],[maxyear]],allFYsTable[Code]&amp;allFYsTable[year2], allFYsTable[Category]), "")</f>
        <v>Public safety and justice</v>
      </c>
      <c r="E57" s="3" t="str" cm="1">
        <f t="array" ref="E57">_xlfn.TEXTJOIN(", ", TRUE, _xlfn.UNIQUE(IF(allFYsTable[Code] = NameCodingTable[[#This Row],[Code]], allFYsTable[Unit], "")))</f>
        <v>Forensic health and science laboratory, Forensic  health  &amp;  science  Iab, Forensic   health   &amp;  science   lab, Forensic health &amp; science lab, Dept of forensic sciences, Department of forensic science, Department of forensic sciences, Department of Forensic Sciences (DFS)</v>
      </c>
      <c r="F57" s="66" t="s">
        <v>1352</v>
      </c>
      <c r="G57" s="3" t="s">
        <v>1183</v>
      </c>
    </row>
    <row r="58" spans="1:7" x14ac:dyDescent="0.45">
      <c r="A58" s="3">
        <v>64</v>
      </c>
      <c r="B58" s="3" t="s">
        <v>759</v>
      </c>
      <c r="C58" s="3">
        <f>_xlfn.MAXIFS(allFYsTable[year2], allFYsTable[Code], NameCodingTable[[#This Row],[Code]])</f>
        <v>2025</v>
      </c>
      <c r="D58" s="66" t="str" cm="1">
        <f t="array" ref="D58">_xlfn.IFNA(_xlfn.XLOOKUP(NameCodingTable[[#This Row],[Code]]&amp;NameCodingTable[[#This Row],[maxyear]],allFYsTable[Code]&amp;allFYsTable[year2], allFYsTable[Category]), "")</f>
        <v>Public safety and justice</v>
      </c>
      <c r="E58" s="3" t="str" cm="1">
        <f t="array" ref="E58">_xlfn.TEXTJOIN(", ", TRUE, _xlfn.UNIQUE(IF(allFYsTable[Code] = NameCodingTable[[#This Row],[Code]], allFYsTable[Unit], "")))</f>
        <v>Office of administrative hearing, Office of administrative hearings, Office  of  administrative  hearings, Office  of administrative hearings, Office of administrative heanngs, Office of Administrative Hearings (OAH)</v>
      </c>
      <c r="F58" s="66" t="s">
        <v>1357</v>
      </c>
      <c r="G58" s="3" t="s">
        <v>1183</v>
      </c>
    </row>
    <row r="59" spans="1:7" x14ac:dyDescent="0.45">
      <c r="A59" s="3">
        <v>69</v>
      </c>
      <c r="B59" s="3" t="s">
        <v>764</v>
      </c>
      <c r="C59" s="3">
        <f>_xlfn.MAXIFS(allFYsTable[year2], allFYsTable[Code], NameCodingTable[[#This Row],[Code]])</f>
        <v>2025</v>
      </c>
      <c r="D59" s="66" t="str" cm="1">
        <f t="array" ref="D59">_xlfn.IFNA(_xlfn.XLOOKUP(NameCodingTable[[#This Row],[Code]]&amp;NameCodingTable[[#This Row],[maxyear]],allFYsTable[Code]&amp;allFYsTable[year2], allFYsTable[Category]), "")</f>
        <v>Public safety and justice</v>
      </c>
      <c r="E59" s="3" t="str" cm="1">
        <f t="array" ref="E59">_xlfn.TEXTJOIN(", ", TRUE, _xlfn.UNIQUE(IF(allFYsTable[Code] = NameCodingTable[[#This Row],[Code]], allFYsTable[Unit], "")))</f>
        <v>Office of the Chief medical examiner, Chief  medical  officer, Chief  medical   officer, Chief  medical officer, Chief medical officer, Office of the Chief Medical Examiner (OCME)</v>
      </c>
      <c r="F59" s="66" t="s">
        <v>1362</v>
      </c>
      <c r="G59" s="3" t="s">
        <v>1183</v>
      </c>
    </row>
    <row r="60" spans="1:7" x14ac:dyDescent="0.45">
      <c r="A60" s="3">
        <v>59</v>
      </c>
      <c r="B60" s="3" t="s">
        <v>754</v>
      </c>
      <c r="C60" s="3">
        <f>_xlfn.MAXIFS(allFYsTable[year2], allFYsTable[Code], NameCodingTable[[#This Row],[Code]])</f>
        <v>2025</v>
      </c>
      <c r="D60" s="66" t="str" cm="1">
        <f t="array" ref="D60">_xlfn.IFNA(_xlfn.XLOOKUP(NameCodingTable[[#This Row],[Code]]&amp;NameCodingTable[[#This Row],[maxyear]],allFYsTable[Code]&amp;allFYsTable[year2], allFYsTable[Category]), "")</f>
        <v>Public safety and justice</v>
      </c>
      <c r="E60" s="3" t="str" cm="1">
        <f t="array" ref="E60">_xlfn.TEXTJOIN(", ", TRUE, _xlfn.UNIQUE(IF(allFYsTable[Code] = NameCodingTable[[#This Row],[Code]], allFYsTable[Unit], "")))</f>
        <v>Advisory commssion on sentencing, Advisory commission on sentencing, Advisory  commission  on sentencing, DC sentencing and criminal code revision commission, D.C. sentencing and criminal code revision commission, District of Columbia sentencing commission, Distnct of Columbia sentencing commission</v>
      </c>
      <c r="F60" s="66" t="s">
        <v>1298</v>
      </c>
      <c r="G60" s="3" t="s">
        <v>1183</v>
      </c>
    </row>
    <row r="61" spans="1:7" x14ac:dyDescent="0.45">
      <c r="A61" s="3">
        <v>80</v>
      </c>
      <c r="B61" s="3" t="s">
        <v>773</v>
      </c>
      <c r="C61" s="3">
        <f>_xlfn.MAXIFS(allFYsTable[year2], allFYsTable[Code], NameCodingTable[[#This Row],[Code]])</f>
        <v>2025</v>
      </c>
      <c r="D61" s="66" t="str" cm="1">
        <f t="array" ref="D61">_xlfn.IFNA(_xlfn.XLOOKUP(NameCodingTable[[#This Row],[Code]]&amp;NameCodingTable[[#This Row],[maxyear]],allFYsTable[Code]&amp;allFYsTable[year2], allFYsTable[Category]), "")</f>
        <v>Public education system</v>
      </c>
      <c r="E61" s="3" t="str" cm="1">
        <f t="array" ref="E61">_xlfn.TEXTJOIN(", ", TRUE, _xlfn.UNIQUE(IF(allFYsTable[Code] = NameCodingTable[[#This Row],[Code]], allFYsTable[Unit], "")))</f>
        <v>Public schools, District of Columbia public school, District  of   columbia   public  schools, District of columbia  public schools, District of columbia public schools, Dstrict of Columbia public schools, Distnct of Columbia public schools, District of Columbia Public Schools (DCPS)</v>
      </c>
      <c r="F61" s="66" t="s">
        <v>1367</v>
      </c>
      <c r="G61" s="3" t="s">
        <v>1183</v>
      </c>
    </row>
    <row r="62" spans="1:7" x14ac:dyDescent="0.45">
      <c r="A62" s="3">
        <v>77</v>
      </c>
      <c r="B62" s="3" t="s">
        <v>771</v>
      </c>
      <c r="C62" s="3">
        <f>_xlfn.MAXIFS(allFYsTable[year2], allFYsTable[Code], NameCodingTable[[#This Row],[Code]])</f>
        <v>2025</v>
      </c>
      <c r="D62" s="66" t="str" cm="1">
        <f t="array" ref="D62">_xlfn.IFNA(_xlfn.XLOOKUP(NameCodingTable[[#This Row],[Code]]&amp;NameCodingTable[[#This Row],[maxyear]],allFYsTable[Code]&amp;allFYsTable[year2], allFYsTable[Category]), "")</f>
        <v>Public education system</v>
      </c>
      <c r="E62" s="3" t="str" cm="1">
        <f t="array" ref="E62">_xlfn.TEXTJOIN(", ", TRUE, _xlfn.UNIQUE(IF(allFYsTable[Code] = NameCodingTable[[#This Row],[Code]], allFYsTable[Unit], "")))</f>
        <v>DC public charter school board, DC public charter school  board, DC   public  charter  school   board, DC  public charter school  board, D.C. public charter school board, District of Columbia public charter school board, Distnct of Columbia public charter school board</v>
      </c>
      <c r="F62" s="66" t="s">
        <v>1293</v>
      </c>
      <c r="G62" s="3" t="s">
        <v>1183</v>
      </c>
    </row>
    <row r="63" spans="1:7" x14ac:dyDescent="0.45">
      <c r="A63" s="3">
        <v>78</v>
      </c>
      <c r="B63" s="3" t="s">
        <v>772</v>
      </c>
      <c r="C63" s="3">
        <f>_xlfn.MAXIFS(allFYsTable[year2], allFYsTable[Code], NameCodingTable[[#This Row],[Code]])</f>
        <v>2025</v>
      </c>
      <c r="D63" s="66" t="str" cm="1">
        <f t="array" ref="D63">_xlfn.IFNA(_xlfn.XLOOKUP(NameCodingTable[[#This Row],[Code]]&amp;NameCodingTable[[#This Row],[maxyear]],allFYsTable[Code]&amp;allFYsTable[year2], allFYsTable[Category]), "")</f>
        <v>Public education system</v>
      </c>
      <c r="E63" s="3" t="str" cm="1">
        <f t="array" ref="E63">_xlfn.TEXTJOIN(", ", TRUE, _xlfn.UNIQUE(IF(allFYsTable[Code] = NameCodingTable[[#This Row],[Code]], allFYsTable[Unit], "")))</f>
        <v>Public charter school, Public charter schools, Public  charter schools, Public   charter  schools, Public charter  schools, District of Columbia public charter schools, Distnct of Columbia public charter schools</v>
      </c>
      <c r="F63" s="66" t="s">
        <v>1292</v>
      </c>
      <c r="G63" s="3" t="s">
        <v>1183</v>
      </c>
    </row>
    <row r="64" spans="1:7" x14ac:dyDescent="0.45">
      <c r="A64" s="3">
        <v>86</v>
      </c>
      <c r="B64" s="3" t="s">
        <v>779</v>
      </c>
      <c r="C64" s="3">
        <f>_xlfn.MAXIFS(allFYsTable[year2], allFYsTable[Code], NameCodingTable[[#This Row],[Code]])</f>
        <v>2025</v>
      </c>
      <c r="D64" s="66" t="str" cm="1">
        <f t="array" ref="D64">_xlfn.IFNA(_xlfn.XLOOKUP(NameCodingTable[[#This Row],[Code]]&amp;NameCodingTable[[#This Row],[maxyear]],allFYsTable[Code]&amp;allFYsTable[year2], allFYsTable[Category]), "")</f>
        <v>Public education system</v>
      </c>
      <c r="E64" s="3" t="str" cm="1">
        <f t="array" ref="E64">_xlfn.TEXTJOIN(", ", TRUE, _xlfn.UNIQUE(IF(allFYsTable[Code] = NameCodingTable[[#This Row],[Code]], allFYsTable[Unit], "")))</f>
        <v>State education office, State  education  office, Office of the state superintendent of education, Office of the state supenntendent of education, Office of the State Superintendent of Education (OSSE)</v>
      </c>
      <c r="F64" s="66" t="s">
        <v>1369</v>
      </c>
      <c r="G64" s="3" t="s">
        <v>1183</v>
      </c>
    </row>
    <row r="65" spans="1:7" x14ac:dyDescent="0.45">
      <c r="A65" s="3">
        <v>88</v>
      </c>
      <c r="B65" s="3" t="s">
        <v>781</v>
      </c>
      <c r="C65" s="3">
        <f>_xlfn.MAXIFS(allFYsTable[year2], allFYsTable[Code], NameCodingTable[[#This Row],[Code]])</f>
        <v>2025</v>
      </c>
      <c r="D65" s="66" t="str" cm="1">
        <f t="array" ref="D65">_xlfn.IFNA(_xlfn.XLOOKUP(NameCodingTable[[#This Row],[Code]]&amp;NameCodingTable[[#This Row],[maxyear]],allFYsTable[Code]&amp;allFYsTable[year2], allFYsTable[Category]), "")</f>
        <v>Public education system</v>
      </c>
      <c r="E65" s="3" t="str" cm="1">
        <f t="array" ref="E65">_xlfn.TEXTJOIN(", ", TRUE, _xlfn.UNIQUE(IF(allFYsTable[Code] = NameCodingTable[[#This Row],[Code]], allFYsTable[Unit], "")))</f>
        <v>DC state board of education, D.C  state board of education, D.C. state board of education, State board of education</v>
      </c>
      <c r="F65" s="66" t="s">
        <v>1285</v>
      </c>
      <c r="G65" s="3" t="s">
        <v>1183</v>
      </c>
    </row>
    <row r="66" spans="1:7" x14ac:dyDescent="0.45">
      <c r="A66" s="3">
        <v>83</v>
      </c>
      <c r="B66" s="3" t="s">
        <v>776</v>
      </c>
      <c r="C66" s="3">
        <f>_xlfn.MAXIFS(allFYsTable[year2], allFYsTable[Code], NameCodingTable[[#This Row],[Code]])</f>
        <v>2025</v>
      </c>
      <c r="D66" s="66" t="str" cm="1">
        <f t="array" ref="D66">_xlfn.IFNA(_xlfn.XLOOKUP(NameCodingTable[[#This Row],[Code]]&amp;NameCodingTable[[#This Row],[maxyear]],allFYsTable[Code]&amp;allFYsTable[year2], allFYsTable[Category]), "")</f>
        <v>Public education system</v>
      </c>
      <c r="E66" s="3" t="str" cm="1">
        <f t="array" ref="E66">_xlfn.TEXTJOIN(", ", TRUE, _xlfn.UNIQUE(IF(allFYsTable[Code] = NameCodingTable[[#This Row],[Code]], allFYsTable[Unit], "")))</f>
        <v>D.C. state athletics commission, District of Columbia state athletics commission, Distnct of Columbia state athletics commission</v>
      </c>
      <c r="F66" s="66" t="s">
        <v>1289</v>
      </c>
      <c r="G66" s="3" t="s">
        <v>1183</v>
      </c>
    </row>
    <row r="67" spans="1:7" x14ac:dyDescent="0.45">
      <c r="A67" s="3">
        <v>87</v>
      </c>
      <c r="B67" s="3" t="s">
        <v>780</v>
      </c>
      <c r="C67" s="3">
        <f>_xlfn.MAXIFS(allFYsTable[year2], allFYsTable[Code], NameCodingTable[[#This Row],[Code]])</f>
        <v>2025</v>
      </c>
      <c r="D67" s="66" t="str" cm="1">
        <f t="array" ref="D67">_xlfn.IFNA(_xlfn.XLOOKUP(NameCodingTable[[#This Row],[Code]]&amp;NameCodingTable[[#This Row],[maxyear]],allFYsTable[Code]&amp;allFYsTable[year2], allFYsTable[Category]), "")</f>
        <v>Public education system</v>
      </c>
      <c r="E67" s="3" t="str" cm="1">
        <f t="array" ref="E67">_xlfn.TEXTJOIN(", ", TRUE, _xlfn.UNIQUE(IF(allFYsTable[Code] = NameCodingTable[[#This Row],[Code]], allFYsTable[Unit], "")))</f>
        <v>Special education  transportation, Special education tran, Special   education   tran, Special  education  tran, Special education transportation</v>
      </c>
      <c r="F67" s="66" t="s">
        <v>1286</v>
      </c>
      <c r="G67" s="3" t="s">
        <v>1183</v>
      </c>
    </row>
    <row r="68" spans="1:7" x14ac:dyDescent="0.45">
      <c r="A68" s="3">
        <v>85</v>
      </c>
      <c r="B68" s="3" t="s">
        <v>778</v>
      </c>
      <c r="C68" s="3">
        <f>_xlfn.MAXIFS(allFYsTable[year2], allFYsTable[Code], NameCodingTable[[#This Row],[Code]])</f>
        <v>2025</v>
      </c>
      <c r="D68" s="66" t="str" cm="1">
        <f t="array" ref="D68">_xlfn.IFNA(_xlfn.XLOOKUP(NameCodingTable[[#This Row],[Code]]&amp;NameCodingTable[[#This Row],[maxyear]],allFYsTable[Code]&amp;allFYsTable[year2], allFYsTable[Category]), "")</f>
        <v>Public education system</v>
      </c>
      <c r="E68" s="3" t="str" cm="1">
        <f t="array" ref="E68">_xlfn.TEXTJOIN(", ", TRUE, _xlfn.UNIQUE(IF(allFYsTable[Code] = NameCodingTable[[#This Row],[Code]], allFYsTable[Unit], "")))</f>
        <v>Arts and Humanities, Depart of education, Department  of  education, Department of education, Office of the deputy mayor for eduation, Office of the deputy  for eduation, Office of the deputy mayor for education</v>
      </c>
      <c r="F68" s="66" t="s">
        <v>1287</v>
      </c>
      <c r="G68" s="3" t="s">
        <v>1183</v>
      </c>
    </row>
    <row r="69" spans="1:7" x14ac:dyDescent="0.45">
      <c r="A69" s="3">
        <v>76</v>
      </c>
      <c r="B69" s="3" t="s">
        <v>770</v>
      </c>
      <c r="C69" s="3">
        <f>_xlfn.MAXIFS(allFYsTable[year2], allFYsTable[Code], NameCodingTable[[#This Row],[Code]])</f>
        <v>2025</v>
      </c>
      <c r="D69" s="66" t="str" cm="1">
        <f t="array" ref="D69">_xlfn.IFNA(_xlfn.XLOOKUP(NameCodingTable[[#This Row],[Code]]&amp;NameCodingTable[[#This Row],[maxyear]],allFYsTable[Code]&amp;allFYsTable[year2], allFYsTable[Category]), "")</f>
        <v>Public education system</v>
      </c>
      <c r="E69" s="3" t="str" cm="1">
        <f t="array" ref="E69">_xlfn.TEXTJOIN(", ", TRUE, _xlfn.UNIQUE(IF(allFYsTable[Code] = NameCodingTable[[#This Row],[Code]], allFYsTable[Unit], "")))</f>
        <v>Recreation and parks, Department of  parks  and  recreation, Department  of   parks  and   recreation, Department of parks and recreation, Department of  parks and recreation, Department of Parks and Recreation (DPR)</v>
      </c>
      <c r="F69" s="66" t="s">
        <v>1366</v>
      </c>
      <c r="G69" s="3" t="s">
        <v>1183</v>
      </c>
    </row>
    <row r="70" spans="1:7" x14ac:dyDescent="0.45">
      <c r="A70" s="3">
        <v>96</v>
      </c>
      <c r="B70" s="3" t="s">
        <v>788</v>
      </c>
      <c r="C70" s="3">
        <f>_xlfn.MAXIFS(allFYsTable[year2], allFYsTable[Code], NameCodingTable[[#This Row],[Code]])</f>
        <v>2025</v>
      </c>
      <c r="D70" s="66" t="str" cm="1">
        <f t="array" ref="D70">_xlfn.IFNA(_xlfn.XLOOKUP(NameCodingTable[[#This Row],[Code]]&amp;NameCodingTable[[#This Row],[maxyear]],allFYsTable[Code]&amp;allFYsTable[year2], allFYsTable[Category]), "")</f>
        <v>Human support services</v>
      </c>
      <c r="E70" s="3" t="str" cm="1">
        <f t="array" ref="E70">_xlfn.TEXTJOIN(", ", TRUE, _xlfn.UNIQUE(IF(allFYsTable[Code] = NameCodingTable[[#This Row],[Code]], allFYsTable[Unit], "")))</f>
        <v>Health, Department of  health, Department   of  health, Department  of health, Department  of  health, Department of health, DC Health</v>
      </c>
      <c r="F70" s="66" t="s">
        <v>1279</v>
      </c>
      <c r="G70" s="3" t="s">
        <v>1183</v>
      </c>
    </row>
    <row r="71" spans="1:7" x14ac:dyDescent="0.45">
      <c r="A71" s="3">
        <v>101</v>
      </c>
      <c r="B71" s="3" t="s">
        <v>793</v>
      </c>
      <c r="C71" s="3">
        <f>_xlfn.MAXIFS(allFYsTable[year2], allFYsTable[Code], NameCodingTable[[#This Row],[Code]])</f>
        <v>2025</v>
      </c>
      <c r="D71" s="66" t="str" cm="1">
        <f t="array" ref="D71">_xlfn.IFNA(_xlfn.XLOOKUP(NameCodingTable[[#This Row],[Code]]&amp;NameCodingTable[[#This Row],[maxyear]],allFYsTable[Code]&amp;allFYsTable[year2], allFYsTable[Category]), "")</f>
        <v>Human support services</v>
      </c>
      <c r="E71" s="3" t="str" cm="1">
        <f t="array" ref="E71">_xlfn.TEXTJOIN(", ", TRUE, _xlfn.UNIQUE(IF(allFYsTable[Code] = NameCodingTable[[#This Row],[Code]], allFYsTable[Unit], "")))</f>
        <v>Deputy  mayor for health and human services, Deputy mayor for health and human services, Deputy mayor of health and human services, Office of the deputy mayor for health and human services</v>
      </c>
      <c r="F71" s="66" t="s">
        <v>1276</v>
      </c>
      <c r="G71" s="3" t="s">
        <v>1183</v>
      </c>
    </row>
    <row r="72" spans="1:7" x14ac:dyDescent="0.45">
      <c r="A72" s="3">
        <v>65</v>
      </c>
      <c r="B72" s="3" t="s">
        <v>760</v>
      </c>
      <c r="C72" s="3">
        <f>_xlfn.MAXIFS(allFYsTable[year2], allFYsTable[Code], NameCodingTable[[#This Row],[Code]])</f>
        <v>2025</v>
      </c>
      <c r="D72" s="66" t="str" cm="1">
        <f t="array" ref="D72">_xlfn.IFNA(_xlfn.XLOOKUP(NameCodingTable[[#This Row],[Code]]&amp;NameCodingTable[[#This Row],[maxyear]],allFYsTable[Code]&amp;allFYsTable[year2], allFYsTable[Category]), "")</f>
        <v>Public safety and justice</v>
      </c>
      <c r="E72" s="3" t="str" cm="1">
        <f t="array" ref="E72">_xlfn.TEXTJOIN(", ", TRUE, _xlfn.UNIQUE(IF(allFYsTable[Code] = NameCodingTable[[#This Row],[Code]], allFYsTable[Unit], "")))</f>
        <v>Human rights, Office  of  human rights, Office  of  human  rights, Office of human  rights, Office of human rights, Office of Human Rights (OHR)</v>
      </c>
      <c r="F72" s="66" t="s">
        <v>1358</v>
      </c>
      <c r="G72" s="3" t="s">
        <v>1183</v>
      </c>
    </row>
    <row r="73" spans="1:7" x14ac:dyDescent="0.45">
      <c r="A73" s="3">
        <v>97</v>
      </c>
      <c r="B73" s="3" t="s">
        <v>789</v>
      </c>
      <c r="C73" s="3">
        <f>_xlfn.MAXIFS(allFYsTable[year2], allFYsTable[Code], NameCodingTable[[#This Row],[Code]])</f>
        <v>2025</v>
      </c>
      <c r="D73" s="66" t="str" cm="1">
        <f t="array" ref="D73">_xlfn.IFNA(_xlfn.XLOOKUP(NameCodingTable[[#This Row],[Code]]&amp;NameCodingTable[[#This Row],[maxyear]],allFYsTable[Code]&amp;allFYsTable[year2], allFYsTable[Category]), "")</f>
        <v>Human support services</v>
      </c>
      <c r="E73" s="3" t="str" cm="1">
        <f t="array" ref="E73">_xlfn.TEXTJOIN(", ", TRUE, _xlfn.UNIQUE(IF(allFYsTable[Code] = NameCodingTable[[#This Row],[Code]], allFYsTable[Unit], "")))</f>
        <v>Department  of health  care finance, Department of health care finance, Department  of  health   care  finace, Department of helath care finance</v>
      </c>
      <c r="F73" s="66" t="s">
        <v>1278</v>
      </c>
      <c r="G73" s="3" t="s">
        <v>1183</v>
      </c>
    </row>
    <row r="74" spans="1:7" x14ac:dyDescent="0.45">
      <c r="A74" s="3">
        <v>98</v>
      </c>
      <c r="B74" s="3" t="s">
        <v>790</v>
      </c>
      <c r="C74" s="3">
        <f>_xlfn.MAXIFS(allFYsTable[year2], allFYsTable[Code], NameCodingTable[[#This Row],[Code]])</f>
        <v>2025</v>
      </c>
      <c r="D74" s="66" t="str" cm="1">
        <f t="array" ref="D74">_xlfn.IFNA(_xlfn.XLOOKUP(NameCodingTable[[#This Row],[Code]]&amp;NameCodingTable[[#This Row],[maxyear]],allFYsTable[Code]&amp;allFYsTable[year2], allFYsTable[Category]), "")</f>
        <v>Human support services</v>
      </c>
      <c r="E74" s="3" t="str" cm="1">
        <f t="array" ref="E74">_xlfn.TEXTJOIN(", ", TRUE, _xlfn.UNIQUE(IF(allFYsTable[Code] = NameCodingTable[[#This Row],[Code]], allFYsTable[Unit], "")))</f>
        <v>Human development, Department of  human services, Department   of   human   services, Department of human services, _x000D__x000D_
Department  of human services, Department of Human Services (DHS)</v>
      </c>
      <c r="F74" s="66" t="s">
        <v>1372</v>
      </c>
      <c r="G74" s="3" t="s">
        <v>1183</v>
      </c>
    </row>
    <row r="75" spans="1:7" x14ac:dyDescent="0.45">
      <c r="A75" s="3">
        <v>99</v>
      </c>
      <c r="B75" s="3" t="s">
        <v>791</v>
      </c>
      <c r="C75" s="3">
        <f>_xlfn.MAXIFS(allFYsTable[year2], allFYsTable[Code], NameCodingTable[[#This Row],[Code]])</f>
        <v>2025</v>
      </c>
      <c r="D75" s="66" t="str" cm="1">
        <f t="array" ref="D75">_xlfn.IFNA(_xlfn.XLOOKUP(NameCodingTable[[#This Row],[Code]]&amp;NameCodingTable[[#This Row],[maxyear]],allFYsTable[Code]&amp;allFYsTable[year2], allFYsTable[Category]), "")</f>
        <v>Human support services</v>
      </c>
      <c r="E75" s="3" t="str" cm="1">
        <f t="array" ref="E75">_xlfn.TEXTJOIN(", ", TRUE, _xlfn.UNIQUE(IF(allFYsTable[Code] = NameCodingTable[[#This Row],[Code]], allFYsTable[Unit], "")))</f>
        <v>Depart of disability services, Depart on diasbility Services, Department  on  disabilily  services, Department   on   disability   services, Department  on disability  services, Department of disability services, Department on disability services, Department on Disability Services (DDS)</v>
      </c>
      <c r="F75" s="66" t="s">
        <v>1373</v>
      </c>
      <c r="G75" s="3" t="s">
        <v>1183</v>
      </c>
    </row>
    <row r="76" spans="1:7" x14ac:dyDescent="0.45">
      <c r="A76" s="3">
        <v>16</v>
      </c>
      <c r="B76" s="3" t="s">
        <v>714</v>
      </c>
      <c r="C76" s="3">
        <f>_xlfn.MAXIFS(allFYsTable[year2], allFYsTable[Code], NameCodingTable[[#This Row],[Code]])</f>
        <v>2025</v>
      </c>
      <c r="D76" s="66" t="str" cm="1">
        <f t="array" ref="D76">_xlfn.IFNA(_xlfn.XLOOKUP(NameCodingTable[[#This Row],[Code]]&amp;NameCodingTable[[#This Row],[maxyear]],allFYsTable[Code]&amp;allFYsTable[year2], allFYsTable[Category]), "")</f>
        <v>Governmental direction and support</v>
      </c>
      <c r="E76" s="3" t="str" cm="1">
        <f t="array" ref="E76">_xlfn.TEXTJOIN(", ", TRUE, _xlfn.UNIQUE(IF(allFYsTable[Code] = NameCodingTable[[#This Row],[Code]], allFYsTable[Unit], "")))</f>
        <v>Office of disability right, Office of disability, Office  of  disability  rights, Office of disability  rights, Office of disability rights, Officeof disability rights, Office of Disability Rights (ODR)</v>
      </c>
      <c r="F76" s="66" t="s">
        <v>1323</v>
      </c>
      <c r="G76" s="3" t="s">
        <v>1183</v>
      </c>
    </row>
    <row r="77" spans="1:7" x14ac:dyDescent="0.45">
      <c r="A77" s="3">
        <v>12</v>
      </c>
      <c r="B77" s="3" t="s">
        <v>710</v>
      </c>
      <c r="C77" s="3">
        <f>_xlfn.MAXIFS(allFYsTable[year2], allFYsTable[Code], NameCodingTable[[#This Row],[Code]])</f>
        <v>2025</v>
      </c>
      <c r="D77" s="66" t="str" cm="1">
        <f t="array" ref="D77">_xlfn.IFNA(_xlfn.XLOOKUP(NameCodingTable[[#This Row],[Code]]&amp;NameCodingTable[[#This Row],[maxyear]],allFYsTable[Code]&amp;allFYsTable[year2], allFYsTable[Category]), "")</f>
        <v>Human support services</v>
      </c>
      <c r="E77" s="3" t="str" cm="1">
        <f t="array" ref="E77">_xlfn.TEXTJOIN(", ", TRUE, _xlfn.UNIQUE(IF(allFYsTable[Code] = NameCodingTable[[#This Row],[Code]], allFYsTable[Unit], "")))</f>
        <v>Office for the deaf, deafblind, and hard of healing, Office for the deaf, deafblind, and hard of heanng, Office for the Deaf, Deafblind, and Hard of Hearing</v>
      </c>
      <c r="F77" s="66" t="s">
        <v>1316</v>
      </c>
      <c r="G77" s="3" t="s">
        <v>1183</v>
      </c>
    </row>
    <row r="78" spans="1:7" x14ac:dyDescent="0.45">
      <c r="A78" s="3">
        <v>57</v>
      </c>
      <c r="B78" s="3" t="s">
        <v>752</v>
      </c>
      <c r="C78" s="3">
        <f>_xlfn.MAXIFS(allFYsTable[year2], allFYsTable[Code], NameCodingTable[[#This Row],[Code]])</f>
        <v>2025</v>
      </c>
      <c r="D78" s="66" t="str" cm="1">
        <f t="array" ref="D78">_xlfn.IFNA(_xlfn.XLOOKUP(NameCodingTable[[#This Row],[Code]]&amp;NameCodingTable[[#This Row],[maxyear]],allFYsTable[Code]&amp;allFYsTable[year2], allFYsTable[Category]), "")</f>
        <v>Public safety and justice</v>
      </c>
      <c r="E78" s="3" t="str" cm="1">
        <f t="array" ref="E78">_xlfn.TEXTJOIN(", ", TRUE, _xlfn.UNIQUE(IF(allFYsTable[Code] = NameCodingTable[[#This Row],[Code]], allFYsTable[Unit], "")))</f>
        <v>Dept of youth and rehabilitation services, Depart of youth rehabilitation services, Department of   youth rehab   services, Depart  of  youth   rehab  services, Depart of  youth rehab services, Depart of youth rehab services, Department of youth and rehabilitation services, Department of youth rehabilitation services, Department of Youth Rehabilitation Services (DYRS)</v>
      </c>
      <c r="F78" s="66" t="s">
        <v>1353</v>
      </c>
      <c r="G78" s="3" t="s">
        <v>1183</v>
      </c>
    </row>
    <row r="79" spans="1:7" x14ac:dyDescent="0.45">
      <c r="A79" s="3">
        <v>111</v>
      </c>
      <c r="B79" s="3" t="s">
        <v>803</v>
      </c>
      <c r="C79" s="3">
        <f>_xlfn.MAXIFS(allFYsTable[year2], allFYsTable[Code], NameCodingTable[[#This Row],[Code]])</f>
        <v>2025</v>
      </c>
      <c r="D79" s="66" t="str" cm="1">
        <f t="array" ref="D79">_xlfn.IFNA(_xlfn.XLOOKUP(NameCodingTable[[#This Row],[Code]]&amp;NameCodingTable[[#This Row],[maxyear]],allFYsTable[Code]&amp;allFYsTable[year2], allFYsTable[Category]), "")</f>
        <v>Operations and infrastructure</v>
      </c>
      <c r="E79" s="3" t="str" cm="1">
        <f t="array" ref="E79">_xlfn.TEXTJOIN(", ", TRUE, _xlfn.UNIQUE(IF(allFYsTable[Code] = NameCodingTable[[#This Row],[Code]], allFYsTable[Unit], "")))</f>
        <v>Department of transportation, Department  of transportation, Department of  transportation, Department   of  transportation, District department of transportation, District Department of Transportation (DDOT)</v>
      </c>
      <c r="F79" s="66" t="s">
        <v>1380</v>
      </c>
      <c r="G79" s="3" t="s">
        <v>1183</v>
      </c>
    </row>
    <row r="80" spans="1:7" x14ac:dyDescent="0.45">
      <c r="A80" s="3">
        <v>106</v>
      </c>
      <c r="B80" s="3" t="s">
        <v>798</v>
      </c>
      <c r="C80" s="3">
        <f>_xlfn.MAXIFS(allFYsTable[year2], allFYsTable[Code], NameCodingTable[[#This Row],[Code]])</f>
        <v>2025</v>
      </c>
      <c r="D80" s="66" t="str" cm="1">
        <f t="array" ref="D80">_xlfn.IFNA(_xlfn.XLOOKUP(NameCodingTable[[#This Row],[Code]]&amp;NameCodingTable[[#This Row],[maxyear]],allFYsTable[Code]&amp;allFYsTable[year2], allFYsTable[Category]), "")</f>
        <v>Operations and infrastructure</v>
      </c>
      <c r="E80" s="3" t="str" cm="1">
        <f t="array" ref="E80">_xlfn.TEXTJOIN(", ", TRUE, _xlfn.UNIQUE(IF(allFYsTable[Code] = NameCodingTable[[#This Row],[Code]], allFYsTable[Unit], "")))</f>
        <v>Energy, Department of environment, Department of enviroment, District  depart of  environment, District  depart.  of  environment, District depart.  of environment, District depart. of environment, DC department of the enviroment, D.C. department of the environment, D.C. department of the  environment, Department of energy and environment, Department of Energy and Environment (DOEE)</v>
      </c>
      <c r="F80" s="66" t="s">
        <v>1376</v>
      </c>
      <c r="G80" s="3" t="s">
        <v>1183</v>
      </c>
    </row>
    <row r="81" spans="1:7" x14ac:dyDescent="0.45">
      <c r="A81" s="3">
        <v>112</v>
      </c>
      <c r="B81" s="3" t="s">
        <v>804</v>
      </c>
      <c r="C81" s="3">
        <f>_xlfn.MAXIFS(allFYsTable[year2], allFYsTable[Code], NameCodingTable[[#This Row],[Code]])</f>
        <v>2025</v>
      </c>
      <c r="D81" s="66" t="str" cm="1">
        <f t="array" ref="D81">_xlfn.IFNA(_xlfn.XLOOKUP(NameCodingTable[[#This Row],[Code]]&amp;NameCodingTable[[#This Row],[maxyear]],allFYsTable[Code]&amp;allFYsTable[year2], allFYsTable[Category]), "")</f>
        <v>Operations and infrastructure</v>
      </c>
      <c r="E81" s="3" t="str" cm="1">
        <f t="array" ref="E81">_xlfn.TEXTJOIN(", ", TRUE, _xlfn.UNIQUE(IF(allFYsTable[Code] = NameCodingTable[[#This Row],[Code]], allFYsTable[Unit], "")))</f>
        <v xml:space="preserve">Deputy mayor operations and infrastructure, Deputy mayor for operations and infrastructure, Office of the deputy mayor for operations and Infrastructure, Office of the Deputy Mayor for Operations and Infrastructure </v>
      </c>
      <c r="F81" s="66" t="s">
        <v>1381</v>
      </c>
      <c r="G81" s="3" t="s">
        <v>1183</v>
      </c>
    </row>
    <row r="82" spans="1:7" x14ac:dyDescent="0.45">
      <c r="A82" s="3">
        <v>110</v>
      </c>
      <c r="B82" s="3" t="s">
        <v>802</v>
      </c>
      <c r="C82" s="3">
        <f>_xlfn.MAXIFS(allFYsTable[year2], allFYsTable[Code], NameCodingTable[[#This Row],[Code]])</f>
        <v>2025</v>
      </c>
      <c r="D82" s="66" t="str" cm="1">
        <f t="array" ref="D82">_xlfn.IFNA(_xlfn.XLOOKUP(NameCodingTable[[#This Row],[Code]]&amp;NameCodingTable[[#This Row],[maxyear]],allFYsTable[Code]&amp;allFYsTable[year2], allFYsTable[Category]), "")</f>
        <v>Operations and infrastructure</v>
      </c>
      <c r="E82" s="3" t="str" cm="1">
        <f t="array" ref="E82">_xlfn.TEXTJOIN(", ", TRUE, _xlfn.UNIQUE(IF(allFYsTable[Code] = NameCodingTable[[#This Row],[Code]], allFYsTable[Unit], "")))</f>
        <v>Public works, Department  of public   works, Department   of  public  works, Department  of public works, Department of public works, Department of Public Works (DPW)</v>
      </c>
      <c r="F82" s="66" t="s">
        <v>1379</v>
      </c>
      <c r="G82" s="3" t="s">
        <v>1183</v>
      </c>
    </row>
    <row r="83" spans="1:7" x14ac:dyDescent="0.45">
      <c r="A83" s="3">
        <v>109</v>
      </c>
      <c r="B83" s="3" t="s">
        <v>801</v>
      </c>
      <c r="C83" s="3">
        <f>_xlfn.MAXIFS(allFYsTable[year2], allFYsTable[Code], NameCodingTable[[#This Row],[Code]])</f>
        <v>2025</v>
      </c>
      <c r="D83" s="66" t="str" cm="1">
        <f t="array" ref="D83">_xlfn.IFNA(_xlfn.XLOOKUP(NameCodingTable[[#This Row],[Code]]&amp;NameCodingTable[[#This Row],[maxyear]],allFYsTable[Code]&amp;allFYsTable[year2], allFYsTable[Category]), "")</f>
        <v>Operations and infrastructure</v>
      </c>
      <c r="E83" s="3" t="str" cm="1">
        <f t="array" ref="E83">_xlfn.TEXTJOIN(", ", TRUE, _xlfn.UNIQUE(IF(allFYsTable[Code] = NameCodingTable[[#This Row],[Code]], allFYsTable[Unit], "")))</f>
        <v>Department of motor vehicles, Department  of  motor  vehicles, Department   of motor  vehicles, Department of motor  vehicles, Department of Motor Vehicles (DMV)</v>
      </c>
      <c r="F83" s="66" t="s">
        <v>1378</v>
      </c>
      <c r="G83" s="3" t="s">
        <v>1183</v>
      </c>
    </row>
    <row r="84" spans="1:7" x14ac:dyDescent="0.45">
      <c r="A84" s="3">
        <v>103</v>
      </c>
      <c r="B84" s="3" t="s">
        <v>795</v>
      </c>
      <c r="C84" s="3">
        <f>_xlfn.MAXIFS(allFYsTable[year2], allFYsTable[Code], NameCodingTable[[#This Row],[Code]])</f>
        <v>2025</v>
      </c>
      <c r="D84" s="66" t="str" cm="1">
        <f t="array" ref="D84">_xlfn.IFNA(_xlfn.XLOOKUP(NameCodingTable[[#This Row],[Code]]&amp;NameCodingTable[[#This Row],[maxyear]],allFYsTable[Code]&amp;allFYsTable[year2], allFYsTable[Category]), "")</f>
        <v>Operations and infrastructure</v>
      </c>
      <c r="E84" s="3" t="str" cm="1">
        <f t="array" ref="E84">_xlfn.TEXTJOIN(", ", TRUE, _xlfn.UNIQUE(IF(allFYsTable[Code] = NameCodingTable[[#This Row],[Code]], allFYsTable[Unit], "")))</f>
        <v>Alcoholic beverage regulation administration, Alcohol beverage regulation administration, Alcoholic  beverage  regulation  administration, Alcoholic   beverage   regulation   achninistration, Alcoholic beverage  regulation administration, Alcoholic Beverage and Cannabis Administration</v>
      </c>
      <c r="F84" s="66" t="s">
        <v>1397</v>
      </c>
      <c r="G84" s="3" t="s">
        <v>1183</v>
      </c>
    </row>
    <row r="85" spans="1:7" x14ac:dyDescent="0.45">
      <c r="A85" s="3">
        <v>53</v>
      </c>
      <c r="B85" s="3" t="s">
        <v>748</v>
      </c>
      <c r="C85" s="3">
        <f>_xlfn.MAXIFS(allFYsTable[year2], allFYsTable[Code], NameCodingTable[[#This Row],[Code]])</f>
        <v>2025</v>
      </c>
      <c r="D85" s="66" t="str" cm="1">
        <f t="array" ref="D85">_xlfn.IFNA(_xlfn.XLOOKUP(NameCodingTable[[#This Row],[Code]]&amp;NameCodingTable[[#This Row],[maxyear]],allFYsTable[Code]&amp;allFYsTable[year2], allFYsTable[Category]), "")</f>
        <v>Public safety and justice</v>
      </c>
      <c r="E85" s="3" t="str" cm="1">
        <f t="array" ref="E85">_xlfn.TEXTJOIN(", ", TRUE, _xlfn.UNIQUE(IF(allFYsTable[Code] = NameCodingTable[[#This Row],[Code]], allFYsTable[Unit], "")))</f>
        <v>Criminal code reform commission, Criminal Code Reform Commission (CCRC)</v>
      </c>
      <c r="F85" s="66" t="s">
        <v>1349</v>
      </c>
      <c r="G85" s="3" t="s">
        <v>1183</v>
      </c>
    </row>
    <row r="86" spans="1:7" x14ac:dyDescent="0.45">
      <c r="A86" s="3">
        <v>66</v>
      </c>
      <c r="B86" s="3" t="s">
        <v>761</v>
      </c>
      <c r="C86" s="3">
        <f>_xlfn.MAXIFS(allFYsTable[year2], allFYsTable[Code], NameCodingTable[[#This Row],[Code]])</f>
        <v>2025</v>
      </c>
      <c r="D86" s="66" t="str" cm="1">
        <f t="array" ref="D86">_xlfn.IFNA(_xlfn.XLOOKUP(NameCodingTable[[#This Row],[Code]]&amp;NameCodingTable[[#This Row],[maxyear]],allFYsTable[Code]&amp;allFYsTable[year2], allFYsTable[Category]), "")</f>
        <v>Public safety and justice</v>
      </c>
      <c r="E86" s="3" t="str" cm="1">
        <f t="array" ref="E86">_xlfn.TEXTJOIN(", ", TRUE, _xlfn.UNIQUE(IF(allFYsTable[Code] = NameCodingTable[[#This Row],[Code]], allFYsTable[Unit], "")))</f>
        <v>Neighborhood safety and engagement, Office of neighborhood safety and engagement, Office of Neighborhood Safety and Engagement (ONSE)</v>
      </c>
      <c r="F86" s="66" t="s">
        <v>1359</v>
      </c>
      <c r="G86" s="3" t="s">
        <v>1183</v>
      </c>
    </row>
    <row r="87" spans="1:7" x14ac:dyDescent="0.45">
      <c r="A87" s="3">
        <v>34</v>
      </c>
      <c r="B87" s="3" t="s">
        <v>732</v>
      </c>
      <c r="C87" s="3">
        <f>_xlfn.MAXIFS(allFYsTable[year2], allFYsTable[Code], NameCodingTable[[#This Row],[Code]])</f>
        <v>2025</v>
      </c>
      <c r="D87" s="66" t="str" cm="1">
        <f t="array" ref="D87">_xlfn.IFNA(_xlfn.XLOOKUP(NameCodingTable[[#This Row],[Code]]&amp;NameCodingTable[[#This Row],[maxyear]],allFYsTable[Code]&amp;allFYsTable[year2], allFYsTable[Category]), "")</f>
        <v>Governmental direction and support</v>
      </c>
      <c r="E87" s="3" t="str" cm="1">
        <f t="array" ref="E87">_xlfn.TEXTJOIN(", ", TRUE, _xlfn.UNIQUE(IF(allFYsTable[Code] = NameCodingTable[[#This Row],[Code]], allFYsTable[Unit], "")))</f>
        <v>Tax revision commission</v>
      </c>
      <c r="F87" s="66" t="s">
        <v>1337</v>
      </c>
      <c r="G87" s="3" t="s">
        <v>1183</v>
      </c>
    </row>
    <row r="88" spans="1:7" x14ac:dyDescent="0.45">
      <c r="A88" s="3">
        <v>15</v>
      </c>
      <c r="B88" s="3" t="s">
        <v>713</v>
      </c>
      <c r="C88" s="3">
        <f>_xlfn.MAXIFS(allFYsTable[year2], allFYsTable[Code], NameCodingTable[[#This Row],[Code]])</f>
        <v>2025</v>
      </c>
      <c r="D88" s="66" t="str" cm="1">
        <f t="array" ref="D88">_xlfn.IFNA(_xlfn.XLOOKUP(NameCodingTable[[#This Row],[Code]]&amp;NameCodingTable[[#This Row],[maxyear]],allFYsTable[Code]&amp;allFYsTable[year2], allFYsTable[Category]), "")</f>
        <v>Governmental direction and support</v>
      </c>
      <c r="E88" s="3" t="str" cm="1">
        <f t="array" ref="E88">_xlfn.TEXTJOIN(", ", TRUE, _xlfn.UNIQUE(IF(allFYsTable[Code] = NameCodingTable[[#This Row],[Code]], allFYsTable[Unit], "")))</f>
        <v>Contracts and procurement, Office of contracting &amp; procurment, Office  of contracting   &amp;  procurement, Office of contracting &amp; procurement, Office of contracting and procurement, Office of Contracting and Procurement (OCP)</v>
      </c>
      <c r="F88" s="66" t="s">
        <v>1318</v>
      </c>
      <c r="G88" s="3" t="s">
        <v>1183</v>
      </c>
    </row>
    <row r="89" spans="1:7" x14ac:dyDescent="0.45">
      <c r="A89" s="3">
        <v>68</v>
      </c>
      <c r="B89" s="3" t="s">
        <v>763</v>
      </c>
      <c r="C89" s="3">
        <f>_xlfn.MAXIFS(allFYsTable[year2], allFYsTable[Code], NameCodingTable[[#This Row],[Code]])</f>
        <v>2025</v>
      </c>
      <c r="D89" s="66" t="str" cm="1">
        <f t="array" ref="D89">_xlfn.IFNA(_xlfn.XLOOKUP(NameCodingTable[[#This Row],[Code]]&amp;NameCodingTable[[#This Row],[maxyear]],allFYsTable[Code]&amp;allFYsTable[year2], allFYsTable[Category]), "")</f>
        <v>Public safety and justice</v>
      </c>
      <c r="E89" s="3" t="str" cm="1">
        <f t="array" ref="E89">_xlfn.TEXTJOIN(", ", TRUE, _xlfn.UNIQUE(IF(allFYsTable[Code] = NameCodingTable[[#This Row],[Code]], allFYsTable[Unit], "")))</f>
        <v>Office of returning citizen affairs, Office on returning citizen affairs, Office on Returning Citizen Affairs (ORCA)</v>
      </c>
      <c r="F89" s="66" t="s">
        <v>1361</v>
      </c>
      <c r="G89" s="3" t="s">
        <v>1183</v>
      </c>
    </row>
    <row r="90" spans="1:7" x14ac:dyDescent="0.45">
      <c r="A90" s="3">
        <v>3</v>
      </c>
      <c r="B90" s="3" t="s">
        <v>701</v>
      </c>
      <c r="C90" s="3">
        <f>_xlfn.MAXIFS(allFYsTable[year2], allFYsTable[Code], NameCodingTable[[#This Row],[Code]])</f>
        <v>2025</v>
      </c>
      <c r="D90" s="66" t="str" cm="1">
        <f t="array" ref="D90">_xlfn.IFNA(_xlfn.XLOOKUP(NameCodingTable[[#This Row],[Code]]&amp;NameCodingTable[[#This Row],[maxyear]],allFYsTable[Code]&amp;allFYsTable[year2], allFYsTable[Category]), "")</f>
        <v>Governmental direction and support</v>
      </c>
      <c r="E90" s="3" t="str" cm="1">
        <f t="array" ref="E90">_xlfn.TEXTJOIN(", ", TRUE, _xlfn.UNIQUE(IF(allFYsTable[Code] = NameCodingTable[[#This Row],[Code]], allFYsTable[Unit], "")))</f>
        <v>Medical liability captive, Medical   liability   captive, Medical  liability  captive, Captive insurance agency</v>
      </c>
      <c r="F90" s="66" t="s">
        <v>1308</v>
      </c>
      <c r="G90" s="3" t="s">
        <v>1183</v>
      </c>
    </row>
    <row r="91" spans="1:7" x14ac:dyDescent="0.45">
      <c r="A91" s="3">
        <v>20</v>
      </c>
      <c r="B91" s="3" t="s">
        <v>718</v>
      </c>
      <c r="C91" s="3">
        <f>_xlfn.MAXIFS(allFYsTable[year2], allFYsTable[Code], NameCodingTable[[#This Row],[Code]])</f>
        <v>2025</v>
      </c>
      <c r="D91" s="66" t="str" cm="1">
        <f t="array" ref="D91">_xlfn.IFNA(_xlfn.XLOOKUP(NameCodingTable[[#This Row],[Code]]&amp;NameCodingTable[[#This Row],[maxyear]],allFYsTable[Code]&amp;allFYsTable[year2], allFYsTable[Category]), "")</f>
        <v>Governmental direction and support</v>
      </c>
      <c r="E91" s="3" t="str" cm="1">
        <f t="array" ref="E91">_xlfn.TEXTJOIN(", ", TRUE, _xlfn.UNIQUE(IF(allFYsTable[Code] = NameCodingTable[[#This Row],[Code]], allFYsTable[Unit], "")))</f>
        <v>Risk management, Office of risk management, Office  of  risk  management, Office of Risk Management (ORM)</v>
      </c>
      <c r="F91" s="66" t="s">
        <v>1322</v>
      </c>
      <c r="G91" s="3" t="s">
        <v>1183</v>
      </c>
    </row>
    <row r="92" spans="1:7" x14ac:dyDescent="0.45">
      <c r="A92" s="3">
        <v>92</v>
      </c>
      <c r="B92" s="3" t="s">
        <v>785</v>
      </c>
      <c r="C92" s="3">
        <f>_xlfn.MAXIFS(allFYsTable[year2], allFYsTable[Code], NameCodingTable[[#This Row],[Code]])</f>
        <v>2025</v>
      </c>
      <c r="D92" s="66" t="str" cm="1">
        <f t="array" ref="D92">_xlfn.IFNA(_xlfn.XLOOKUP(NameCodingTable[[#This Row],[Code]]&amp;NameCodingTable[[#This Row],[maxyear]],allFYsTable[Code]&amp;allFYsTable[year2], allFYsTable[Category]), "")</f>
        <v>Human support services</v>
      </c>
      <c r="E92" s="3" t="str" cm="1">
        <f t="array" ref="E92">_xlfn.TEXTJOIN(", ", TRUE, _xlfn.UNIQUE(IF(allFYsTable[Code] = NameCodingTable[[#This Row],[Code]], allFYsTable[Unit], "")))</f>
        <v>Child and family services, Child and family  services, Child  and  family  services, Child and family services agency, Child and Family Services Agency (CFSA)</v>
      </c>
      <c r="F92" s="66" t="s">
        <v>1370</v>
      </c>
      <c r="G92" s="3" t="s">
        <v>1183</v>
      </c>
    </row>
    <row r="93" spans="1:7" x14ac:dyDescent="0.45">
      <c r="A93" s="3">
        <v>95</v>
      </c>
      <c r="B93" s="3" t="s">
        <v>787</v>
      </c>
      <c r="C93" s="3">
        <f>_xlfn.MAXIFS(allFYsTable[year2], allFYsTable[Code], NameCodingTable[[#This Row],[Code]])</f>
        <v>2025</v>
      </c>
      <c r="D93" s="66" t="str" cm="1">
        <f t="array" ref="D93">_xlfn.IFNA(_xlfn.XLOOKUP(NameCodingTable[[#This Row],[Code]]&amp;NameCodingTable[[#This Row],[maxyear]],allFYsTable[Code]&amp;allFYsTable[year2], allFYsTable[Category]), "")</f>
        <v>Human support services</v>
      </c>
      <c r="E93" s="3" t="str" cm="1">
        <f t="array" ref="E93">_xlfn.TEXTJOIN(", ", TRUE, _xlfn.UNIQUE(IF(allFYsTable[Code] = NameCodingTable[[#This Row],[Code]], allFYsTable[Unit], "")))</f>
        <v>Dept of mental health, Dept of mental  health, Dept  of  mental  health, Department of mental Health, Department of behavioral helath, Department of behavioral health, Department of Behavioral Health (DBH)</v>
      </c>
      <c r="F93" s="66" t="s">
        <v>1371</v>
      </c>
      <c r="G93" s="3" t="s">
        <v>1183</v>
      </c>
    </row>
    <row r="94" spans="1:7" x14ac:dyDescent="0.45">
      <c r="A94" s="3">
        <v>102</v>
      </c>
      <c r="B94" s="3" t="s">
        <v>794</v>
      </c>
      <c r="C94" s="3">
        <f>_xlfn.MAXIFS(allFYsTable[year2], allFYsTable[Code], NameCodingTable[[#This Row],[Code]])</f>
        <v>2025</v>
      </c>
      <c r="D94" s="66" t="str" cm="1">
        <f t="array" ref="D94">_xlfn.IFNA(_xlfn.XLOOKUP(NameCodingTable[[#This Row],[Code]]&amp;NameCodingTable[[#This Row],[maxyear]],allFYsTable[Code]&amp;allFYsTable[year2], allFYsTable[Category]), "")</f>
        <v>Human support services</v>
      </c>
      <c r="E94" s="3" t="str" cm="1">
        <f t="array" ref="E94">_xlfn.TEXTJOIN(", ", TRUE, _xlfn.UNIQUE(IF(allFYsTable[Code] = NameCodingTable[[#This Row],[Code]], allFYsTable[Unit], "")))</f>
        <v>Office of the ombudsperson for children, Office of the  ombudsperson for children</v>
      </c>
      <c r="F94" s="66" t="s">
        <v>1275</v>
      </c>
      <c r="G94" s="3" t="s">
        <v>1183</v>
      </c>
    </row>
    <row r="95" spans="1:7" x14ac:dyDescent="0.45">
      <c r="A95" s="3">
        <v>108</v>
      </c>
      <c r="B95" s="3" t="s">
        <v>800</v>
      </c>
      <c r="C95" s="3">
        <f>_xlfn.MAXIFS(allFYsTable[year2], allFYsTable[Code], NameCodingTable[[#This Row],[Code]])</f>
        <v>2025</v>
      </c>
      <c r="D95" s="66" t="str" cm="1">
        <f t="array" ref="D95">_xlfn.IFNA(_xlfn.XLOOKUP(NameCodingTable[[#This Row],[Code]]&amp;NameCodingTable[[#This Row],[maxyear]],allFYsTable[Code]&amp;allFYsTable[year2], allFYsTable[Category]), "")</f>
        <v>Operations and infrastructure</v>
      </c>
      <c r="E95" s="3" t="str" cm="1">
        <f t="array" ref="E95">_xlfn.TEXTJOIN(", ", TRUE, _xlfn.UNIQUE(IF(allFYsTable[Code] = NameCodingTable[[#This Row],[Code]], allFYsTable[Unit], "")))</f>
        <v>Insurance regulation, Dept. of  securities and banking, Department of insurance, securities and banking, Department of Insurance, Securities and Banking (DISB)</v>
      </c>
      <c r="F95" s="66" t="s">
        <v>1377</v>
      </c>
      <c r="G95" s="3" t="s">
        <v>1183</v>
      </c>
    </row>
    <row r="96" spans="1:7" x14ac:dyDescent="0.45">
      <c r="A96" s="3">
        <v>107</v>
      </c>
      <c r="B96" s="3" t="s">
        <v>799</v>
      </c>
      <c r="C96" s="3">
        <f>_xlfn.MAXIFS(allFYsTable[year2], allFYsTable[Code], NameCodingTable[[#This Row],[Code]])</f>
        <v>2025</v>
      </c>
      <c r="D96" s="66" t="str" cm="1">
        <f t="array" ref="D96">_xlfn.IFNA(_xlfn.XLOOKUP(NameCodingTable[[#This Row],[Code]]&amp;NameCodingTable[[#This Row],[maxyear]],allFYsTable[Code]&amp;allFYsTable[year2], allFYsTable[Category]), "")</f>
        <v>Operations and infrastructure</v>
      </c>
      <c r="E96" s="3" t="str" cm="1">
        <f t="array" ref="E96">_xlfn.TEXTJOIN(", ", TRUE, _xlfn.UNIQUE(IF(allFYsTable[Code] = NameCodingTable[[#This Row],[Code]], allFYsTable[Unit], "")))</f>
        <v>Taxicab commission, Taxi cab commission, Department of for-hire vehicles</v>
      </c>
      <c r="F96" s="66" t="s">
        <v>1273</v>
      </c>
      <c r="G96" s="3" t="s">
        <v>1183</v>
      </c>
    </row>
    <row r="97" spans="1:7" x14ac:dyDescent="0.45">
      <c r="A97" s="3">
        <v>23</v>
      </c>
      <c r="B97" s="3" t="s">
        <v>721</v>
      </c>
      <c r="C97" s="3">
        <f>_xlfn.MAXIFS(allFYsTable[year2], allFYsTable[Code], NameCodingTable[[#This Row],[Code]])</f>
        <v>2025</v>
      </c>
      <c r="D97" s="66" t="str" cm="1">
        <f t="array" ref="D97">_xlfn.IFNA(_xlfn.XLOOKUP(NameCodingTable[[#This Row],[Code]]&amp;NameCodingTable[[#This Row],[maxyear]],allFYsTable[Code]&amp;allFYsTable[year2], allFYsTable[Category]), "")</f>
        <v>Governmental direction and support</v>
      </c>
      <c r="E97" s="3" t="str" cm="1">
        <f t="array" ref="E97">_xlfn.TEXTJOIN(", ", TRUE, _xlfn.UNIQUE(IF(allFYsTable[Code] = NameCodingTable[[#This Row],[Code]], allFYsTable[Unit], "")))</f>
        <v>Chief technology officer, Office of chief technology officer, Office  of  chief  technology   officer, Office of chief technology  officer, Officeof the Chief technology officer, Office of the chief technology officer, Office of the Chief Technology Officer (OCTO)</v>
      </c>
      <c r="F97" s="66" t="s">
        <v>1326</v>
      </c>
      <c r="G97" s="3" t="s">
        <v>1183</v>
      </c>
    </row>
    <row r="98" spans="1:7" x14ac:dyDescent="0.45">
      <c r="A98" s="3">
        <v>71</v>
      </c>
      <c r="B98" s="3" t="s">
        <v>766</v>
      </c>
      <c r="C98" s="3">
        <f>_xlfn.MAXIFS(allFYsTable[year2], allFYsTable[Code], NameCodingTable[[#This Row],[Code]])</f>
        <v>2025</v>
      </c>
      <c r="D98" s="66" t="str" cm="1">
        <f t="array" ref="D98">_xlfn.IFNA(_xlfn.XLOOKUP(NameCodingTable[[#This Row],[Code]]&amp;NameCodingTable[[#This Row],[maxyear]],allFYsTable[Code]&amp;allFYsTable[year2], allFYsTable[Category]), "")</f>
        <v>Public safety and justice</v>
      </c>
      <c r="E98" s="3" t="str" cm="1">
        <f t="array" ref="E98">_xlfn.TEXTJOIN(", ", TRUE, _xlfn.UNIQUE(IF(allFYsTable[Code] = NameCodingTable[[#This Row],[Code]], allFYsTable[Unit], "")))</f>
        <v>Citywide call center, Office of unified communications, Citywide call center/Customer Service Operation, Office  of  unified  communications, Office  of  unified  cormnunications, Office of unified oomrnunications, Office of Unified Communications (OUC)</v>
      </c>
      <c r="F98" s="66" t="s">
        <v>1363</v>
      </c>
      <c r="G98" s="3" t="s">
        <v>1183</v>
      </c>
    </row>
    <row r="99" spans="1:7" x14ac:dyDescent="0.45">
      <c r="A99" s="3">
        <v>29</v>
      </c>
      <c r="B99" s="3" t="s">
        <v>727</v>
      </c>
      <c r="C99" s="3">
        <f>_xlfn.MAXIFS(allFYsTable[year2], allFYsTable[Code], NameCodingTable[[#This Row],[Code]])</f>
        <v>2025</v>
      </c>
      <c r="D99" s="66" t="str" cm="1">
        <f t="array" ref="D99">_xlfn.IFNA(_xlfn.XLOOKUP(NameCodingTable[[#This Row],[Code]]&amp;NameCodingTable[[#This Row],[maxyear]],allFYsTable[Code]&amp;allFYsTable[year2], allFYsTable[Category]), "")</f>
        <v>Governmental direction and support</v>
      </c>
      <c r="E99" s="3" t="str" cm="1">
        <f t="array" ref="E99">_xlfn.TEXTJOIN(", ", TRUE, _xlfn.UNIQUE(IF(allFYsTable[Code] = NameCodingTable[[#This Row],[Code]], allFYsTable[Unit], "")))</f>
        <v>Veterns' affairs, Veterans' affairs, Office  of  veteran  affairs, Office of veteran affairs, Offie of veterans affairs, Office of veterans affairs, Office of veterans' affairs, Office of veterans’ affairs</v>
      </c>
      <c r="F99" s="66" t="s">
        <v>1332</v>
      </c>
      <c r="G99" s="3" t="s">
        <v>1183</v>
      </c>
    </row>
    <row r="100" spans="1:7" x14ac:dyDescent="0.45">
      <c r="A100" s="3">
        <v>50</v>
      </c>
      <c r="B100" s="3" t="s">
        <v>866</v>
      </c>
      <c r="C100" s="3">
        <f>_xlfn.MAXIFS(allFYsTable[year2], allFYsTable[Code], NameCodingTable[[#This Row],[Code]])</f>
        <v>2024</v>
      </c>
      <c r="D100" s="66" t="str" cm="1">
        <f t="array" ref="D100">_xlfn.IFNA(_xlfn.XLOOKUP(NameCodingTable[[#This Row],[Code]]&amp;NameCodingTable[[#This Row],[maxyear]],allFYsTable[Code]&amp;allFYsTable[year2], allFYsTable[Category]), "")</f>
        <v>Economic development and regulation</v>
      </c>
      <c r="E100" s="3" t="str" cm="1">
        <f t="array" ref="E100">_xlfn.TEXTJOIN(", ", TRUE, _xlfn.UNIQUE(IF(allFYsTable[Code] = NameCodingTable[[#This Row],[Code]], allFYsTable[Unit], "")))</f>
        <v>Section 103, Section 103 - economic devlp and regulation_x000D__x000D_
, Section 103 - economic development &amp; regulation, Section 103 - Economic Development and Regulation</v>
      </c>
      <c r="F100" s="66" t="s">
        <v>1302</v>
      </c>
      <c r="G100" s="3" t="s">
        <v>1250</v>
      </c>
    </row>
    <row r="101" spans="1:7" x14ac:dyDescent="0.45">
      <c r="A101" s="3">
        <v>36</v>
      </c>
      <c r="B101" s="3" t="s">
        <v>865</v>
      </c>
      <c r="C101" s="3">
        <f>_xlfn.MAXIFS(allFYsTable[year2], allFYsTable[Code], NameCodingTable[[#This Row],[Code]])</f>
        <v>2024</v>
      </c>
      <c r="D101" s="66" t="str" cm="1">
        <f t="array" ref="D101">_xlfn.IFNA(_xlfn.XLOOKUP(NameCodingTable[[#This Row],[Code]]&amp;NameCodingTable[[#This Row],[maxyear]],allFYsTable[Code]&amp;allFYsTable[year2], allFYsTable[Category]), "")</f>
        <v>Governmental direction and support</v>
      </c>
      <c r="E101" s="3" t="str" cm="1">
        <f t="array" ref="E101">_xlfn.TEXTJOIN(", ", TRUE, _xlfn.UNIQUE(IF(allFYsTable[Code] = NameCodingTable[[#This Row],[Code]], allFYsTable[Unit], "")))</f>
        <v>Section 103 expenditures, Section   103, Section  103, Section 103, Sectin 103- financing and othe funds, Section 103 judgments, Section 103 judgments - governmental direction and support, Section 103 judgments - governmental direction and support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v>
      </c>
      <c r="F101" s="66" t="s">
        <v>1339</v>
      </c>
      <c r="G101" s="3" t="s">
        <v>1250</v>
      </c>
    </row>
    <row r="102" spans="1:7" x14ac:dyDescent="0.45">
      <c r="B102" t="s">
        <v>868</v>
      </c>
      <c r="C102" s="3">
        <f>_xlfn.MAXIFS(allFYsTable[year2], allFYsTable[Code], NameCodingTable[[#This Row],[Code]])</f>
        <v>2023</v>
      </c>
      <c r="D102" s="66" t="str" cm="1">
        <f t="array" ref="D102">_xlfn.IFNA(_xlfn.XLOOKUP(NameCodingTable[[#This Row],[Code]]&amp;NameCodingTable[[#This Row],[maxyear]],allFYsTable[Code]&amp;allFYsTable[year2], allFYsTable[Category]), "")</f>
        <v>Other</v>
      </c>
      <c r="E102" s="3" t="str" cm="1">
        <f t="array" ref="E102">_xlfn.TEXTJOIN(", ", TRUE, _xlfn.UNIQUE(IF(allFYsTable[Code] = NameCodingTable[[#This Row],[Code]], allFYsTable[Unit], "")))</f>
        <v>Emergency and contingency reserve funds</v>
      </c>
      <c r="F102" s="66" t="s">
        <v>92</v>
      </c>
      <c r="G102" s="66" t="s">
        <v>1431</v>
      </c>
    </row>
    <row r="103" spans="1:7" x14ac:dyDescent="0.45">
      <c r="B103" t="s">
        <v>871</v>
      </c>
      <c r="C103" s="3">
        <f>_xlfn.MAXIFS(allFYsTable[year2], allFYsTable[Code], NameCodingTable[[#This Row],[Code]])</f>
        <v>2022</v>
      </c>
      <c r="D103" s="66" t="str" cm="1">
        <f t="array" ref="D103">_xlfn.IFNA(_xlfn.XLOOKUP(NameCodingTable[[#This Row],[Code]]&amp;NameCodingTable[[#This Row],[maxyear]],allFYsTable[Code]&amp;allFYsTable[year2], allFYsTable[Category]), "")</f>
        <v>Public education system</v>
      </c>
      <c r="E103" s="3" t="str" cm="1">
        <f t="array" ref="E103">_xlfn.TEXTJOIN(", ", TRUE, _xlfn.UNIQUE(IF(allFYsTable[Code] = NameCodingTable[[#This Row],[Code]], allFYsTable[Unit], "")))</f>
        <v>Special education commission</v>
      </c>
      <c r="F103" s="66" t="s">
        <v>67</v>
      </c>
      <c r="G103" s="66" t="s">
        <v>1431</v>
      </c>
    </row>
    <row r="104" spans="1:7" x14ac:dyDescent="0.45">
      <c r="B104" t="s">
        <v>872</v>
      </c>
      <c r="C104" s="3">
        <f>_xlfn.MAXIFS(allFYsTable[year2], allFYsTable[Code], NameCodingTable[[#This Row],[Code]])</f>
        <v>2021</v>
      </c>
      <c r="D104" s="66" t="str" cm="1">
        <f t="array" ref="D104">_xlfn.IFNA(_xlfn.XLOOKUP(NameCodingTable[[#This Row],[Code]]&amp;NameCodingTable[[#This Row],[maxyear]],allFYsTable[Code]&amp;allFYsTable[year2], allFYsTable[Category]), "")</f>
        <v>Human support services</v>
      </c>
      <c r="E104" s="3" t="str" cm="1">
        <f t="array" ref="E104">_xlfn.TEXTJOIN(", ", TRUE, _xlfn.UNIQUE(IF(allFYsTable[Code] = NameCodingTable[[#This Row],[Code]], allFYsTable[Unit], "")))</f>
        <v>Medicaid reserve</v>
      </c>
      <c r="F104" s="66" t="s">
        <v>153</v>
      </c>
      <c r="G104" s="66" t="s">
        <v>1431</v>
      </c>
    </row>
    <row r="105" spans="1:7" x14ac:dyDescent="0.45">
      <c r="B105" t="s">
        <v>832</v>
      </c>
      <c r="C105" s="3">
        <f>_xlfn.MAXIFS(allFYsTable[year2], allFYsTable[Code], NameCodingTable[[#This Row],[Code]])</f>
        <v>2020</v>
      </c>
      <c r="D105" s="66" t="str" cm="1">
        <f t="array" ref="D105">_xlfn.IFNA(_xlfn.XLOOKUP(NameCodingTable[[#This Row],[Code]]&amp;NameCodingTable[[#This Row],[maxyear]],allFYsTable[Code]&amp;allFYsTable[year2], allFYsTable[Category]), "")</f>
        <v>Other</v>
      </c>
      <c r="E105" s="3" t="str" cm="1">
        <f t="array" ref="E105">_xlfn.TEXTJOIN(", ", TRUE, _xlfn.UNIQUE(IF(allFYsTable[Code] = NameCodingTable[[#This Row],[Code]], allFYsTable[Unit], "")))</f>
        <v>Equipment  lease operating, Equipment   lease  operating, Operating  lease-equipment, Operating lease-equipment</v>
      </c>
      <c r="F105" s="66" t="s">
        <v>200</v>
      </c>
      <c r="G105" s="66" t="s">
        <v>1431</v>
      </c>
    </row>
    <row r="106" spans="1:7" x14ac:dyDescent="0.45">
      <c r="B106" t="s">
        <v>873</v>
      </c>
      <c r="C106" s="3">
        <f>_xlfn.MAXIFS(allFYsTable[year2], allFYsTable[Code], NameCodingTable[[#This Row],[Code]])</f>
        <v>2020</v>
      </c>
      <c r="D106" s="66" t="str" cm="1">
        <f t="array" ref="D106">_xlfn.IFNA(_xlfn.XLOOKUP(NameCodingTable[[#This Row],[Code]]&amp;NameCodingTable[[#This Row],[maxyear]],allFYsTable[Code]&amp;allFYsTable[year2], allFYsTable[Category]), "")</f>
        <v>Governmental direction and support</v>
      </c>
      <c r="E106" s="3" t="str" cm="1">
        <f t="array" ref="E106">_xlfn.TEXTJOIN(", ", TRUE, _xlfn.UNIQUE(IF(allFYsTable[Code] = NameCodingTable[[#This Row],[Code]], allFYsTable[Unit], "")))</f>
        <v>Expenditure commission</v>
      </c>
      <c r="F106" s="66" t="s">
        <v>166</v>
      </c>
      <c r="G106" s="66" t="s">
        <v>1431</v>
      </c>
    </row>
    <row r="107" spans="1:7" x14ac:dyDescent="0.45">
      <c r="B107" t="s">
        <v>874</v>
      </c>
      <c r="C107" s="3">
        <f>_xlfn.MAXIFS(allFYsTable[year2], allFYsTable[Code], NameCodingTable[[#This Row],[Code]])</f>
        <v>2020</v>
      </c>
      <c r="D107" s="66" t="str" cm="1">
        <f t="array" ref="D107">_xlfn.IFNA(_xlfn.XLOOKUP(NameCodingTable[[#This Row],[Code]]&amp;NameCodingTable[[#This Row],[maxyear]],allFYsTable[Code]&amp;allFYsTable[year2], allFYsTable[Category]), "")</f>
        <v>Public education system</v>
      </c>
      <c r="E107" s="3" t="str" cm="1">
        <f t="array" ref="E107">_xlfn.TEXTJOIN(", ", TRUE, _xlfn.UNIQUE(IF(allFYsTable[Code] = NameCodingTable[[#This Row],[Code]], allFYsTable[Unit], "")))</f>
        <v>Section 103 expnses, Section   103  judgements, Section 103 -public education system, Section 103 - public education system</v>
      </c>
      <c r="F107" s="66" t="s">
        <v>179</v>
      </c>
      <c r="G107" s="66" t="s">
        <v>1431</v>
      </c>
    </row>
    <row r="108" spans="1:7" x14ac:dyDescent="0.45">
      <c r="B108" t="s">
        <v>840</v>
      </c>
      <c r="C108" s="3">
        <f>_xlfn.MAXIFS(allFYsTable[year2], allFYsTable[Code], NameCodingTable[[#This Row],[Code]])</f>
        <v>2019</v>
      </c>
      <c r="D108" s="66" t="str" cm="1">
        <f t="array" ref="D108">_xlfn.IFNA(_xlfn.XLOOKUP(NameCodingTable[[#This Row],[Code]]&amp;NameCodingTable[[#This Row],[maxyear]],allFYsTable[Code]&amp;allFYsTable[year2], allFYsTable[Category]), "")</f>
        <v>Governmental  direction and support</v>
      </c>
      <c r="E108" s="3" t="str" cm="1">
        <f t="array" ref="E108">_xlfn.TEXTJOIN(", ", TRUE, _xlfn.UNIQUE(IF(allFYsTable[Code] = NameCodingTable[[#This Row],[Code]], allFYsTable[Unit], "")))</f>
        <v>Deputy mayor for greater economic opportunity</v>
      </c>
      <c r="F108" s="66" t="s">
        <v>185</v>
      </c>
      <c r="G108" s="66" t="s">
        <v>1431</v>
      </c>
    </row>
    <row r="109" spans="1:7" x14ac:dyDescent="0.45">
      <c r="B109" t="s">
        <v>841</v>
      </c>
      <c r="C109" s="3">
        <f>_xlfn.MAXIFS(allFYsTable[year2], allFYsTable[Code], NameCodingTable[[#This Row],[Code]])</f>
        <v>2018</v>
      </c>
      <c r="D109" s="66" t="str" cm="1">
        <f t="array" ref="D109">_xlfn.IFNA(_xlfn.XLOOKUP(NameCodingTable[[#This Row],[Code]]&amp;NameCodingTable[[#This Row],[maxyear]],allFYsTable[Code]&amp;allFYsTable[year2], allFYsTable[Category]), "")</f>
        <v>Public safety and justice</v>
      </c>
      <c r="E109" s="3" t="str" cm="1">
        <f t="array" ref="E109">_xlfn.TEXTJOIN(", ", TRUE, _xlfn.UNIQUE(IF(allFYsTable[Code] = NameCodingTable[[#This Row],[Code]], allFYsTable[Unit], "")))</f>
        <v>Office of justice grant administration, Office Justice grant administrations, Office  of  justice  grant  administration</v>
      </c>
      <c r="F109" s="66" t="s">
        <v>194</v>
      </c>
      <c r="G109" s="66" t="s">
        <v>1431</v>
      </c>
    </row>
    <row r="110" spans="1:7" x14ac:dyDescent="0.45">
      <c r="B110" t="s">
        <v>875</v>
      </c>
      <c r="C110" s="3">
        <f>_xlfn.MAXIFS(allFYsTable[year2], allFYsTable[Code], NameCodingTable[[#This Row],[Code]])</f>
        <v>2018</v>
      </c>
      <c r="D110" s="66" t="str" cm="1">
        <f t="array" ref="D110">_xlfn.IFNA(_xlfn.XLOOKUP(NameCodingTable[[#This Row],[Code]]&amp;NameCodingTable[[#This Row],[maxyear]],allFYsTable[Code]&amp;allFYsTable[year2], allFYsTable[Category]), "")</f>
        <v>Human support services</v>
      </c>
      <c r="E110" s="3" t="str" cm="1">
        <f t="array" ref="E110">_xlfn.TEXTJOIN(", ", TRUE, _xlfn.UNIQUE(IF(allFYsTable[Code] = NameCodingTable[[#This Row],[Code]], allFYsTable[Unit], "")))</f>
        <v>Section   103, Section 103, Section 103 - human support services</v>
      </c>
      <c r="F110" s="66" t="s">
        <v>205</v>
      </c>
      <c r="G110" s="66" t="s">
        <v>1431</v>
      </c>
    </row>
    <row r="111" spans="1:7" x14ac:dyDescent="0.45">
      <c r="B111" t="s">
        <v>876</v>
      </c>
      <c r="C111" s="3">
        <f>_xlfn.MAXIFS(allFYsTable[year2], allFYsTable[Code], NameCodingTable[[#This Row],[Code]])</f>
        <v>2018</v>
      </c>
      <c r="D111" s="66" t="str" cm="1">
        <f t="array" ref="D111">_xlfn.IFNA(_xlfn.XLOOKUP(NameCodingTable[[#This Row],[Code]]&amp;NameCodingTable[[#This Row],[maxyear]],allFYsTable[Code]&amp;allFYsTable[year2], allFYsTable[Category]), "")</f>
        <v>Public works</v>
      </c>
      <c r="E111" s="3" t="str" cm="1">
        <f t="array" ref="E111">_xlfn.TEXTJOIN(", ", TRUE, _xlfn.UNIQUE(IF(allFYsTable[Code] = NameCodingTable[[#This Row],[Code]], allFYsTable[Unit], "")))</f>
        <v>Section 103 - public works</v>
      </c>
      <c r="F111" s="66" t="s">
        <v>208</v>
      </c>
      <c r="G111" s="66" t="s">
        <v>1431</v>
      </c>
    </row>
    <row r="112" spans="1:7" x14ac:dyDescent="0.45">
      <c r="B112" t="s">
        <v>828</v>
      </c>
      <c r="C112" s="3">
        <f>_xlfn.MAXIFS(allFYsTable[year2], allFYsTable[Code], NameCodingTable[[#This Row],[Code]])</f>
        <v>2017</v>
      </c>
      <c r="D112" s="66" t="str" cm="1">
        <f t="array" ref="D112">_xlfn.IFNA(_xlfn.XLOOKUP(NameCodingTable[[#This Row],[Code]]&amp;NameCodingTable[[#This Row],[maxyear]],allFYsTable[Code]&amp;allFYsTable[year2], allFYsTable[Category]), "")</f>
        <v>Human support services</v>
      </c>
      <c r="E112" s="3" t="str" cm="1">
        <f t="array" ref="E112">_xlfn.TEXTJOIN(", ", TRUE, _xlfn.UNIQUE(IF(allFYsTable[Code] = NameCodingTable[[#This Row],[Code]], allFYsTable[Unit], "")))</f>
        <v>Children investment trust, Children investment  trust, Children   investment   trust, Children  investment  trust</v>
      </c>
      <c r="F112" s="66" t="s">
        <v>219</v>
      </c>
      <c r="G112" s="66" t="s">
        <v>1431</v>
      </c>
    </row>
    <row r="113" spans="2:7" x14ac:dyDescent="0.45">
      <c r="B113" t="s">
        <v>833</v>
      </c>
      <c r="C113" s="3">
        <f>_xlfn.MAXIFS(allFYsTable[year2], allFYsTable[Code], NameCodingTable[[#This Row],[Code]])</f>
        <v>2017</v>
      </c>
      <c r="D113" s="66" t="str" cm="1">
        <f t="array" ref="D113">_xlfn.IFNA(_xlfn.XLOOKUP(NameCodingTable[[#This Row],[Code]]&amp;NameCodingTable[[#This Row],[maxyear]],allFYsTable[Code]&amp;allFYsTable[year2], allFYsTable[Category]), "")</f>
        <v>Other</v>
      </c>
      <c r="E113" s="3" t="str" cm="1">
        <f t="array" ref="E113">_xlfn.TEXTJOIN(", ", TRUE, _xlfn.UNIQUE(IF(allFYsTable[Code] = NameCodingTable[[#This Row],[Code]], allFYsTable[Unit], "")))</f>
        <v>Schools modernization  fund, Schools  modernization    fund, Schools   modernization   fund, Schools  modernization  fund, Schools modernization fund</v>
      </c>
      <c r="F113" s="66" t="s">
        <v>223</v>
      </c>
      <c r="G113" s="66" t="s">
        <v>1431</v>
      </c>
    </row>
    <row r="114" spans="2:7" x14ac:dyDescent="0.45">
      <c r="B114" t="s">
        <v>830</v>
      </c>
      <c r="C114" s="3">
        <f>_xlfn.MAXIFS(allFYsTable[year2], allFYsTable[Code], NameCodingTable[[#This Row],[Code]])</f>
        <v>2017</v>
      </c>
      <c r="D114" s="66" t="str" cm="1">
        <f t="array" ref="D114">_xlfn.IFNA(_xlfn.XLOOKUP(NameCodingTable[[#This Row],[Code]]&amp;NameCodingTable[[#This Row],[maxyear]],allFYsTable[Code]&amp;allFYsTable[year2], allFYsTable[Category]), "")</f>
        <v>Other</v>
      </c>
      <c r="E114" s="3" t="str" cm="1">
        <f t="array" ref="E114">_xlfn.TEXTJOIN(", ", TRUE, _xlfn.UNIQUE(IF(allFYsTable[Code] = NameCodingTable[[#This Row],[Code]], allFYsTable[Unit], "")))</f>
        <v>Interest  on short  term borrowing, Repayment  of  interest  on  short term borrowing, Repayment   of  interest   on   short-term   borrowing, Repayment  of interest on short-term  borrowing, Repayment of interest on short-term  borrowing, Repayment Interest on short term borrowing, Interest expense on short term borrowing, Interest expense on short-term borrowing</v>
      </c>
      <c r="F114" s="66" t="s">
        <v>222</v>
      </c>
      <c r="G114" s="66" t="s">
        <v>1431</v>
      </c>
    </row>
    <row r="115" spans="2:7" x14ac:dyDescent="0.45">
      <c r="B115" t="s">
        <v>842</v>
      </c>
      <c r="C115" s="3">
        <f>_xlfn.MAXIFS(allFYsTable[year2], allFYsTable[Code], NameCodingTable[[#This Row],[Code]])</f>
        <v>2016</v>
      </c>
      <c r="D115" s="66" t="str" cm="1">
        <f t="array" ref="D115">_xlfn.IFNA(_xlfn.XLOOKUP(NameCodingTable[[#This Row],[Code]]&amp;NameCodingTable[[#This Row],[maxyear]],allFYsTable[Code]&amp;allFYsTable[year2], allFYsTable[Category]), "")</f>
        <v>Human support services</v>
      </c>
      <c r="E115" s="3" t="str" cm="1">
        <f t="array" ref="E115">_xlfn.TEXTJOIN(", ", TRUE, _xlfn.UNIQUE(IF(allFYsTable[Code] = NameCodingTable[[#This Row],[Code]], allFYsTable[Unit], "")))</f>
        <v>DC health benefit exchange subsidy, DC   health benefit exchange subsidy</v>
      </c>
      <c r="F115" s="66" t="s">
        <v>236</v>
      </c>
      <c r="G115" s="66" t="s">
        <v>1431</v>
      </c>
    </row>
    <row r="116" spans="2:7" x14ac:dyDescent="0.45">
      <c r="B116" t="s">
        <v>831</v>
      </c>
      <c r="C116" s="3">
        <f>_xlfn.MAXIFS(allFYsTable[year2], allFYsTable[Code], NameCodingTable[[#This Row],[Code]])</f>
        <v>2015</v>
      </c>
      <c r="D116" s="66" t="str" cm="1">
        <f t="array" ref="D116">_xlfn.IFNA(_xlfn.XLOOKUP(NameCodingTable[[#This Row],[Code]]&amp;NameCodingTable[[#This Row],[maxyear]],allFYsTable[Code]&amp;allFYsTable[year2], allFYsTable[Category]), "")</f>
        <v>Other</v>
      </c>
      <c r="E116" s="3" t="str" cm="1">
        <f t="array" ref="E116">_xlfn.TEXTJOIN(", ", TRUE, _xlfn.UNIQUE(IF(allFYsTable[Code] = NameCodingTable[[#This Row],[Code]], allFYsTable[Unit], "")))</f>
        <v>Certificate of participation, Certificate of  participation, Certificate   of participation, Certificate  of participation, Certificates of participation</v>
      </c>
      <c r="F116" s="66" t="s">
        <v>280</v>
      </c>
      <c r="G116" s="66" t="s">
        <v>1431</v>
      </c>
    </row>
    <row r="117" spans="2:7" x14ac:dyDescent="0.45">
      <c r="B117" t="s">
        <v>844</v>
      </c>
      <c r="C117" s="3">
        <f>_xlfn.MAXIFS(allFYsTable[year2], allFYsTable[Code], NameCodingTable[[#This Row],[Code]])</f>
        <v>2015</v>
      </c>
      <c r="D117" s="66" t="str" cm="1">
        <f t="array" ref="D117">_xlfn.IFNA(_xlfn.XLOOKUP(NameCodingTable[[#This Row],[Code]]&amp;NameCodingTable[[#This Row],[maxyear]],allFYsTable[Code]&amp;allFYsTable[year2], allFYsTable[Category]), "")</f>
        <v>Other</v>
      </c>
      <c r="E117" s="3" t="str" cm="1">
        <f t="array" ref="E117">_xlfn.TEXTJOIN(", ", TRUE, _xlfn.UNIQUE(IF(allFYsTable[Code] = NameCodingTable[[#This Row],[Code]], allFYsTable[Unit], "")))</f>
        <v>TIF and pilot  transfer, TIF   and  pilot  transfer_x000D__x000D_
Emergency   planning  and   security  costs, TIF and pilot transfer                                                                  _x000D__x000D_
, TIF and PILOT transfer</v>
      </c>
      <c r="F117" s="66" t="s">
        <v>281</v>
      </c>
      <c r="G117" s="66" t="s">
        <v>1431</v>
      </c>
    </row>
    <row r="118" spans="2:7" x14ac:dyDescent="0.45">
      <c r="B118" t="s">
        <v>825</v>
      </c>
      <c r="C118" s="3">
        <f>_xlfn.MAXIFS(allFYsTable[year2], allFYsTable[Code], NameCodingTable[[#This Row],[Code]])</f>
        <v>2014</v>
      </c>
      <c r="D118" s="66" t="str" cm="1">
        <f t="array" ref="D118">_xlfn.IFNA(_xlfn.XLOOKUP(NameCodingTable[[#This Row],[Code]]&amp;NameCodingTable[[#This Row],[maxyear]],allFYsTable[Code]&amp;allFYsTable[year2], allFYsTable[Category]), "")</f>
        <v>Other</v>
      </c>
      <c r="E118" s="3" t="str" cm="1">
        <f t="array" ref="E118">_xlfn.TEXTJOIN(", ", TRUE, _xlfn.UNIQUE(IF(allFYsTable[Code] = NameCodingTable[[#This Row],[Code]], allFYsTable[Unit], "")))</f>
        <v>Retirement  board administration, DC retirement  board, DC  retirement   board, DC retirement board</v>
      </c>
      <c r="F118" s="66" t="s">
        <v>298</v>
      </c>
      <c r="G118" s="66" t="s">
        <v>1431</v>
      </c>
    </row>
    <row r="119" spans="2:7" x14ac:dyDescent="0.45">
      <c r="B119" t="s">
        <v>824</v>
      </c>
      <c r="C119" s="3">
        <f>_xlfn.MAXIFS(allFYsTable[year2], allFYsTable[Code], NameCodingTable[[#This Row],[Code]])</f>
        <v>2014</v>
      </c>
      <c r="D119" s="66" t="str" cm="1">
        <f t="array" ref="D119">_xlfn.IFNA(_xlfn.XLOOKUP(NameCodingTable[[#This Row],[Code]]&amp;NameCodingTable[[#This Row],[maxyear]],allFYsTable[Code]&amp;allFYsTable[year2], allFYsTable[Category]), "")</f>
        <v>Other</v>
      </c>
      <c r="E119" s="3" t="str" cm="1">
        <f t="array" ref="E119">_xlfn.TEXTJOIN(", ", TRUE, _xlfn.UNIQUE(IF(allFYsTable[Code] = NameCodingTable[[#This Row],[Code]], allFYsTable[Unit], "")))</f>
        <v>Housing finance agency, Housing   finance  agency, Housing  finance agency</v>
      </c>
      <c r="F119" s="66" t="s">
        <v>299</v>
      </c>
      <c r="G119" s="66" t="s">
        <v>1431</v>
      </c>
    </row>
    <row r="120" spans="2:7" x14ac:dyDescent="0.45">
      <c r="B120" t="s">
        <v>878</v>
      </c>
      <c r="C120" s="3">
        <f>_xlfn.MAXIFS(allFYsTable[year2], allFYsTable[Code], NameCodingTable[[#This Row],[Code]])</f>
        <v>2014</v>
      </c>
      <c r="D120" s="66" t="str" cm="1">
        <f t="array" ref="D120">_xlfn.IFNA(_xlfn.XLOOKUP(NameCodingTable[[#This Row],[Code]]&amp;NameCodingTable[[#This Row],[maxyear]],allFYsTable[Code]&amp;allFYsTable[year2], allFYsTable[Category]), "")</f>
        <v>Governmental direction and support</v>
      </c>
      <c r="E120" s="3" t="str" cm="1">
        <f t="array" ref="E120">_xlfn.TEXTJOIN(", ", TRUE, _xlfn.UNIQUE(IF(allFYsTable[Code] = NameCodingTable[[#This Row],[Code]], allFYsTable[Unit], "")))</f>
        <v>The innovation fund</v>
      </c>
      <c r="F120" s="66" t="s">
        <v>283</v>
      </c>
      <c r="G120" s="66" t="s">
        <v>1431</v>
      </c>
    </row>
    <row r="121" spans="2:7" x14ac:dyDescent="0.45">
      <c r="B121" t="s">
        <v>877</v>
      </c>
      <c r="C121" s="3">
        <f>_xlfn.MAXIFS(allFYsTable[year2], allFYsTable[Code], NameCodingTable[[#This Row],[Code]])</f>
        <v>2014</v>
      </c>
      <c r="D121" s="66" t="str" cm="1">
        <f t="array" ref="D121">_xlfn.IFNA(_xlfn.XLOOKUP(NameCodingTable[[#This Row],[Code]]&amp;NameCodingTable[[#This Row],[maxyear]],allFYsTable[Code]&amp;allFYsTable[year2], allFYsTable[Category]), "")</f>
        <v>Economic development ond regulation:</v>
      </c>
      <c r="E121" s="3" t="str" cm="1">
        <f t="array" ref="E121">_xlfn.TEXTJOIN(", ", TRUE, _xlfn.UNIQUE(IF(allFYsTable[Code] = NameCodingTable[[#This Row],[Code]], allFYsTable[Unit], "")))</f>
        <v>Insurance regulation, lnsurance regulation, Insurance   regulation, Insurance  regulation, Insurance regulations</v>
      </c>
      <c r="F121" s="66" t="s">
        <v>288</v>
      </c>
      <c r="G121" s="66" t="s">
        <v>1431</v>
      </c>
    </row>
    <row r="122" spans="2:7" x14ac:dyDescent="0.45">
      <c r="B122" t="s">
        <v>850</v>
      </c>
      <c r="C122" s="3">
        <f>_xlfn.MAXIFS(allFYsTable[year2], allFYsTable[Code], NameCodingTable[[#This Row],[Code]])</f>
        <v>2012</v>
      </c>
      <c r="D122" s="66" t="str" cm="1">
        <f t="array" ref="D122">_xlfn.IFNA(_xlfn.XLOOKUP(NameCodingTable[[#This Row],[Code]]&amp;NameCodingTable[[#This Row],[maxyear]],allFYsTable[Code]&amp;allFYsTable[year2], allFYsTable[Category]), "")</f>
        <v>Other</v>
      </c>
      <c r="E122" s="3" t="str" cm="1">
        <f t="array" ref="E122">_xlfn.TEXTJOIN(", ", TRUE, _xlfn.UNIQUE(IF(allFYsTable[Code] = NameCodingTable[[#This Row],[Code]], allFYsTable[Unit], "")))</f>
        <v>Baseball dedicated  tax transfer, Baseball dedicated  tax   transfer, Baseball  dedicated   tax  transfer, Baseball  dedicated  tax transfer</v>
      </c>
      <c r="F122" s="66" t="s">
        <v>995</v>
      </c>
      <c r="G122" s="66" t="s">
        <v>1431</v>
      </c>
    </row>
    <row r="123" spans="2:7" x14ac:dyDescent="0.45">
      <c r="B123" t="s">
        <v>854</v>
      </c>
      <c r="C123" s="3">
        <f>_xlfn.MAXIFS(allFYsTable[year2], allFYsTable[Code], NameCodingTable[[#This Row],[Code]])</f>
        <v>2012</v>
      </c>
      <c r="D123" s="66" t="str" cm="1">
        <f t="array" ref="D123">_xlfn.IFNA(_xlfn.XLOOKUP(NameCodingTable[[#This Row],[Code]]&amp;NameCodingTable[[#This Row],[maxyear]],allFYsTable[Code]&amp;allFYsTable[year2], allFYsTable[Category]), "")</f>
        <v>Public Safety and justice</v>
      </c>
      <c r="E123" s="3" t="str" cm="1">
        <f t="array" ref="E123">_xlfn.TEXTJOIN(", ", TRUE, _xlfn.UNIQUE(IF(allFYsTable[Code] = NameCodingTable[[#This Row],[Code]], allFYsTable[Unit], "")))</f>
        <v>Office of victim services, Office  of  victim  services</v>
      </c>
      <c r="F123" s="66" t="s">
        <v>358</v>
      </c>
      <c r="G123" s="66" t="s">
        <v>1431</v>
      </c>
    </row>
    <row r="124" spans="2:7" x14ac:dyDescent="0.45">
      <c r="B124" t="s">
        <v>852</v>
      </c>
      <c r="C124" s="3">
        <f>_xlfn.MAXIFS(allFYsTable[year2], allFYsTable[Code], NameCodingTable[[#This Row],[Code]])</f>
        <v>2011</v>
      </c>
      <c r="D124" s="66" t="str" cm="1">
        <f t="array" ref="D124">_xlfn.IFNA(_xlfn.XLOOKUP(NameCodingTable[[#This Row],[Code]]&amp;NameCodingTable[[#This Row],[maxyear]],allFYsTable[Code]&amp;allFYsTable[year2], allFYsTable[Category]), "")</f>
        <v>Governmental direction support</v>
      </c>
      <c r="E124" s="3" t="str" cm="1">
        <f t="array" ref="E124">_xlfn.TEXTJOIN(", ", TRUE, _xlfn.UNIQUE(IF(allFYsTable[Code] = NameCodingTable[[#This Row],[Code]], allFYsTable[Unit], "")))</f>
        <v>Access   to  justice</v>
      </c>
      <c r="F124" s="66" t="s">
        <v>386</v>
      </c>
      <c r="G124" s="66" t="s">
        <v>1431</v>
      </c>
    </row>
    <row r="125" spans="2:7" x14ac:dyDescent="0.45">
      <c r="B125" t="s">
        <v>853</v>
      </c>
      <c r="C125" s="3">
        <f>_xlfn.MAXIFS(allFYsTable[year2], allFYsTable[Code], NameCodingTable[[#This Row],[Code]])</f>
        <v>2011</v>
      </c>
      <c r="D125" s="66" t="str" cm="1">
        <f t="array" ref="D125">_xlfn.IFNA(_xlfn.XLOOKUP(NameCodingTable[[#This Row],[Code]]&amp;NameCodingTable[[#This Row],[maxyear]],allFYsTable[Code]&amp;allFYsTable[year2], allFYsTable[Category]), "")</f>
        <v>Public safety and justice</v>
      </c>
      <c r="E125" s="3" t="str" cm="1">
        <f t="array" ref="E125">_xlfn.TEXTJOIN(", ", TRUE, _xlfn.UNIQUE(IF(allFYsTable[Code] = NameCodingTable[[#This Row],[Code]], allFYsTable[Unit], "")))</f>
        <v>Motor vehicle theft prevention commission, Motor  vehicle  theft  prevention   commission</v>
      </c>
      <c r="F125" s="66" t="s">
        <v>419</v>
      </c>
      <c r="G125" s="66" t="s">
        <v>1431</v>
      </c>
    </row>
    <row r="126" spans="2:7" x14ac:dyDescent="0.45">
      <c r="B126" t="s">
        <v>855</v>
      </c>
      <c r="C126" s="3">
        <f>_xlfn.MAXIFS(allFYsTable[year2], allFYsTable[Code], NameCodingTable[[#This Row],[Code]])</f>
        <v>2011</v>
      </c>
      <c r="D126" s="66" t="str" cm="1">
        <f t="array" ref="D126">_xlfn.IFNA(_xlfn.XLOOKUP(NameCodingTable[[#This Row],[Code]]&amp;NameCodingTable[[#This Row],[maxyear]],allFYsTable[Code]&amp;allFYsTable[year2], allFYsTable[Category]), "")</f>
        <v>Public education system</v>
      </c>
      <c r="E126" s="3" t="str" cm="1">
        <f t="array" ref="E126">_xlfn.TEXTJOIN(", ", TRUE, _xlfn.UNIQUE(IF(allFYsTable[Code] = NameCodingTable[[#This Row],[Code]], allFYsTable[Unit], "")))</f>
        <v>Public education facilities modernization, Office of Public Education facilities modernization, Office  of   public   education   facilities  modernization</v>
      </c>
      <c r="F126" s="66" t="s">
        <v>432</v>
      </c>
      <c r="G126" s="66" t="s">
        <v>1431</v>
      </c>
    </row>
    <row r="127" spans="2:7" x14ac:dyDescent="0.45">
      <c r="B127" t="s">
        <v>879</v>
      </c>
      <c r="C127" s="3">
        <f>_xlfn.MAXIFS(allFYsTable[year2], allFYsTable[Code], NameCodingTable[[#This Row],[Code]])</f>
        <v>2011</v>
      </c>
      <c r="D127" s="66" t="str" cm="1">
        <f t="array" ref="D127">_xlfn.IFNA(_xlfn.XLOOKUP(NameCodingTable[[#This Row],[Code]]&amp;NameCodingTable[[#This Row],[maxyear]],allFYsTable[Code]&amp;allFYsTable[year2], allFYsTable[Category]), "")</f>
        <v>Other</v>
      </c>
      <c r="E127" s="3" t="str" cm="1">
        <f t="array" ref="E127">_xlfn.TEXTJOIN(", ", TRUE, _xlfn.UNIQUE(IF(allFYsTable[Code] = NameCodingTable[[#This Row],[Code]], allFYsTable[Unit], "")))</f>
        <v>Cash  reserve</v>
      </c>
      <c r="F127" s="66" t="s">
        <v>472</v>
      </c>
      <c r="G127" s="66" t="s">
        <v>1431</v>
      </c>
    </row>
    <row r="128" spans="2:7" x14ac:dyDescent="0.45">
      <c r="B128" t="s">
        <v>851</v>
      </c>
      <c r="C128" s="3">
        <f>_xlfn.MAXIFS(allFYsTable[year2], allFYsTable[Code], NameCodingTable[[#This Row],[Code]])</f>
        <v>2011</v>
      </c>
      <c r="D128" s="66" t="str" cm="1">
        <f t="array" ref="D128">_xlfn.IFNA(_xlfn.XLOOKUP(NameCodingTable[[#This Row],[Code]]&amp;NameCodingTable[[#This Row],[maxyear]],allFYsTable[Code]&amp;allFYsTable[year2], allFYsTable[Category]), "")</f>
        <v>Governmental direction support</v>
      </c>
      <c r="E128" s="3" t="str" cm="1">
        <f t="array" ref="E128">_xlfn.TEXTJOIN(", ", TRUE, _xlfn.UNIQUE(IF(allFYsTable[Code] = NameCodingTable[[#This Row],[Code]], allFYsTable[Unit], "")))</f>
        <v>Municipal   facilities:   non-capital</v>
      </c>
      <c r="F128" s="66" t="s">
        <v>385</v>
      </c>
      <c r="G128" s="66" t="s">
        <v>1431</v>
      </c>
    </row>
    <row r="129" spans="2:7" x14ac:dyDescent="0.45">
      <c r="B129" t="s">
        <v>858</v>
      </c>
      <c r="C129" s="3">
        <f>_xlfn.MAXIFS(allFYsTable[year2], allFYsTable[Code], NameCodingTable[[#This Row],[Code]])</f>
        <v>2010</v>
      </c>
      <c r="D129" s="66" t="str" cm="1">
        <f t="array" ref="D129">_xlfn.IFNA(_xlfn.XLOOKUP(NameCodingTable[[#This Row],[Code]]&amp;NameCodingTable[[#This Row],[maxyear]],allFYsTable[Code]&amp;allFYsTable[year2], allFYsTable[Category]), "")</f>
        <v>Governmental direction and support</v>
      </c>
      <c r="E129" s="3" t="str" cm="1">
        <f t="array" ref="E129">_xlfn.TEXTJOIN(", ", TRUE, _xlfn.UNIQUE(IF(allFYsTable[Code] = NameCodingTable[[#This Row],[Code]], allFYsTable[Unit], "")))</f>
        <v>Office of partnership und grant services, Office of partnership and grant services</v>
      </c>
      <c r="F129" s="66" t="s">
        <v>490</v>
      </c>
      <c r="G129" s="66" t="s">
        <v>1431</v>
      </c>
    </row>
    <row r="130" spans="2:7" x14ac:dyDescent="0.45">
      <c r="B130" t="s">
        <v>834</v>
      </c>
      <c r="C130" s="3">
        <f>_xlfn.MAXIFS(allFYsTable[year2], allFYsTable[Code], NameCodingTable[[#This Row],[Code]])</f>
        <v>2010</v>
      </c>
      <c r="D130" s="66" t="str" cm="1">
        <f t="array" ref="D130">_xlfn.IFNA(_xlfn.XLOOKUP(NameCodingTable[[#This Row],[Code]]&amp;NameCodingTable[[#This Row],[maxyear]],allFYsTable[Code]&amp;allFYsTable[year2], allFYsTable[Category]), "")</f>
        <v>Other</v>
      </c>
      <c r="E130" s="3" t="str" cm="1">
        <f t="array" ref="E130">_xlfn.TEXTJOIN(", ", TRUE, _xlfn.UNIQUE(IF(allFYsTable[Code] = NameCodingTable[[#This Row],[Code]], allFYsTable[Unit], "")))</f>
        <v>Cash reserve</v>
      </c>
      <c r="F130" s="66" t="s">
        <v>545</v>
      </c>
      <c r="G130" s="66" t="s">
        <v>1431</v>
      </c>
    </row>
    <row r="131" spans="2:7" x14ac:dyDescent="0.45">
      <c r="B131" t="s">
        <v>856</v>
      </c>
      <c r="C131" s="3">
        <f>_xlfn.MAXIFS(allFYsTable[year2], allFYsTable[Code], NameCodingTable[[#This Row],[Code]])</f>
        <v>2010</v>
      </c>
      <c r="D131" s="66" t="str" cm="1">
        <f t="array" ref="D131">_xlfn.IFNA(_xlfn.XLOOKUP(NameCodingTable[[#This Row],[Code]]&amp;NameCodingTable[[#This Row],[maxyear]],allFYsTable[Code]&amp;allFYsTable[year2], allFYsTable[Category]), "")</f>
        <v>Governmental direction and support</v>
      </c>
      <c r="E131" s="3" t="str" cm="1">
        <f t="array" ref="E131">_xlfn.TEXTJOIN(", ", TRUE, _xlfn.UNIQUE(IF(allFYsTable[Code] = NameCodingTable[[#This Row],[Code]], allFYsTable[Unit], "")))</f>
        <v>Office of community affairs, Office or community affair</v>
      </c>
      <c r="F131" s="66" t="s">
        <v>488</v>
      </c>
      <c r="G131" s="66" t="s">
        <v>1431</v>
      </c>
    </row>
    <row r="132" spans="2:7" x14ac:dyDescent="0.45">
      <c r="B132" t="s">
        <v>857</v>
      </c>
      <c r="C132" s="3">
        <f>_xlfn.MAXIFS(allFYsTable[year2], allFYsTable[Code], NameCodingTable[[#This Row],[Code]])</f>
        <v>2010</v>
      </c>
      <c r="D132" s="66" t="str" cm="1">
        <f t="array" ref="D132">_xlfn.IFNA(_xlfn.XLOOKUP(NameCodingTable[[#This Row],[Code]]&amp;NameCodingTable[[#This Row],[maxyear]],allFYsTable[Code]&amp;allFYsTable[year2], allFYsTable[Category]), "")</f>
        <v>Governmental direction and support</v>
      </c>
      <c r="E132" s="3" t="str" cm="1">
        <f t="array" ref="E132">_xlfn.TEXTJOIN(", ", TRUE, _xlfn.UNIQUE(IF(allFYsTable[Code] = NameCodingTable[[#This Row],[Code]], allFYsTable[Unit], "")))</f>
        <v>Serve DC, Serve  dc</v>
      </c>
      <c r="F132" s="66" t="s">
        <v>489</v>
      </c>
      <c r="G132" s="66" t="s">
        <v>1431</v>
      </c>
    </row>
    <row r="133" spans="2:7" x14ac:dyDescent="0.45">
      <c r="B133" t="s">
        <v>1036</v>
      </c>
      <c r="C133" s="3">
        <f>_xlfn.MAXIFS(allFYsTable[year2], allFYsTable[Code], NameCodingTable[[#This Row],[Code]])</f>
        <v>2010</v>
      </c>
      <c r="D133" s="66" t="str" cm="1">
        <f t="array" ref="D133">_xlfn.IFNA(_xlfn.XLOOKUP(NameCodingTable[[#This Row],[Code]]&amp;NameCodingTable[[#This Row],[maxyear]],allFYsTable[Code]&amp;allFYsTable[year2], allFYsTable[Category]), "")</f>
        <v>Public education system</v>
      </c>
      <c r="E133" s="3" t="str" cm="1">
        <f t="array" ref="E133">_xlfn.TEXTJOIN(", ", TRUE, _xlfn.UNIQUE(IF(allFYsTable[Code] = NameCodingTable[[#This Row],[Code]], allFYsTable[Unit], "")))</f>
        <v>AY11 advance  appropriations</v>
      </c>
      <c r="F133" s="66" t="s">
        <v>1009</v>
      </c>
      <c r="G133" s="66" t="s">
        <v>1431</v>
      </c>
    </row>
    <row r="134" spans="2:7" x14ac:dyDescent="0.45">
      <c r="B134" t="s">
        <v>880</v>
      </c>
      <c r="C134" s="3">
        <f>_xlfn.MAXIFS(allFYsTable[year2], allFYsTable[Code], NameCodingTable[[#This Row],[Code]])</f>
        <v>2010</v>
      </c>
      <c r="D134" s="66" t="str" cm="1">
        <f t="array" ref="D134">_xlfn.IFNA(_xlfn.XLOOKUP(NameCodingTable[[#This Row],[Code]]&amp;NameCodingTable[[#This Row],[maxyear]],allFYsTable[Code]&amp;allFYsTable[year2], allFYsTable[Category]), "")</f>
        <v>Governmental direction and support</v>
      </c>
      <c r="E134" s="3" t="str" cm="1">
        <f t="array" ref="E134">_xlfn.TEXTJOIN(", ", TRUE, _xlfn.UNIQUE(IF(allFYsTable[Code] = NameCodingTable[[#This Row],[Code]], allFYsTable[Unit], "")))</f>
        <v>Not  for  profit  hospital</v>
      </c>
      <c r="F134" s="66" t="s">
        <v>493</v>
      </c>
      <c r="G134" s="66" t="s">
        <v>1431</v>
      </c>
    </row>
    <row r="135" spans="2:7" x14ac:dyDescent="0.45">
      <c r="B135" t="s">
        <v>863</v>
      </c>
      <c r="C135" s="3">
        <f>_xlfn.MAXIFS(allFYsTable[year2], allFYsTable[Code], NameCodingTable[[#This Row],[Code]])</f>
        <v>2009</v>
      </c>
      <c r="D135" s="66" t="str" cm="1">
        <f t="array" ref="D135">_xlfn.IFNA(_xlfn.XLOOKUP(NameCodingTable[[#This Row],[Code]]&amp;NameCodingTable[[#This Row],[maxyear]],allFYsTable[Code]&amp;allFYsTable[year2], allFYsTable[Category]), "")</f>
        <v>Economic development and regulation</v>
      </c>
      <c r="E135" s="3" t="str" cm="1">
        <f t="array" ref="E135">_xlfn.TEXTJOIN(", ", TRUE, _xlfn.UNIQUE(IF(allFYsTable[Code] = NameCodingTable[[#This Row],[Code]], allFYsTable[Unit], "")))</f>
        <v>DC sports commission subsidy</v>
      </c>
      <c r="F135" s="66" t="s">
        <v>576</v>
      </c>
      <c r="G135" s="66" t="s">
        <v>1431</v>
      </c>
    </row>
    <row r="136" spans="2:7" x14ac:dyDescent="0.45">
      <c r="B136" t="s">
        <v>882</v>
      </c>
      <c r="C136" s="3">
        <f>_xlfn.MAXIFS(allFYsTable[year2], allFYsTable[Code], NameCodingTable[[#This Row],[Code]])</f>
        <v>2009</v>
      </c>
      <c r="D136" s="66" t="str" cm="1">
        <f t="array" ref="D136">_xlfn.IFNA(_xlfn.XLOOKUP(NameCodingTable[[#This Row],[Code]]&amp;NameCodingTable[[#This Row],[maxyear]],allFYsTable[Code]&amp;allFYsTable[year2], allFYsTable[Category]), "")</f>
        <v>Other</v>
      </c>
      <c r="E136" s="3" t="str" cm="1">
        <f t="array" ref="E136">_xlfn.TEXTJOIN(", ", TRUE, _xlfn.UNIQUE(IF(allFYsTable[Code] = NameCodingTable[[#This Row],[Code]], allFYsTable[Unit], "")))</f>
        <v>Account  receivable write off</v>
      </c>
      <c r="F136" s="66" t="s">
        <v>633</v>
      </c>
      <c r="G136" s="66" t="s">
        <v>1431</v>
      </c>
    </row>
    <row r="137" spans="2:7" x14ac:dyDescent="0.45">
      <c r="B137" t="s">
        <v>1053</v>
      </c>
      <c r="C137" s="3">
        <f>_xlfn.MAXIFS(allFYsTable[year2], allFYsTable[Code], NameCodingTable[[#This Row],[Code]])</f>
        <v>2009</v>
      </c>
      <c r="D137" s="66" t="str" cm="1">
        <f t="array" ref="D137">_xlfn.IFNA(_xlfn.XLOOKUP(NameCodingTable[[#This Row],[Code]]&amp;NameCodingTable[[#This Row],[maxyear]],allFYsTable[Code]&amp;allFYsTable[year2], allFYsTable[Category]), "")</f>
        <v>Other</v>
      </c>
      <c r="E137" s="3" t="str" cm="1">
        <f t="array" ref="E137">_xlfn.TEXTJOIN(", ", TRUE, _xlfn.UNIQUE(IF(allFYsTable[Code] = NameCodingTable[[#This Row],[Code]], allFYsTable[Unit], "")))</f>
        <v>Community health fund transfer</v>
      </c>
      <c r="F137" s="66" t="s">
        <v>635</v>
      </c>
      <c r="G137" s="66" t="s">
        <v>1431</v>
      </c>
    </row>
    <row r="138" spans="2:7" x14ac:dyDescent="0.45">
      <c r="B138" t="s">
        <v>881</v>
      </c>
      <c r="C138" s="3">
        <f>_xlfn.MAXIFS(allFYsTable[year2], allFYsTable[Code], NameCodingTable[[#This Row],[Code]])</f>
        <v>2009</v>
      </c>
      <c r="D138" s="66" t="str" cm="1">
        <f t="array" ref="D138">_xlfn.IFNA(_xlfn.XLOOKUP(NameCodingTable[[#This Row],[Code]]&amp;NameCodingTable[[#This Row],[maxyear]],allFYsTable[Code]&amp;allFYsTable[year2], allFYsTable[Category]), "")</f>
        <v>Human support services</v>
      </c>
      <c r="E138" s="3" t="str" cm="1">
        <f t="array" ref="E138">_xlfn.TEXTJOIN(", ", TRUE, _xlfn.UNIQUE(IF(allFYsTable[Code] = NameCodingTable[[#This Row],[Code]], allFYsTable[Unit], "")))</f>
        <v>Child and family services medicaid write off, Child &amp; family services medicaid  write off</v>
      </c>
      <c r="F138" s="66" t="s">
        <v>608</v>
      </c>
      <c r="G138" s="66" t="s">
        <v>1431</v>
      </c>
    </row>
    <row r="139" spans="2:7" x14ac:dyDescent="0.45">
      <c r="B139" t="s">
        <v>883</v>
      </c>
      <c r="C139" s="3">
        <f>_xlfn.MAXIFS(allFYsTable[year2], allFYsTable[Code], NameCodingTable[[#This Row],[Code]])</f>
        <v>2008</v>
      </c>
      <c r="D139" s="66" t="str" cm="1">
        <f t="array" ref="D139">_xlfn.IFNA(_xlfn.XLOOKUP(NameCodingTable[[#This Row],[Code]]&amp;NameCodingTable[[#This Row],[maxyear]],allFYsTable[Code]&amp;allFYsTable[year2], allFYsTable[Category]), "")</f>
        <v>Public education system</v>
      </c>
      <c r="E139" s="3" t="str" cm="1">
        <f t="array" ref="E139">_xlfn.TEXTJOIN(", ", TRUE, _xlfn.UNIQUE(IF(allFYsTable[Code] = NameCodingTable[[#This Row],[Code]], allFYsTable[Unit], "")))</f>
        <v>Public schools medicaid write off</v>
      </c>
      <c r="F139" s="66" t="s">
        <v>661</v>
      </c>
      <c r="G139" s="66" t="s">
        <v>1431</v>
      </c>
    </row>
    <row r="140" spans="2:7" x14ac:dyDescent="0.45">
      <c r="B140" t="s">
        <v>1039</v>
      </c>
      <c r="C140" s="3">
        <f>_xlfn.MAXIFS(allFYsTable[year2], allFYsTable[Code], NameCodingTable[[#This Row],[Code]])</f>
        <v>2008</v>
      </c>
      <c r="D140" s="66" t="str" cm="1">
        <f t="array" ref="D140">_xlfn.IFNA(_xlfn.XLOOKUP(NameCodingTable[[#This Row],[Code]]&amp;NameCodingTable[[#This Row],[maxyear]],allFYsTable[Code]&amp;allFYsTable[year2], allFYsTable[Category]), "")</f>
        <v>Public education system</v>
      </c>
      <c r="E140" s="3" t="str" cm="1">
        <f t="array" ref="E140">_xlfn.TEXTJOIN(", ", TRUE, _xlfn.UNIQUE(IF(allFYsTable[Code] = NameCodingTable[[#This Row],[Code]], allFYsTable[Unit], "")))</f>
        <v>Special education AY09</v>
      </c>
      <c r="F140" s="66" t="s">
        <v>665</v>
      </c>
      <c r="G140" s="66" t="s">
        <v>1431</v>
      </c>
    </row>
    <row r="141" spans="2:7" x14ac:dyDescent="0.45">
      <c r="B141" t="s">
        <v>827</v>
      </c>
      <c r="C141" s="3">
        <f>_xlfn.MAXIFS(allFYsTable[year2], allFYsTable[Code], NameCodingTable[[#This Row],[Code]])</f>
        <v>2007</v>
      </c>
      <c r="D141" s="66" t="str" cm="1">
        <f t="array" ref="D141">_xlfn.IFNA(_xlfn.XLOOKUP(NameCodingTable[[#This Row],[Code]]&amp;NameCodingTable[[#This Row],[maxyear]],allFYsTable[Code]&amp;allFYsTable[year2], allFYsTable[Category]), "")</f>
        <v>Economic development and regulation</v>
      </c>
      <c r="E141" s="3" t="str" cm="1">
        <f t="array" ref="E141">_xlfn.TEXTJOIN(", ", TRUE, _xlfn.UNIQUE(IF(allFYsTable[Code] = NameCodingTable[[#This Row],[Code]], allFYsTable[Unit], "")))</f>
        <v>Anacostia waterfront corp</v>
      </c>
      <c r="F141" s="66" t="s">
        <v>679</v>
      </c>
      <c r="G141" s="66" t="s">
        <v>1431</v>
      </c>
    </row>
    <row r="142" spans="2:7" x14ac:dyDescent="0.45">
      <c r="B142" t="s">
        <v>835</v>
      </c>
      <c r="C142" s="3">
        <f>_xlfn.MAXIFS(allFYsTable[year2], allFYsTable[Code], NameCodingTable[[#This Row],[Code]])</f>
        <v>2007</v>
      </c>
      <c r="D142" s="66" t="str" cm="1">
        <f t="array" ref="D142">_xlfn.IFNA(_xlfn.XLOOKUP(NameCodingTable[[#This Row],[Code]]&amp;NameCodingTable[[#This Row],[maxyear]],allFYsTable[Code]&amp;allFYsTable[year2], allFYsTable[Category]), "")</f>
        <v>Other</v>
      </c>
      <c r="E142" s="3" t="str" cm="1">
        <f t="array" ref="E142">_xlfn.TEXTJOIN(", ", TRUE, _xlfn.UNIQUE(IF(allFYsTable[Code] = NameCodingTable[[#This Row],[Code]], allFYsTable[Unit], "")))</f>
        <v>Storm water</v>
      </c>
      <c r="F142" s="66" t="s">
        <v>686</v>
      </c>
      <c r="G142" s="66" t="s">
        <v>1431</v>
      </c>
    </row>
    <row r="143" spans="2:7" x14ac:dyDescent="0.45">
      <c r="B143" t="s">
        <v>884</v>
      </c>
      <c r="C143" s="3">
        <f>_xlfn.MAXIFS(allFYsTable[year2], allFYsTable[Code], NameCodingTable[[#This Row],[Code]])</f>
        <v>2007</v>
      </c>
      <c r="D143" s="66" t="str" cm="1">
        <f t="array" ref="D143">_xlfn.IFNA(_xlfn.XLOOKUP(NameCodingTable[[#This Row],[Code]]&amp;NameCodingTable[[#This Row],[maxyear]],allFYsTable[Code]&amp;allFYsTable[year2], allFYsTable[Category]), "")</f>
        <v>Human support services</v>
      </c>
      <c r="E143" s="3" t="str" cm="1">
        <f t="array" ref="E143">_xlfn.TEXTJOIN(", ", TRUE, _xlfn.UNIQUE(IF(allFYsTable[Code] = NameCodingTable[[#This Row],[Code]], allFYsTable[Unit], "")))</f>
        <v>Write off mental health receiveable</v>
      </c>
      <c r="F143" s="66" t="s">
        <v>684</v>
      </c>
      <c r="G143" s="66" t="s">
        <v>1431</v>
      </c>
    </row>
    <row r="144" spans="2:7" x14ac:dyDescent="0.45">
      <c r="B144" t="s">
        <v>1041</v>
      </c>
      <c r="C144" s="3">
        <f>_xlfn.MAXIFS(allFYsTable[year2], allFYsTable[Code], NameCodingTable[[#This Row],[Code]])</f>
        <v>2007</v>
      </c>
      <c r="D144" s="66" t="str" cm="1">
        <f t="array" ref="D144">_xlfn.IFNA(_xlfn.XLOOKUP(NameCodingTable[[#This Row],[Code]]&amp;NameCodingTable[[#This Row],[maxyear]],allFYsTable[Code]&amp;allFYsTable[year2], allFYsTable[Category]), "")</f>
        <v>Human support services</v>
      </c>
      <c r="E144" s="3" t="str" cm="1">
        <f t="array" ref="E144">_xlfn.TEXTJOIN(", ", TRUE, _xlfn.UNIQUE(IF(allFYsTable[Code] = NameCodingTable[[#This Row],[Code]], allFYsTable[Unit], "")))</f>
        <v>Medical reserve</v>
      </c>
      <c r="F144" s="66" t="s">
        <v>683</v>
      </c>
      <c r="G144" s="66" t="s">
        <v>1431</v>
      </c>
    </row>
    <row r="145" spans="1:7" x14ac:dyDescent="0.45">
      <c r="B145" t="s">
        <v>885</v>
      </c>
      <c r="C145" s="3">
        <f>_xlfn.MAXIFS(allFYsTable[year2], allFYsTable[Code], NameCodingTable[[#This Row],[Code]])</f>
        <v>2007</v>
      </c>
      <c r="D145" s="66" t="str" cm="1">
        <f t="array" ref="D145">_xlfn.IFNA(_xlfn.XLOOKUP(NameCodingTable[[#This Row],[Code]]&amp;NameCodingTable[[#This Row],[maxyear]],allFYsTable[Code]&amp;allFYsTable[year2], allFYsTable[Category]), "")</f>
        <v>Other</v>
      </c>
      <c r="E145" s="3" t="str" cm="1">
        <f t="array" ref="E145">_xlfn.TEXTJOIN(", ", TRUE, _xlfn.UNIQUE(IF(allFYsTable[Code] = NameCodingTable[[#This Row],[Code]], allFYsTable[Unit], "")))</f>
        <v>One-time expenditures</v>
      </c>
      <c r="F145" s="66" t="s">
        <v>685</v>
      </c>
      <c r="G145" s="66" t="s">
        <v>1431</v>
      </c>
    </row>
    <row r="146" spans="1:7" x14ac:dyDescent="0.45">
      <c r="B146" t="s">
        <v>837</v>
      </c>
      <c r="C146" s="3">
        <f>_xlfn.MAXIFS(allFYsTable[year2], allFYsTable[Code], NameCodingTable[[#This Row],[Code]])</f>
        <v>2006</v>
      </c>
      <c r="D146" s="66" t="str" cm="1">
        <f t="array" ref="D146">_xlfn.IFNA(_xlfn.XLOOKUP(NameCodingTable[[#This Row],[Code]]&amp;NameCodingTable[[#This Row],[maxyear]],allFYsTable[Code]&amp;allFYsTable[year2], allFYsTable[Category]), "")</f>
        <v>Public education system</v>
      </c>
      <c r="E146" s="3" t="str" cm="1">
        <f t="array" ref="E146">_xlfn.TEXTJOIN(", ", TRUE, _xlfn.UNIQUE(IF(allFYsTable[Code] = NameCodingTable[[#This Row],[Code]], allFYsTable[Unit], "")))</f>
        <v>District educational investment fund</v>
      </c>
      <c r="F146" s="66" t="s">
        <v>691</v>
      </c>
      <c r="G146" s="66" t="s">
        <v>1431</v>
      </c>
    </row>
    <row r="147" spans="1:7" x14ac:dyDescent="0.45">
      <c r="B147" t="s">
        <v>838</v>
      </c>
      <c r="C147" s="3">
        <f>_xlfn.MAXIFS(allFYsTable[year2], allFYsTable[Code], NameCodingTable[[#This Row],[Code]])</f>
        <v>2006</v>
      </c>
      <c r="D147" s="66" t="str" cm="1">
        <f t="array" ref="D147">_xlfn.IFNA(_xlfn.XLOOKUP(NameCodingTable[[#This Row],[Code]]&amp;NameCodingTable[[#This Row],[maxyear]],allFYsTable[Code]&amp;allFYsTable[year2], allFYsTable[Category]), "")</f>
        <v>Public education system</v>
      </c>
      <c r="E147" s="3" t="str" cm="1">
        <f t="array" ref="E147">_xlfn.TEXTJOIN(", ", TRUE, _xlfn.UNIQUE(IF(allFYsTable[Code] = NameCodingTable[[#This Row],[Code]], allFYsTable[Unit], "")))</f>
        <v>District charter school investment fund</v>
      </c>
      <c r="F147" s="66" t="s">
        <v>692</v>
      </c>
      <c r="G147" s="66" t="s">
        <v>1431</v>
      </c>
    </row>
    <row r="148" spans="1:7" x14ac:dyDescent="0.45">
      <c r="B148" t="s">
        <v>1054</v>
      </c>
      <c r="C148" s="3">
        <f>_xlfn.MAXIFS(allFYsTable[year2], allFYsTable[Code], NameCodingTable[[#This Row],[Code]])</f>
        <v>2006</v>
      </c>
      <c r="D148" s="66" t="str" cm="1">
        <f t="array" ref="D148">_xlfn.IFNA(_xlfn.XLOOKUP(NameCodingTable[[#This Row],[Code]]&amp;NameCodingTable[[#This Row],[maxyear]],allFYsTable[Code]&amp;allFYsTable[year2], allFYsTable[Category]), "")</f>
        <v>Other</v>
      </c>
      <c r="E148" s="3" t="str" cm="1">
        <f t="array" ref="E148">_xlfn.TEXTJOIN(", ", TRUE, _xlfn.UNIQUE(IF(allFYsTable[Code] = NameCodingTable[[#This Row],[Code]], allFYsTable[Unit], "")))</f>
        <v>Tax increment financing</v>
      </c>
      <c r="F148" s="66" t="s">
        <v>1019</v>
      </c>
      <c r="G148" s="66" t="s">
        <v>1431</v>
      </c>
    </row>
    <row r="149" spans="1:7" x14ac:dyDescent="0.45">
      <c r="B149" t="s">
        <v>1046</v>
      </c>
      <c r="C149" s="3">
        <f>_xlfn.MAXIFS(allFYsTable[year2], allFYsTable[Code], NameCodingTable[[#This Row],[Code]])</f>
        <v>2005</v>
      </c>
      <c r="D149" s="66" t="str" cm="1">
        <f t="array" ref="D149">_xlfn.IFNA(_xlfn.XLOOKUP(NameCodingTable[[#This Row],[Code]]&amp;NameCodingTable[[#This Row],[maxyear]],allFYsTable[Code]&amp;allFYsTable[year2], allFYsTable[Category]), "")</f>
        <v>Other</v>
      </c>
      <c r="E149" s="3" t="str" cm="1">
        <f t="array" ref="E149">_xlfn.TEXTJOIN(", ", TRUE, _xlfn.UNIQUE(IF(allFYsTable[Code] = NameCodingTable[[#This Row],[Code]], allFYsTable[Unit], "")))</f>
        <v>Contigency reserve baseball</v>
      </c>
      <c r="F149" s="66" t="s">
        <v>696</v>
      </c>
      <c r="G149" s="66" t="s">
        <v>1431</v>
      </c>
    </row>
    <row r="150" spans="1:7" x14ac:dyDescent="0.45">
      <c r="B150" t="s">
        <v>1045</v>
      </c>
      <c r="C150" s="3">
        <f>_xlfn.MAXIFS(allFYsTable[year2], allFYsTable[Code], NameCodingTable[[#This Row],[Code]])</f>
        <v>2005</v>
      </c>
      <c r="D150" s="66" t="str" cm="1">
        <f t="array" ref="D150">_xlfn.IFNA(_xlfn.XLOOKUP(NameCodingTable[[#This Row],[Code]]&amp;NameCodingTable[[#This Row],[maxyear]],allFYsTable[Code]&amp;allFYsTable[year2], allFYsTable[Category]), "")</f>
        <v>Other</v>
      </c>
      <c r="E150" s="3" t="str" cm="1">
        <f t="array" ref="E150">_xlfn.TEXTJOIN(", ", TRUE, _xlfn.UNIQUE(IF(allFYsTable[Code] = NameCodingTable[[#This Row],[Code]], allFYsTable[Unit], "")))</f>
        <v>Pay go contingency</v>
      </c>
      <c r="F150" s="66" t="s">
        <v>1044</v>
      </c>
      <c r="G150" s="66" t="s">
        <v>1431</v>
      </c>
    </row>
    <row r="151" spans="1:7" x14ac:dyDescent="0.45">
      <c r="A151" s="3">
        <v>8</v>
      </c>
      <c r="B151" s="3" t="s">
        <v>706</v>
      </c>
      <c r="C151" s="3">
        <f>_xlfn.MAXIFS(allFYsTable[year2], allFYsTable[Code], NameCodingTable[[#This Row],[Code]])</f>
        <v>2025</v>
      </c>
      <c r="D151" s="66" t="str" cm="1">
        <f t="array" ref="D151">_xlfn.IFNA(_xlfn.XLOOKUP(NameCodingTable[[#This Row],[Code]]&amp;NameCodingTable[[#This Row],[maxyear]],allFYsTable[Code]&amp;allFYsTable[year2], allFYsTable[Category]), "")</f>
        <v>Governmental direction and support</v>
      </c>
      <c r="E151" s="3" t="str" cm="1">
        <f t="array" ref="E151">_xlfn.TEXTJOIN(", ", TRUE, _xlfn.UNIQUE(IF(allFYsTable[Code] = NameCodingTable[[#This Row],[Code]], allFYsTable[Unit], "")))</f>
        <v>Employee disbility compensation, Employee disability compensation, Disability  compensation   fund, Disability   compensation   fund, Disability  compensation  fund, Employees compensation fund, Employees' compensation fund, Employees’ compensation fund</v>
      </c>
      <c r="F151" s="66" t="s">
        <v>1312</v>
      </c>
      <c r="G151" s="3" t="s">
        <v>1432</v>
      </c>
    </row>
    <row r="152" spans="1:7" x14ac:dyDescent="0.45">
      <c r="A152" s="3">
        <v>90</v>
      </c>
      <c r="B152" s="3" t="s">
        <v>783</v>
      </c>
      <c r="C152" s="3">
        <f>_xlfn.MAXIFS(allFYsTable[year2], allFYsTable[Code], NameCodingTable[[#This Row],[Code]])</f>
        <v>2025</v>
      </c>
      <c r="D152" s="66" t="str" cm="1">
        <f t="array" ref="D152">_xlfn.IFNA(_xlfn.XLOOKUP(NameCodingTable[[#This Row],[Code]]&amp;NameCodingTable[[#This Row],[maxyear]],allFYsTable[Code]&amp;allFYsTable[year2], allFYsTable[Category]), "")</f>
        <v>Public education system</v>
      </c>
      <c r="E152" s="3" t="str" cm="1">
        <f t="array" ref="E152">_xlfn.TEXTJOIN(", ", TRUE, _xlfn.UNIQUE(IF(allFYsTable[Code] = NameCodingTable[[#This Row],[Code]], allFYsTable[Unit], "")))</f>
        <v>Unemployment compensation contribution, Unemployrment compensation contribution, Unemployment  compensation  fund, Unemployment    compensation    fund, Unemployment compensation fund</v>
      </c>
      <c r="F152" s="66" t="s">
        <v>1283</v>
      </c>
      <c r="G152" s="3" t="s">
        <v>1432</v>
      </c>
    </row>
    <row r="153" spans="1:7" x14ac:dyDescent="0.45">
      <c r="A153" s="3">
        <v>132</v>
      </c>
      <c r="B153" s="3" t="s">
        <v>815</v>
      </c>
      <c r="C153" s="3">
        <f>_xlfn.MAXIFS(allFYsTable[year2], allFYsTable[Code], NameCodingTable[[#This Row],[Code]])</f>
        <v>2025</v>
      </c>
      <c r="D153" s="66" t="str" cm="1">
        <f t="array" ref="D153">_xlfn.IFNA(_xlfn.XLOOKUP(NameCodingTable[[#This Row],[Code]]&amp;NameCodingTable[[#This Row],[maxyear]],allFYsTable[Code]&amp;allFYsTable[year2], allFYsTable[Category]), "")</f>
        <v>Governmental direction and support</v>
      </c>
      <c r="E153" s="3" t="str" cm="1">
        <f t="array" ref="E153">_xlfn.TEXTJOIN(", ", TRUE, _xlfn.UNIQUE(IF(allFYsTable[Code] = NameCodingTable[[#This Row],[Code]], allFYsTable[Unit], "")))</f>
        <v>Non-departmental agency, Non-departmental, Non-departmenial, Non departmental, Non-departmental account</v>
      </c>
      <c r="F153" s="66" t="s">
        <v>1254</v>
      </c>
      <c r="G153" s="3" t="s">
        <v>1432</v>
      </c>
    </row>
    <row r="154" spans="1:7" x14ac:dyDescent="0.45">
      <c r="A154" s="3">
        <v>117</v>
      </c>
      <c r="B154" s="3" t="s">
        <v>775</v>
      </c>
      <c r="C154" s="3">
        <f>_xlfn.MAXIFS(allFYsTable[year2], allFYsTable[Code], NameCodingTable[[#This Row],[Code]])</f>
        <v>2025</v>
      </c>
      <c r="D154" s="66" t="str" cm="1">
        <f t="array" ref="D154">_xlfn.IFNA(_xlfn.XLOOKUP(NameCodingTable[[#This Row],[Code]]&amp;NameCodingTable[[#This Row],[maxyear]],allFYsTable[Code]&amp;allFYsTable[year2], allFYsTable[Category]), "")</f>
        <v>Debt service - issuance costs</v>
      </c>
      <c r="E154" s="3" t="str" cm="1">
        <f t="array" ref="E154">_xlfn.TEXTJOIN(", ", TRUE, _xlfn.UNIQUE(IF(allFYsTable[Code] = NameCodingTable[[#This Row],[Code]], allFYsTable[Unit], "")))</f>
        <v>Repayments of bonds and interest, Repayment  of bonds and interest, Repayment  of  loans  and  interest, Repayment   of  loans  and  interest, _x000D__x000D_
Repayment of loans and interest, Repayment of loans and interest</v>
      </c>
      <c r="F154" s="66" t="s">
        <v>1269</v>
      </c>
      <c r="G154" s="3" t="s">
        <v>1432</v>
      </c>
    </row>
    <row r="155" spans="1:7" x14ac:dyDescent="0.45">
      <c r="A155" s="3">
        <v>123</v>
      </c>
      <c r="B155" s="3" t="s">
        <v>829</v>
      </c>
      <c r="C155" s="3">
        <f>_xlfn.MAXIFS(allFYsTable[year2], allFYsTable[Code], NameCodingTable[[#This Row],[Code]])</f>
        <v>2025</v>
      </c>
      <c r="D155" s="66" t="str" cm="1">
        <f t="array" ref="D155">_xlfn.IFNA(_xlfn.XLOOKUP(NameCodingTable[[#This Row],[Code]]&amp;NameCodingTable[[#This Row],[maxyear]],allFYsTable[Code]&amp;allFYsTable[year2], allFYsTable[Category]), "")</f>
        <v>Debt service - issuance costs</v>
      </c>
      <c r="E155" s="3" t="str" cm="1">
        <f t="array" ref="E155">_xlfn.TEXTJOIN(", ", TRUE, _xlfn.UNIQUE(IF(allFYsTable[Code] = NameCodingTable[[#This Row],[Code]], allFYsTable[Unit], "")))</f>
        <v>Repay revenue bonds  and interest, Repayment  of  revenue  bonds, Repayment   of  revenue   bonds, Repayment of revenue bonds</v>
      </c>
      <c r="F155" s="66" t="s">
        <v>1263</v>
      </c>
      <c r="G155" s="3" t="s">
        <v>1432</v>
      </c>
    </row>
    <row r="156" spans="1:7" x14ac:dyDescent="0.45">
      <c r="A156" s="3">
        <v>11</v>
      </c>
      <c r="B156" s="3" t="s">
        <v>709</v>
      </c>
      <c r="C156" s="3">
        <f>_xlfn.MAXIFS(allFYsTable[year2], allFYsTable[Code], NameCodingTable[[#This Row],[Code]])</f>
        <v>2025</v>
      </c>
      <c r="D156" s="66" t="str" cm="1">
        <f t="array" ref="D156">_xlfn.IFNA(_xlfn.XLOOKUP(NameCodingTable[[#This Row],[Code]]&amp;NameCodingTable[[#This Row],[maxyear]],allFYsTable[Code]&amp;allFYsTable[year2], allFYsTable[Category]), "")</f>
        <v>Governmental direction and support</v>
      </c>
      <c r="E156" s="3" t="str" cm="1">
        <f t="array" ref="E156">_xlfn.TEXTJOIN(", ", TRUE, _xlfn.UNIQUE(IF(allFYsTable[Code] = NameCodingTable[[#This Row],[Code]], allFYsTable[Unit], "")))</f>
        <v>Council of government, Council of governments, Metropolitan wash council of governments, Metropolitan   wash  council   of   governments, Metropolitan  wash council  of governments, Metropolitan  wash council of governments, Metropolitan washington council of governments</v>
      </c>
      <c r="F156" s="66" t="s">
        <v>1315</v>
      </c>
      <c r="G156" s="3" t="s">
        <v>1432</v>
      </c>
    </row>
    <row r="157" spans="1:7" x14ac:dyDescent="0.45">
      <c r="A157" s="3">
        <v>126</v>
      </c>
      <c r="B157" s="3" t="s">
        <v>812</v>
      </c>
      <c r="C157" s="3">
        <f>_xlfn.MAXIFS(allFYsTable[year2], allFYsTable[Code], NameCodingTable[[#This Row],[Code]])</f>
        <v>2025</v>
      </c>
      <c r="D157" s="66" t="str" cm="1">
        <f t="array" ref="D157">_xlfn.IFNA(_xlfn.XLOOKUP(NameCodingTable[[#This Row],[Code]]&amp;NameCodingTable[[#This Row],[maxyear]],allFYsTable[Code]&amp;allFYsTable[year2], allFYsTable[Category]), "")</f>
        <v>Governmental direction and support</v>
      </c>
      <c r="E157" s="3" t="str" cm="1">
        <f t="array" ref="E157">_xlfn.TEXTJOIN(", ", TRUE, _xlfn.UNIQUE(IF(allFYsTable[Code] = NameCodingTable[[#This Row],[Code]], allFYsTable[Unit], "")))</f>
        <v>Emergency planning  and security costs, Emergency planning   and  security  cost, Emergency  planning and security  costs, Emergency  planning and  security  costs, Emergency planning and security fund</v>
      </c>
      <c r="F157" s="66" t="s">
        <v>1260</v>
      </c>
      <c r="G157" s="3" t="s">
        <v>1432</v>
      </c>
    </row>
    <row r="158" spans="1:7" x14ac:dyDescent="0.45">
      <c r="A158" s="3">
        <v>124</v>
      </c>
      <c r="B158" s="3" t="s">
        <v>810</v>
      </c>
      <c r="C158" s="3">
        <f>_xlfn.MAXIFS(allFYsTable[year2], allFYsTable[Code], NameCodingTable[[#This Row],[Code]])</f>
        <v>2025</v>
      </c>
      <c r="D158" s="66" t="str" cm="1">
        <f t="array" ref="D158">_xlfn.IFNA(_xlfn.XLOOKUP(NameCodingTable[[#This Row],[Code]]&amp;NameCodingTable[[#This Row],[maxyear]],allFYsTable[Code]&amp;allFYsTable[year2], allFYsTable[Category]), "")</f>
        <v>Governmental direction and support</v>
      </c>
      <c r="E158" s="3" t="str" cm="1">
        <f t="array" ref="E158">_xlfn.TEXTJOIN(", ", TRUE, _xlfn.UNIQUE(IF(allFYsTable[Code] = NameCodingTable[[#This Row],[Code]], allFYsTable[Unit], "")))</f>
        <v>Convention center transfer dedicated taxes, Convention center   transfer-dedicated   taxes, Convention  center  transfer-dedicated  taxes, Convention  center  transfer-dedicated taxes, Convention center transfer</v>
      </c>
      <c r="F158" s="66" t="s">
        <v>1262</v>
      </c>
      <c r="G158" s="3" t="s">
        <v>1432</v>
      </c>
    </row>
    <row r="159" spans="1:7" x14ac:dyDescent="0.45">
      <c r="A159" s="3">
        <v>73</v>
      </c>
      <c r="B159" s="3" t="s">
        <v>768</v>
      </c>
      <c r="C159" s="3">
        <f>_xlfn.MAXIFS(allFYsTable[year2], allFYsTable[Code], NameCodingTable[[#This Row],[Code]])</f>
        <v>2025</v>
      </c>
      <c r="D159" s="66" t="str" cm="1">
        <f t="array" ref="D159">_xlfn.IFNA(_xlfn.XLOOKUP(NameCodingTable[[#This Row],[Code]]&amp;NameCodingTable[[#This Row],[maxyear]],allFYsTable[Code]&amp;allFYsTable[year2], allFYsTable[Category]), "")</f>
        <v>Public safety and justice</v>
      </c>
      <c r="E159" s="3" t="str" cm="1">
        <f t="array" ref="E159">_xlfn.TEXTJOIN(", ", TRUE, _xlfn.UNIQUE(IF(allFYsTable[Code] = NameCodingTable[[#This Row],[Code]], allFYsTable[Unit], "")))</f>
        <v>Police and firefighter retirment contribution, Police and firefighter retirement contribution, Police  and    firefighter  retirement  system, Police   and  firefighter   retirement   system, Police and firefighter  retirement  system, Police and firefighter  retirement system, Police  &amp; firefighters retirment system, Police officers &amp; firefighters retirment system, Police officersÂ· &amp; firefightersÂ·retirement system, Police officersÂ· &amp; firefighters' retirement system, Police officers' &amp; firefighters' retirement system, Police officers' and firefighters' retirement system, Police officers' and fire fighters' retirement system, Police officers’ and fire fighters’ retirement system</v>
      </c>
      <c r="F159" s="66" t="s">
        <v>1294</v>
      </c>
      <c r="G159" s="3" t="s">
        <v>1432</v>
      </c>
    </row>
    <row r="160" spans="1:7" x14ac:dyDescent="0.45">
      <c r="A160" s="3">
        <v>91</v>
      </c>
      <c r="B160" s="3" t="s">
        <v>784</v>
      </c>
      <c r="C160" s="3">
        <f>_xlfn.MAXIFS(allFYsTable[year2], allFYsTable[Code], NameCodingTable[[#This Row],[Code]])</f>
        <v>2025</v>
      </c>
      <c r="D160" s="66" t="str" cm="1">
        <f t="array" ref="D160">_xlfn.IFNA(_xlfn.XLOOKUP(NameCodingTable[[#This Row],[Code]]&amp;NameCodingTable[[#This Row],[maxyear]],allFYsTable[Code]&amp;allFYsTable[year2], allFYsTable[Category]), "")</f>
        <v>Public education system</v>
      </c>
      <c r="E160" s="3" t="str" cm="1">
        <f t="array" ref="E160">_xlfn.TEXTJOIN(", ", TRUE, _xlfn.UNIQUE(IF(allFYsTable[Code] = NameCodingTable[[#This Row],[Code]], allFYsTable[Unit], "")))</f>
        <v>University, University  of  the  district  of  columbia, University  of   the  district  of   columbia, University  of the district of columbia, University of the district of columbia subsidy, University of the Distnct of Columbia subsidy account, University of the District of Columbia subsidy account</v>
      </c>
      <c r="F160" s="66" t="s">
        <v>1282</v>
      </c>
      <c r="G160" s="3" t="s">
        <v>1432</v>
      </c>
    </row>
    <row r="161" spans="1:7" x14ac:dyDescent="0.45">
      <c r="A161" s="3">
        <v>84</v>
      </c>
      <c r="B161" s="3" t="s">
        <v>777</v>
      </c>
      <c r="C161" s="3">
        <f>_xlfn.MAXIFS(allFYsTable[year2], allFYsTable[Code], NameCodingTable[[#This Row],[Code]])</f>
        <v>2025</v>
      </c>
      <c r="D161" s="66" t="str" cm="1">
        <f t="array" ref="D161">_xlfn.IFNA(_xlfn.XLOOKUP(NameCodingTable[[#This Row],[Code]]&amp;NameCodingTable[[#This Row],[maxyear]],allFYsTable[Code]&amp;allFYsTable[year2], allFYsTable[Category]), "")</f>
        <v>Public education system</v>
      </c>
      <c r="E161" s="3" t="str" cm="1">
        <f t="array" ref="E161">_xlfn.TEXTJOIN(", ", TRUE, _xlfn.UNIQUE(IF(allFYsTable[Code] = NameCodingTable[[#This Row],[Code]], allFYsTable[Unit], "")))</f>
        <v>Non-public tuition, Non-public   tuition, Non-public  tuition, NON - public tuition</v>
      </c>
      <c r="F161" s="66" t="s">
        <v>1288</v>
      </c>
      <c r="G161" s="3" t="s">
        <v>1432</v>
      </c>
    </row>
    <row r="162" spans="1:7" x14ac:dyDescent="0.45">
      <c r="A162" s="3">
        <v>89</v>
      </c>
      <c r="B162" s="3" t="s">
        <v>782</v>
      </c>
      <c r="C162" s="3">
        <f>_xlfn.MAXIFS(allFYsTable[year2], allFYsTable[Code], NameCodingTable[[#This Row],[Code]])</f>
        <v>2025</v>
      </c>
      <c r="D162" s="66" t="str" cm="1">
        <f t="array" ref="D162">_xlfn.IFNA(_xlfn.XLOOKUP(NameCodingTable[[#This Row],[Code]]&amp;NameCodingTable[[#This Row],[maxyear]],allFYsTable[Code]&amp;allFYsTable[year2], allFYsTable[Category]), "")</f>
        <v>Public education system</v>
      </c>
      <c r="E162" s="3" t="str" cm="1">
        <f t="array" ref="E162">_xlfn.TEXTJOIN(", ", TRUE, _xlfn.UNIQUE(IF(allFYsTable[Code] = NameCodingTable[[#This Row],[Code]], allFYsTable[Unit], "")))</f>
        <v>Teachers retirment contribution, Teachers' retirerment contribution, Teachers retirement system, Teacher's   retirement   system, Teachers  retirement  system, Teacher's  retirement  system, Teachers retirement fund, TeachersÂ· retirement fund, Teachers' retirement fund, Teachers' retirement system, Teachers’ retirement system</v>
      </c>
      <c r="F162" s="66" t="s">
        <v>1284</v>
      </c>
      <c r="G162" s="3" t="s">
        <v>1432</v>
      </c>
    </row>
    <row r="163" spans="1:7" x14ac:dyDescent="0.45">
      <c r="A163" s="3">
        <v>42</v>
      </c>
      <c r="B163" s="3" t="s">
        <v>740</v>
      </c>
      <c r="C163" s="3">
        <f>_xlfn.MAXIFS(allFYsTable[year2], allFYsTable[Code], NameCodingTable[[#This Row],[Code]])</f>
        <v>2025</v>
      </c>
      <c r="D163" s="66" t="str" cm="1">
        <f t="array" ref="D163">_xlfn.IFNA(_xlfn.XLOOKUP(NameCodingTable[[#This Row],[Code]]&amp;NameCodingTable[[#This Row],[maxyear]],allFYsTable[Code]&amp;allFYsTable[year2], allFYsTable[Category]), "")</f>
        <v>Economic development and regulation</v>
      </c>
      <c r="E163" s="3" t="str" cm="1">
        <f t="array" ref="E163">_xlfn.TEXTJOIN(", ", TRUE, _xlfn.UNIQUE(IF(allFYsTable[Code] = NameCodingTable[[#This Row],[Code]], allFYsTable[Unit], "")))</f>
        <v>Housing production trust fund subsidy, Housing production  trusl  fund subsidy, Housing  production  trust and subsidy, Housing   production   trust   fund   subsidy, Housing production  trust fund subsidy, Housing production trust fund</v>
      </c>
      <c r="F163" s="66" t="s">
        <v>1345</v>
      </c>
      <c r="G163" s="3" t="s">
        <v>1432</v>
      </c>
    </row>
    <row r="164" spans="1:7" x14ac:dyDescent="0.45">
      <c r="A164" s="3">
        <v>100</v>
      </c>
      <c r="B164" s="3" t="s">
        <v>792</v>
      </c>
      <c r="C164" s="3">
        <f>_xlfn.MAXIFS(allFYsTable[year2], allFYsTable[Code], NameCodingTable[[#This Row],[Code]])</f>
        <v>2025</v>
      </c>
      <c r="D164" s="66" t="str" cm="1">
        <f t="array" ref="D164">_xlfn.IFNA(_xlfn.XLOOKUP(NameCodingTable[[#This Row],[Code]]&amp;NameCodingTable[[#This Row],[maxyear]],allFYsTable[Code]&amp;allFYsTable[year2], allFYsTable[Category]), "")</f>
        <v>Human support services</v>
      </c>
      <c r="E164" s="3" t="str" cm="1">
        <f t="array" ref="E164">_xlfn.TEXTJOIN(", ", TRUE, _xlfn.UNIQUE(IF(allFYsTable[Code] = NameCodingTable[[#This Row],[Code]], allFYsTable[Unit], "")))</f>
        <v>Not-for-profit  hospital  corp, Not-for.profit hospital  corp, Not for profit hospital corporation subsidy, Not-for.profit hospital corporation subsidy, Not-for-profit hospital corporation subsidy</v>
      </c>
      <c r="F164" s="66" t="s">
        <v>1277</v>
      </c>
      <c r="G164" s="3" t="s">
        <v>1432</v>
      </c>
    </row>
    <row r="165" spans="1:7" x14ac:dyDescent="0.45">
      <c r="A165" s="3">
        <v>41</v>
      </c>
      <c r="B165" s="3" t="s">
        <v>739</v>
      </c>
      <c r="C165" s="3">
        <f>_xlfn.MAXIFS(allFYsTable[year2], allFYsTable[Code], NameCodingTable[[#This Row],[Code]])</f>
        <v>2025</v>
      </c>
      <c r="D165" s="66" t="str" cm="1">
        <f t="array" ref="D165">_xlfn.IFNA(_xlfn.XLOOKUP(NameCodingTable[[#This Row],[Code]]&amp;NameCodingTable[[#This Row],[maxyear]],allFYsTable[Code]&amp;allFYsTable[year2], allFYsTable[Category]), "")</f>
        <v>Economic development and regulation</v>
      </c>
      <c r="E165" s="3" t="str" cm="1">
        <f t="array" ref="E165">_xlfn.TEXTJOIN(", ", TRUE, _xlfn.UNIQUE(IF(allFYsTable[Code] = NameCodingTable[[#This Row],[Code]], allFYsTable[Unit], "")))</f>
        <v>Housing authority subsidy, Housing  authority  subsidy, Housing   authority   subsidy, Housing authority  subsidy</v>
      </c>
      <c r="F165" s="66" t="s">
        <v>1344</v>
      </c>
      <c r="G165" s="3" t="s">
        <v>1432</v>
      </c>
    </row>
    <row r="166" spans="1:7" x14ac:dyDescent="0.45">
      <c r="A166" s="3">
        <v>37</v>
      </c>
      <c r="B166" s="3" t="s">
        <v>734</v>
      </c>
      <c r="C166" s="3">
        <f>_xlfn.MAXIFS(allFYsTable[year2], allFYsTable[Code], NameCodingTable[[#This Row],[Code]])</f>
        <v>2025</v>
      </c>
      <c r="D166" s="66" t="str" cm="1">
        <f t="array" ref="D166">_xlfn.IFNA(_xlfn.XLOOKUP(NameCodingTable[[#This Row],[Code]]&amp;NameCodingTable[[#This Row],[maxyear]],allFYsTable[Code]&amp;allFYsTable[year2], allFYsTable[Category]), "")</f>
        <v>Economic development and regulation</v>
      </c>
      <c r="E166" s="3" t="str" cm="1">
        <f t="array" ref="E166">_xlfn.TEXTJOIN(", ", TRUE, _xlfn.UNIQUE(IF(allFYsTable[Code] = NameCodingTable[[#This Row],[Code]], allFYsTable[Unit], "")))</f>
        <v>Business improvement districts transfer, Business   improvement   districts   transfer, Business  improvement  districts  transfer, Business improvement  districts transfer</v>
      </c>
      <c r="F166" s="66" t="s">
        <v>1340</v>
      </c>
      <c r="G166" s="3" t="s">
        <v>1432</v>
      </c>
    </row>
    <row r="167" spans="1:7" x14ac:dyDescent="0.45">
      <c r="A167" s="3">
        <v>115</v>
      </c>
      <c r="B167" s="3" t="s">
        <v>808</v>
      </c>
      <c r="C167" s="3">
        <f>_xlfn.MAXIFS(allFYsTable[year2], allFYsTable[Code], NameCodingTable[[#This Row],[Code]])</f>
        <v>2025</v>
      </c>
      <c r="D167" s="66" t="str" cm="1">
        <f t="array" ref="D167">_xlfn.IFNA(_xlfn.XLOOKUP(NameCodingTable[[#This Row],[Code]]&amp;NameCodingTable[[#This Row],[maxyear]],allFYsTable[Code]&amp;allFYsTable[year2], allFYsTable[Category]), "")</f>
        <v>Operations and infrastructure</v>
      </c>
      <c r="E167" s="3" t="str" cm="1">
        <f t="array" ref="E167">_xlfn.TEXTJOIN(", ", TRUE, _xlfn.UNIQUE(IF(allFYsTable[Code] = NameCodingTable[[#This Row],[Code]], allFYsTable[Unit], "")))</f>
        <v>Washington metropolitan area transit commission, Washington metropolitan  area transit commis;;ion, Washington  metro  area  transit  commission, Washington   metro   area   transit   commission, Washington metro area transit commission, Washington metro area tansit commission, Washington metropolitan area transit_x000D__x000D_
commission</v>
      </c>
      <c r="F167" s="66" t="s">
        <v>1271</v>
      </c>
      <c r="G167" s="3" t="s">
        <v>1432</v>
      </c>
    </row>
    <row r="168" spans="1:7" x14ac:dyDescent="0.45">
      <c r="A168" s="3">
        <v>116</v>
      </c>
      <c r="B168" s="3" t="s">
        <v>807</v>
      </c>
      <c r="C168" s="3">
        <f>_xlfn.MAXIFS(allFYsTable[year2], allFYsTable[Code], NameCodingTable[[#This Row],[Code]])</f>
        <v>2025</v>
      </c>
      <c r="D168" s="66" t="str" cm="1">
        <f t="array" ref="D168">_xlfn.IFNA(_xlfn.XLOOKUP(NameCodingTable[[#This Row],[Code]]&amp;NameCodingTable[[#This Row],[maxyear]],allFYsTable[Code]&amp;allFYsTable[year2], allFYsTable[Category]), "")</f>
        <v>Operations and infrastructure</v>
      </c>
      <c r="E168" s="3" t="str" cm="1">
        <f t="array" ref="E168">_xlfn.TEXTJOIN(", ", TRUE, _xlfn.UNIQUE(IF(allFYsTable[Code] = NameCodingTable[[#This Row],[Code]], allFYsTable[Unit], "")))</f>
        <v>Washington metropolitan area transit authority, School transit subsidy, Washington metropolitan  area transit authority, Mass transit subsidies, School transit subsidies, Mass  transit   subsidies</v>
      </c>
      <c r="F168" s="66" t="s">
        <v>1270</v>
      </c>
      <c r="G168" s="3" t="s">
        <v>1432</v>
      </c>
    </row>
    <row r="169" spans="1:7" x14ac:dyDescent="0.45">
      <c r="A169" s="3">
        <v>125</v>
      </c>
      <c r="B169" s="3" t="s">
        <v>813</v>
      </c>
      <c r="C169" s="3">
        <f>_xlfn.MAXIFS(allFYsTable[year2], allFYsTable[Code], NameCodingTable[[#This Row],[Code]])</f>
        <v>2025</v>
      </c>
      <c r="D169" s="66" t="str" cm="1">
        <f t="array" ref="D169">_xlfn.IFNA(_xlfn.XLOOKUP(NameCodingTable[[#This Row],[Code]]&amp;NameCodingTable[[#This Row],[maxyear]],allFYsTable[Code]&amp;allFYsTable[year2], allFYsTable[Category]), "")</f>
        <v>Transfer out</v>
      </c>
      <c r="E169" s="3" t="str" cm="1">
        <f t="array" ref="E169">_xlfn.TEXTJOIN(", ", TRUE, _xlfn.UNIQUE(IF(allFYsTable[Code] = NameCodingTable[[#This Row],[Code]], allFYsTable[Unit], "")))</f>
        <v>Highway trust fund transfer, Highway   trust  fund  transfer, Highway  trust fund  transfer, Highway transportation fund, Highway transportation fund - transfers</v>
      </c>
      <c r="F169" s="66" t="s">
        <v>1261</v>
      </c>
      <c r="G169" s="3" t="s">
        <v>1432</v>
      </c>
    </row>
    <row r="170" spans="1:7" x14ac:dyDescent="0.45">
      <c r="A170" s="3">
        <v>129</v>
      </c>
      <c r="B170" s="3" t="s">
        <v>816</v>
      </c>
      <c r="C170" s="3">
        <f>_xlfn.MAXIFS(allFYsTable[year2], allFYsTable[Code], NameCodingTable[[#This Row],[Code]])</f>
        <v>2025</v>
      </c>
      <c r="D170" s="66" t="str" cm="1">
        <f t="array" ref="D170">_xlfn.IFNA(_xlfn.XLOOKUP(NameCodingTable[[#This Row],[Code]]&amp;NameCodingTable[[#This Row],[maxyear]],allFYsTable[Code]&amp;allFYsTable[year2], allFYsTable[Category]), "")</f>
        <v>Transfer out</v>
      </c>
      <c r="E170" s="3" t="str" cm="1">
        <f t="array" ref="E170">_xlfn.TEXTJOIN(", ", TRUE, _xlfn.UNIQUE(IF(allFYsTable[Code] = NameCodingTable[[#This Row],[Code]], allFYsTable[Unit], "")))</f>
        <v>Pay- go capital, Pay-go capital, Pay-go  capital, Pay-as-you-go capital fund, Pay-as.you-go capital fund</v>
      </c>
      <c r="F170" s="66" t="s">
        <v>1257</v>
      </c>
      <c r="G170" s="3" t="s">
        <v>1432</v>
      </c>
    </row>
    <row r="171" spans="1:7" x14ac:dyDescent="0.45">
      <c r="A171" s="3">
        <v>122</v>
      </c>
      <c r="B171" s="3" t="s">
        <v>811</v>
      </c>
      <c r="C171" s="3">
        <f>_xlfn.MAXIFS(allFYsTable[year2], allFYsTable[Code], NameCodingTable[[#This Row],[Code]])</f>
        <v>2025</v>
      </c>
      <c r="D171" s="66" t="str" cm="1">
        <f t="array" ref="D171">_xlfn.IFNA(_xlfn.XLOOKUP(NameCodingTable[[#This Row],[Code]]&amp;NameCodingTable[[#This Row],[maxyear]],allFYsTable[Code]&amp;allFYsTable[year2], allFYsTable[Category]), "")</f>
        <v>Human support services</v>
      </c>
      <c r="E171" s="3" t="str" cm="1">
        <f t="array" ref="E171">_xlfn.TEXTJOIN(", ", TRUE, _xlfn.UNIQUE(IF(allFYsTable[Code] = NameCodingTable[[#This Row],[Code]], allFYsTable[Unit], "")))</f>
        <v>District retiree health contribution, District  retiree  health contribution, District  retiree   health   contribution, District retiree health  contribution, DC retiree health contribution, D.C. retiree health contribution, D.C. retiree health contlibution</v>
      </c>
      <c r="F171" s="66" t="s">
        <v>1264</v>
      </c>
      <c r="G171" s="3" t="s">
        <v>1432</v>
      </c>
    </row>
    <row r="172" spans="1:7" x14ac:dyDescent="0.45">
      <c r="A172" s="3">
        <v>9.5</v>
      </c>
      <c r="B172" s="3" t="s">
        <v>822</v>
      </c>
      <c r="C172" s="3">
        <f>_xlfn.MAXIFS(allFYsTable[year2], allFYsTable[Code], NameCodingTable[[#This Row],[Code]])</f>
        <v>2025</v>
      </c>
      <c r="D172" s="66" t="str" cm="1">
        <f t="array" ref="D172">_xlfn.IFNA(_xlfn.XLOOKUP(NameCodingTable[[#This Row],[Code]]&amp;NameCodingTable[[#This Row],[maxyear]],allFYsTable[Code]&amp;allFYsTable[year2], allFYsTable[Category]), "")</f>
        <v>Governmental direction and support</v>
      </c>
      <c r="E172" s="3" t="str" cm="1">
        <f t="array" ref="E172">_xlfn.TEXTJOIN(", ", TRUE, _xlfn.UNIQUE(IF(allFYsTable[Code] = NameCodingTable[[#This Row],[Code]], allFYsTable[Unit], "")))</f>
        <v>Presidential  inauguration, Inaugural expenses</v>
      </c>
      <c r="F172" s="66" t="s">
        <v>1394</v>
      </c>
      <c r="G172" s="3" t="s">
        <v>1432</v>
      </c>
    </row>
    <row r="173" spans="1:7" x14ac:dyDescent="0.45">
      <c r="A173" s="3">
        <v>127</v>
      </c>
      <c r="B173" s="3" t="s">
        <v>821</v>
      </c>
      <c r="C173" s="3">
        <f>_xlfn.MAXIFS(allFYsTable[year2], allFYsTable[Code], NameCodingTable[[#This Row],[Code]])</f>
        <v>2025</v>
      </c>
      <c r="D173" s="66" t="str" cm="1">
        <f t="array" ref="D173">_xlfn.IFNA(_xlfn.XLOOKUP(NameCodingTable[[#This Row],[Code]]&amp;NameCodingTable[[#This Row],[maxyear]],allFYsTable[Code]&amp;allFYsTable[year2], allFYsTable[Category]), "")</f>
        <v>Governmental direction and support</v>
      </c>
      <c r="E173" s="3" t="str" cm="1">
        <f t="array" ref="E173">_xlfn.TEXTJOIN(", ", TRUE, _xlfn.UNIQUE(IF(allFYsTable[Code] = NameCodingTable[[#This Row],[Code]], allFYsTable[Unit], "")))</f>
        <v>Workforce investment, Workforce  investments, Workforce investments, Workforce investment council, Workforce investments account</v>
      </c>
      <c r="F173" s="66" t="s">
        <v>1259</v>
      </c>
      <c r="G173" s="3" t="s">
        <v>1432</v>
      </c>
    </row>
    <row r="174" spans="1:7" x14ac:dyDescent="0.45">
      <c r="A174" s="3">
        <v>79</v>
      </c>
      <c r="B174" s="3" t="s">
        <v>869</v>
      </c>
      <c r="C174" s="3">
        <f>_xlfn.MAXIFS(allFYsTable[year2], allFYsTable[Code], NameCodingTable[[#This Row],[Code]])</f>
        <v>2025</v>
      </c>
      <c r="D174" s="66" t="str" cm="1">
        <f t="array" ref="D174">_xlfn.IFNA(_xlfn.XLOOKUP(NameCodingTable[[#This Row],[Code]]&amp;NameCodingTable[[#This Row],[maxyear]],allFYsTable[Code]&amp;allFYsTable[year2], allFYsTable[Category]), "")</f>
        <v>Public education system</v>
      </c>
      <c r="E174" s="3" t="str" cm="1">
        <f t="array" ref="E174">_xlfn.TEXTJOIN(", ", TRUE, _xlfn.UNIQUE(IF(allFYsTable[Code] = NameCodingTable[[#This Row],[Code]], allFYsTable[Unit], "")))</f>
        <v>AY06 public charter expenditure, AY07 public charter expenditure, AY08 public charter expenditure, AY09 public charter expenditure, AY10  public charter school expenditure, AY 11  public charter school  advance  appropriations, AY12  public  charter  school   advance   appropriations, AYl3 public charter school advance appropriations, AY14 public charter school advance appropriations, AY15 public charter school advance appropriations, AY16 public charter school advance apprpriations, AY17  public charter school advance appropriations, AY18 public charter school advance appropriations, AY19 public charter school advance appropriations, AY20 public charter school advance appropriations, AY21 public charter school advance appropriations, AY22 public charter school advance appropriations, AY23 public charter school advance appropriations, AY24 public charter school advance appropnations, AYXX Public Charter School Advance Appropriations, AY26 public charter school advance appropriations</v>
      </c>
      <c r="F174" s="66" t="s">
        <v>1291</v>
      </c>
      <c r="G174" s="3" t="s">
        <v>1432</v>
      </c>
    </row>
    <row r="175" spans="1:7" x14ac:dyDescent="0.45">
      <c r="A175" s="3">
        <v>81</v>
      </c>
      <c r="B175" s="3" t="s">
        <v>870</v>
      </c>
      <c r="C175" s="3">
        <f>_xlfn.MAXIFS(allFYsTable[year2], allFYsTable[Code], NameCodingTable[[#This Row],[Code]])</f>
        <v>2025</v>
      </c>
      <c r="D175" s="66" t="str" cm="1">
        <f t="array" ref="D175">_xlfn.IFNA(_xlfn.XLOOKUP(NameCodingTable[[#This Row],[Code]]&amp;NameCodingTable[[#This Row],[maxyear]],allFYsTable[Code]&amp;allFYsTable[year2], allFYsTable[Category]), "")</f>
        <v>Public education system</v>
      </c>
      <c r="E175" s="3" t="str" cm="1">
        <f t="array" ref="E175">_xlfn.TEXTJOIN(", ", TRUE, _xlfn.UNIQUE(IF(allFYsTable[Code] = NameCodingTable[[#This Row],[Code]], allFYsTable[Unit], "")))</f>
        <v>AY06 public school expenditure, AY07 public school expenditure, AY08 public school expenditure, AY09 public school expenditure, AY I0 public school expenditure, AY 11 public  school  advance  appropriations, AY12   public  school  advance   appropriations, AYI3 public school advance appropriations, AY15 public school advance appropriations, AY16 public school advance appropriations, AY17 public school advance appropriations, AY18 public school advance appropriations, AY19 public school advance appropriations, AY20 public school advance appropriations, AY21 public school advance appropriations, AY22 public school advance appropriations, AY23 public school advance appropnations, AY24 public school advance appropriations, AYXX Public School Advance Appropriations, AY26 public school advance appropriations</v>
      </c>
      <c r="F175" s="66" t="s">
        <v>1290</v>
      </c>
      <c r="G175" s="3" t="s">
        <v>1432</v>
      </c>
    </row>
    <row r="176" spans="1:7" x14ac:dyDescent="0.45">
      <c r="A176" s="3">
        <v>118</v>
      </c>
      <c r="B176" s="3" t="s">
        <v>817</v>
      </c>
      <c r="C176" s="3">
        <f>_xlfn.MAXIFS(allFYsTable[year2], allFYsTable[Code], NameCodingTable[[#This Row],[Code]])</f>
        <v>2025</v>
      </c>
      <c r="D176" s="66" t="str" cm="1">
        <f t="array" ref="D176">_xlfn.IFNA(_xlfn.XLOOKUP(NameCodingTable[[#This Row],[Code]]&amp;NameCodingTable[[#This Row],[maxyear]],allFYsTable[Code]&amp;allFYsTable[year2], allFYsTable[Category]), "")</f>
        <v>Debt service - issuance costs</v>
      </c>
      <c r="E176" s="3" t="str" cm="1">
        <f t="array" ref="E176">_xlfn.TEXTJOIN(", ", TRUE, _xlfn.UNIQUE(IF(allFYsTable[Code] = NameCodingTable[[#This Row],[Code]], allFYsTable[Unit], "")))</f>
        <v>Bond fiscal charge paid from bond proceeds, Bond  fiscal charge paid from bond proceeds, Bond  fiscal  charge  paid  from  bond  proceeds, Bond fiscal charges paid from bond proceeds, Bond fiscal charges  paid from  bond proceeds, Debt services-issuance costs, Debt service - issuance costs, Debt serviceâ€¢ issuance costs</v>
      </c>
      <c r="F176" s="66" t="s">
        <v>1268</v>
      </c>
      <c r="G176" s="3" t="s">
        <v>1432</v>
      </c>
    </row>
    <row r="177" spans="1:7" x14ac:dyDescent="0.45">
      <c r="A177" s="3">
        <v>119</v>
      </c>
      <c r="B177" s="3" t="s">
        <v>818</v>
      </c>
      <c r="C177" s="3">
        <f>_xlfn.MAXIFS(allFYsTable[year2], allFYsTable[Code], NameCodingTable[[#This Row],[Code]])</f>
        <v>2025</v>
      </c>
      <c r="D177" s="66" t="str" cm="1">
        <f t="array" ref="D177">_xlfn.IFNA(_xlfn.XLOOKUP(NameCodingTable[[#This Row],[Code]]&amp;NameCodingTable[[#This Row],[maxyear]],allFYsTable[Code]&amp;allFYsTable[year2], allFYsTable[Category]), "")</f>
        <v>Debt service - issuance costs</v>
      </c>
      <c r="E177" s="3" t="str" cm="1">
        <f t="array" ref="E177">_xlfn.TEXTJOIN(", ", TRUE, _xlfn.UNIQUE(IF(allFYsTable[Code] = NameCodingTable[[#This Row],[Code]], allFYsTable[Unit], "")))</f>
        <v>Commercial paper program</v>
      </c>
      <c r="F177" s="66" t="s">
        <v>1267</v>
      </c>
      <c r="G177" s="3" t="s">
        <v>1432</v>
      </c>
    </row>
    <row r="178" spans="1:7" x14ac:dyDescent="0.45">
      <c r="A178" s="3">
        <v>120</v>
      </c>
      <c r="B178" s="3" t="s">
        <v>819</v>
      </c>
      <c r="C178" s="3">
        <f>_xlfn.MAXIFS(allFYsTable[year2], allFYsTable[Code], NameCodingTable[[#This Row],[Code]])</f>
        <v>2025</v>
      </c>
      <c r="D178" s="66" t="str" cm="1">
        <f t="array" ref="D178">_xlfn.IFNA(_xlfn.XLOOKUP(NameCodingTable[[#This Row],[Code]]&amp;NameCodingTable[[#This Row],[maxyear]],allFYsTable[Code]&amp;allFYsTable[year2], allFYsTable[Category]), "")</f>
        <v>Governmental direction and support</v>
      </c>
      <c r="E178" s="3" t="str" cm="1">
        <f t="array" ref="E178">_xlfn.TEXTJOIN(", ", TRUE, _xlfn.UNIQUE(IF(allFYsTable[Code] = NameCodingTable[[#This Row],[Code]], allFYsTable[Unit], "")))</f>
        <v>Settlements and judgement, Settlements and judgements fund, Settlements   and  judgments   fund, Settlements and  judgments  fund, Settlements  and judgments  fund, Settlements and Judgments fund, Settlements and judgments</v>
      </c>
      <c r="F178" s="66" t="s">
        <v>1266</v>
      </c>
      <c r="G178" s="3" t="s">
        <v>1432</v>
      </c>
    </row>
    <row r="179" spans="1:7" x14ac:dyDescent="0.45">
      <c r="A179" s="3">
        <v>121</v>
      </c>
      <c r="B179" s="3" t="s">
        <v>814</v>
      </c>
      <c r="C179" s="3">
        <f>_xlfn.MAXIFS(allFYsTable[year2], allFYsTable[Code], NameCodingTable[[#This Row],[Code]])</f>
        <v>2025</v>
      </c>
      <c r="D179" s="66" t="str" cm="1">
        <f t="array" ref="D179">_xlfn.IFNA(_xlfn.XLOOKUP(NameCodingTable[[#This Row],[Code]]&amp;NameCodingTable[[#This Row],[maxyear]],allFYsTable[Code]&amp;allFYsTable[year2], allFYsTable[Category]), "")</f>
        <v>Governmental direction and support</v>
      </c>
      <c r="E179" s="3" t="str" cm="1">
        <f t="array" ref="E179">_xlfn.TEXTJOIN(", ", TRUE, _xlfn.UNIQUE(IF(allFYsTable[Code] = NameCodingTable[[#This Row],[Code]], allFYsTable[Unit], "")))</f>
        <v>Wilson  Building, Wilson building, John A. Wilson building fund</v>
      </c>
      <c r="F179" s="66" t="s">
        <v>1265</v>
      </c>
      <c r="G179" s="3" t="s">
        <v>1432</v>
      </c>
    </row>
    <row r="180" spans="1:7" x14ac:dyDescent="0.45">
      <c r="A180" s="3">
        <v>131</v>
      </c>
      <c r="B180" s="3" t="s">
        <v>809</v>
      </c>
      <c r="C180" s="3">
        <f>_xlfn.MAXIFS(allFYsTable[year2], allFYsTable[Code], NameCodingTable[[#This Row],[Code]])</f>
        <v>2024</v>
      </c>
      <c r="D180" s="66" t="str" cm="1">
        <f t="array" ref="D180">_xlfn.IFNA(_xlfn.XLOOKUP(NameCodingTable[[#This Row],[Code]]&amp;NameCodingTable[[#This Row],[maxyear]],allFYsTable[Code]&amp;allFYsTable[year2], allFYsTable[Category]), "")</f>
        <v>Other</v>
      </c>
      <c r="E180" s="3" t="str" cm="1">
        <f t="array" ref="E180">_xlfn.TEXTJOIN(", ", TRUE, _xlfn.UNIQUE(IF(allFYsTable[Code] = NameCodingTable[[#This Row],[Code]], allFYsTable[Unit], "")))</f>
        <v>Child Wealth fund</v>
      </c>
      <c r="F180" s="66" t="s">
        <v>1255</v>
      </c>
      <c r="G180" s="3" t="s">
        <v>1432</v>
      </c>
    </row>
    <row r="181" spans="1:7" x14ac:dyDescent="0.45">
      <c r="A181" s="3">
        <v>93</v>
      </c>
      <c r="B181" s="3" t="s">
        <v>823</v>
      </c>
      <c r="C181" s="3">
        <f>_xlfn.MAXIFS(allFYsTable[year2], allFYsTable[Code], NameCodingTable[[#This Row],[Code]])</f>
        <v>2024</v>
      </c>
      <c r="D181" s="66" t="str" cm="1">
        <f t="array" ref="D181">_xlfn.IFNA(_xlfn.XLOOKUP(NameCodingTable[[#This Row],[Code]]&amp;NameCodingTable[[#This Row],[maxyear]],allFYsTable[Code]&amp;allFYsTable[year2], allFYsTable[Category]), "")</f>
        <v>Human Support Services</v>
      </c>
      <c r="E181" s="3" t="str" cm="1">
        <f t="array" ref="E181">_xlfn.TEXTJOIN(", ", TRUE, _xlfn.UNIQUE(IF(allFYsTable[Code] = NameCodingTable[[#This Row],[Code]], allFYsTable[Unit], "")))</f>
        <v>D.C. health benefit exchange subsidy</v>
      </c>
      <c r="F181" s="66" t="s">
        <v>1281</v>
      </c>
      <c r="G181" s="3" t="s">
        <v>1432</v>
      </c>
    </row>
    <row r="182" spans="1:7" x14ac:dyDescent="0.45">
      <c r="A182" s="3">
        <v>128</v>
      </c>
      <c r="B182" s="3" t="s">
        <v>847</v>
      </c>
      <c r="C182" s="3">
        <f>_xlfn.MAXIFS(allFYsTable[year2], allFYsTable[Code], NameCodingTable[[#This Row],[Code]])</f>
        <v>2024</v>
      </c>
      <c r="D182" s="66" t="str" cm="1">
        <f t="array" ref="D182">_xlfn.IFNA(_xlfn.XLOOKUP(NameCodingTable[[#This Row],[Code]]&amp;NameCodingTable[[#This Row],[maxyear]],allFYsTable[Code]&amp;allFYsTable[year2], allFYsTable[Category]), "")</f>
        <v>Other</v>
      </c>
      <c r="E182" s="3" t="str" cm="1">
        <f t="array" ref="E182">_xlfn.TEXTJOIN(", ", TRUE, _xlfn.UNIQUE(IF(allFYsTable[Code] = NameCodingTable[[#This Row],[Code]], allFYsTable[Unit], "")))</f>
        <v>Emergency   and  contingency  reserve  funds, Emergency   and  contingency   reserve   funds, Emergency  and contingency  reserve funds, Emergency and contigency reserve funds, Emergency and contingency reserve funds</v>
      </c>
      <c r="F182" s="66" t="s">
        <v>1258</v>
      </c>
      <c r="G182" s="3" t="s">
        <v>1432</v>
      </c>
    </row>
    <row r="183" spans="1:7" x14ac:dyDescent="0.45">
      <c r="A183" s="3">
        <v>130</v>
      </c>
      <c r="B183" s="3" t="s">
        <v>820</v>
      </c>
      <c r="C183" s="3">
        <f>_xlfn.MAXIFS(allFYsTable[year2], allFYsTable[Code], NameCodingTable[[#This Row],[Code]])</f>
        <v>2024</v>
      </c>
      <c r="D183" s="66" t="str" cm="1">
        <f t="array" ref="D183">_xlfn.IFNA(_xlfn.XLOOKUP(NameCodingTable[[#This Row],[Code]]&amp;NameCodingTable[[#This Row],[maxyear]],allFYsTable[Code]&amp;allFYsTable[year2], allFYsTable[Category]), "")</f>
        <v>Other</v>
      </c>
      <c r="E183" s="3" t="str" cm="1">
        <f t="array" ref="E183">_xlfn.TEXTJOIN(", ", TRUE, _xlfn.UNIQUE(IF(allFYsTable[Code] = NameCodingTable[[#This Row],[Code]], allFYsTable[Unit], "")))</f>
        <v>Unemployment insurance trust and transfer, Unemployment insurance trust fund transfer</v>
      </c>
      <c r="F183" s="66" t="s">
        <v>1256</v>
      </c>
      <c r="G183" s="3" t="s">
        <v>1432</v>
      </c>
    </row>
    <row r="184" spans="1:7" x14ac:dyDescent="0.45">
      <c r="A184" s="3">
        <v>74</v>
      </c>
      <c r="B184" s="3" t="s">
        <v>867</v>
      </c>
      <c r="C184" s="3">
        <f>_xlfn.MAXIFS(allFYsTable[year2], allFYsTable[Code], NameCodingTable[[#This Row],[Code]])</f>
        <v>2024</v>
      </c>
      <c r="D184" s="66" t="str" cm="1">
        <f t="array" ref="D184">_xlfn.IFNA(_xlfn.XLOOKUP(NameCodingTable[[#This Row],[Code]]&amp;NameCodingTable[[#This Row],[maxyear]],allFYsTable[Code]&amp;allFYsTable[year2], allFYsTable[Category]), "")</f>
        <v>Public safety and justice</v>
      </c>
      <c r="E184" s="3" t="str" cm="1">
        <f t="array" ref="E184">_xlfn.TEXTJOIN(", ", TRUE, _xlfn.UNIQUE(IF(allFYsTable[Code] = NameCodingTable[[#This Row],[Code]], allFYsTable[Unit], "")))</f>
        <v>Section 103 expenses, Section  103  judgments, Section   103  judgments, Section  I03 judgments, Section 103 judgements, Section 103 judgments - public safety and justice</v>
      </c>
      <c r="F184" s="66" t="s">
        <v>1364</v>
      </c>
      <c r="G184" s="3" t="s">
        <v>1432</v>
      </c>
    </row>
  </sheetData>
  <conditionalFormatting sqref="B136:B184">
    <cfRule type="expression" dxfId="0" priority="1">
      <formula>$CA136=1</formula>
    </cfRule>
  </conditionalFormatting>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74067-19C0-4922-AE4B-2E8919A09C23}">
  <sheetPr codeName="Sheet15"/>
  <dimension ref="A1:O2545"/>
  <sheetViews>
    <sheetView topLeftCell="A2561" workbookViewId="0">
      <selection activeCell="F14" sqref="F14"/>
    </sheetView>
  </sheetViews>
  <sheetFormatPr defaultRowHeight="14.25" x14ac:dyDescent="0.45"/>
  <cols>
    <col min="2" max="2" width="33.796875" customWidth="1"/>
    <col min="4" max="4" width="50.73046875" customWidth="1"/>
    <col min="5" max="6" width="14.73046875" customWidth="1"/>
    <col min="8" max="8" width="9.59765625" customWidth="1"/>
    <col min="12" max="12" width="9" style="11"/>
  </cols>
  <sheetData>
    <row r="1" spans="1:12" x14ac:dyDescent="0.45">
      <c r="A1" t="s">
        <v>1021</v>
      </c>
      <c r="B1" t="s">
        <v>0</v>
      </c>
      <c r="C1" t="s">
        <v>836</v>
      </c>
      <c r="D1" t="s">
        <v>1</v>
      </c>
      <c r="E1" t="s">
        <v>2</v>
      </c>
      <c r="F1" t="s">
        <v>3</v>
      </c>
      <c r="G1" t="s">
        <v>4</v>
      </c>
      <c r="H1" t="s">
        <v>5</v>
      </c>
      <c r="I1" t="s">
        <v>1047</v>
      </c>
      <c r="J1" t="s">
        <v>886</v>
      </c>
      <c r="K1" t="s">
        <v>1057</v>
      </c>
      <c r="L1" s="11" t="s">
        <v>1056</v>
      </c>
    </row>
    <row r="2" spans="1:12" x14ac:dyDescent="0.45">
      <c r="A2" t="s">
        <v>1043</v>
      </c>
      <c r="B2" t="s">
        <v>641</v>
      </c>
      <c r="C2" t="s">
        <v>703</v>
      </c>
      <c r="D2" t="s">
        <v>549</v>
      </c>
      <c r="E2">
        <v>12809</v>
      </c>
      <c r="F2">
        <v>12874</v>
      </c>
      <c r="G2">
        <v>12366</v>
      </c>
      <c r="H2">
        <v>508</v>
      </c>
      <c r="I2">
        <v>2005</v>
      </c>
      <c r="J2">
        <v>1</v>
      </c>
      <c r="K2">
        <f>allFYsTable[[#This Row],[Actual]]-allFYsTable[[#This Row],[OriginalBudget]]</f>
        <v>-443</v>
      </c>
      <c r="L2" s="11">
        <f>allFYsTable[[#This Row],[DiffAmount]]/allFYsTable[[#This Row],[OriginalBudget]]</f>
        <v>-3.458505738152861E-2</v>
      </c>
    </row>
    <row r="3" spans="1:12" x14ac:dyDescent="0.45">
      <c r="A3" t="s">
        <v>1043</v>
      </c>
      <c r="B3" t="s">
        <v>641</v>
      </c>
      <c r="C3" t="s">
        <v>723</v>
      </c>
      <c r="D3" t="s">
        <v>550</v>
      </c>
      <c r="E3">
        <v>1784</v>
      </c>
      <c r="F3">
        <v>1795</v>
      </c>
      <c r="G3">
        <v>1663</v>
      </c>
      <c r="H3">
        <v>132</v>
      </c>
      <c r="I3">
        <v>2005</v>
      </c>
      <c r="J3">
        <v>2</v>
      </c>
      <c r="K3">
        <f>allFYsTable[[#This Row],[Actual]]-allFYsTable[[#This Row],[OriginalBudget]]</f>
        <v>-121</v>
      </c>
      <c r="L3" s="11">
        <f>allFYsTable[[#This Row],[DiffAmount]]/allFYsTable[[#This Row],[OriginalBudget]]</f>
        <v>-6.782511210762332E-2</v>
      </c>
    </row>
    <row r="4" spans="1:12" x14ac:dyDescent="0.45">
      <c r="A4" t="s">
        <v>1043</v>
      </c>
      <c r="B4" t="s">
        <v>641</v>
      </c>
      <c r="C4" t="s">
        <v>711</v>
      </c>
      <c r="D4" t="s">
        <v>642</v>
      </c>
      <c r="E4">
        <v>976</v>
      </c>
      <c r="F4">
        <v>976</v>
      </c>
      <c r="G4">
        <v>893</v>
      </c>
      <c r="H4">
        <v>83</v>
      </c>
      <c r="I4">
        <v>2005</v>
      </c>
      <c r="J4">
        <v>3</v>
      </c>
      <c r="K4">
        <f>allFYsTable[[#This Row],[Actual]]-allFYsTable[[#This Row],[OriginalBudget]]</f>
        <v>-83</v>
      </c>
      <c r="L4" s="11">
        <f>allFYsTable[[#This Row],[DiffAmount]]/allFYsTable[[#This Row],[OriginalBudget]]</f>
        <v>-8.5040983606557374E-2</v>
      </c>
    </row>
    <row r="5" spans="1:12" x14ac:dyDescent="0.45">
      <c r="A5" t="s">
        <v>1043</v>
      </c>
      <c r="B5" t="s">
        <v>641</v>
      </c>
      <c r="C5" t="s">
        <v>707</v>
      </c>
      <c r="D5" t="s">
        <v>552</v>
      </c>
      <c r="E5">
        <v>5808</v>
      </c>
      <c r="F5">
        <v>6293</v>
      </c>
      <c r="G5">
        <v>6039</v>
      </c>
      <c r="H5">
        <v>254</v>
      </c>
      <c r="I5">
        <v>2005</v>
      </c>
      <c r="J5">
        <v>4</v>
      </c>
      <c r="K5">
        <f>allFYsTable[[#This Row],[Actual]]-allFYsTable[[#This Row],[OriginalBudget]]</f>
        <v>231</v>
      </c>
      <c r="L5" s="11">
        <f>allFYsTable[[#This Row],[DiffAmount]]/allFYsTable[[#This Row],[OriginalBudget]]</f>
        <v>3.9772727272727272E-2</v>
      </c>
    </row>
    <row r="6" spans="1:12" x14ac:dyDescent="0.45">
      <c r="A6" t="s">
        <v>1043</v>
      </c>
      <c r="B6" t="s">
        <v>641</v>
      </c>
      <c r="C6" t="s">
        <v>725</v>
      </c>
      <c r="D6" t="s">
        <v>553</v>
      </c>
      <c r="E6">
        <v>3264</v>
      </c>
      <c r="F6">
        <v>3652</v>
      </c>
      <c r="G6">
        <v>2492</v>
      </c>
      <c r="H6">
        <v>1160</v>
      </c>
      <c r="I6">
        <v>2005</v>
      </c>
      <c r="J6">
        <v>5</v>
      </c>
      <c r="K6">
        <f>allFYsTable[[#This Row],[Actual]]-allFYsTable[[#This Row],[OriginalBudget]]</f>
        <v>-772</v>
      </c>
      <c r="L6" s="11">
        <f>allFYsTable[[#This Row],[DiffAmount]]/allFYsTable[[#This Row],[OriginalBudget]]</f>
        <v>-0.23651960784313725</v>
      </c>
    </row>
    <row r="7" spans="1:12" x14ac:dyDescent="0.45">
      <c r="A7" t="s">
        <v>1043</v>
      </c>
      <c r="B7" t="s">
        <v>641</v>
      </c>
      <c r="C7" t="s">
        <v>766</v>
      </c>
      <c r="D7" t="s">
        <v>678</v>
      </c>
      <c r="E7">
        <v>357</v>
      </c>
      <c r="F7">
        <v>362</v>
      </c>
      <c r="G7">
        <v>361</v>
      </c>
      <c r="H7">
        <v>1</v>
      </c>
      <c r="I7">
        <v>2005</v>
      </c>
      <c r="J7">
        <v>6</v>
      </c>
      <c r="K7">
        <f>allFYsTable[[#This Row],[Actual]]-allFYsTable[[#This Row],[OriginalBudget]]</f>
        <v>4</v>
      </c>
      <c r="L7" s="11">
        <f>allFYsTable[[#This Row],[DiffAmount]]/allFYsTable[[#This Row],[OriginalBudget]]</f>
        <v>1.1204481792717087E-2</v>
      </c>
    </row>
    <row r="8" spans="1:12" x14ac:dyDescent="0.45">
      <c r="A8" t="s">
        <v>1043</v>
      </c>
      <c r="B8" t="s">
        <v>641</v>
      </c>
      <c r="C8" t="s">
        <v>722</v>
      </c>
      <c r="D8" t="s">
        <v>643</v>
      </c>
      <c r="E8">
        <v>8226</v>
      </c>
      <c r="F8">
        <v>8422</v>
      </c>
      <c r="G8">
        <v>8256</v>
      </c>
      <c r="H8">
        <v>166</v>
      </c>
      <c r="I8">
        <v>2005</v>
      </c>
      <c r="J8">
        <v>7</v>
      </c>
      <c r="K8">
        <f>allFYsTable[[#This Row],[Actual]]-allFYsTable[[#This Row],[OriginalBudget]]</f>
        <v>30</v>
      </c>
      <c r="L8" s="11">
        <f>allFYsTable[[#This Row],[DiffAmount]]/allFYsTable[[#This Row],[OriginalBudget]]</f>
        <v>3.6469730123997084E-3</v>
      </c>
    </row>
    <row r="9" spans="1:12" x14ac:dyDescent="0.45">
      <c r="A9" t="s">
        <v>1043</v>
      </c>
      <c r="B9" t="s">
        <v>641</v>
      </c>
      <c r="C9" t="s">
        <v>718</v>
      </c>
      <c r="D9" t="s">
        <v>554</v>
      </c>
      <c r="E9">
        <v>1323</v>
      </c>
      <c r="F9">
        <v>1332</v>
      </c>
      <c r="G9">
        <v>1258</v>
      </c>
      <c r="H9">
        <v>74</v>
      </c>
      <c r="I9">
        <v>2005</v>
      </c>
      <c r="J9">
        <v>8</v>
      </c>
      <c r="K9">
        <f>allFYsTable[[#This Row],[Actual]]-allFYsTable[[#This Row],[OriginalBudget]]</f>
        <v>-65</v>
      </c>
      <c r="L9" s="11">
        <f>allFYsTable[[#This Row],[DiffAmount]]/allFYsTable[[#This Row],[OriginalBudget]]</f>
        <v>-4.91307634164777E-2</v>
      </c>
    </row>
    <row r="10" spans="1:12" x14ac:dyDescent="0.45">
      <c r="A10" t="s">
        <v>1043</v>
      </c>
      <c r="B10" t="s">
        <v>641</v>
      </c>
      <c r="C10" t="s">
        <v>704</v>
      </c>
      <c r="D10" t="s">
        <v>555</v>
      </c>
      <c r="E10">
        <v>11393</v>
      </c>
      <c r="F10">
        <v>11706</v>
      </c>
      <c r="G10">
        <v>9016</v>
      </c>
      <c r="H10">
        <v>2690</v>
      </c>
      <c r="I10">
        <v>2005</v>
      </c>
      <c r="J10">
        <v>9</v>
      </c>
      <c r="K10">
        <f>allFYsTable[[#This Row],[Actual]]-allFYsTable[[#This Row],[OriginalBudget]]</f>
        <v>-2377</v>
      </c>
      <c r="L10" s="11">
        <f>allFYsTable[[#This Row],[DiffAmount]]/allFYsTable[[#This Row],[OriginalBudget]]</f>
        <v>-0.20863688229614677</v>
      </c>
    </row>
    <row r="11" spans="1:12" x14ac:dyDescent="0.45">
      <c r="A11" t="s">
        <v>1043</v>
      </c>
      <c r="B11" t="s">
        <v>641</v>
      </c>
      <c r="C11" t="s">
        <v>704</v>
      </c>
      <c r="D11" t="s">
        <v>1017</v>
      </c>
      <c r="E11">
        <v>1978</v>
      </c>
      <c r="F11">
        <v>1982</v>
      </c>
      <c r="G11">
        <v>1904</v>
      </c>
      <c r="H11">
        <v>78</v>
      </c>
      <c r="I11">
        <v>2005</v>
      </c>
      <c r="J11">
        <v>10</v>
      </c>
      <c r="K11">
        <f>allFYsTable[[#This Row],[Actual]]-allFYsTable[[#This Row],[OriginalBudget]]</f>
        <v>-74</v>
      </c>
      <c r="L11" s="11">
        <f>allFYsTable[[#This Row],[DiffAmount]]/allFYsTable[[#This Row],[OriginalBudget]]</f>
        <v>-3.7411526794742161E-2</v>
      </c>
    </row>
    <row r="12" spans="1:12" x14ac:dyDescent="0.45">
      <c r="A12" t="s">
        <v>1043</v>
      </c>
      <c r="B12" t="s">
        <v>641</v>
      </c>
      <c r="C12" t="s">
        <v>716</v>
      </c>
      <c r="D12" t="s">
        <v>556</v>
      </c>
      <c r="E12">
        <v>6723</v>
      </c>
      <c r="F12">
        <v>8647</v>
      </c>
      <c r="G12">
        <v>8577</v>
      </c>
      <c r="H12">
        <v>70</v>
      </c>
      <c r="I12">
        <v>2005</v>
      </c>
      <c r="J12">
        <v>11</v>
      </c>
      <c r="K12">
        <f>allFYsTable[[#This Row],[Actual]]-allFYsTable[[#This Row],[OriginalBudget]]</f>
        <v>1854</v>
      </c>
      <c r="L12" s="11">
        <f>allFYsTable[[#This Row],[DiffAmount]]/allFYsTable[[#This Row],[OriginalBudget]]</f>
        <v>0.27576974564926371</v>
      </c>
    </row>
    <row r="13" spans="1:12" x14ac:dyDescent="0.45">
      <c r="A13" t="s">
        <v>1043</v>
      </c>
      <c r="B13" t="s">
        <v>641</v>
      </c>
      <c r="C13" t="s">
        <v>713</v>
      </c>
      <c r="D13" t="s">
        <v>557</v>
      </c>
      <c r="E13">
        <v>10808</v>
      </c>
      <c r="F13">
        <v>11381</v>
      </c>
      <c r="G13">
        <v>10891</v>
      </c>
      <c r="H13">
        <v>490</v>
      </c>
      <c r="I13">
        <v>2005</v>
      </c>
      <c r="J13">
        <v>12</v>
      </c>
      <c r="K13">
        <f>allFYsTable[[#This Row],[Actual]]-allFYsTable[[#This Row],[OriginalBudget]]</f>
        <v>83</v>
      </c>
      <c r="L13" s="11">
        <f>allFYsTable[[#This Row],[DiffAmount]]/allFYsTable[[#This Row],[OriginalBudget]]</f>
        <v>7.6794966691339749E-3</v>
      </c>
    </row>
    <row r="14" spans="1:12" x14ac:dyDescent="0.45">
      <c r="A14" t="s">
        <v>1043</v>
      </c>
      <c r="B14" t="s">
        <v>641</v>
      </c>
      <c r="C14" t="s">
        <v>721</v>
      </c>
      <c r="D14" t="s">
        <v>558</v>
      </c>
      <c r="E14">
        <v>40324</v>
      </c>
      <c r="F14">
        <v>45296</v>
      </c>
      <c r="G14">
        <v>44469</v>
      </c>
      <c r="H14">
        <v>827</v>
      </c>
      <c r="I14">
        <v>2005</v>
      </c>
      <c r="J14">
        <v>13</v>
      </c>
      <c r="K14">
        <f>allFYsTable[[#This Row],[Actual]]-allFYsTable[[#This Row],[OriginalBudget]]</f>
        <v>4145</v>
      </c>
      <c r="L14" s="11">
        <f>allFYsTable[[#This Row],[DiffAmount]]/allFYsTable[[#This Row],[OriginalBudget]]</f>
        <v>0.10279238170816388</v>
      </c>
    </row>
    <row r="15" spans="1:12" x14ac:dyDescent="0.45">
      <c r="A15" t="s">
        <v>1043</v>
      </c>
      <c r="B15" t="s">
        <v>641</v>
      </c>
      <c r="C15" t="s">
        <v>705</v>
      </c>
      <c r="D15" t="s">
        <v>559</v>
      </c>
      <c r="E15">
        <v>14429</v>
      </c>
      <c r="F15">
        <v>16463</v>
      </c>
      <c r="G15">
        <v>15847</v>
      </c>
      <c r="H15">
        <v>616</v>
      </c>
      <c r="I15">
        <v>2005</v>
      </c>
      <c r="J15">
        <v>14</v>
      </c>
      <c r="K15">
        <f>allFYsTable[[#This Row],[Actual]]-allFYsTable[[#This Row],[OriginalBudget]]</f>
        <v>1418</v>
      </c>
      <c r="L15" s="11">
        <f>allFYsTable[[#This Row],[DiffAmount]]/allFYsTable[[#This Row],[OriginalBudget]]</f>
        <v>9.8274308683900483E-2</v>
      </c>
    </row>
    <row r="16" spans="1:12" x14ac:dyDescent="0.45">
      <c r="A16" t="s">
        <v>1043</v>
      </c>
      <c r="B16" t="s">
        <v>641</v>
      </c>
      <c r="C16" t="s">
        <v>702</v>
      </c>
      <c r="D16" t="s">
        <v>644</v>
      </c>
      <c r="E16">
        <v>764</v>
      </c>
      <c r="F16">
        <v>768</v>
      </c>
      <c r="G16">
        <v>765</v>
      </c>
      <c r="H16">
        <v>3</v>
      </c>
      <c r="I16">
        <v>2005</v>
      </c>
      <c r="J16">
        <v>15</v>
      </c>
      <c r="K16">
        <f>allFYsTable[[#This Row],[Actual]]-allFYsTable[[#This Row],[OriginalBudget]]</f>
        <v>1</v>
      </c>
      <c r="L16" s="11">
        <f>allFYsTable[[#This Row],[DiffAmount]]/allFYsTable[[#This Row],[OriginalBudget]]</f>
        <v>1.3089005235602095E-3</v>
      </c>
    </row>
    <row r="17" spans="1:12" x14ac:dyDescent="0.45">
      <c r="A17" t="s">
        <v>1043</v>
      </c>
      <c r="B17" t="s">
        <v>641</v>
      </c>
      <c r="C17" t="s">
        <v>699</v>
      </c>
      <c r="D17" t="s">
        <v>561</v>
      </c>
      <c r="E17">
        <v>4805</v>
      </c>
      <c r="F17">
        <v>4815</v>
      </c>
      <c r="G17">
        <v>4325</v>
      </c>
      <c r="H17">
        <v>490</v>
      </c>
      <c r="I17">
        <v>2005</v>
      </c>
      <c r="J17">
        <v>16</v>
      </c>
      <c r="K17">
        <f>allFYsTable[[#This Row],[Actual]]-allFYsTable[[#This Row],[OriginalBudget]]</f>
        <v>-480</v>
      </c>
      <c r="L17" s="11">
        <f>allFYsTable[[#This Row],[DiffAmount]]/allFYsTable[[#This Row],[OriginalBudget]]</f>
        <v>-9.9895941727367321E-2</v>
      </c>
    </row>
    <row r="18" spans="1:12" x14ac:dyDescent="0.45">
      <c r="A18" t="s">
        <v>1043</v>
      </c>
      <c r="B18" t="s">
        <v>641</v>
      </c>
      <c r="C18" t="s">
        <v>712</v>
      </c>
      <c r="D18" t="s">
        <v>645</v>
      </c>
      <c r="E18">
        <v>1324</v>
      </c>
      <c r="F18">
        <v>1331</v>
      </c>
      <c r="G18">
        <v>1292</v>
      </c>
      <c r="H18">
        <v>39</v>
      </c>
      <c r="I18">
        <v>2005</v>
      </c>
      <c r="J18">
        <v>17</v>
      </c>
      <c r="K18">
        <f>allFYsTable[[#This Row],[Actual]]-allFYsTable[[#This Row],[OriginalBudget]]</f>
        <v>-32</v>
      </c>
      <c r="L18" s="11">
        <f>allFYsTable[[#This Row],[DiffAmount]]/allFYsTable[[#This Row],[OriginalBudget]]</f>
        <v>-2.4169184290030211E-2</v>
      </c>
    </row>
    <row r="19" spans="1:12" x14ac:dyDescent="0.45">
      <c r="A19" t="s">
        <v>1043</v>
      </c>
      <c r="B19" t="s">
        <v>641</v>
      </c>
      <c r="C19" t="s">
        <v>730</v>
      </c>
      <c r="D19" t="s">
        <v>563</v>
      </c>
      <c r="E19">
        <v>776</v>
      </c>
      <c r="F19">
        <v>779</v>
      </c>
      <c r="G19">
        <v>682</v>
      </c>
      <c r="H19">
        <v>97</v>
      </c>
      <c r="I19">
        <v>2005</v>
      </c>
      <c r="J19">
        <v>18</v>
      </c>
      <c r="K19">
        <f>allFYsTable[[#This Row],[Actual]]-allFYsTable[[#This Row],[OriginalBudget]]</f>
        <v>-94</v>
      </c>
      <c r="L19" s="11">
        <f>allFYsTable[[#This Row],[DiffAmount]]/allFYsTable[[#This Row],[OriginalBudget]]</f>
        <v>-0.1211340206185567</v>
      </c>
    </row>
    <row r="20" spans="1:12" x14ac:dyDescent="0.45">
      <c r="A20" t="s">
        <v>1043</v>
      </c>
      <c r="B20" t="s">
        <v>641</v>
      </c>
      <c r="C20" t="s">
        <v>715</v>
      </c>
      <c r="D20" t="s">
        <v>564</v>
      </c>
      <c r="E20">
        <v>1536</v>
      </c>
      <c r="F20">
        <v>1543</v>
      </c>
      <c r="G20">
        <v>1438</v>
      </c>
      <c r="H20">
        <v>105</v>
      </c>
      <c r="I20">
        <v>2005</v>
      </c>
      <c r="J20">
        <v>19</v>
      </c>
      <c r="K20">
        <f>allFYsTable[[#This Row],[Actual]]-allFYsTable[[#This Row],[OriginalBudget]]</f>
        <v>-98</v>
      </c>
      <c r="L20" s="11">
        <f>allFYsTable[[#This Row],[DiffAmount]]/allFYsTable[[#This Row],[OriginalBudget]]</f>
        <v>-6.3802083333333329E-2</v>
      </c>
    </row>
    <row r="21" spans="1:12" x14ac:dyDescent="0.45">
      <c r="A21" t="s">
        <v>1043</v>
      </c>
      <c r="B21" t="s">
        <v>641</v>
      </c>
      <c r="C21" t="s">
        <v>709</v>
      </c>
      <c r="D21" t="s">
        <v>1015</v>
      </c>
      <c r="E21">
        <v>430</v>
      </c>
      <c r="F21">
        <v>430</v>
      </c>
      <c r="G21">
        <v>430</v>
      </c>
      <c r="H21">
        <v>0</v>
      </c>
      <c r="I21">
        <v>2005</v>
      </c>
      <c r="J21">
        <v>20</v>
      </c>
      <c r="K21">
        <f>allFYsTable[[#This Row],[Actual]]-allFYsTable[[#This Row],[OriginalBudget]]</f>
        <v>0</v>
      </c>
      <c r="L21" s="11">
        <f>allFYsTable[[#This Row],[DiffAmount]]/allFYsTable[[#This Row],[OriginalBudget]]</f>
        <v>0</v>
      </c>
    </row>
    <row r="22" spans="1:12" x14ac:dyDescent="0.45">
      <c r="A22" t="s">
        <v>1043</v>
      </c>
      <c r="B22" t="s">
        <v>641</v>
      </c>
      <c r="C22" t="s">
        <v>719</v>
      </c>
      <c r="D22" t="s">
        <v>646</v>
      </c>
      <c r="E22">
        <v>28979</v>
      </c>
      <c r="F22">
        <v>34531</v>
      </c>
      <c r="G22">
        <v>33975</v>
      </c>
      <c r="H22">
        <v>556</v>
      </c>
      <c r="I22">
        <v>2005</v>
      </c>
      <c r="J22">
        <v>21</v>
      </c>
      <c r="K22">
        <f>allFYsTable[[#This Row],[Actual]]-allFYsTable[[#This Row],[OriginalBudget]]</f>
        <v>4996</v>
      </c>
      <c r="L22" s="11">
        <f>allFYsTable[[#This Row],[DiffAmount]]/allFYsTable[[#This Row],[OriginalBudget]]</f>
        <v>0.17240070395803858</v>
      </c>
    </row>
    <row r="23" spans="1:12" x14ac:dyDescent="0.45">
      <c r="A23" t="s">
        <v>1043</v>
      </c>
      <c r="B23" t="s">
        <v>641</v>
      </c>
      <c r="C23" t="s">
        <v>724</v>
      </c>
      <c r="D23" t="s">
        <v>570</v>
      </c>
      <c r="E23">
        <v>9041</v>
      </c>
      <c r="F23">
        <v>10397</v>
      </c>
      <c r="G23">
        <v>9991</v>
      </c>
      <c r="H23">
        <v>406</v>
      </c>
      <c r="I23">
        <v>2005</v>
      </c>
      <c r="J23">
        <v>22</v>
      </c>
      <c r="K23">
        <f>allFYsTable[[#This Row],[Actual]]-allFYsTable[[#This Row],[OriginalBudget]]</f>
        <v>950</v>
      </c>
      <c r="L23" s="11">
        <f>allFYsTable[[#This Row],[DiffAmount]]/allFYsTable[[#This Row],[OriginalBudget]]</f>
        <v>0.10507687202743059</v>
      </c>
    </row>
    <row r="24" spans="1:12" x14ac:dyDescent="0.45">
      <c r="A24" t="s">
        <v>1043</v>
      </c>
      <c r="B24" t="s">
        <v>641</v>
      </c>
      <c r="C24" t="s">
        <v>720</v>
      </c>
      <c r="D24" t="s">
        <v>571</v>
      </c>
      <c r="E24">
        <v>93211</v>
      </c>
      <c r="F24">
        <v>95592</v>
      </c>
      <c r="G24">
        <v>95474</v>
      </c>
      <c r="H24">
        <v>118</v>
      </c>
      <c r="I24">
        <v>2005</v>
      </c>
      <c r="J24">
        <v>23</v>
      </c>
      <c r="K24">
        <f>allFYsTable[[#This Row],[Actual]]-allFYsTable[[#This Row],[OriginalBudget]]</f>
        <v>2263</v>
      </c>
      <c r="L24" s="11">
        <f>allFYsTable[[#This Row],[DiffAmount]]/allFYsTable[[#This Row],[OriginalBudget]]</f>
        <v>2.4278250421087638E-2</v>
      </c>
    </row>
    <row r="25" spans="1:12" x14ac:dyDescent="0.45">
      <c r="A25" t="s">
        <v>1043</v>
      </c>
      <c r="B25" t="s">
        <v>129</v>
      </c>
      <c r="C25" t="s">
        <v>743</v>
      </c>
      <c r="D25" t="s">
        <v>315</v>
      </c>
      <c r="E25">
        <v>4634</v>
      </c>
      <c r="F25">
        <v>15328</v>
      </c>
      <c r="G25">
        <v>14962</v>
      </c>
      <c r="H25">
        <v>366</v>
      </c>
      <c r="I25">
        <v>2005</v>
      </c>
      <c r="J25">
        <v>24</v>
      </c>
      <c r="K25">
        <f>allFYsTable[[#This Row],[Actual]]-allFYsTable[[#This Row],[OriginalBudget]]</f>
        <v>10328</v>
      </c>
      <c r="L25" s="11">
        <f>allFYsTable[[#This Row],[DiffAmount]]/allFYsTable[[#This Row],[OriginalBudget]]</f>
        <v>2.2287440656020716</v>
      </c>
    </row>
    <row r="26" spans="1:12" x14ac:dyDescent="0.45">
      <c r="A26" t="s">
        <v>1043</v>
      </c>
      <c r="B26" t="s">
        <v>129</v>
      </c>
      <c r="C26" t="s">
        <v>742</v>
      </c>
      <c r="D26" t="s">
        <v>26</v>
      </c>
      <c r="E26">
        <v>6062</v>
      </c>
      <c r="F26">
        <v>6588</v>
      </c>
      <c r="G26">
        <v>5946</v>
      </c>
      <c r="H26">
        <v>642</v>
      </c>
      <c r="I26">
        <v>2005</v>
      </c>
      <c r="J26">
        <v>25</v>
      </c>
      <c r="K26">
        <f>allFYsTable[[#This Row],[Actual]]-allFYsTable[[#This Row],[OriginalBudget]]</f>
        <v>-116</v>
      </c>
      <c r="L26" s="11">
        <f>allFYsTable[[#This Row],[DiffAmount]]/allFYsTable[[#This Row],[OriginalBudget]]</f>
        <v>-1.9135598812273176E-2</v>
      </c>
    </row>
    <row r="27" spans="1:12" x14ac:dyDescent="0.45">
      <c r="A27" t="s">
        <v>1043</v>
      </c>
      <c r="B27" t="s">
        <v>129</v>
      </c>
      <c r="C27" t="s">
        <v>738</v>
      </c>
      <c r="D27" t="s">
        <v>572</v>
      </c>
      <c r="E27">
        <v>1040</v>
      </c>
      <c r="F27">
        <v>1044</v>
      </c>
      <c r="G27">
        <v>982</v>
      </c>
      <c r="H27">
        <v>62</v>
      </c>
      <c r="I27">
        <v>2005</v>
      </c>
      <c r="J27">
        <v>26</v>
      </c>
      <c r="K27">
        <f>allFYsTable[[#This Row],[Actual]]-allFYsTable[[#This Row],[OriginalBudget]]</f>
        <v>-58</v>
      </c>
      <c r="L27" s="11">
        <f>allFYsTable[[#This Row],[DiffAmount]]/allFYsTable[[#This Row],[OriginalBudget]]</f>
        <v>-5.5769230769230772E-2</v>
      </c>
    </row>
    <row r="28" spans="1:12" x14ac:dyDescent="0.45">
      <c r="A28" t="s">
        <v>1043</v>
      </c>
      <c r="B28" t="s">
        <v>129</v>
      </c>
      <c r="C28" t="s">
        <v>741</v>
      </c>
      <c r="D28" t="s">
        <v>573</v>
      </c>
      <c r="E28">
        <v>564</v>
      </c>
      <c r="F28">
        <v>567</v>
      </c>
      <c r="G28">
        <v>516</v>
      </c>
      <c r="H28">
        <v>51</v>
      </c>
      <c r="I28">
        <v>2005</v>
      </c>
      <c r="J28">
        <v>27</v>
      </c>
      <c r="K28">
        <f>allFYsTable[[#This Row],[Actual]]-allFYsTable[[#This Row],[OriginalBudget]]</f>
        <v>-48</v>
      </c>
      <c r="L28" s="11">
        <f>allFYsTable[[#This Row],[DiffAmount]]/allFYsTable[[#This Row],[OriginalBudget]]</f>
        <v>-8.5106382978723402E-2</v>
      </c>
    </row>
    <row r="29" spans="1:12" x14ac:dyDescent="0.45">
      <c r="A29" t="s">
        <v>1043</v>
      </c>
      <c r="B29" t="s">
        <v>129</v>
      </c>
      <c r="C29" t="s">
        <v>744</v>
      </c>
      <c r="D29" t="s">
        <v>29</v>
      </c>
      <c r="E29">
        <v>2581</v>
      </c>
      <c r="F29">
        <v>2590</v>
      </c>
      <c r="G29">
        <v>2457</v>
      </c>
      <c r="H29">
        <v>133</v>
      </c>
      <c r="I29">
        <v>2005</v>
      </c>
      <c r="J29">
        <v>28</v>
      </c>
      <c r="K29">
        <f>allFYsTable[[#This Row],[Actual]]-allFYsTable[[#This Row],[OriginalBudget]]</f>
        <v>-124</v>
      </c>
      <c r="L29" s="11">
        <f>allFYsTable[[#This Row],[DiffAmount]]/allFYsTable[[#This Row],[OriginalBudget]]</f>
        <v>-4.8043394033320419E-2</v>
      </c>
    </row>
    <row r="30" spans="1:12" x14ac:dyDescent="0.45">
      <c r="A30" t="s">
        <v>1043</v>
      </c>
      <c r="B30" t="s">
        <v>129</v>
      </c>
      <c r="C30" t="s">
        <v>737</v>
      </c>
      <c r="D30" t="s">
        <v>575</v>
      </c>
      <c r="E30">
        <v>2340</v>
      </c>
      <c r="F30">
        <v>12722</v>
      </c>
      <c r="G30">
        <v>12686</v>
      </c>
      <c r="H30">
        <v>36</v>
      </c>
      <c r="I30">
        <v>2005</v>
      </c>
      <c r="J30">
        <v>29</v>
      </c>
      <c r="K30">
        <f>allFYsTable[[#This Row],[Actual]]-allFYsTable[[#This Row],[OriginalBudget]]</f>
        <v>10346</v>
      </c>
      <c r="L30" s="11">
        <f>allFYsTable[[#This Row],[DiffAmount]]/allFYsTable[[#This Row],[OriginalBudget]]</f>
        <v>4.4213675213675216</v>
      </c>
    </row>
    <row r="31" spans="1:12" x14ac:dyDescent="0.45">
      <c r="A31" t="s">
        <v>1043</v>
      </c>
      <c r="B31" t="s">
        <v>129</v>
      </c>
      <c r="C31" t="s">
        <v>795</v>
      </c>
      <c r="D31" t="s">
        <v>72</v>
      </c>
      <c r="E31">
        <v>0</v>
      </c>
      <c r="F31">
        <v>0</v>
      </c>
      <c r="G31">
        <v>0</v>
      </c>
      <c r="H31">
        <v>0</v>
      </c>
      <c r="I31">
        <v>2005</v>
      </c>
      <c r="J31">
        <v>30</v>
      </c>
      <c r="K31">
        <f>allFYsTable[[#This Row],[Actual]]-allFYsTable[[#This Row],[OriginalBudget]]</f>
        <v>0</v>
      </c>
      <c r="L31" s="11" t="e">
        <f>allFYsTable[[#This Row],[DiffAmount]]/allFYsTable[[#This Row],[OriginalBudget]]</f>
        <v>#DIV/0!</v>
      </c>
    </row>
    <row r="32" spans="1:12" x14ac:dyDescent="0.45">
      <c r="A32" t="s">
        <v>1043</v>
      </c>
      <c r="B32" t="s">
        <v>129</v>
      </c>
      <c r="C32" t="s">
        <v>769</v>
      </c>
      <c r="D32" t="s">
        <v>648</v>
      </c>
      <c r="E32">
        <v>13960</v>
      </c>
      <c r="F32">
        <v>23482</v>
      </c>
      <c r="G32">
        <v>22278</v>
      </c>
      <c r="H32">
        <v>1204</v>
      </c>
      <c r="I32">
        <v>2005</v>
      </c>
      <c r="J32">
        <v>31</v>
      </c>
      <c r="K32">
        <f>allFYsTable[[#This Row],[Actual]]-allFYsTable[[#This Row],[OriginalBudget]]</f>
        <v>8318</v>
      </c>
      <c r="L32" s="11">
        <f>allFYsTable[[#This Row],[DiffAmount]]/allFYsTable[[#This Row],[OriginalBudget]]</f>
        <v>0.59584527220630368</v>
      </c>
    </row>
    <row r="33" spans="1:12" x14ac:dyDescent="0.45">
      <c r="A33" t="s">
        <v>1043</v>
      </c>
      <c r="B33" t="s">
        <v>129</v>
      </c>
      <c r="C33" t="s">
        <v>745</v>
      </c>
      <c r="D33" t="s">
        <v>649</v>
      </c>
      <c r="E33">
        <v>342</v>
      </c>
      <c r="F33">
        <v>344</v>
      </c>
      <c r="G33">
        <v>337</v>
      </c>
      <c r="H33">
        <v>7</v>
      </c>
      <c r="I33">
        <v>2005</v>
      </c>
      <c r="J33">
        <v>32</v>
      </c>
      <c r="K33">
        <f>allFYsTable[[#This Row],[Actual]]-allFYsTable[[#This Row],[OriginalBudget]]</f>
        <v>-5</v>
      </c>
      <c r="L33" s="11">
        <f>allFYsTable[[#This Row],[DiffAmount]]/allFYsTable[[#This Row],[OriginalBudget]]</f>
        <v>-1.4619883040935672E-2</v>
      </c>
    </row>
    <row r="34" spans="1:12" x14ac:dyDescent="0.45">
      <c r="A34" t="s">
        <v>1043</v>
      </c>
      <c r="B34" t="s">
        <v>129</v>
      </c>
      <c r="C34" t="s">
        <v>797</v>
      </c>
      <c r="D34" t="s">
        <v>578</v>
      </c>
      <c r="E34">
        <v>24042</v>
      </c>
      <c r="F34">
        <v>24400</v>
      </c>
      <c r="G34">
        <v>23814</v>
      </c>
      <c r="H34">
        <v>586</v>
      </c>
      <c r="I34">
        <v>2005</v>
      </c>
      <c r="J34">
        <v>33</v>
      </c>
      <c r="K34">
        <f>allFYsTable[[#This Row],[Actual]]-allFYsTable[[#This Row],[OriginalBudget]]</f>
        <v>-228</v>
      </c>
      <c r="L34" s="11">
        <f>allFYsTable[[#This Row],[DiffAmount]]/allFYsTable[[#This Row],[OriginalBudget]]</f>
        <v>-9.4834040429248815E-3</v>
      </c>
    </row>
    <row r="35" spans="1:12" x14ac:dyDescent="0.45">
      <c r="A35" t="s">
        <v>1043</v>
      </c>
      <c r="B35" t="s">
        <v>129</v>
      </c>
      <c r="C35" t="s">
        <v>806</v>
      </c>
      <c r="D35" t="s">
        <v>82</v>
      </c>
      <c r="E35">
        <v>0</v>
      </c>
      <c r="F35">
        <v>0</v>
      </c>
      <c r="G35">
        <v>0</v>
      </c>
      <c r="H35">
        <v>0</v>
      </c>
      <c r="I35">
        <v>2005</v>
      </c>
      <c r="J35">
        <v>34</v>
      </c>
      <c r="K35">
        <f>allFYsTable[[#This Row],[Actual]]-allFYsTable[[#This Row],[OriginalBudget]]</f>
        <v>0</v>
      </c>
      <c r="L35" s="11" t="e">
        <f>allFYsTable[[#This Row],[DiffAmount]]/allFYsTable[[#This Row],[OriginalBudget]]</f>
        <v>#DIV/0!</v>
      </c>
    </row>
    <row r="36" spans="1:12" x14ac:dyDescent="0.45">
      <c r="A36" t="s">
        <v>1043</v>
      </c>
      <c r="B36" t="s">
        <v>129</v>
      </c>
      <c r="C36" t="s">
        <v>805</v>
      </c>
      <c r="D36" t="s">
        <v>650</v>
      </c>
      <c r="E36">
        <v>0</v>
      </c>
      <c r="F36">
        <v>0</v>
      </c>
      <c r="G36">
        <v>0</v>
      </c>
      <c r="H36">
        <v>0</v>
      </c>
      <c r="I36">
        <v>2005</v>
      </c>
      <c r="J36">
        <v>35</v>
      </c>
      <c r="K36">
        <f>allFYsTable[[#This Row],[Actual]]-allFYsTable[[#This Row],[OriginalBudget]]</f>
        <v>0</v>
      </c>
      <c r="L36" s="11" t="e">
        <f>allFYsTable[[#This Row],[DiffAmount]]/allFYsTable[[#This Row],[OriginalBudget]]</f>
        <v>#DIV/0!</v>
      </c>
    </row>
    <row r="37" spans="1:12" x14ac:dyDescent="0.45">
      <c r="A37" t="s">
        <v>1043</v>
      </c>
      <c r="B37" t="s">
        <v>129</v>
      </c>
      <c r="C37" t="s">
        <v>800</v>
      </c>
      <c r="D37" t="s">
        <v>581</v>
      </c>
      <c r="E37">
        <v>200</v>
      </c>
      <c r="F37">
        <v>200</v>
      </c>
      <c r="G37">
        <v>200</v>
      </c>
      <c r="H37">
        <v>0</v>
      </c>
      <c r="I37">
        <v>2005</v>
      </c>
      <c r="J37">
        <v>36</v>
      </c>
      <c r="K37">
        <f>allFYsTable[[#This Row],[Actual]]-allFYsTable[[#This Row],[OriginalBudget]]</f>
        <v>0</v>
      </c>
      <c r="L37" s="11">
        <f>allFYsTable[[#This Row],[DiffAmount]]/allFYsTable[[#This Row],[OriginalBudget]]</f>
        <v>0</v>
      </c>
    </row>
    <row r="38" spans="1:12" x14ac:dyDescent="0.45">
      <c r="A38" t="s">
        <v>1043</v>
      </c>
      <c r="B38" t="s">
        <v>129</v>
      </c>
      <c r="C38" t="s">
        <v>741</v>
      </c>
      <c r="D38" t="s">
        <v>1004</v>
      </c>
      <c r="E38">
        <v>0</v>
      </c>
      <c r="F38">
        <v>0</v>
      </c>
      <c r="G38">
        <v>0</v>
      </c>
      <c r="H38">
        <v>0</v>
      </c>
      <c r="I38">
        <v>2005</v>
      </c>
      <c r="J38">
        <v>37</v>
      </c>
      <c r="K38">
        <f>allFYsTable[[#This Row],[Actual]]-allFYsTable[[#This Row],[OriginalBudget]]</f>
        <v>0</v>
      </c>
      <c r="L38" s="11" t="e">
        <f>allFYsTable[[#This Row],[DiffAmount]]/allFYsTable[[#This Row],[OriginalBudget]]</f>
        <v>#DIV/0!</v>
      </c>
    </row>
    <row r="39" spans="1:12" x14ac:dyDescent="0.45">
      <c r="A39" t="s">
        <v>1043</v>
      </c>
      <c r="B39" t="s">
        <v>6</v>
      </c>
      <c r="C39" t="s">
        <v>758</v>
      </c>
      <c r="D39" t="s">
        <v>584</v>
      </c>
      <c r="E39">
        <v>352576</v>
      </c>
      <c r="F39">
        <v>375949</v>
      </c>
      <c r="G39">
        <v>371494</v>
      </c>
      <c r="H39">
        <v>4455</v>
      </c>
      <c r="I39">
        <v>2005</v>
      </c>
      <c r="J39">
        <v>38</v>
      </c>
      <c r="K39">
        <f>allFYsTable[[#This Row],[Actual]]-allFYsTable[[#This Row],[OriginalBudget]]</f>
        <v>18918</v>
      </c>
      <c r="L39" s="11">
        <f>allFYsTable[[#This Row],[DiffAmount]]/allFYsTable[[#This Row],[OriginalBudget]]</f>
        <v>5.3656516609184968E-2</v>
      </c>
    </row>
    <row r="40" spans="1:12" x14ac:dyDescent="0.45">
      <c r="A40" t="s">
        <v>1043</v>
      </c>
      <c r="B40" t="s">
        <v>6</v>
      </c>
      <c r="C40" t="s">
        <v>755</v>
      </c>
      <c r="D40" t="s">
        <v>131</v>
      </c>
      <c r="E40">
        <v>144926</v>
      </c>
      <c r="F40">
        <v>151014</v>
      </c>
      <c r="G40">
        <v>149226</v>
      </c>
      <c r="H40">
        <v>1788</v>
      </c>
      <c r="I40">
        <v>2005</v>
      </c>
      <c r="J40">
        <v>39</v>
      </c>
      <c r="K40">
        <f>allFYsTable[[#This Row],[Actual]]-allFYsTable[[#This Row],[OriginalBudget]]</f>
        <v>4300</v>
      </c>
      <c r="L40" s="11">
        <f>allFYsTable[[#This Row],[DiffAmount]]/allFYsTable[[#This Row],[OriginalBudget]]</f>
        <v>2.9670314505333757E-2</v>
      </c>
    </row>
    <row r="41" spans="1:12" x14ac:dyDescent="0.45">
      <c r="A41" t="s">
        <v>1043</v>
      </c>
      <c r="B41" t="s">
        <v>6</v>
      </c>
      <c r="C41" t="s">
        <v>768</v>
      </c>
      <c r="D41" t="s">
        <v>651</v>
      </c>
      <c r="E41">
        <v>112100</v>
      </c>
      <c r="F41">
        <v>112100</v>
      </c>
      <c r="G41">
        <v>112100</v>
      </c>
      <c r="H41">
        <v>0</v>
      </c>
      <c r="I41">
        <v>2005</v>
      </c>
      <c r="J41">
        <v>40</v>
      </c>
      <c r="K41">
        <f>allFYsTable[[#This Row],[Actual]]-allFYsTable[[#This Row],[OriginalBudget]]</f>
        <v>0</v>
      </c>
      <c r="L41" s="11">
        <f>allFYsTable[[#This Row],[DiffAmount]]/allFYsTable[[#This Row],[OriginalBudget]]</f>
        <v>0</v>
      </c>
    </row>
    <row r="42" spans="1:12" x14ac:dyDescent="0.45">
      <c r="A42" t="s">
        <v>1043</v>
      </c>
      <c r="B42" t="s">
        <v>6</v>
      </c>
      <c r="C42" t="s">
        <v>750</v>
      </c>
      <c r="D42" t="s">
        <v>587</v>
      </c>
      <c r="E42">
        <v>120024</v>
      </c>
      <c r="F42">
        <v>124114</v>
      </c>
      <c r="G42">
        <v>123091</v>
      </c>
      <c r="H42">
        <v>1023</v>
      </c>
      <c r="I42">
        <v>2005</v>
      </c>
      <c r="J42">
        <v>41</v>
      </c>
      <c r="K42">
        <f>allFYsTable[[#This Row],[Actual]]-allFYsTable[[#This Row],[OriginalBudget]]</f>
        <v>3067</v>
      </c>
      <c r="L42" s="11">
        <f>allFYsTable[[#This Row],[DiffAmount]]/allFYsTable[[#This Row],[OriginalBudget]]</f>
        <v>2.5553222688795573E-2</v>
      </c>
    </row>
    <row r="43" spans="1:12" x14ac:dyDescent="0.45">
      <c r="A43" t="s">
        <v>1043</v>
      </c>
      <c r="B43" t="s">
        <v>6</v>
      </c>
      <c r="C43" t="s">
        <v>753</v>
      </c>
      <c r="D43" t="s">
        <v>588</v>
      </c>
      <c r="E43">
        <v>2101</v>
      </c>
      <c r="F43">
        <v>2108</v>
      </c>
      <c r="G43">
        <v>2095</v>
      </c>
      <c r="H43">
        <v>13</v>
      </c>
      <c r="I43">
        <v>2005</v>
      </c>
      <c r="J43">
        <v>42</v>
      </c>
      <c r="K43">
        <f>allFYsTable[[#This Row],[Actual]]-allFYsTable[[#This Row],[OriginalBudget]]</f>
        <v>-6</v>
      </c>
      <c r="L43" s="11">
        <f>allFYsTable[[#This Row],[DiffAmount]]/allFYsTable[[#This Row],[OriginalBudget]]</f>
        <v>-2.8557829604950024E-3</v>
      </c>
    </row>
    <row r="44" spans="1:12" x14ac:dyDescent="0.45">
      <c r="A44" t="s">
        <v>1043</v>
      </c>
      <c r="B44" t="s">
        <v>6</v>
      </c>
      <c r="C44" t="s">
        <v>756</v>
      </c>
      <c r="D44" t="s">
        <v>652</v>
      </c>
      <c r="E44">
        <v>3253</v>
      </c>
      <c r="F44">
        <v>3265</v>
      </c>
      <c r="G44">
        <v>3007</v>
      </c>
      <c r="H44">
        <v>258</v>
      </c>
      <c r="I44">
        <v>2005</v>
      </c>
      <c r="J44">
        <v>43</v>
      </c>
      <c r="K44">
        <f>allFYsTable[[#This Row],[Actual]]-allFYsTable[[#This Row],[OriginalBudget]]</f>
        <v>-246</v>
      </c>
      <c r="L44" s="11">
        <f>allFYsTable[[#This Row],[DiffAmount]]/allFYsTable[[#This Row],[OriginalBudget]]</f>
        <v>-7.5622502305564096E-2</v>
      </c>
    </row>
    <row r="45" spans="1:12" x14ac:dyDescent="0.45">
      <c r="A45" t="s">
        <v>1043</v>
      </c>
      <c r="B45" t="s">
        <v>6</v>
      </c>
      <c r="C45" t="s">
        <v>746</v>
      </c>
      <c r="D45" t="s">
        <v>653</v>
      </c>
      <c r="E45">
        <v>213</v>
      </c>
      <c r="F45">
        <v>214</v>
      </c>
      <c r="G45">
        <v>204</v>
      </c>
      <c r="H45">
        <v>10</v>
      </c>
      <c r="I45">
        <v>2005</v>
      </c>
      <c r="J45">
        <v>44</v>
      </c>
      <c r="K45">
        <f>allFYsTable[[#This Row],[Actual]]-allFYsTable[[#This Row],[OriginalBudget]]</f>
        <v>-9</v>
      </c>
      <c r="L45" s="11">
        <f>allFYsTable[[#This Row],[DiffAmount]]/allFYsTable[[#This Row],[OriginalBudget]]</f>
        <v>-4.2253521126760563E-2</v>
      </c>
    </row>
    <row r="46" spans="1:12" x14ac:dyDescent="0.45">
      <c r="A46" t="s">
        <v>1043</v>
      </c>
      <c r="B46" t="s">
        <v>6</v>
      </c>
      <c r="C46" t="s">
        <v>757</v>
      </c>
      <c r="D46" t="s">
        <v>654</v>
      </c>
      <c r="E46">
        <v>118</v>
      </c>
      <c r="F46">
        <v>120</v>
      </c>
      <c r="G46">
        <v>103</v>
      </c>
      <c r="H46">
        <v>17</v>
      </c>
      <c r="I46">
        <v>2005</v>
      </c>
      <c r="J46">
        <v>45</v>
      </c>
      <c r="K46">
        <f>allFYsTable[[#This Row],[Actual]]-allFYsTable[[#This Row],[OriginalBudget]]</f>
        <v>-15</v>
      </c>
      <c r="L46" s="11">
        <f>allFYsTable[[#This Row],[DiffAmount]]/allFYsTable[[#This Row],[OriginalBudget]]</f>
        <v>-0.1271186440677966</v>
      </c>
    </row>
    <row r="47" spans="1:12" x14ac:dyDescent="0.45">
      <c r="A47" t="s">
        <v>1043</v>
      </c>
      <c r="B47" t="s">
        <v>6</v>
      </c>
      <c r="C47" t="s">
        <v>762</v>
      </c>
      <c r="D47" t="s">
        <v>655</v>
      </c>
      <c r="E47">
        <v>1756</v>
      </c>
      <c r="F47">
        <v>1766</v>
      </c>
      <c r="G47">
        <v>1715</v>
      </c>
      <c r="H47">
        <v>51</v>
      </c>
      <c r="I47">
        <v>2005</v>
      </c>
      <c r="J47">
        <v>46</v>
      </c>
      <c r="K47">
        <f>allFYsTable[[#This Row],[Actual]]-allFYsTable[[#This Row],[OriginalBudget]]</f>
        <v>-41</v>
      </c>
      <c r="L47" s="11">
        <f>allFYsTable[[#This Row],[DiffAmount]]/allFYsTable[[#This Row],[OriginalBudget]]</f>
        <v>-2.3348519362186789E-2</v>
      </c>
    </row>
    <row r="48" spans="1:12" x14ac:dyDescent="0.45">
      <c r="A48" t="s">
        <v>1043</v>
      </c>
      <c r="B48" t="s">
        <v>6</v>
      </c>
      <c r="C48" t="s">
        <v>754</v>
      </c>
      <c r="D48" t="s">
        <v>1016</v>
      </c>
      <c r="E48">
        <v>581</v>
      </c>
      <c r="F48">
        <v>583</v>
      </c>
      <c r="G48">
        <v>537</v>
      </c>
      <c r="H48">
        <v>46</v>
      </c>
      <c r="I48">
        <v>2005</v>
      </c>
      <c r="J48">
        <v>47</v>
      </c>
      <c r="K48">
        <f>allFYsTable[[#This Row],[Actual]]-allFYsTable[[#This Row],[OriginalBudget]]</f>
        <v>-44</v>
      </c>
      <c r="L48" s="11">
        <f>allFYsTable[[#This Row],[DiffAmount]]/allFYsTable[[#This Row],[OriginalBudget]]</f>
        <v>-7.5731497418244406E-2</v>
      </c>
    </row>
    <row r="49" spans="1:12" x14ac:dyDescent="0.45">
      <c r="A49" t="s">
        <v>1043</v>
      </c>
      <c r="B49" t="s">
        <v>6</v>
      </c>
      <c r="C49" t="s">
        <v>764</v>
      </c>
      <c r="D49" t="s">
        <v>656</v>
      </c>
      <c r="E49">
        <v>6650</v>
      </c>
      <c r="F49">
        <v>6673</v>
      </c>
      <c r="G49">
        <v>6252</v>
      </c>
      <c r="H49">
        <v>421</v>
      </c>
      <c r="I49">
        <v>2005</v>
      </c>
      <c r="J49">
        <v>48</v>
      </c>
      <c r="K49">
        <f>allFYsTable[[#This Row],[Actual]]-allFYsTable[[#This Row],[OriginalBudget]]</f>
        <v>-398</v>
      </c>
      <c r="L49" s="11">
        <f>allFYsTable[[#This Row],[DiffAmount]]/allFYsTable[[#This Row],[OriginalBudget]]</f>
        <v>-5.9849624060150375E-2</v>
      </c>
    </row>
    <row r="50" spans="1:12" x14ac:dyDescent="0.45">
      <c r="A50" t="s">
        <v>1043</v>
      </c>
      <c r="B50" t="s">
        <v>6</v>
      </c>
      <c r="C50" t="s">
        <v>759</v>
      </c>
      <c r="D50" t="s">
        <v>657</v>
      </c>
      <c r="E50">
        <v>5300</v>
      </c>
      <c r="F50">
        <v>4910</v>
      </c>
      <c r="G50">
        <v>3621</v>
      </c>
      <c r="H50">
        <v>1289</v>
      </c>
      <c r="I50">
        <v>2005</v>
      </c>
      <c r="J50">
        <v>49</v>
      </c>
      <c r="K50">
        <f>allFYsTable[[#This Row],[Actual]]-allFYsTable[[#This Row],[OriginalBudget]]</f>
        <v>-1679</v>
      </c>
      <c r="L50" s="11">
        <f>allFYsTable[[#This Row],[DiffAmount]]/allFYsTable[[#This Row],[OriginalBudget]]</f>
        <v>-0.3167924528301887</v>
      </c>
    </row>
    <row r="51" spans="1:12" x14ac:dyDescent="0.45">
      <c r="A51" t="s">
        <v>1043</v>
      </c>
      <c r="B51" t="s">
        <v>6</v>
      </c>
      <c r="C51" t="s">
        <v>747</v>
      </c>
      <c r="D51" t="s">
        <v>33</v>
      </c>
      <c r="E51">
        <v>155</v>
      </c>
      <c r="F51">
        <v>155</v>
      </c>
      <c r="G51">
        <v>49</v>
      </c>
      <c r="H51">
        <v>106</v>
      </c>
      <c r="I51">
        <v>2005</v>
      </c>
      <c r="J51">
        <v>50</v>
      </c>
      <c r="K51">
        <f>allFYsTable[[#This Row],[Actual]]-allFYsTable[[#This Row],[OriginalBudget]]</f>
        <v>-106</v>
      </c>
      <c r="L51" s="11">
        <f>allFYsTable[[#This Row],[DiffAmount]]/allFYsTable[[#This Row],[OriginalBudget]]</f>
        <v>-0.68387096774193545</v>
      </c>
    </row>
    <row r="52" spans="1:12" x14ac:dyDescent="0.45">
      <c r="A52" t="s">
        <v>1043</v>
      </c>
      <c r="B52" t="s">
        <v>6</v>
      </c>
      <c r="C52" t="s">
        <v>749</v>
      </c>
      <c r="D52" t="s">
        <v>658</v>
      </c>
      <c r="E52">
        <v>260</v>
      </c>
      <c r="F52">
        <v>262</v>
      </c>
      <c r="G52">
        <v>248</v>
      </c>
      <c r="H52">
        <v>14</v>
      </c>
      <c r="I52">
        <v>2005</v>
      </c>
      <c r="J52">
        <v>51</v>
      </c>
      <c r="K52">
        <f>allFYsTable[[#This Row],[Actual]]-allFYsTable[[#This Row],[OriginalBudget]]</f>
        <v>-12</v>
      </c>
      <c r="L52" s="11">
        <f>allFYsTable[[#This Row],[DiffAmount]]/allFYsTable[[#This Row],[OriginalBudget]]</f>
        <v>-4.6153846153846156E-2</v>
      </c>
    </row>
    <row r="53" spans="1:12" x14ac:dyDescent="0.45">
      <c r="A53" t="s">
        <v>1043</v>
      </c>
      <c r="B53" t="s">
        <v>6</v>
      </c>
      <c r="C53" t="s">
        <v>751</v>
      </c>
      <c r="D53" t="s">
        <v>594</v>
      </c>
      <c r="E53">
        <v>800</v>
      </c>
      <c r="F53">
        <v>800</v>
      </c>
      <c r="G53">
        <v>730</v>
      </c>
      <c r="H53">
        <v>70</v>
      </c>
      <c r="I53">
        <v>2005</v>
      </c>
      <c r="J53">
        <v>52</v>
      </c>
      <c r="K53">
        <f>allFYsTable[[#This Row],[Actual]]-allFYsTable[[#This Row],[OriginalBudget]]</f>
        <v>-70</v>
      </c>
      <c r="L53" s="11">
        <f>allFYsTable[[#This Row],[DiffAmount]]/allFYsTable[[#This Row],[OriginalBudget]]</f>
        <v>-8.7499999999999994E-2</v>
      </c>
    </row>
    <row r="54" spans="1:12" x14ac:dyDescent="0.45">
      <c r="A54" t="s">
        <v>1043</v>
      </c>
      <c r="B54" t="s">
        <v>6</v>
      </c>
      <c r="C54" t="s">
        <v>756</v>
      </c>
      <c r="D54" t="s">
        <v>688</v>
      </c>
      <c r="E54">
        <v>0</v>
      </c>
      <c r="F54">
        <v>0</v>
      </c>
      <c r="G54">
        <v>0</v>
      </c>
      <c r="H54">
        <v>0</v>
      </c>
      <c r="I54">
        <v>2005</v>
      </c>
      <c r="J54">
        <v>53</v>
      </c>
      <c r="K54">
        <f>allFYsTable[[#This Row],[Actual]]-allFYsTable[[#This Row],[OriginalBudget]]</f>
        <v>0</v>
      </c>
      <c r="L54" s="11" t="e">
        <f>allFYsTable[[#This Row],[DiffAmount]]/allFYsTable[[#This Row],[OriginalBudget]]</f>
        <v>#DIV/0!</v>
      </c>
    </row>
    <row r="55" spans="1:12" x14ac:dyDescent="0.45">
      <c r="A55" t="s">
        <v>1043</v>
      </c>
      <c r="B55" t="s">
        <v>6</v>
      </c>
      <c r="C55" t="s">
        <v>766</v>
      </c>
      <c r="D55" t="s">
        <v>52</v>
      </c>
      <c r="E55">
        <v>10036</v>
      </c>
      <c r="F55">
        <v>10168</v>
      </c>
      <c r="G55">
        <v>8325</v>
      </c>
      <c r="H55">
        <v>1843</v>
      </c>
      <c r="I55">
        <v>2005</v>
      </c>
      <c r="J55">
        <v>54</v>
      </c>
      <c r="K55">
        <f>allFYsTable[[#This Row],[Actual]]-allFYsTable[[#This Row],[OriginalBudget]]</f>
        <v>-1711</v>
      </c>
      <c r="L55" s="11">
        <f>allFYsTable[[#This Row],[DiffAmount]]/allFYsTable[[#This Row],[OriginalBudget]]</f>
        <v>-0.17048624950179353</v>
      </c>
    </row>
    <row r="56" spans="1:12" x14ac:dyDescent="0.45">
      <c r="A56" t="s">
        <v>1043</v>
      </c>
      <c r="B56" t="s">
        <v>136</v>
      </c>
      <c r="C56" t="s">
        <v>773</v>
      </c>
      <c r="D56" t="s">
        <v>595</v>
      </c>
      <c r="E56">
        <v>760494</v>
      </c>
      <c r="F56">
        <v>776590</v>
      </c>
      <c r="G56">
        <v>776578</v>
      </c>
      <c r="H56">
        <v>12</v>
      </c>
      <c r="I56">
        <v>2005</v>
      </c>
      <c r="J56">
        <v>55</v>
      </c>
      <c r="K56">
        <f>allFYsTable[[#This Row],[Actual]]-allFYsTable[[#This Row],[OriginalBudget]]</f>
        <v>16084</v>
      </c>
      <c r="L56" s="11">
        <f>allFYsTable[[#This Row],[DiffAmount]]/allFYsTable[[#This Row],[OriginalBudget]]</f>
        <v>2.1149410777731317E-2</v>
      </c>
    </row>
    <row r="57" spans="1:12" x14ac:dyDescent="0.45">
      <c r="A57" t="s">
        <v>1043</v>
      </c>
      <c r="B57" t="s">
        <v>136</v>
      </c>
      <c r="C57" t="s">
        <v>870</v>
      </c>
      <c r="D57" t="s">
        <v>693</v>
      </c>
      <c r="E57">
        <v>0</v>
      </c>
      <c r="F57">
        <v>4799</v>
      </c>
      <c r="G57">
        <v>4799</v>
      </c>
      <c r="H57">
        <v>0</v>
      </c>
      <c r="I57">
        <v>2005</v>
      </c>
      <c r="J57">
        <v>56</v>
      </c>
      <c r="K57">
        <f>allFYsTable[[#This Row],[Actual]]-allFYsTable[[#This Row],[OriginalBudget]]</f>
        <v>4799</v>
      </c>
      <c r="L57" s="11" t="e">
        <f>allFYsTable[[#This Row],[DiffAmount]]/allFYsTable[[#This Row],[OriginalBudget]]</f>
        <v>#DIV/0!</v>
      </c>
    </row>
    <row r="58" spans="1:12" x14ac:dyDescent="0.45">
      <c r="A58" t="s">
        <v>1043</v>
      </c>
      <c r="B58" t="s">
        <v>136</v>
      </c>
      <c r="C58" t="s">
        <v>782</v>
      </c>
      <c r="D58" t="s">
        <v>662</v>
      </c>
      <c r="E58">
        <v>9200</v>
      </c>
      <c r="F58">
        <v>9200</v>
      </c>
      <c r="G58">
        <v>9147</v>
      </c>
      <c r="H58">
        <v>53</v>
      </c>
      <c r="I58">
        <v>2005</v>
      </c>
      <c r="J58">
        <v>57</v>
      </c>
      <c r="K58">
        <f>allFYsTable[[#This Row],[Actual]]-allFYsTable[[#This Row],[OriginalBudget]]</f>
        <v>-53</v>
      </c>
      <c r="L58" s="11">
        <f>allFYsTable[[#This Row],[DiffAmount]]/allFYsTable[[#This Row],[OriginalBudget]]</f>
        <v>-5.7608695652173912E-3</v>
      </c>
    </row>
    <row r="59" spans="1:12" x14ac:dyDescent="0.45">
      <c r="A59" t="s">
        <v>1043</v>
      </c>
      <c r="B59" t="s">
        <v>136</v>
      </c>
      <c r="C59" t="s">
        <v>779</v>
      </c>
      <c r="D59" t="s">
        <v>598</v>
      </c>
      <c r="E59">
        <v>10015</v>
      </c>
      <c r="F59">
        <v>10504</v>
      </c>
      <c r="G59">
        <v>10056</v>
      </c>
      <c r="H59">
        <v>448</v>
      </c>
      <c r="I59">
        <v>2005</v>
      </c>
      <c r="J59">
        <v>58</v>
      </c>
      <c r="K59">
        <f>allFYsTable[[#This Row],[Actual]]-allFYsTable[[#This Row],[OriginalBudget]]</f>
        <v>41</v>
      </c>
      <c r="L59" s="11">
        <f>allFYsTable[[#This Row],[DiffAmount]]/allFYsTable[[#This Row],[OriginalBudget]]</f>
        <v>4.0938592111832255E-3</v>
      </c>
    </row>
    <row r="60" spans="1:12" x14ac:dyDescent="0.45">
      <c r="A60" t="s">
        <v>1043</v>
      </c>
      <c r="B60" t="s">
        <v>136</v>
      </c>
      <c r="C60" t="s">
        <v>772</v>
      </c>
      <c r="D60" t="s">
        <v>260</v>
      </c>
      <c r="E60">
        <v>196802</v>
      </c>
      <c r="F60">
        <v>152916</v>
      </c>
      <c r="G60">
        <v>129905</v>
      </c>
      <c r="H60">
        <v>23011</v>
      </c>
      <c r="I60">
        <v>2005</v>
      </c>
      <c r="J60">
        <v>59</v>
      </c>
      <c r="K60">
        <f>allFYsTable[[#This Row],[Actual]]-allFYsTable[[#This Row],[OriginalBudget]]</f>
        <v>-66897</v>
      </c>
      <c r="L60" s="11">
        <f>allFYsTable[[#This Row],[DiffAmount]]/allFYsTable[[#This Row],[OriginalBudget]]</f>
        <v>-0.33992032601294703</v>
      </c>
    </row>
    <row r="61" spans="1:12" x14ac:dyDescent="0.45">
      <c r="A61" t="s">
        <v>1043</v>
      </c>
      <c r="B61" t="s">
        <v>136</v>
      </c>
      <c r="C61" t="s">
        <v>869</v>
      </c>
      <c r="D61" t="s">
        <v>694</v>
      </c>
      <c r="E61">
        <v>0</v>
      </c>
      <c r="F61">
        <v>58419</v>
      </c>
      <c r="G61">
        <v>58419</v>
      </c>
      <c r="H61">
        <v>0</v>
      </c>
      <c r="I61">
        <v>2005</v>
      </c>
      <c r="J61">
        <v>60</v>
      </c>
      <c r="K61">
        <f>allFYsTable[[#This Row],[Actual]]-allFYsTable[[#This Row],[OriginalBudget]]</f>
        <v>58419</v>
      </c>
      <c r="L61" s="11" t="e">
        <f>allFYsTable[[#This Row],[DiffAmount]]/allFYsTable[[#This Row],[OriginalBudget]]</f>
        <v>#DIV/0!</v>
      </c>
    </row>
    <row r="62" spans="1:12" x14ac:dyDescent="0.45">
      <c r="A62" t="s">
        <v>1043</v>
      </c>
      <c r="B62" t="s">
        <v>136</v>
      </c>
      <c r="C62" t="s">
        <v>784</v>
      </c>
      <c r="D62" t="s">
        <v>601</v>
      </c>
      <c r="E62">
        <v>49602</v>
      </c>
      <c r="F62">
        <v>51581</v>
      </c>
      <c r="G62">
        <v>51581</v>
      </c>
      <c r="H62">
        <v>0</v>
      </c>
      <c r="I62">
        <v>2005</v>
      </c>
      <c r="J62">
        <v>61</v>
      </c>
      <c r="K62">
        <f>allFYsTable[[#This Row],[Actual]]-allFYsTable[[#This Row],[OriginalBudget]]</f>
        <v>1979</v>
      </c>
      <c r="L62" s="11">
        <f>allFYsTable[[#This Row],[DiffAmount]]/allFYsTable[[#This Row],[OriginalBudget]]</f>
        <v>3.9897584774807468E-2</v>
      </c>
    </row>
    <row r="63" spans="1:12" x14ac:dyDescent="0.45">
      <c r="A63" t="s">
        <v>1043</v>
      </c>
      <c r="B63" t="s">
        <v>136</v>
      </c>
      <c r="C63" t="s">
        <v>774</v>
      </c>
      <c r="D63" t="s">
        <v>602</v>
      </c>
      <c r="E63">
        <v>28978</v>
      </c>
      <c r="F63">
        <v>30793</v>
      </c>
      <c r="G63">
        <v>29820</v>
      </c>
      <c r="H63">
        <v>973</v>
      </c>
      <c r="I63">
        <v>2005</v>
      </c>
      <c r="J63">
        <v>62</v>
      </c>
      <c r="K63">
        <f>allFYsTable[[#This Row],[Actual]]-allFYsTable[[#This Row],[OriginalBudget]]</f>
        <v>842</v>
      </c>
      <c r="L63" s="11">
        <f>allFYsTable[[#This Row],[DiffAmount]]/allFYsTable[[#This Row],[OriginalBudget]]</f>
        <v>2.9056525640140798E-2</v>
      </c>
    </row>
    <row r="64" spans="1:12" x14ac:dyDescent="0.45">
      <c r="A64" t="s">
        <v>1043</v>
      </c>
      <c r="B64" t="s">
        <v>136</v>
      </c>
      <c r="C64" t="s">
        <v>778</v>
      </c>
      <c r="D64" t="s">
        <v>695</v>
      </c>
      <c r="E64">
        <v>3618</v>
      </c>
      <c r="F64">
        <v>3819</v>
      </c>
      <c r="G64">
        <v>3815</v>
      </c>
      <c r="H64">
        <v>4</v>
      </c>
      <c r="I64">
        <v>2005</v>
      </c>
      <c r="J64">
        <v>63</v>
      </c>
      <c r="K64">
        <f>allFYsTable[[#This Row],[Actual]]-allFYsTable[[#This Row],[OriginalBudget]]</f>
        <v>197</v>
      </c>
      <c r="L64" s="11">
        <f>allFYsTable[[#This Row],[DiffAmount]]/allFYsTable[[#This Row],[OriginalBudget]]</f>
        <v>5.4449972360420124E-2</v>
      </c>
    </row>
    <row r="65" spans="1:12" x14ac:dyDescent="0.45">
      <c r="A65" t="s">
        <v>1043</v>
      </c>
      <c r="B65" t="s">
        <v>14</v>
      </c>
      <c r="C65" t="s">
        <v>790</v>
      </c>
      <c r="D65" t="s">
        <v>606</v>
      </c>
      <c r="E65">
        <v>257132</v>
      </c>
      <c r="F65">
        <v>268940</v>
      </c>
      <c r="G65">
        <v>268940</v>
      </c>
      <c r="H65">
        <v>0</v>
      </c>
      <c r="I65">
        <v>2005</v>
      </c>
      <c r="J65">
        <v>64</v>
      </c>
      <c r="K65">
        <f>allFYsTable[[#This Row],[Actual]]-allFYsTable[[#This Row],[OriginalBudget]]</f>
        <v>11808</v>
      </c>
      <c r="L65" s="11">
        <f>allFYsTable[[#This Row],[DiffAmount]]/allFYsTable[[#This Row],[OriginalBudget]]</f>
        <v>4.5921938926310225E-2</v>
      </c>
    </row>
    <row r="66" spans="1:12" x14ac:dyDescent="0.45">
      <c r="A66" t="s">
        <v>1043</v>
      </c>
      <c r="B66" t="s">
        <v>14</v>
      </c>
      <c r="C66" t="s">
        <v>785</v>
      </c>
      <c r="D66" t="s">
        <v>607</v>
      </c>
      <c r="E66">
        <v>142235</v>
      </c>
      <c r="F66">
        <v>158627</v>
      </c>
      <c r="G66">
        <v>158577</v>
      </c>
      <c r="H66">
        <v>50</v>
      </c>
      <c r="I66">
        <v>2005</v>
      </c>
      <c r="J66">
        <v>65</v>
      </c>
      <c r="K66">
        <f>allFYsTable[[#This Row],[Actual]]-allFYsTable[[#This Row],[OriginalBudget]]</f>
        <v>16342</v>
      </c>
      <c r="L66" s="11">
        <f>allFYsTable[[#This Row],[DiffAmount]]/allFYsTable[[#This Row],[OriginalBudget]]</f>
        <v>0.11489436495939818</v>
      </c>
    </row>
    <row r="67" spans="1:12" x14ac:dyDescent="0.45">
      <c r="A67" t="s">
        <v>1043</v>
      </c>
      <c r="B67" t="s">
        <v>14</v>
      </c>
      <c r="C67" t="s">
        <v>787</v>
      </c>
      <c r="D67" t="s">
        <v>668</v>
      </c>
      <c r="E67">
        <v>153228</v>
      </c>
      <c r="F67">
        <v>185256</v>
      </c>
      <c r="G67">
        <v>189341</v>
      </c>
      <c r="H67">
        <v>-4085</v>
      </c>
      <c r="I67">
        <v>2005</v>
      </c>
      <c r="J67">
        <v>66</v>
      </c>
      <c r="K67">
        <f>allFYsTable[[#This Row],[Actual]]-allFYsTable[[#This Row],[OriginalBudget]]</f>
        <v>36113</v>
      </c>
      <c r="L67" s="11">
        <f>allFYsTable[[#This Row],[DiffAmount]]/allFYsTable[[#This Row],[OriginalBudget]]</f>
        <v>0.23568146813898244</v>
      </c>
    </row>
    <row r="68" spans="1:12" x14ac:dyDescent="0.45">
      <c r="A68" t="s">
        <v>1043</v>
      </c>
      <c r="B68" t="s">
        <v>14</v>
      </c>
      <c r="C68" t="s">
        <v>788</v>
      </c>
      <c r="D68" t="s">
        <v>610</v>
      </c>
      <c r="E68">
        <v>513938</v>
      </c>
      <c r="F68">
        <v>523354</v>
      </c>
      <c r="G68">
        <v>516778</v>
      </c>
      <c r="H68">
        <v>6576</v>
      </c>
      <c r="I68">
        <v>2005</v>
      </c>
      <c r="J68">
        <v>67</v>
      </c>
      <c r="K68">
        <f>allFYsTable[[#This Row],[Actual]]-allFYsTable[[#This Row],[OriginalBudget]]</f>
        <v>2840</v>
      </c>
      <c r="L68" s="11">
        <f>allFYsTable[[#This Row],[DiffAmount]]/allFYsTable[[#This Row],[OriginalBudget]]</f>
        <v>5.5259583840852403E-3</v>
      </c>
    </row>
    <row r="69" spans="1:12" x14ac:dyDescent="0.45">
      <c r="A69" t="s">
        <v>1043</v>
      </c>
      <c r="B69" t="s">
        <v>14</v>
      </c>
      <c r="C69" t="s">
        <v>770</v>
      </c>
      <c r="D69" t="s">
        <v>611</v>
      </c>
      <c r="E69">
        <v>34303</v>
      </c>
      <c r="F69">
        <v>34504</v>
      </c>
      <c r="G69">
        <v>34437</v>
      </c>
      <c r="H69">
        <v>67</v>
      </c>
      <c r="I69">
        <v>2005</v>
      </c>
      <c r="J69">
        <v>68</v>
      </c>
      <c r="K69">
        <f>allFYsTable[[#This Row],[Actual]]-allFYsTable[[#This Row],[OriginalBudget]]</f>
        <v>134</v>
      </c>
      <c r="L69" s="11">
        <f>allFYsTable[[#This Row],[DiffAmount]]/allFYsTable[[#This Row],[OriginalBudget]]</f>
        <v>3.906363874879748E-3</v>
      </c>
    </row>
    <row r="70" spans="1:12" x14ac:dyDescent="0.45">
      <c r="A70" t="s">
        <v>1043</v>
      </c>
      <c r="B70" t="s">
        <v>14</v>
      </c>
      <c r="C70" t="s">
        <v>786</v>
      </c>
      <c r="D70" t="s">
        <v>612</v>
      </c>
      <c r="E70">
        <v>14732</v>
      </c>
      <c r="F70">
        <v>14740</v>
      </c>
      <c r="G70">
        <v>13990</v>
      </c>
      <c r="H70">
        <v>750</v>
      </c>
      <c r="I70">
        <v>2005</v>
      </c>
      <c r="J70">
        <v>69</v>
      </c>
      <c r="K70">
        <f>allFYsTable[[#This Row],[Actual]]-allFYsTable[[#This Row],[OriginalBudget]]</f>
        <v>-742</v>
      </c>
      <c r="L70" s="11">
        <f>allFYsTable[[#This Row],[DiffAmount]]/allFYsTable[[#This Row],[OriginalBudget]]</f>
        <v>-5.0366549008960086E-2</v>
      </c>
    </row>
    <row r="71" spans="1:12" x14ac:dyDescent="0.45">
      <c r="A71" t="s">
        <v>1043</v>
      </c>
      <c r="B71" t="s">
        <v>14</v>
      </c>
      <c r="C71" t="s">
        <v>783</v>
      </c>
      <c r="D71" t="s">
        <v>669</v>
      </c>
      <c r="E71">
        <v>8124</v>
      </c>
      <c r="F71">
        <v>5824</v>
      </c>
      <c r="G71">
        <v>5198</v>
      </c>
      <c r="H71">
        <v>626</v>
      </c>
      <c r="I71">
        <v>2005</v>
      </c>
      <c r="J71">
        <v>70</v>
      </c>
      <c r="K71">
        <f>allFYsTable[[#This Row],[Actual]]-allFYsTable[[#This Row],[OriginalBudget]]</f>
        <v>-2926</v>
      </c>
      <c r="L71" s="11">
        <f>allFYsTable[[#This Row],[DiffAmount]]/allFYsTable[[#This Row],[OriginalBudget]]</f>
        <v>-0.3601674052191039</v>
      </c>
    </row>
    <row r="72" spans="1:12" x14ac:dyDescent="0.45">
      <c r="A72" t="s">
        <v>1043</v>
      </c>
      <c r="B72" t="s">
        <v>14</v>
      </c>
      <c r="C72" t="s">
        <v>706</v>
      </c>
      <c r="D72" t="s">
        <v>670</v>
      </c>
      <c r="E72">
        <v>29600</v>
      </c>
      <c r="F72">
        <v>29013</v>
      </c>
      <c r="G72">
        <v>29013</v>
      </c>
      <c r="H72">
        <v>0</v>
      </c>
      <c r="I72">
        <v>2005</v>
      </c>
      <c r="J72">
        <v>71</v>
      </c>
      <c r="K72">
        <f>allFYsTable[[#This Row],[Actual]]-allFYsTable[[#This Row],[OriginalBudget]]</f>
        <v>-587</v>
      </c>
      <c r="L72" s="11">
        <f>allFYsTable[[#This Row],[DiffAmount]]/allFYsTable[[#This Row],[OriginalBudget]]</f>
        <v>-1.983108108108108E-2</v>
      </c>
    </row>
    <row r="73" spans="1:12" x14ac:dyDescent="0.45">
      <c r="A73" t="s">
        <v>1043</v>
      </c>
      <c r="B73" t="s">
        <v>14</v>
      </c>
      <c r="C73" t="s">
        <v>760</v>
      </c>
      <c r="D73" t="s">
        <v>615</v>
      </c>
      <c r="E73">
        <v>2281</v>
      </c>
      <c r="F73">
        <v>2291</v>
      </c>
      <c r="G73">
        <v>2215</v>
      </c>
      <c r="H73">
        <v>76</v>
      </c>
      <c r="I73">
        <v>2005</v>
      </c>
      <c r="J73">
        <v>72</v>
      </c>
      <c r="K73">
        <f>allFYsTable[[#This Row],[Actual]]-allFYsTable[[#This Row],[OriginalBudget]]</f>
        <v>-66</v>
      </c>
      <c r="L73" s="11">
        <f>allFYsTable[[#This Row],[DiffAmount]]/allFYsTable[[#This Row],[OriginalBudget]]</f>
        <v>-2.893467777290662E-2</v>
      </c>
    </row>
    <row r="74" spans="1:12" x14ac:dyDescent="0.45">
      <c r="A74" t="s">
        <v>1043</v>
      </c>
      <c r="B74" t="s">
        <v>14</v>
      </c>
      <c r="C74" t="s">
        <v>828</v>
      </c>
      <c r="D74" t="s">
        <v>219</v>
      </c>
      <c r="E74">
        <v>5068</v>
      </c>
      <c r="F74">
        <v>5068</v>
      </c>
      <c r="G74">
        <v>5068</v>
      </c>
      <c r="H74">
        <v>0</v>
      </c>
      <c r="I74">
        <v>2005</v>
      </c>
      <c r="J74">
        <v>73</v>
      </c>
      <c r="K74">
        <f>allFYsTable[[#This Row],[Actual]]-allFYsTable[[#This Row],[OriginalBudget]]</f>
        <v>0</v>
      </c>
      <c r="L74" s="11">
        <f>allFYsTable[[#This Row],[DiffAmount]]/allFYsTable[[#This Row],[OriginalBudget]]</f>
        <v>0</v>
      </c>
    </row>
    <row r="75" spans="1:12" x14ac:dyDescent="0.45">
      <c r="A75" t="s">
        <v>1043</v>
      </c>
      <c r="B75" t="s">
        <v>14</v>
      </c>
      <c r="C75" t="s">
        <v>729</v>
      </c>
      <c r="D75" t="s">
        <v>616</v>
      </c>
      <c r="E75">
        <v>3655</v>
      </c>
      <c r="F75">
        <v>3921</v>
      </c>
      <c r="G75">
        <v>3874</v>
      </c>
      <c r="H75">
        <v>47</v>
      </c>
      <c r="I75">
        <v>2005</v>
      </c>
      <c r="J75">
        <v>74</v>
      </c>
      <c r="K75">
        <f>allFYsTable[[#This Row],[Actual]]-allFYsTable[[#This Row],[OriginalBudget]]</f>
        <v>219</v>
      </c>
      <c r="L75" s="11">
        <f>allFYsTable[[#This Row],[DiffAmount]]/allFYsTable[[#This Row],[OriginalBudget]]</f>
        <v>5.9917920656634746E-2</v>
      </c>
    </row>
    <row r="76" spans="1:12" x14ac:dyDescent="0.45">
      <c r="A76" t="s">
        <v>1043</v>
      </c>
      <c r="B76" t="s">
        <v>14</v>
      </c>
      <c r="C76" t="s">
        <v>798</v>
      </c>
      <c r="D76" t="s">
        <v>682</v>
      </c>
      <c r="E76">
        <v>427</v>
      </c>
      <c r="F76">
        <v>1428</v>
      </c>
      <c r="G76">
        <v>1427</v>
      </c>
      <c r="H76">
        <v>1</v>
      </c>
      <c r="I76">
        <v>2005</v>
      </c>
      <c r="J76">
        <v>75</v>
      </c>
      <c r="K76">
        <f>allFYsTable[[#This Row],[Actual]]-allFYsTable[[#This Row],[OriginalBudget]]</f>
        <v>1000</v>
      </c>
      <c r="L76" s="11">
        <f>allFYsTable[[#This Row],[DiffAmount]]/allFYsTable[[#This Row],[OriginalBudget]]</f>
        <v>2.3419203747072599</v>
      </c>
    </row>
    <row r="77" spans="1:12" x14ac:dyDescent="0.45">
      <c r="A77" t="s">
        <v>1043</v>
      </c>
      <c r="B77" t="s">
        <v>14</v>
      </c>
      <c r="C77" t="s">
        <v>728</v>
      </c>
      <c r="D77" t="s">
        <v>671</v>
      </c>
      <c r="E77">
        <v>353</v>
      </c>
      <c r="F77">
        <v>355</v>
      </c>
      <c r="G77">
        <v>351</v>
      </c>
      <c r="H77">
        <v>4</v>
      </c>
      <c r="I77">
        <v>2005</v>
      </c>
      <c r="J77">
        <v>76</v>
      </c>
      <c r="K77">
        <f>allFYsTable[[#This Row],[Actual]]-allFYsTable[[#This Row],[OriginalBudget]]</f>
        <v>-2</v>
      </c>
      <c r="L77" s="11">
        <f>allFYsTable[[#This Row],[DiffAmount]]/allFYsTable[[#This Row],[OriginalBudget]]</f>
        <v>-5.6657223796033997E-3</v>
      </c>
    </row>
    <row r="78" spans="1:12" x14ac:dyDescent="0.45">
      <c r="A78" t="s">
        <v>1043</v>
      </c>
      <c r="B78" t="s">
        <v>14</v>
      </c>
      <c r="C78" t="s">
        <v>727</v>
      </c>
      <c r="D78" t="s">
        <v>672</v>
      </c>
      <c r="E78">
        <v>239</v>
      </c>
      <c r="F78">
        <v>240</v>
      </c>
      <c r="G78">
        <v>234</v>
      </c>
      <c r="H78">
        <v>6</v>
      </c>
      <c r="I78">
        <v>2005</v>
      </c>
      <c r="J78">
        <v>77</v>
      </c>
      <c r="K78">
        <f>allFYsTable[[#This Row],[Actual]]-allFYsTable[[#This Row],[OriginalBudget]]</f>
        <v>-5</v>
      </c>
      <c r="L78" s="11">
        <f>allFYsTable[[#This Row],[DiffAmount]]/allFYsTable[[#This Row],[OriginalBudget]]</f>
        <v>-2.0920502092050208E-2</v>
      </c>
    </row>
    <row r="79" spans="1:12" x14ac:dyDescent="0.45">
      <c r="A79" t="s">
        <v>1043</v>
      </c>
      <c r="B79" t="s">
        <v>530</v>
      </c>
      <c r="C79" t="s">
        <v>802</v>
      </c>
      <c r="D79" t="s">
        <v>182</v>
      </c>
      <c r="E79">
        <v>86981</v>
      </c>
      <c r="F79">
        <v>89093</v>
      </c>
      <c r="G79">
        <v>88869</v>
      </c>
      <c r="H79">
        <v>224</v>
      </c>
      <c r="I79">
        <v>2005</v>
      </c>
      <c r="J79">
        <v>78</v>
      </c>
      <c r="K79">
        <f>allFYsTable[[#This Row],[Actual]]-allFYsTable[[#This Row],[OriginalBudget]]</f>
        <v>1888</v>
      </c>
      <c r="L79" s="11">
        <f>allFYsTable[[#This Row],[DiffAmount]]/allFYsTable[[#This Row],[OriginalBudget]]</f>
        <v>2.1705889792023546E-2</v>
      </c>
    </row>
    <row r="80" spans="1:12" x14ac:dyDescent="0.45">
      <c r="A80" t="s">
        <v>1043</v>
      </c>
      <c r="B80" t="s">
        <v>530</v>
      </c>
      <c r="C80" t="s">
        <v>803</v>
      </c>
      <c r="D80" t="s">
        <v>155</v>
      </c>
      <c r="E80">
        <v>26815</v>
      </c>
      <c r="F80">
        <v>26992</v>
      </c>
      <c r="G80">
        <v>26989</v>
      </c>
      <c r="H80">
        <v>3</v>
      </c>
      <c r="I80">
        <v>2005</v>
      </c>
      <c r="J80">
        <v>79</v>
      </c>
      <c r="K80">
        <f>allFYsTable[[#This Row],[Actual]]-allFYsTable[[#This Row],[OriginalBudget]]</f>
        <v>174</v>
      </c>
      <c r="L80" s="11">
        <f>allFYsTable[[#This Row],[DiffAmount]]/allFYsTable[[#This Row],[OriginalBudget]]</f>
        <v>6.4889054633600601E-3</v>
      </c>
    </row>
    <row r="81" spans="1:12" x14ac:dyDescent="0.45">
      <c r="A81" t="s">
        <v>1043</v>
      </c>
      <c r="B81" t="s">
        <v>530</v>
      </c>
      <c r="C81" t="s">
        <v>801</v>
      </c>
      <c r="D81" t="s">
        <v>77</v>
      </c>
      <c r="E81">
        <v>28526</v>
      </c>
      <c r="F81">
        <v>31596</v>
      </c>
      <c r="G81">
        <v>30751</v>
      </c>
      <c r="H81">
        <v>845</v>
      </c>
      <c r="I81">
        <v>2005</v>
      </c>
      <c r="J81">
        <v>80</v>
      </c>
      <c r="K81">
        <f>allFYsTable[[#This Row],[Actual]]-allFYsTable[[#This Row],[OriginalBudget]]</f>
        <v>2225</v>
      </c>
      <c r="L81" s="11">
        <f>allFYsTable[[#This Row],[DiffAmount]]/allFYsTable[[#This Row],[OriginalBudget]]</f>
        <v>7.7999018439318515E-2</v>
      </c>
    </row>
    <row r="82" spans="1:12" x14ac:dyDescent="0.45">
      <c r="A82" t="s">
        <v>1043</v>
      </c>
      <c r="B82" t="s">
        <v>530</v>
      </c>
      <c r="C82" t="s">
        <v>799</v>
      </c>
      <c r="D82" t="s">
        <v>675</v>
      </c>
      <c r="E82">
        <v>795</v>
      </c>
      <c r="F82">
        <v>796</v>
      </c>
      <c r="G82">
        <v>762</v>
      </c>
      <c r="H82">
        <v>34</v>
      </c>
      <c r="I82">
        <v>2005</v>
      </c>
      <c r="J82">
        <v>81</v>
      </c>
      <c r="K82">
        <f>allFYsTable[[#This Row],[Actual]]-allFYsTable[[#This Row],[OriginalBudget]]</f>
        <v>-33</v>
      </c>
      <c r="L82" s="11">
        <f>allFYsTable[[#This Row],[DiffAmount]]/allFYsTable[[#This Row],[OriginalBudget]]</f>
        <v>-4.1509433962264149E-2</v>
      </c>
    </row>
    <row r="83" spans="1:12" x14ac:dyDescent="0.45">
      <c r="A83" t="s">
        <v>1043</v>
      </c>
      <c r="B83" t="s">
        <v>530</v>
      </c>
      <c r="C83" t="s">
        <v>808</v>
      </c>
      <c r="D83" t="s">
        <v>676</v>
      </c>
      <c r="E83">
        <v>95</v>
      </c>
      <c r="F83">
        <v>95</v>
      </c>
      <c r="G83">
        <v>95</v>
      </c>
      <c r="H83">
        <v>0</v>
      </c>
      <c r="I83">
        <v>2005</v>
      </c>
      <c r="J83">
        <v>82</v>
      </c>
      <c r="K83">
        <f>allFYsTable[[#This Row],[Actual]]-allFYsTable[[#This Row],[OriginalBudget]]</f>
        <v>0</v>
      </c>
      <c r="L83" s="11">
        <f>allFYsTable[[#This Row],[DiffAmount]]/allFYsTable[[#This Row],[OriginalBudget]]</f>
        <v>0</v>
      </c>
    </row>
    <row r="84" spans="1:12" x14ac:dyDescent="0.45">
      <c r="A84" t="s">
        <v>1043</v>
      </c>
      <c r="B84" t="s">
        <v>530</v>
      </c>
      <c r="C84" t="s">
        <v>807</v>
      </c>
      <c r="D84" t="s">
        <v>17</v>
      </c>
      <c r="E84">
        <v>164153</v>
      </c>
      <c r="F84">
        <v>165353</v>
      </c>
      <c r="G84">
        <v>165303</v>
      </c>
      <c r="H84">
        <v>50</v>
      </c>
      <c r="I84">
        <v>2005</v>
      </c>
      <c r="J84">
        <v>83</v>
      </c>
      <c r="K84">
        <f>allFYsTable[[#This Row],[Actual]]-allFYsTable[[#This Row],[OriginalBudget]]</f>
        <v>1150</v>
      </c>
      <c r="L84" s="11">
        <f>allFYsTable[[#This Row],[DiffAmount]]/allFYsTable[[#This Row],[OriginalBudget]]</f>
        <v>7.0056593543828018E-3</v>
      </c>
    </row>
    <row r="85" spans="1:12" x14ac:dyDescent="0.45">
      <c r="A85" t="s">
        <v>1043</v>
      </c>
      <c r="B85" t="s">
        <v>530</v>
      </c>
      <c r="C85" t="s">
        <v>807</v>
      </c>
      <c r="D85" t="s">
        <v>626</v>
      </c>
      <c r="E85">
        <v>4670</v>
      </c>
      <c r="F85">
        <v>4670</v>
      </c>
      <c r="G85">
        <v>4657</v>
      </c>
      <c r="H85">
        <v>13</v>
      </c>
      <c r="I85">
        <v>2005</v>
      </c>
      <c r="J85">
        <v>84</v>
      </c>
      <c r="K85">
        <f>allFYsTable[[#This Row],[Actual]]-allFYsTable[[#This Row],[OriginalBudget]]</f>
        <v>-13</v>
      </c>
      <c r="L85" s="11">
        <f>allFYsTable[[#This Row],[DiffAmount]]/allFYsTable[[#This Row],[OriginalBudget]]</f>
        <v>-2.78372591006424E-3</v>
      </c>
    </row>
    <row r="86" spans="1:12" x14ac:dyDescent="0.45">
      <c r="A86" t="s">
        <v>1043</v>
      </c>
      <c r="B86" t="s">
        <v>10</v>
      </c>
      <c r="C86" t="s">
        <v>1046</v>
      </c>
      <c r="D86" t="s">
        <v>696</v>
      </c>
      <c r="E86">
        <v>0</v>
      </c>
      <c r="F86">
        <v>29743</v>
      </c>
      <c r="G86">
        <v>29743</v>
      </c>
      <c r="H86">
        <v>0</v>
      </c>
      <c r="I86">
        <v>2005</v>
      </c>
      <c r="J86">
        <v>85</v>
      </c>
      <c r="K86">
        <f>allFYsTable[[#This Row],[Actual]]-allFYsTable[[#This Row],[OriginalBudget]]</f>
        <v>29743</v>
      </c>
      <c r="L86" s="11" t="e">
        <f>allFYsTable[[#This Row],[DiffAmount]]/allFYsTable[[#This Row],[OriginalBudget]]</f>
        <v>#DIV/0!</v>
      </c>
    </row>
    <row r="87" spans="1:12" x14ac:dyDescent="0.45">
      <c r="A87" t="s">
        <v>1043</v>
      </c>
      <c r="B87" t="s">
        <v>10</v>
      </c>
      <c r="C87" t="s">
        <v>775</v>
      </c>
      <c r="D87" t="s">
        <v>697</v>
      </c>
      <c r="E87">
        <v>347700</v>
      </c>
      <c r="F87">
        <v>342900</v>
      </c>
      <c r="G87">
        <v>342683</v>
      </c>
      <c r="H87">
        <v>217</v>
      </c>
      <c r="I87">
        <v>2005</v>
      </c>
      <c r="J87">
        <v>86</v>
      </c>
      <c r="K87">
        <f>allFYsTable[[#This Row],[Actual]]-allFYsTable[[#This Row],[OriginalBudget]]</f>
        <v>-5017</v>
      </c>
      <c r="L87" s="11">
        <f>allFYsTable[[#This Row],[DiffAmount]]/allFYsTable[[#This Row],[OriginalBudget]]</f>
        <v>-1.4429105550762151E-2</v>
      </c>
    </row>
    <row r="88" spans="1:12" x14ac:dyDescent="0.45">
      <c r="A88" t="s">
        <v>1043</v>
      </c>
      <c r="B88" t="s">
        <v>10</v>
      </c>
      <c r="C88" t="s">
        <v>817</v>
      </c>
      <c r="D88" t="s">
        <v>629</v>
      </c>
      <c r="E88">
        <v>0</v>
      </c>
      <c r="F88">
        <v>15000</v>
      </c>
      <c r="G88">
        <v>4935</v>
      </c>
      <c r="H88">
        <v>10065</v>
      </c>
      <c r="I88">
        <v>2005</v>
      </c>
      <c r="J88">
        <v>87</v>
      </c>
      <c r="K88">
        <f>allFYsTable[[#This Row],[Actual]]-allFYsTable[[#This Row],[OriginalBudget]]</f>
        <v>4935</v>
      </c>
      <c r="L88" s="11" t="e">
        <f>allFYsTable[[#This Row],[DiffAmount]]/allFYsTable[[#This Row],[OriginalBudget]]</f>
        <v>#DIV/0!</v>
      </c>
    </row>
    <row r="89" spans="1:12" x14ac:dyDescent="0.45">
      <c r="A89" t="s">
        <v>1043</v>
      </c>
      <c r="B89" t="s">
        <v>10</v>
      </c>
      <c r="C89" t="s">
        <v>830</v>
      </c>
      <c r="D89" t="s">
        <v>630</v>
      </c>
      <c r="E89">
        <v>4000</v>
      </c>
      <c r="F89">
        <v>4666</v>
      </c>
      <c r="G89">
        <v>4666</v>
      </c>
      <c r="H89">
        <v>0</v>
      </c>
      <c r="I89">
        <v>2005</v>
      </c>
      <c r="J89">
        <v>88</v>
      </c>
      <c r="K89">
        <f>allFYsTable[[#This Row],[Actual]]-allFYsTable[[#This Row],[OriginalBudget]]</f>
        <v>666</v>
      </c>
      <c r="L89" s="11">
        <f>allFYsTable[[#This Row],[DiffAmount]]/allFYsTable[[#This Row],[OriginalBudget]]</f>
        <v>0.16650000000000001</v>
      </c>
    </row>
    <row r="90" spans="1:12" x14ac:dyDescent="0.45">
      <c r="A90" t="s">
        <v>1043</v>
      </c>
      <c r="B90" t="s">
        <v>10</v>
      </c>
      <c r="C90" t="s">
        <v>831</v>
      </c>
      <c r="D90" t="s">
        <v>698</v>
      </c>
      <c r="E90">
        <v>11252</v>
      </c>
      <c r="F90">
        <v>10952</v>
      </c>
      <c r="G90">
        <v>10904</v>
      </c>
      <c r="H90">
        <v>48</v>
      </c>
      <c r="I90">
        <v>2005</v>
      </c>
      <c r="J90">
        <v>89</v>
      </c>
      <c r="K90">
        <f>allFYsTable[[#This Row],[Actual]]-allFYsTable[[#This Row],[OriginalBudget]]</f>
        <v>-348</v>
      </c>
      <c r="L90" s="11">
        <f>allFYsTable[[#This Row],[DiffAmount]]/allFYsTable[[#This Row],[OriginalBudget]]</f>
        <v>-3.0927835051546393E-2</v>
      </c>
    </row>
    <row r="91" spans="1:12" x14ac:dyDescent="0.45">
      <c r="A91" t="s">
        <v>1043</v>
      </c>
      <c r="B91" t="s">
        <v>10</v>
      </c>
      <c r="C91" t="s">
        <v>819</v>
      </c>
      <c r="D91" t="s">
        <v>1014</v>
      </c>
      <c r="E91">
        <v>20270</v>
      </c>
      <c r="F91">
        <v>19370</v>
      </c>
      <c r="G91">
        <v>19323</v>
      </c>
      <c r="H91">
        <v>47</v>
      </c>
      <c r="I91">
        <v>2005</v>
      </c>
      <c r="J91">
        <v>90</v>
      </c>
      <c r="K91">
        <f>allFYsTable[[#This Row],[Actual]]-allFYsTable[[#This Row],[OriginalBudget]]</f>
        <v>-947</v>
      </c>
      <c r="L91" s="11">
        <f>allFYsTable[[#This Row],[DiffAmount]]/allFYsTable[[#This Row],[OriginalBudget]]</f>
        <v>-4.6719289590527874E-2</v>
      </c>
    </row>
    <row r="92" spans="1:12" x14ac:dyDescent="0.45">
      <c r="A92" t="s">
        <v>1043</v>
      </c>
      <c r="B92" t="s">
        <v>10</v>
      </c>
      <c r="C92" t="s">
        <v>812</v>
      </c>
      <c r="D92" t="s">
        <v>631</v>
      </c>
      <c r="E92">
        <v>0</v>
      </c>
      <c r="F92">
        <v>0</v>
      </c>
      <c r="G92">
        <v>0</v>
      </c>
      <c r="H92">
        <v>0</v>
      </c>
      <c r="I92">
        <v>2005</v>
      </c>
      <c r="J92">
        <v>91</v>
      </c>
      <c r="K92">
        <f>allFYsTable[[#This Row],[Actual]]-allFYsTable[[#This Row],[OriginalBudget]]</f>
        <v>0</v>
      </c>
      <c r="L92" s="11" t="e">
        <f>allFYsTable[[#This Row],[DiffAmount]]/allFYsTable[[#This Row],[OriginalBudget]]</f>
        <v>#DIV/0!</v>
      </c>
    </row>
    <row r="93" spans="1:12" x14ac:dyDescent="0.45">
      <c r="A93" t="s">
        <v>1043</v>
      </c>
      <c r="B93" t="s">
        <v>10</v>
      </c>
      <c r="C93" t="s">
        <v>814</v>
      </c>
      <c r="D93" t="s">
        <v>632</v>
      </c>
      <c r="E93">
        <v>3633</v>
      </c>
      <c r="F93">
        <v>3633</v>
      </c>
      <c r="G93">
        <v>3259</v>
      </c>
      <c r="H93">
        <v>374</v>
      </c>
      <c r="I93">
        <v>2005</v>
      </c>
      <c r="J93">
        <v>92</v>
      </c>
      <c r="K93">
        <f>allFYsTable[[#This Row],[Actual]]-allFYsTable[[#This Row],[OriginalBudget]]</f>
        <v>-374</v>
      </c>
      <c r="L93" s="11">
        <f>allFYsTable[[#This Row],[DiffAmount]]/allFYsTable[[#This Row],[OriginalBudget]]</f>
        <v>-0.10294522433250756</v>
      </c>
    </row>
    <row r="94" spans="1:12" x14ac:dyDescent="0.45">
      <c r="A94" t="s">
        <v>1043</v>
      </c>
      <c r="B94" t="s">
        <v>10</v>
      </c>
      <c r="C94" t="s">
        <v>821</v>
      </c>
      <c r="D94" t="s">
        <v>634</v>
      </c>
      <c r="E94">
        <v>38114</v>
      </c>
      <c r="F94">
        <v>462</v>
      </c>
      <c r="G94">
        <v>0</v>
      </c>
      <c r="H94">
        <v>462</v>
      </c>
      <c r="I94">
        <v>2005</v>
      </c>
      <c r="J94">
        <v>93</v>
      </c>
      <c r="K94">
        <f>allFYsTable[[#This Row],[Actual]]-allFYsTable[[#This Row],[OriginalBudget]]</f>
        <v>-38114</v>
      </c>
      <c r="L94" s="11">
        <f>allFYsTable[[#This Row],[DiffAmount]]/allFYsTable[[#This Row],[OriginalBudget]]</f>
        <v>-1</v>
      </c>
    </row>
    <row r="95" spans="1:12" x14ac:dyDescent="0.45">
      <c r="A95" t="s">
        <v>1043</v>
      </c>
      <c r="B95" t="s">
        <v>10</v>
      </c>
      <c r="C95" t="s">
        <v>1054</v>
      </c>
      <c r="D95" t="s">
        <v>1019</v>
      </c>
      <c r="E95">
        <v>0</v>
      </c>
      <c r="F95">
        <v>5557</v>
      </c>
      <c r="G95">
        <v>5557</v>
      </c>
      <c r="H95">
        <v>0</v>
      </c>
      <c r="I95">
        <v>2005</v>
      </c>
      <c r="J95">
        <v>94</v>
      </c>
      <c r="K95">
        <f>allFYsTable[[#This Row],[Actual]]-allFYsTable[[#This Row],[OriginalBudget]]</f>
        <v>5557</v>
      </c>
      <c r="L95" s="11" t="e">
        <f>allFYsTable[[#This Row],[DiffAmount]]/allFYsTable[[#This Row],[OriginalBudget]]</f>
        <v>#DIV/0!</v>
      </c>
    </row>
    <row r="96" spans="1:12" x14ac:dyDescent="0.45">
      <c r="A96" t="s">
        <v>1043</v>
      </c>
      <c r="B96" t="s">
        <v>10</v>
      </c>
      <c r="C96" t="s">
        <v>832</v>
      </c>
      <c r="D96" t="s">
        <v>546</v>
      </c>
      <c r="E96">
        <v>23109</v>
      </c>
      <c r="F96">
        <v>22143</v>
      </c>
      <c r="G96">
        <v>22058</v>
      </c>
      <c r="H96">
        <v>85</v>
      </c>
      <c r="I96">
        <v>2005</v>
      </c>
      <c r="J96">
        <v>95</v>
      </c>
      <c r="K96">
        <f>allFYsTable[[#This Row],[Actual]]-allFYsTable[[#This Row],[OriginalBudget]]</f>
        <v>-1051</v>
      </c>
      <c r="L96" s="11">
        <f>allFYsTable[[#This Row],[DiffAmount]]/allFYsTable[[#This Row],[OriginalBudget]]</f>
        <v>-4.5480115972132071E-2</v>
      </c>
    </row>
    <row r="97" spans="1:12" x14ac:dyDescent="0.45">
      <c r="A97" t="s">
        <v>1043</v>
      </c>
      <c r="B97" t="s">
        <v>10</v>
      </c>
      <c r="C97" t="s">
        <v>1045</v>
      </c>
      <c r="D97" t="s">
        <v>1044</v>
      </c>
      <c r="E97">
        <v>43137</v>
      </c>
      <c r="F97">
        <v>364</v>
      </c>
      <c r="G97">
        <v>0</v>
      </c>
      <c r="H97">
        <v>364</v>
      </c>
      <c r="I97">
        <v>2005</v>
      </c>
      <c r="J97">
        <v>96</v>
      </c>
      <c r="K97">
        <f>allFYsTable[[#This Row],[Actual]]-allFYsTable[[#This Row],[OriginalBudget]]</f>
        <v>-43137</v>
      </c>
      <c r="L97" s="11">
        <f>allFYsTable[[#This Row],[DiffAmount]]/allFYsTable[[#This Row],[OriginalBudget]]</f>
        <v>-1</v>
      </c>
    </row>
    <row r="98" spans="1:12" x14ac:dyDescent="0.45">
      <c r="A98" t="s">
        <v>1043</v>
      </c>
      <c r="B98" t="s">
        <v>10</v>
      </c>
      <c r="C98" t="s">
        <v>816</v>
      </c>
      <c r="D98" t="s">
        <v>637</v>
      </c>
      <c r="E98">
        <v>6531</v>
      </c>
      <c r="F98">
        <v>20581</v>
      </c>
      <c r="G98">
        <v>20550</v>
      </c>
      <c r="H98">
        <v>31</v>
      </c>
      <c r="I98">
        <v>2005</v>
      </c>
      <c r="J98">
        <v>97</v>
      </c>
      <c r="K98">
        <f>allFYsTable[[#This Row],[Actual]]-allFYsTable[[#This Row],[OriginalBudget]]</f>
        <v>14019</v>
      </c>
      <c r="L98" s="11">
        <f>allFYsTable[[#This Row],[DiffAmount]]/allFYsTable[[#This Row],[OriginalBudget]]</f>
        <v>2.1465319246669727</v>
      </c>
    </row>
    <row r="99" spans="1:12" x14ac:dyDescent="0.45">
      <c r="A99" t="s">
        <v>1043</v>
      </c>
      <c r="B99" t="s">
        <v>10</v>
      </c>
      <c r="C99" t="s">
        <v>834</v>
      </c>
      <c r="D99" t="s">
        <v>545</v>
      </c>
      <c r="E99">
        <v>50000</v>
      </c>
      <c r="F99">
        <v>1827</v>
      </c>
      <c r="G99">
        <v>0</v>
      </c>
      <c r="H99">
        <v>1827</v>
      </c>
      <c r="I99">
        <v>2005</v>
      </c>
      <c r="J99">
        <v>98</v>
      </c>
      <c r="K99">
        <f>allFYsTable[[#This Row],[Actual]]-allFYsTable[[#This Row],[OriginalBudget]]</f>
        <v>-50000</v>
      </c>
      <c r="L99" s="11">
        <f>allFYsTable[[#This Row],[DiffAmount]]/allFYsTable[[#This Row],[OriginalBudget]]</f>
        <v>-1</v>
      </c>
    </row>
    <row r="100" spans="1:12" x14ac:dyDescent="0.45">
      <c r="A100" t="s">
        <v>1043</v>
      </c>
      <c r="B100" t="s">
        <v>10</v>
      </c>
      <c r="C100" t="s">
        <v>815</v>
      </c>
      <c r="D100" t="s">
        <v>639</v>
      </c>
      <c r="E100">
        <v>4000</v>
      </c>
      <c r="F100">
        <v>80</v>
      </c>
      <c r="G100">
        <v>0</v>
      </c>
      <c r="H100">
        <v>80</v>
      </c>
      <c r="I100">
        <v>2005</v>
      </c>
      <c r="J100">
        <v>99</v>
      </c>
      <c r="K100">
        <f>allFYsTable[[#This Row],[Actual]]-allFYsTable[[#This Row],[OriginalBudget]]</f>
        <v>-4000</v>
      </c>
      <c r="L100" s="11">
        <f>allFYsTable[[#This Row],[DiffAmount]]/allFYsTable[[#This Row],[OriginalBudget]]</f>
        <v>-1</v>
      </c>
    </row>
    <row r="101" spans="1:12" x14ac:dyDescent="0.45">
      <c r="A101" t="s">
        <v>1043</v>
      </c>
      <c r="B101" t="s">
        <v>10</v>
      </c>
      <c r="C101" t="s">
        <v>835</v>
      </c>
      <c r="D101" t="s">
        <v>686</v>
      </c>
      <c r="E101">
        <v>0</v>
      </c>
      <c r="F101">
        <v>0</v>
      </c>
      <c r="G101">
        <v>0</v>
      </c>
      <c r="H101">
        <v>0</v>
      </c>
      <c r="I101">
        <v>2005</v>
      </c>
      <c r="J101">
        <v>100</v>
      </c>
      <c r="K101">
        <f>allFYsTable[[#This Row],[Actual]]-allFYsTable[[#This Row],[OriginalBudget]]</f>
        <v>0</v>
      </c>
      <c r="L101" s="11" t="e">
        <f>allFYsTable[[#This Row],[DiffAmount]]/allFYsTable[[#This Row],[OriginalBudget]]</f>
        <v>#DIV/0!</v>
      </c>
    </row>
    <row r="102" spans="1:12" x14ac:dyDescent="0.45">
      <c r="A102" t="s">
        <v>1043</v>
      </c>
      <c r="B102" t="s">
        <v>10</v>
      </c>
      <c r="C102" t="s">
        <v>825</v>
      </c>
      <c r="D102" t="s">
        <v>640</v>
      </c>
      <c r="E102">
        <v>0</v>
      </c>
      <c r="F102">
        <v>0</v>
      </c>
      <c r="G102">
        <v>0</v>
      </c>
      <c r="H102">
        <v>0</v>
      </c>
      <c r="I102">
        <v>2005</v>
      </c>
      <c r="J102">
        <v>101</v>
      </c>
      <c r="K102">
        <f>allFYsTable[[#This Row],[Actual]]-allFYsTable[[#This Row],[OriginalBudget]]</f>
        <v>0</v>
      </c>
      <c r="L102" s="11" t="e">
        <f>allFYsTable[[#This Row],[DiffAmount]]/allFYsTable[[#This Row],[OriginalBudget]]</f>
        <v>#DIV/0!</v>
      </c>
    </row>
    <row r="103" spans="1:12" x14ac:dyDescent="0.45">
      <c r="A103" t="s">
        <v>1043</v>
      </c>
      <c r="B103" t="s">
        <v>10</v>
      </c>
      <c r="C103" t="s">
        <v>824</v>
      </c>
      <c r="D103" t="s">
        <v>299</v>
      </c>
      <c r="E103">
        <v>0</v>
      </c>
      <c r="F103">
        <v>0</v>
      </c>
      <c r="G103">
        <v>0</v>
      </c>
      <c r="H103">
        <v>0</v>
      </c>
      <c r="I103">
        <v>2005</v>
      </c>
      <c r="J103">
        <v>102</v>
      </c>
      <c r="K103">
        <f>allFYsTable[[#This Row],[Actual]]-allFYsTable[[#This Row],[OriginalBudget]]</f>
        <v>0</v>
      </c>
      <c r="L103" s="11" t="e">
        <f>allFYsTable[[#This Row],[DiffAmount]]/allFYsTable[[#This Row],[OriginalBudget]]</f>
        <v>#DIV/0!</v>
      </c>
    </row>
    <row r="104" spans="1:12" x14ac:dyDescent="0.45">
      <c r="A104" t="s">
        <v>1043</v>
      </c>
      <c r="B104" t="s">
        <v>10</v>
      </c>
      <c r="C104" t="s">
        <v>743</v>
      </c>
      <c r="D104" t="s">
        <v>687</v>
      </c>
      <c r="E104">
        <v>0</v>
      </c>
      <c r="F104">
        <v>0</v>
      </c>
      <c r="G104">
        <v>0</v>
      </c>
      <c r="H104">
        <v>0</v>
      </c>
      <c r="I104">
        <v>2005</v>
      </c>
      <c r="J104">
        <v>103</v>
      </c>
      <c r="K104">
        <f>allFYsTable[[#This Row],[Actual]]-allFYsTable[[#This Row],[OriginalBudget]]</f>
        <v>0</v>
      </c>
      <c r="L104" s="11" t="e">
        <f>allFYsTable[[#This Row],[DiffAmount]]/allFYsTable[[#This Row],[OriginalBudget]]</f>
        <v>#DIV/0!</v>
      </c>
    </row>
    <row r="105" spans="1:12" x14ac:dyDescent="0.45">
      <c r="A105" t="s">
        <v>1042</v>
      </c>
      <c r="B105" t="s">
        <v>641</v>
      </c>
      <c r="C105" t="s">
        <v>703</v>
      </c>
      <c r="D105" t="s">
        <v>549</v>
      </c>
      <c r="E105">
        <v>14039</v>
      </c>
      <c r="F105">
        <v>14038</v>
      </c>
      <c r="G105">
        <v>13430</v>
      </c>
      <c r="H105">
        <v>608</v>
      </c>
      <c r="I105">
        <v>2006</v>
      </c>
      <c r="J105">
        <v>1</v>
      </c>
      <c r="K105">
        <f>allFYsTable[[#This Row],[Actual]]-allFYsTable[[#This Row],[OriginalBudget]]</f>
        <v>-609</v>
      </c>
      <c r="L105" s="11">
        <f>allFYsTable[[#This Row],[DiffAmount]]/allFYsTable[[#This Row],[OriginalBudget]]</f>
        <v>-4.3379158059690864E-2</v>
      </c>
    </row>
    <row r="106" spans="1:12" x14ac:dyDescent="0.45">
      <c r="A106" t="s">
        <v>1042</v>
      </c>
      <c r="B106" t="s">
        <v>641</v>
      </c>
      <c r="C106" t="s">
        <v>723</v>
      </c>
      <c r="D106" t="s">
        <v>550</v>
      </c>
      <c r="E106">
        <v>2009</v>
      </c>
      <c r="F106">
        <v>2008</v>
      </c>
      <c r="G106">
        <v>1928</v>
      </c>
      <c r="H106">
        <v>80</v>
      </c>
      <c r="I106">
        <v>2006</v>
      </c>
      <c r="J106">
        <v>2</v>
      </c>
      <c r="K106">
        <f>allFYsTable[[#This Row],[Actual]]-allFYsTable[[#This Row],[OriginalBudget]]</f>
        <v>-81</v>
      </c>
      <c r="L106" s="11">
        <f>allFYsTable[[#This Row],[DiffAmount]]/allFYsTable[[#This Row],[OriginalBudget]]</f>
        <v>-4.0318566450970629E-2</v>
      </c>
    </row>
    <row r="107" spans="1:12" x14ac:dyDescent="0.45">
      <c r="A107" t="s">
        <v>1042</v>
      </c>
      <c r="B107" t="s">
        <v>641</v>
      </c>
      <c r="C107" t="s">
        <v>711</v>
      </c>
      <c r="D107" t="s">
        <v>642</v>
      </c>
      <c r="E107">
        <v>976</v>
      </c>
      <c r="F107">
        <v>981</v>
      </c>
      <c r="G107">
        <v>956</v>
      </c>
      <c r="H107">
        <v>25</v>
      </c>
      <c r="I107">
        <v>2006</v>
      </c>
      <c r="J107">
        <v>3</v>
      </c>
      <c r="K107">
        <f>allFYsTable[[#This Row],[Actual]]-allFYsTable[[#This Row],[OriginalBudget]]</f>
        <v>-20</v>
      </c>
      <c r="L107" s="11">
        <f>allFYsTable[[#This Row],[DiffAmount]]/allFYsTable[[#This Row],[OriginalBudget]]</f>
        <v>-2.0491803278688523E-2</v>
      </c>
    </row>
    <row r="108" spans="1:12" x14ac:dyDescent="0.45">
      <c r="A108" t="s">
        <v>1042</v>
      </c>
      <c r="B108" t="s">
        <v>641</v>
      </c>
      <c r="C108" t="s">
        <v>707</v>
      </c>
      <c r="D108" t="s">
        <v>552</v>
      </c>
      <c r="E108">
        <v>7466</v>
      </c>
      <c r="F108">
        <v>10983</v>
      </c>
      <c r="G108">
        <v>10314</v>
      </c>
      <c r="H108">
        <v>669</v>
      </c>
      <c r="I108">
        <v>2006</v>
      </c>
      <c r="J108">
        <v>4</v>
      </c>
      <c r="K108">
        <f>allFYsTable[[#This Row],[Actual]]-allFYsTable[[#This Row],[OriginalBudget]]</f>
        <v>2848</v>
      </c>
      <c r="L108" s="11">
        <f>allFYsTable[[#This Row],[DiffAmount]]/allFYsTable[[#This Row],[OriginalBudget]]</f>
        <v>0.38146263059201713</v>
      </c>
    </row>
    <row r="109" spans="1:12" x14ac:dyDescent="0.45">
      <c r="A109" t="s">
        <v>1042</v>
      </c>
      <c r="B109" t="s">
        <v>641</v>
      </c>
      <c r="C109" t="s">
        <v>725</v>
      </c>
      <c r="D109" t="s">
        <v>553</v>
      </c>
      <c r="E109">
        <v>3825</v>
      </c>
      <c r="F109">
        <v>3092</v>
      </c>
      <c r="G109">
        <v>2898</v>
      </c>
      <c r="H109">
        <v>194</v>
      </c>
      <c r="I109">
        <v>2006</v>
      </c>
      <c r="J109">
        <v>5</v>
      </c>
      <c r="K109">
        <f>allFYsTable[[#This Row],[Actual]]-allFYsTable[[#This Row],[OriginalBudget]]</f>
        <v>-927</v>
      </c>
      <c r="L109" s="11">
        <f>allFYsTable[[#This Row],[DiffAmount]]/allFYsTable[[#This Row],[OriginalBudget]]</f>
        <v>-0.24235294117647058</v>
      </c>
    </row>
    <row r="110" spans="1:12" x14ac:dyDescent="0.45">
      <c r="A110" t="s">
        <v>1042</v>
      </c>
      <c r="B110" t="s">
        <v>641</v>
      </c>
      <c r="C110" t="s">
        <v>766</v>
      </c>
      <c r="D110" t="s">
        <v>826</v>
      </c>
      <c r="E110">
        <v>353</v>
      </c>
      <c r="F110">
        <v>399</v>
      </c>
      <c r="G110">
        <v>328</v>
      </c>
      <c r="H110">
        <v>71</v>
      </c>
      <c r="I110">
        <v>2006</v>
      </c>
      <c r="J110">
        <v>6</v>
      </c>
      <c r="K110">
        <f>allFYsTable[[#This Row],[Actual]]-allFYsTable[[#This Row],[OriginalBudget]]</f>
        <v>-25</v>
      </c>
      <c r="L110" s="11">
        <f>allFYsTable[[#This Row],[DiffAmount]]/allFYsTable[[#This Row],[OriginalBudget]]</f>
        <v>-7.0821529745042494E-2</v>
      </c>
    </row>
    <row r="111" spans="1:12" x14ac:dyDescent="0.45">
      <c r="A111" t="s">
        <v>1042</v>
      </c>
      <c r="B111" t="s">
        <v>641</v>
      </c>
      <c r="C111" t="s">
        <v>722</v>
      </c>
      <c r="D111" t="s">
        <v>643</v>
      </c>
      <c r="E111">
        <v>8900</v>
      </c>
      <c r="F111">
        <v>11927</v>
      </c>
      <c r="G111">
        <v>11726</v>
      </c>
      <c r="H111">
        <v>201</v>
      </c>
      <c r="I111">
        <v>2006</v>
      </c>
      <c r="J111">
        <v>7</v>
      </c>
      <c r="K111">
        <f>allFYsTable[[#This Row],[Actual]]-allFYsTable[[#This Row],[OriginalBudget]]</f>
        <v>2826</v>
      </c>
      <c r="L111" s="11">
        <f>allFYsTable[[#This Row],[DiffAmount]]/allFYsTable[[#This Row],[OriginalBudget]]</f>
        <v>0.31752808988764047</v>
      </c>
    </row>
    <row r="112" spans="1:12" x14ac:dyDescent="0.45">
      <c r="A112" t="s">
        <v>1042</v>
      </c>
      <c r="B112" t="s">
        <v>641</v>
      </c>
      <c r="C112" t="s">
        <v>718</v>
      </c>
      <c r="D112" t="s">
        <v>554</v>
      </c>
      <c r="E112">
        <v>1865</v>
      </c>
      <c r="F112">
        <v>1946</v>
      </c>
      <c r="G112">
        <v>1634</v>
      </c>
      <c r="H112">
        <v>312</v>
      </c>
      <c r="I112">
        <v>2006</v>
      </c>
      <c r="J112">
        <v>8</v>
      </c>
      <c r="K112">
        <f>allFYsTable[[#This Row],[Actual]]-allFYsTable[[#This Row],[OriginalBudget]]</f>
        <v>-231</v>
      </c>
      <c r="L112" s="11">
        <f>allFYsTable[[#This Row],[DiffAmount]]/allFYsTable[[#This Row],[OriginalBudget]]</f>
        <v>-0.12386058981233244</v>
      </c>
    </row>
    <row r="113" spans="1:12" x14ac:dyDescent="0.45">
      <c r="A113" t="s">
        <v>1042</v>
      </c>
      <c r="B113" t="s">
        <v>641</v>
      </c>
      <c r="C113" t="s">
        <v>704</v>
      </c>
      <c r="D113" t="s">
        <v>555</v>
      </c>
      <c r="E113">
        <v>10407</v>
      </c>
      <c r="F113">
        <v>10752</v>
      </c>
      <c r="G113">
        <v>8944</v>
      </c>
      <c r="H113">
        <v>1808</v>
      </c>
      <c r="I113">
        <v>2006</v>
      </c>
      <c r="J113">
        <v>9</v>
      </c>
      <c r="K113">
        <f>allFYsTable[[#This Row],[Actual]]-allFYsTable[[#This Row],[OriginalBudget]]</f>
        <v>-1463</v>
      </c>
      <c r="L113" s="11">
        <f>allFYsTable[[#This Row],[DiffAmount]]/allFYsTable[[#This Row],[OriginalBudget]]</f>
        <v>-0.14057845680791775</v>
      </c>
    </row>
    <row r="114" spans="1:12" x14ac:dyDescent="0.45">
      <c r="A114" t="s">
        <v>1042</v>
      </c>
      <c r="B114" t="s">
        <v>641</v>
      </c>
      <c r="C114" t="s">
        <v>704</v>
      </c>
      <c r="D114" t="s">
        <v>1017</v>
      </c>
      <c r="E114">
        <v>2000</v>
      </c>
      <c r="F114">
        <v>2038</v>
      </c>
      <c r="G114">
        <v>1566</v>
      </c>
      <c r="H114">
        <v>472</v>
      </c>
      <c r="I114">
        <v>2006</v>
      </c>
      <c r="J114">
        <v>10</v>
      </c>
      <c r="K114">
        <f>allFYsTable[[#This Row],[Actual]]-allFYsTable[[#This Row],[OriginalBudget]]</f>
        <v>-434</v>
      </c>
      <c r="L114" s="11">
        <f>allFYsTable[[#This Row],[DiffAmount]]/allFYsTable[[#This Row],[OriginalBudget]]</f>
        <v>-0.217</v>
      </c>
    </row>
    <row r="115" spans="1:12" x14ac:dyDescent="0.45">
      <c r="A115" t="s">
        <v>1042</v>
      </c>
      <c r="B115" t="s">
        <v>641</v>
      </c>
      <c r="C115" t="s">
        <v>716</v>
      </c>
      <c r="D115" t="s">
        <v>556</v>
      </c>
      <c r="E115">
        <v>9782</v>
      </c>
      <c r="F115">
        <v>9782</v>
      </c>
      <c r="G115">
        <v>9688</v>
      </c>
      <c r="H115">
        <v>94</v>
      </c>
      <c r="I115">
        <v>2006</v>
      </c>
      <c r="J115">
        <v>11</v>
      </c>
      <c r="K115">
        <f>allFYsTable[[#This Row],[Actual]]-allFYsTable[[#This Row],[OriginalBudget]]</f>
        <v>-94</v>
      </c>
      <c r="L115" s="11">
        <f>allFYsTable[[#This Row],[DiffAmount]]/allFYsTable[[#This Row],[OriginalBudget]]</f>
        <v>-9.609486812512778E-3</v>
      </c>
    </row>
    <row r="116" spans="1:12" x14ac:dyDescent="0.45">
      <c r="A116" t="s">
        <v>1042</v>
      </c>
      <c r="B116" t="s">
        <v>641</v>
      </c>
      <c r="C116" t="s">
        <v>713</v>
      </c>
      <c r="D116" t="s">
        <v>557</v>
      </c>
      <c r="E116">
        <v>12089</v>
      </c>
      <c r="F116">
        <v>12424</v>
      </c>
      <c r="G116">
        <v>12076</v>
      </c>
      <c r="H116">
        <v>348</v>
      </c>
      <c r="I116">
        <v>2006</v>
      </c>
      <c r="J116">
        <v>12</v>
      </c>
      <c r="K116">
        <f>allFYsTable[[#This Row],[Actual]]-allFYsTable[[#This Row],[OriginalBudget]]</f>
        <v>-13</v>
      </c>
      <c r="L116" s="11">
        <f>allFYsTable[[#This Row],[DiffAmount]]/allFYsTable[[#This Row],[OriginalBudget]]</f>
        <v>-1.0753577632558525E-3</v>
      </c>
    </row>
    <row r="117" spans="1:12" x14ac:dyDescent="0.45">
      <c r="A117" t="s">
        <v>1042</v>
      </c>
      <c r="B117" t="s">
        <v>641</v>
      </c>
      <c r="C117" t="s">
        <v>721</v>
      </c>
      <c r="D117" t="s">
        <v>558</v>
      </c>
      <c r="E117">
        <v>39422</v>
      </c>
      <c r="F117">
        <v>46528</v>
      </c>
      <c r="G117">
        <v>46515</v>
      </c>
      <c r="H117">
        <v>13</v>
      </c>
      <c r="I117">
        <v>2006</v>
      </c>
      <c r="J117">
        <v>13</v>
      </c>
      <c r="K117">
        <f>allFYsTable[[#This Row],[Actual]]-allFYsTable[[#This Row],[OriginalBudget]]</f>
        <v>7093</v>
      </c>
      <c r="L117" s="11">
        <f>allFYsTable[[#This Row],[DiffAmount]]/allFYsTable[[#This Row],[OriginalBudget]]</f>
        <v>0.17992491502206889</v>
      </c>
    </row>
    <row r="118" spans="1:12" x14ac:dyDescent="0.45">
      <c r="A118" t="s">
        <v>1042</v>
      </c>
      <c r="B118" t="s">
        <v>641</v>
      </c>
      <c r="C118" t="s">
        <v>705</v>
      </c>
      <c r="D118" t="s">
        <v>559</v>
      </c>
      <c r="E118">
        <v>15926</v>
      </c>
      <c r="F118">
        <v>15784</v>
      </c>
      <c r="G118">
        <v>13970</v>
      </c>
      <c r="H118">
        <v>1814</v>
      </c>
      <c r="I118">
        <v>2006</v>
      </c>
      <c r="J118">
        <v>14</v>
      </c>
      <c r="K118">
        <f>allFYsTable[[#This Row],[Actual]]-allFYsTable[[#This Row],[OriginalBudget]]</f>
        <v>-1956</v>
      </c>
      <c r="L118" s="11">
        <f>allFYsTable[[#This Row],[DiffAmount]]/allFYsTable[[#This Row],[OriginalBudget]]</f>
        <v>-0.12281803340449579</v>
      </c>
    </row>
    <row r="119" spans="1:12" x14ac:dyDescent="0.45">
      <c r="A119" t="s">
        <v>1042</v>
      </c>
      <c r="B119" t="s">
        <v>641</v>
      </c>
      <c r="C119" t="s">
        <v>702</v>
      </c>
      <c r="D119" t="s">
        <v>644</v>
      </c>
      <c r="E119">
        <v>806</v>
      </c>
      <c r="F119">
        <v>848</v>
      </c>
      <c r="G119">
        <v>746</v>
      </c>
      <c r="H119">
        <v>102</v>
      </c>
      <c r="I119">
        <v>2006</v>
      </c>
      <c r="J119">
        <v>15</v>
      </c>
      <c r="K119">
        <f>allFYsTable[[#This Row],[Actual]]-allFYsTable[[#This Row],[OriginalBudget]]</f>
        <v>-60</v>
      </c>
      <c r="L119" s="11">
        <f>allFYsTable[[#This Row],[DiffAmount]]/allFYsTable[[#This Row],[OriginalBudget]]</f>
        <v>-7.4441687344913146E-2</v>
      </c>
    </row>
    <row r="120" spans="1:12" x14ac:dyDescent="0.45">
      <c r="A120" t="s">
        <v>1042</v>
      </c>
      <c r="B120" t="s">
        <v>641</v>
      </c>
      <c r="C120" t="s">
        <v>699</v>
      </c>
      <c r="D120" t="s">
        <v>561</v>
      </c>
      <c r="E120">
        <v>5042</v>
      </c>
      <c r="F120">
        <v>5207</v>
      </c>
      <c r="G120">
        <v>4684</v>
      </c>
      <c r="H120">
        <v>523</v>
      </c>
      <c r="I120">
        <v>2006</v>
      </c>
      <c r="J120">
        <v>16</v>
      </c>
      <c r="K120">
        <f>allFYsTable[[#This Row],[Actual]]-allFYsTable[[#This Row],[OriginalBudget]]</f>
        <v>-358</v>
      </c>
      <c r="L120" s="11">
        <f>allFYsTable[[#This Row],[DiffAmount]]/allFYsTable[[#This Row],[OriginalBudget]]</f>
        <v>-7.1003570011900038E-2</v>
      </c>
    </row>
    <row r="121" spans="1:12" x14ac:dyDescent="0.45">
      <c r="A121" t="s">
        <v>1042</v>
      </c>
      <c r="B121" t="s">
        <v>641</v>
      </c>
      <c r="C121" t="s">
        <v>712</v>
      </c>
      <c r="D121" t="s">
        <v>645</v>
      </c>
      <c r="E121">
        <v>1374</v>
      </c>
      <c r="F121">
        <v>1460</v>
      </c>
      <c r="G121">
        <v>1354</v>
      </c>
      <c r="H121">
        <v>106</v>
      </c>
      <c r="I121">
        <v>2006</v>
      </c>
      <c r="J121">
        <v>17</v>
      </c>
      <c r="K121">
        <f>allFYsTable[[#This Row],[Actual]]-allFYsTable[[#This Row],[OriginalBudget]]</f>
        <v>-20</v>
      </c>
      <c r="L121" s="11">
        <f>allFYsTable[[#This Row],[DiffAmount]]/allFYsTable[[#This Row],[OriginalBudget]]</f>
        <v>-1.4556040756914119E-2</v>
      </c>
    </row>
    <row r="122" spans="1:12" x14ac:dyDescent="0.45">
      <c r="A122" t="s">
        <v>1042</v>
      </c>
      <c r="B122" t="s">
        <v>641</v>
      </c>
      <c r="C122" t="s">
        <v>730</v>
      </c>
      <c r="D122" t="s">
        <v>563</v>
      </c>
      <c r="E122">
        <v>801</v>
      </c>
      <c r="F122">
        <v>863</v>
      </c>
      <c r="G122">
        <v>767</v>
      </c>
      <c r="H122">
        <v>96</v>
      </c>
      <c r="I122">
        <v>2006</v>
      </c>
      <c r="J122">
        <v>18</v>
      </c>
      <c r="K122">
        <f>allFYsTable[[#This Row],[Actual]]-allFYsTable[[#This Row],[OriginalBudget]]</f>
        <v>-34</v>
      </c>
      <c r="L122" s="11">
        <f>allFYsTable[[#This Row],[DiffAmount]]/allFYsTable[[#This Row],[OriginalBudget]]</f>
        <v>-4.2446941323345817E-2</v>
      </c>
    </row>
    <row r="123" spans="1:12" x14ac:dyDescent="0.45">
      <c r="A123" t="s">
        <v>1042</v>
      </c>
      <c r="B123" t="s">
        <v>641</v>
      </c>
      <c r="C123" t="s">
        <v>715</v>
      </c>
      <c r="D123" t="s">
        <v>564</v>
      </c>
      <c r="E123">
        <v>1589</v>
      </c>
      <c r="F123">
        <v>1669</v>
      </c>
      <c r="G123">
        <v>1578</v>
      </c>
      <c r="H123">
        <v>91</v>
      </c>
      <c r="I123">
        <v>2006</v>
      </c>
      <c r="J123">
        <v>19</v>
      </c>
      <c r="K123">
        <f>allFYsTable[[#This Row],[Actual]]-allFYsTable[[#This Row],[OriginalBudget]]</f>
        <v>-11</v>
      </c>
      <c r="L123" s="11">
        <f>allFYsTable[[#This Row],[DiffAmount]]/allFYsTable[[#This Row],[OriginalBudget]]</f>
        <v>-6.9225928256765263E-3</v>
      </c>
    </row>
    <row r="124" spans="1:12" x14ac:dyDescent="0.45">
      <c r="A124" t="s">
        <v>1042</v>
      </c>
      <c r="B124" t="s">
        <v>641</v>
      </c>
      <c r="C124" t="s">
        <v>709</v>
      </c>
      <c r="D124" t="s">
        <v>1015</v>
      </c>
      <c r="E124">
        <v>440</v>
      </c>
      <c r="F124">
        <v>440</v>
      </c>
      <c r="G124">
        <v>440</v>
      </c>
      <c r="H124">
        <v>0</v>
      </c>
      <c r="I124">
        <v>2006</v>
      </c>
      <c r="J124">
        <v>20</v>
      </c>
      <c r="K124">
        <f>allFYsTable[[#This Row],[Actual]]-allFYsTable[[#This Row],[OriginalBudget]]</f>
        <v>0</v>
      </c>
      <c r="L124" s="11">
        <f>allFYsTable[[#This Row],[DiffAmount]]/allFYsTable[[#This Row],[OriginalBudget]]</f>
        <v>0</v>
      </c>
    </row>
    <row r="125" spans="1:12" x14ac:dyDescent="0.45">
      <c r="A125" t="s">
        <v>1042</v>
      </c>
      <c r="B125" t="s">
        <v>641</v>
      </c>
      <c r="C125" t="s">
        <v>719</v>
      </c>
      <c r="D125" t="s">
        <v>646</v>
      </c>
      <c r="E125">
        <v>40805</v>
      </c>
      <c r="F125">
        <v>41452</v>
      </c>
      <c r="G125">
        <v>40727</v>
      </c>
      <c r="H125">
        <v>725</v>
      </c>
      <c r="I125">
        <v>2006</v>
      </c>
      <c r="J125">
        <v>21</v>
      </c>
      <c r="K125">
        <f>allFYsTable[[#This Row],[Actual]]-allFYsTable[[#This Row],[OriginalBudget]]</f>
        <v>-78</v>
      </c>
      <c r="L125" s="11">
        <f>allFYsTable[[#This Row],[DiffAmount]]/allFYsTable[[#This Row],[OriginalBudget]]</f>
        <v>-1.9115304496997918E-3</v>
      </c>
    </row>
    <row r="126" spans="1:12" x14ac:dyDescent="0.45">
      <c r="A126" t="s">
        <v>1042</v>
      </c>
      <c r="B126" t="s">
        <v>641</v>
      </c>
      <c r="C126" t="s">
        <v>724</v>
      </c>
      <c r="D126" t="s">
        <v>570</v>
      </c>
      <c r="E126">
        <v>11646</v>
      </c>
      <c r="F126">
        <v>11966</v>
      </c>
      <c r="G126">
        <v>11279</v>
      </c>
      <c r="H126">
        <v>687</v>
      </c>
      <c r="I126">
        <v>2006</v>
      </c>
      <c r="J126">
        <v>22</v>
      </c>
      <c r="K126">
        <f>allFYsTable[[#This Row],[Actual]]-allFYsTable[[#This Row],[OriginalBudget]]</f>
        <v>-367</v>
      </c>
      <c r="L126" s="11">
        <f>allFYsTable[[#This Row],[DiffAmount]]/allFYsTable[[#This Row],[OriginalBudget]]</f>
        <v>-3.1512965825176029E-2</v>
      </c>
    </row>
    <row r="127" spans="1:12" x14ac:dyDescent="0.45">
      <c r="A127" t="s">
        <v>1042</v>
      </c>
      <c r="B127" t="s">
        <v>641</v>
      </c>
      <c r="C127" t="s">
        <v>720</v>
      </c>
      <c r="D127" t="s">
        <v>571</v>
      </c>
      <c r="E127">
        <v>105069</v>
      </c>
      <c r="F127">
        <v>105598</v>
      </c>
      <c r="G127">
        <v>105555</v>
      </c>
      <c r="H127">
        <v>43</v>
      </c>
      <c r="I127">
        <v>2006</v>
      </c>
      <c r="J127">
        <v>23</v>
      </c>
      <c r="K127">
        <f>allFYsTable[[#This Row],[Actual]]-allFYsTable[[#This Row],[OriginalBudget]]</f>
        <v>486</v>
      </c>
      <c r="L127" s="11">
        <f>allFYsTable[[#This Row],[DiffAmount]]/allFYsTable[[#This Row],[OriginalBudget]]</f>
        <v>4.6255317933929134E-3</v>
      </c>
    </row>
    <row r="128" spans="1:12" x14ac:dyDescent="0.45">
      <c r="A128" t="s">
        <v>1042</v>
      </c>
      <c r="B128" t="s">
        <v>129</v>
      </c>
      <c r="C128" t="s">
        <v>743</v>
      </c>
      <c r="D128" t="s">
        <v>315</v>
      </c>
      <c r="E128">
        <v>13681</v>
      </c>
      <c r="F128">
        <v>18332</v>
      </c>
      <c r="G128">
        <v>16996</v>
      </c>
      <c r="H128">
        <v>1336</v>
      </c>
      <c r="I128">
        <v>2006</v>
      </c>
      <c r="J128">
        <v>24</v>
      </c>
      <c r="K128">
        <f>allFYsTable[[#This Row],[Actual]]-allFYsTable[[#This Row],[OriginalBudget]]</f>
        <v>3315</v>
      </c>
      <c r="L128" s="11">
        <f>allFYsTable[[#This Row],[DiffAmount]]/allFYsTable[[#This Row],[OriginalBudget]]</f>
        <v>0.24230684891455304</v>
      </c>
    </row>
    <row r="129" spans="1:12" x14ac:dyDescent="0.45">
      <c r="A129" t="s">
        <v>1042</v>
      </c>
      <c r="B129" t="s">
        <v>129</v>
      </c>
      <c r="C129" t="s">
        <v>742</v>
      </c>
      <c r="D129" t="s">
        <v>26</v>
      </c>
      <c r="E129">
        <v>6223</v>
      </c>
      <c r="F129">
        <v>6223</v>
      </c>
      <c r="G129">
        <v>5918</v>
      </c>
      <c r="H129">
        <v>305</v>
      </c>
      <c r="I129">
        <v>2006</v>
      </c>
      <c r="J129">
        <v>25</v>
      </c>
      <c r="K129">
        <f>allFYsTable[[#This Row],[Actual]]-allFYsTable[[#This Row],[OriginalBudget]]</f>
        <v>-305</v>
      </c>
      <c r="L129" s="11">
        <f>allFYsTable[[#This Row],[DiffAmount]]/allFYsTable[[#This Row],[OriginalBudget]]</f>
        <v>-4.9011730676522577E-2</v>
      </c>
    </row>
    <row r="130" spans="1:12" x14ac:dyDescent="0.45">
      <c r="A130" t="s">
        <v>1042</v>
      </c>
      <c r="B130" t="s">
        <v>129</v>
      </c>
      <c r="C130" t="s">
        <v>738</v>
      </c>
      <c r="D130" t="s">
        <v>572</v>
      </c>
      <c r="E130">
        <v>1438</v>
      </c>
      <c r="F130">
        <v>2288</v>
      </c>
      <c r="G130">
        <v>1698</v>
      </c>
      <c r="H130">
        <v>590</v>
      </c>
      <c r="I130">
        <v>2006</v>
      </c>
      <c r="J130">
        <v>26</v>
      </c>
      <c r="K130">
        <f>allFYsTable[[#This Row],[Actual]]-allFYsTable[[#This Row],[OriginalBudget]]</f>
        <v>260</v>
      </c>
      <c r="L130" s="11">
        <f>allFYsTable[[#This Row],[DiffAmount]]/allFYsTable[[#This Row],[OriginalBudget]]</f>
        <v>0.1808066759388039</v>
      </c>
    </row>
    <row r="131" spans="1:12" x14ac:dyDescent="0.45">
      <c r="A131" t="s">
        <v>1042</v>
      </c>
      <c r="B131" t="s">
        <v>129</v>
      </c>
      <c r="C131" t="s">
        <v>741</v>
      </c>
      <c r="D131" t="s">
        <v>573</v>
      </c>
      <c r="E131">
        <v>579</v>
      </c>
      <c r="F131">
        <v>594</v>
      </c>
      <c r="G131">
        <v>536</v>
      </c>
      <c r="H131">
        <v>58</v>
      </c>
      <c r="I131">
        <v>2006</v>
      </c>
      <c r="J131">
        <v>27</v>
      </c>
      <c r="K131">
        <f>allFYsTable[[#This Row],[Actual]]-allFYsTable[[#This Row],[OriginalBudget]]</f>
        <v>-43</v>
      </c>
      <c r="L131" s="11">
        <f>allFYsTable[[#This Row],[DiffAmount]]/allFYsTable[[#This Row],[OriginalBudget]]</f>
        <v>-7.426597582037997E-2</v>
      </c>
    </row>
    <row r="132" spans="1:12" x14ac:dyDescent="0.45">
      <c r="A132" t="s">
        <v>1042</v>
      </c>
      <c r="B132" t="s">
        <v>129</v>
      </c>
      <c r="C132" t="s">
        <v>744</v>
      </c>
      <c r="D132" t="s">
        <v>29</v>
      </c>
      <c r="E132">
        <v>2902</v>
      </c>
      <c r="F132">
        <v>2902</v>
      </c>
      <c r="G132">
        <v>2602</v>
      </c>
      <c r="H132">
        <v>300</v>
      </c>
      <c r="I132">
        <v>2006</v>
      </c>
      <c r="J132">
        <v>28</v>
      </c>
      <c r="K132">
        <f>allFYsTable[[#This Row],[Actual]]-allFYsTable[[#This Row],[OriginalBudget]]</f>
        <v>-300</v>
      </c>
      <c r="L132" s="11">
        <f>allFYsTable[[#This Row],[DiffAmount]]/allFYsTable[[#This Row],[OriginalBudget]]</f>
        <v>-0.10337698139214335</v>
      </c>
    </row>
    <row r="133" spans="1:12" x14ac:dyDescent="0.45">
      <c r="A133" t="s">
        <v>1042</v>
      </c>
      <c r="B133" t="s">
        <v>129</v>
      </c>
      <c r="C133" t="s">
        <v>737</v>
      </c>
      <c r="D133" t="s">
        <v>575</v>
      </c>
      <c r="E133">
        <v>2031</v>
      </c>
      <c r="F133">
        <v>2031</v>
      </c>
      <c r="G133">
        <v>1797</v>
      </c>
      <c r="H133">
        <v>234</v>
      </c>
      <c r="I133">
        <v>2006</v>
      </c>
      <c r="J133">
        <v>29</v>
      </c>
      <c r="K133">
        <f>allFYsTable[[#This Row],[Actual]]-allFYsTable[[#This Row],[OriginalBudget]]</f>
        <v>-234</v>
      </c>
      <c r="L133" s="11">
        <f>allFYsTable[[#This Row],[DiffAmount]]/allFYsTable[[#This Row],[OriginalBudget]]</f>
        <v>-0.11521418020679468</v>
      </c>
    </row>
    <row r="134" spans="1:12" x14ac:dyDescent="0.45">
      <c r="A134" t="s">
        <v>1042</v>
      </c>
      <c r="B134" t="s">
        <v>129</v>
      </c>
      <c r="C134" t="s">
        <v>795</v>
      </c>
      <c r="D134" t="s">
        <v>72</v>
      </c>
      <c r="E134">
        <v>0</v>
      </c>
      <c r="F134">
        <v>0</v>
      </c>
      <c r="G134">
        <v>0</v>
      </c>
      <c r="H134">
        <v>0</v>
      </c>
      <c r="I134">
        <v>2006</v>
      </c>
      <c r="J134">
        <v>30</v>
      </c>
      <c r="K134">
        <f>allFYsTable[[#This Row],[Actual]]-allFYsTable[[#This Row],[OriginalBudget]]</f>
        <v>0</v>
      </c>
      <c r="L134" s="11" t="e">
        <f>allFYsTable[[#This Row],[DiffAmount]]/allFYsTable[[#This Row],[OriginalBudget]]</f>
        <v>#DIV/0!</v>
      </c>
    </row>
    <row r="135" spans="1:12" x14ac:dyDescent="0.45">
      <c r="A135" t="s">
        <v>1042</v>
      </c>
      <c r="B135" t="s">
        <v>129</v>
      </c>
      <c r="C135" t="s">
        <v>769</v>
      </c>
      <c r="D135" t="s">
        <v>648</v>
      </c>
      <c r="E135">
        <v>35208</v>
      </c>
      <c r="F135">
        <v>34726</v>
      </c>
      <c r="G135">
        <v>31815</v>
      </c>
      <c r="H135">
        <v>2911</v>
      </c>
      <c r="I135">
        <v>2006</v>
      </c>
      <c r="J135">
        <v>31</v>
      </c>
      <c r="K135">
        <f>allFYsTable[[#This Row],[Actual]]-allFYsTable[[#This Row],[OriginalBudget]]</f>
        <v>-3393</v>
      </c>
      <c r="L135" s="11">
        <f>allFYsTable[[#This Row],[DiffAmount]]/allFYsTable[[#This Row],[OriginalBudget]]</f>
        <v>-9.6370143149284257E-2</v>
      </c>
    </row>
    <row r="136" spans="1:12" x14ac:dyDescent="0.45">
      <c r="A136" t="s">
        <v>1042</v>
      </c>
      <c r="B136" t="s">
        <v>129</v>
      </c>
      <c r="C136" t="s">
        <v>745</v>
      </c>
      <c r="D136" t="s">
        <v>649</v>
      </c>
      <c r="E136">
        <v>431</v>
      </c>
      <c r="F136">
        <v>431</v>
      </c>
      <c r="G136">
        <v>408</v>
      </c>
      <c r="H136">
        <v>23</v>
      </c>
      <c r="I136">
        <v>2006</v>
      </c>
      <c r="J136">
        <v>32</v>
      </c>
      <c r="K136">
        <f>allFYsTable[[#This Row],[Actual]]-allFYsTable[[#This Row],[OriginalBudget]]</f>
        <v>-23</v>
      </c>
      <c r="L136" s="11">
        <f>allFYsTable[[#This Row],[DiffAmount]]/allFYsTable[[#This Row],[OriginalBudget]]</f>
        <v>-5.336426914153132E-2</v>
      </c>
    </row>
    <row r="137" spans="1:12" x14ac:dyDescent="0.45">
      <c r="A137" t="s">
        <v>1042</v>
      </c>
      <c r="B137" t="s">
        <v>129</v>
      </c>
      <c r="C137" t="s">
        <v>797</v>
      </c>
      <c r="D137" t="s">
        <v>578</v>
      </c>
      <c r="E137">
        <v>26581</v>
      </c>
      <c r="F137">
        <v>28119</v>
      </c>
      <c r="G137">
        <v>26982</v>
      </c>
      <c r="H137">
        <v>1137</v>
      </c>
      <c r="I137">
        <v>2006</v>
      </c>
      <c r="J137">
        <v>33</v>
      </c>
      <c r="K137">
        <f>allFYsTable[[#This Row],[Actual]]-allFYsTable[[#This Row],[OriginalBudget]]</f>
        <v>401</v>
      </c>
      <c r="L137" s="11">
        <f>allFYsTable[[#This Row],[DiffAmount]]/allFYsTable[[#This Row],[OriginalBudget]]</f>
        <v>1.5085963658252134E-2</v>
      </c>
    </row>
    <row r="138" spans="1:12" x14ac:dyDescent="0.45">
      <c r="A138" t="s">
        <v>1042</v>
      </c>
      <c r="B138" t="s">
        <v>129</v>
      </c>
      <c r="C138" t="s">
        <v>736</v>
      </c>
      <c r="D138" t="s">
        <v>190</v>
      </c>
      <c r="E138">
        <v>8552</v>
      </c>
      <c r="F138">
        <v>8552</v>
      </c>
      <c r="G138">
        <v>8490</v>
      </c>
      <c r="H138">
        <v>62</v>
      </c>
      <c r="I138">
        <v>2006</v>
      </c>
      <c r="J138">
        <v>34</v>
      </c>
      <c r="K138">
        <f>allFYsTable[[#This Row],[Actual]]-allFYsTable[[#This Row],[OriginalBudget]]</f>
        <v>-62</v>
      </c>
      <c r="L138" s="11">
        <f>allFYsTable[[#This Row],[DiffAmount]]/allFYsTable[[#This Row],[OriginalBudget]]</f>
        <v>-7.2497661365762394E-3</v>
      </c>
    </row>
    <row r="139" spans="1:12" x14ac:dyDescent="0.45">
      <c r="A139" t="s">
        <v>1042</v>
      </c>
      <c r="B139" t="s">
        <v>129</v>
      </c>
      <c r="C139" s="12" t="s">
        <v>827</v>
      </c>
      <c r="D139" t="s">
        <v>679</v>
      </c>
      <c r="E139">
        <v>0</v>
      </c>
      <c r="F139">
        <v>8000</v>
      </c>
      <c r="G139">
        <v>8000</v>
      </c>
      <c r="H139">
        <v>0</v>
      </c>
      <c r="I139">
        <v>2006</v>
      </c>
      <c r="J139">
        <v>35</v>
      </c>
      <c r="K139">
        <f>allFYsTable[[#This Row],[Actual]]-allFYsTable[[#This Row],[OriginalBudget]]</f>
        <v>8000</v>
      </c>
      <c r="L139" s="11" t="e">
        <f>allFYsTable[[#This Row],[DiffAmount]]/allFYsTable[[#This Row],[OriginalBudget]]</f>
        <v>#DIV/0!</v>
      </c>
    </row>
    <row r="140" spans="1:12" x14ac:dyDescent="0.45">
      <c r="A140" t="s">
        <v>1042</v>
      </c>
      <c r="B140" t="s">
        <v>129</v>
      </c>
      <c r="C140" t="s">
        <v>806</v>
      </c>
      <c r="D140" t="s">
        <v>82</v>
      </c>
      <c r="E140">
        <v>0</v>
      </c>
      <c r="F140">
        <v>2053</v>
      </c>
      <c r="G140">
        <v>2053</v>
      </c>
      <c r="H140">
        <v>0</v>
      </c>
      <c r="I140">
        <v>2006</v>
      </c>
      <c r="J140">
        <v>36</v>
      </c>
      <c r="K140">
        <f>allFYsTable[[#This Row],[Actual]]-allFYsTable[[#This Row],[OriginalBudget]]</f>
        <v>2053</v>
      </c>
      <c r="L140" s="11" t="e">
        <f>allFYsTable[[#This Row],[DiffAmount]]/allFYsTable[[#This Row],[OriginalBudget]]</f>
        <v>#DIV/0!</v>
      </c>
    </row>
    <row r="141" spans="1:12" x14ac:dyDescent="0.45">
      <c r="A141" t="s">
        <v>1042</v>
      </c>
      <c r="B141" t="s">
        <v>129</v>
      </c>
      <c r="C141" t="s">
        <v>805</v>
      </c>
      <c r="D141" t="s">
        <v>650</v>
      </c>
      <c r="E141">
        <v>0</v>
      </c>
      <c r="F141">
        <v>0</v>
      </c>
      <c r="G141">
        <v>0</v>
      </c>
      <c r="H141">
        <v>0</v>
      </c>
      <c r="I141">
        <v>2006</v>
      </c>
      <c r="J141">
        <v>37</v>
      </c>
      <c r="K141">
        <f>allFYsTable[[#This Row],[Actual]]-allFYsTable[[#This Row],[OriginalBudget]]</f>
        <v>0</v>
      </c>
      <c r="L141" s="11" t="e">
        <f>allFYsTable[[#This Row],[DiffAmount]]/allFYsTable[[#This Row],[OriginalBudget]]</f>
        <v>#DIV/0!</v>
      </c>
    </row>
    <row r="142" spans="1:12" x14ac:dyDescent="0.45">
      <c r="A142" t="s">
        <v>1042</v>
      </c>
      <c r="B142" t="s">
        <v>129</v>
      </c>
      <c r="C142" t="s">
        <v>800</v>
      </c>
      <c r="D142" t="s">
        <v>581</v>
      </c>
      <c r="E142">
        <v>0</v>
      </c>
      <c r="F142">
        <v>0</v>
      </c>
      <c r="G142">
        <v>0</v>
      </c>
      <c r="H142">
        <v>0</v>
      </c>
      <c r="I142">
        <v>2006</v>
      </c>
      <c r="J142">
        <v>38</v>
      </c>
      <c r="K142">
        <f>allFYsTable[[#This Row],[Actual]]-allFYsTable[[#This Row],[OriginalBudget]]</f>
        <v>0</v>
      </c>
      <c r="L142" s="11" t="e">
        <f>allFYsTable[[#This Row],[DiffAmount]]/allFYsTable[[#This Row],[OriginalBudget]]</f>
        <v>#DIV/0!</v>
      </c>
    </row>
    <row r="143" spans="1:12" x14ac:dyDescent="0.45">
      <c r="A143" t="s">
        <v>1042</v>
      </c>
      <c r="B143" t="s">
        <v>129</v>
      </c>
      <c r="C143" t="s">
        <v>739</v>
      </c>
      <c r="D143" t="s">
        <v>23</v>
      </c>
      <c r="E143">
        <v>4003</v>
      </c>
      <c r="F143">
        <v>10903</v>
      </c>
      <c r="G143">
        <v>10903</v>
      </c>
      <c r="H143">
        <v>0</v>
      </c>
      <c r="I143">
        <v>2006</v>
      </c>
      <c r="J143">
        <v>39</v>
      </c>
      <c r="K143">
        <f>allFYsTable[[#This Row],[Actual]]-allFYsTable[[#This Row],[OriginalBudget]]</f>
        <v>6900</v>
      </c>
      <c r="L143" s="11">
        <f>allFYsTable[[#This Row],[DiffAmount]]/allFYsTable[[#This Row],[OriginalBudget]]</f>
        <v>1.7237072195853109</v>
      </c>
    </row>
    <row r="144" spans="1:12" x14ac:dyDescent="0.45">
      <c r="A144" t="s">
        <v>1042</v>
      </c>
      <c r="B144" t="s">
        <v>129</v>
      </c>
      <c r="C144" t="s">
        <v>741</v>
      </c>
      <c r="D144" t="s">
        <v>1004</v>
      </c>
      <c r="E144">
        <v>0</v>
      </c>
      <c r="F144">
        <v>0</v>
      </c>
      <c r="G144">
        <v>0</v>
      </c>
      <c r="H144">
        <v>0</v>
      </c>
      <c r="I144">
        <v>2006</v>
      </c>
      <c r="J144">
        <v>40</v>
      </c>
      <c r="K144">
        <f>allFYsTable[[#This Row],[Actual]]-allFYsTable[[#This Row],[OriginalBudget]]</f>
        <v>0</v>
      </c>
      <c r="L144" s="11" t="e">
        <f>allFYsTable[[#This Row],[DiffAmount]]/allFYsTable[[#This Row],[OriginalBudget]]</f>
        <v>#DIV/0!</v>
      </c>
    </row>
    <row r="145" spans="1:12" x14ac:dyDescent="0.45">
      <c r="A145" t="s">
        <v>1042</v>
      </c>
      <c r="B145" t="s">
        <v>6</v>
      </c>
      <c r="C145" t="s">
        <v>758</v>
      </c>
      <c r="D145" t="s">
        <v>584</v>
      </c>
      <c r="E145">
        <v>353774</v>
      </c>
      <c r="F145">
        <v>418755</v>
      </c>
      <c r="G145">
        <v>418560</v>
      </c>
      <c r="H145">
        <v>195</v>
      </c>
      <c r="I145">
        <v>2006</v>
      </c>
      <c r="J145">
        <v>41</v>
      </c>
      <c r="K145">
        <f>allFYsTable[[#This Row],[Actual]]-allFYsTable[[#This Row],[OriginalBudget]]</f>
        <v>64786</v>
      </c>
      <c r="L145" s="11">
        <f>allFYsTable[[#This Row],[DiffAmount]]/allFYsTable[[#This Row],[OriginalBudget]]</f>
        <v>0.18312821179623148</v>
      </c>
    </row>
    <row r="146" spans="1:12" x14ac:dyDescent="0.45">
      <c r="A146" t="s">
        <v>1042</v>
      </c>
      <c r="B146" t="s">
        <v>6</v>
      </c>
      <c r="C146" t="s">
        <v>755</v>
      </c>
      <c r="D146" t="s">
        <v>131</v>
      </c>
      <c r="E146">
        <v>155889</v>
      </c>
      <c r="F146">
        <v>158039</v>
      </c>
      <c r="G146">
        <v>157228</v>
      </c>
      <c r="H146">
        <v>811</v>
      </c>
      <c r="I146">
        <v>2006</v>
      </c>
      <c r="J146">
        <v>42</v>
      </c>
      <c r="K146">
        <f>allFYsTable[[#This Row],[Actual]]-allFYsTable[[#This Row],[OriginalBudget]]</f>
        <v>1339</v>
      </c>
      <c r="L146" s="11">
        <f>allFYsTable[[#This Row],[DiffAmount]]/allFYsTable[[#This Row],[OriginalBudget]]</f>
        <v>8.5894450538524202E-3</v>
      </c>
    </row>
    <row r="147" spans="1:12" x14ac:dyDescent="0.45">
      <c r="A147" t="s">
        <v>1042</v>
      </c>
      <c r="B147" t="s">
        <v>6</v>
      </c>
      <c r="C147" t="s">
        <v>768</v>
      </c>
      <c r="D147" t="s">
        <v>651</v>
      </c>
      <c r="E147">
        <v>117500</v>
      </c>
      <c r="F147">
        <v>117500</v>
      </c>
      <c r="G147">
        <v>117500</v>
      </c>
      <c r="H147">
        <v>0</v>
      </c>
      <c r="I147">
        <v>2006</v>
      </c>
      <c r="J147">
        <v>43</v>
      </c>
      <c r="K147">
        <f>allFYsTable[[#This Row],[Actual]]-allFYsTable[[#This Row],[OriginalBudget]]</f>
        <v>0</v>
      </c>
      <c r="L147" s="11">
        <f>allFYsTable[[#This Row],[DiffAmount]]/allFYsTable[[#This Row],[OriginalBudget]]</f>
        <v>0</v>
      </c>
    </row>
    <row r="148" spans="1:12" x14ac:dyDescent="0.45">
      <c r="A148" t="s">
        <v>1042</v>
      </c>
      <c r="B148" t="s">
        <v>6</v>
      </c>
      <c r="C148" t="s">
        <v>750</v>
      </c>
      <c r="D148" t="s">
        <v>587</v>
      </c>
      <c r="E148">
        <v>104996</v>
      </c>
      <c r="F148">
        <v>112199</v>
      </c>
      <c r="G148">
        <v>109832</v>
      </c>
      <c r="H148">
        <v>2367</v>
      </c>
      <c r="I148">
        <v>2006</v>
      </c>
      <c r="J148">
        <v>44</v>
      </c>
      <c r="K148">
        <f>allFYsTable[[#This Row],[Actual]]-allFYsTable[[#This Row],[OriginalBudget]]</f>
        <v>4836</v>
      </c>
      <c r="L148" s="11">
        <f>allFYsTable[[#This Row],[DiffAmount]]/allFYsTable[[#This Row],[OriginalBudget]]</f>
        <v>4.605889748180883E-2</v>
      </c>
    </row>
    <row r="149" spans="1:12" x14ac:dyDescent="0.45">
      <c r="A149" t="s">
        <v>1042</v>
      </c>
      <c r="B149" t="s">
        <v>6</v>
      </c>
      <c r="C149" t="s">
        <v>753</v>
      </c>
      <c r="D149" t="s">
        <v>588</v>
      </c>
      <c r="E149">
        <v>2187</v>
      </c>
      <c r="F149">
        <v>2488</v>
      </c>
      <c r="G149">
        <v>2329</v>
      </c>
      <c r="H149">
        <v>159</v>
      </c>
      <c r="I149">
        <v>2006</v>
      </c>
      <c r="J149">
        <v>45</v>
      </c>
      <c r="K149">
        <f>allFYsTable[[#This Row],[Actual]]-allFYsTable[[#This Row],[OriginalBudget]]</f>
        <v>142</v>
      </c>
      <c r="L149" s="11">
        <f>allFYsTable[[#This Row],[DiffAmount]]/allFYsTable[[#This Row],[OriginalBudget]]</f>
        <v>6.4929126657521721E-2</v>
      </c>
    </row>
    <row r="150" spans="1:12" x14ac:dyDescent="0.45">
      <c r="A150" t="s">
        <v>1042</v>
      </c>
      <c r="B150" t="s">
        <v>6</v>
      </c>
      <c r="C150" t="s">
        <v>756</v>
      </c>
      <c r="D150" t="s">
        <v>652</v>
      </c>
      <c r="E150">
        <v>3621</v>
      </c>
      <c r="F150">
        <v>4411</v>
      </c>
      <c r="G150">
        <v>4377</v>
      </c>
      <c r="H150">
        <v>34</v>
      </c>
      <c r="I150">
        <v>2006</v>
      </c>
      <c r="J150">
        <v>46</v>
      </c>
      <c r="K150">
        <f>allFYsTable[[#This Row],[Actual]]-allFYsTable[[#This Row],[OriginalBudget]]</f>
        <v>756</v>
      </c>
      <c r="L150" s="11">
        <f>allFYsTable[[#This Row],[DiffAmount]]/allFYsTable[[#This Row],[OriginalBudget]]</f>
        <v>0.20878210439105219</v>
      </c>
    </row>
    <row r="151" spans="1:12" x14ac:dyDescent="0.45">
      <c r="A151" t="s">
        <v>1042</v>
      </c>
      <c r="B151" t="s">
        <v>6</v>
      </c>
      <c r="C151" t="s">
        <v>746</v>
      </c>
      <c r="D151" t="s">
        <v>653</v>
      </c>
      <c r="E151">
        <v>218</v>
      </c>
      <c r="F151">
        <v>227</v>
      </c>
      <c r="G151">
        <v>227</v>
      </c>
      <c r="H151">
        <v>0</v>
      </c>
      <c r="I151">
        <v>2006</v>
      </c>
      <c r="J151">
        <v>47</v>
      </c>
      <c r="K151">
        <f>allFYsTable[[#This Row],[Actual]]-allFYsTable[[#This Row],[OriginalBudget]]</f>
        <v>9</v>
      </c>
      <c r="L151" s="11">
        <f>allFYsTable[[#This Row],[DiffAmount]]/allFYsTable[[#This Row],[OriginalBudget]]</f>
        <v>4.1284403669724773E-2</v>
      </c>
    </row>
    <row r="152" spans="1:12" x14ac:dyDescent="0.45">
      <c r="A152" t="s">
        <v>1042</v>
      </c>
      <c r="B152" t="s">
        <v>6</v>
      </c>
      <c r="C152" t="s">
        <v>757</v>
      </c>
      <c r="D152" t="s">
        <v>654</v>
      </c>
      <c r="E152">
        <v>126</v>
      </c>
      <c r="F152">
        <v>131</v>
      </c>
      <c r="G152">
        <v>122</v>
      </c>
      <c r="H152">
        <v>9</v>
      </c>
      <c r="I152">
        <v>2006</v>
      </c>
      <c r="J152">
        <v>48</v>
      </c>
      <c r="K152">
        <f>allFYsTable[[#This Row],[Actual]]-allFYsTable[[#This Row],[OriginalBudget]]</f>
        <v>-4</v>
      </c>
      <c r="L152" s="11">
        <f>allFYsTable[[#This Row],[DiffAmount]]/allFYsTable[[#This Row],[OriginalBudget]]</f>
        <v>-3.1746031746031744E-2</v>
      </c>
    </row>
    <row r="153" spans="1:12" x14ac:dyDescent="0.45">
      <c r="A153" t="s">
        <v>1042</v>
      </c>
      <c r="B153" t="s">
        <v>6</v>
      </c>
      <c r="C153" t="s">
        <v>762</v>
      </c>
      <c r="D153" t="s">
        <v>655</v>
      </c>
      <c r="E153">
        <v>2095</v>
      </c>
      <c r="F153">
        <v>2095</v>
      </c>
      <c r="G153">
        <v>2082</v>
      </c>
      <c r="H153">
        <v>13</v>
      </c>
      <c r="I153">
        <v>2006</v>
      </c>
      <c r="J153">
        <v>49</v>
      </c>
      <c r="K153">
        <f>allFYsTable[[#This Row],[Actual]]-allFYsTable[[#This Row],[OriginalBudget]]</f>
        <v>-13</v>
      </c>
      <c r="L153" s="11">
        <f>allFYsTable[[#This Row],[DiffAmount]]/allFYsTable[[#This Row],[OriginalBudget]]</f>
        <v>-6.205250596658711E-3</v>
      </c>
    </row>
    <row r="154" spans="1:12" x14ac:dyDescent="0.45">
      <c r="A154" t="s">
        <v>1042</v>
      </c>
      <c r="B154" t="s">
        <v>6</v>
      </c>
      <c r="C154" t="s">
        <v>754</v>
      </c>
      <c r="D154" t="s">
        <v>1016</v>
      </c>
      <c r="E154">
        <v>662</v>
      </c>
      <c r="F154">
        <v>662</v>
      </c>
      <c r="G154">
        <v>651</v>
      </c>
      <c r="H154">
        <v>11</v>
      </c>
      <c r="I154">
        <v>2006</v>
      </c>
      <c r="J154">
        <v>50</v>
      </c>
      <c r="K154">
        <f>allFYsTable[[#This Row],[Actual]]-allFYsTable[[#This Row],[OriginalBudget]]</f>
        <v>-11</v>
      </c>
      <c r="L154" s="11">
        <f>allFYsTable[[#This Row],[DiffAmount]]/allFYsTable[[#This Row],[OriginalBudget]]</f>
        <v>-1.6616314199395771E-2</v>
      </c>
    </row>
    <row r="155" spans="1:12" x14ac:dyDescent="0.45">
      <c r="A155" t="s">
        <v>1042</v>
      </c>
      <c r="B155" t="s">
        <v>6</v>
      </c>
      <c r="C155" t="s">
        <v>764</v>
      </c>
      <c r="D155" t="s">
        <v>656</v>
      </c>
      <c r="E155">
        <v>9129</v>
      </c>
      <c r="F155">
        <v>9105</v>
      </c>
      <c r="G155">
        <v>8468</v>
      </c>
      <c r="H155">
        <v>637</v>
      </c>
      <c r="I155">
        <v>2006</v>
      </c>
      <c r="J155">
        <v>51</v>
      </c>
      <c r="K155">
        <f>allFYsTable[[#This Row],[Actual]]-allFYsTable[[#This Row],[OriginalBudget]]</f>
        <v>-661</v>
      </c>
      <c r="L155" s="11">
        <f>allFYsTable[[#This Row],[DiffAmount]]/allFYsTable[[#This Row],[OriginalBudget]]</f>
        <v>-7.2406616277796029E-2</v>
      </c>
    </row>
    <row r="156" spans="1:12" x14ac:dyDescent="0.45">
      <c r="A156" t="s">
        <v>1042</v>
      </c>
      <c r="B156" t="s">
        <v>6</v>
      </c>
      <c r="C156" t="s">
        <v>759</v>
      </c>
      <c r="D156" t="s">
        <v>657</v>
      </c>
      <c r="E156">
        <v>5710</v>
      </c>
      <c r="F156">
        <v>5710</v>
      </c>
      <c r="G156">
        <v>5580</v>
      </c>
      <c r="H156">
        <v>130</v>
      </c>
      <c r="I156">
        <v>2006</v>
      </c>
      <c r="J156">
        <v>52</v>
      </c>
      <c r="K156">
        <f>allFYsTable[[#This Row],[Actual]]-allFYsTable[[#This Row],[OriginalBudget]]</f>
        <v>-130</v>
      </c>
      <c r="L156" s="11">
        <f>allFYsTable[[#This Row],[DiffAmount]]/allFYsTable[[#This Row],[OriginalBudget]]</f>
        <v>-2.276707530647986E-2</v>
      </c>
    </row>
    <row r="157" spans="1:12" x14ac:dyDescent="0.45">
      <c r="A157" t="s">
        <v>1042</v>
      </c>
      <c r="B157" t="s">
        <v>6</v>
      </c>
      <c r="C157" t="s">
        <v>747</v>
      </c>
      <c r="D157" t="s">
        <v>33</v>
      </c>
      <c r="E157">
        <v>155</v>
      </c>
      <c r="F157">
        <v>155</v>
      </c>
      <c r="G157">
        <v>0</v>
      </c>
      <c r="H157">
        <v>155</v>
      </c>
      <c r="I157">
        <v>2006</v>
      </c>
      <c r="J157">
        <v>53</v>
      </c>
      <c r="K157">
        <f>allFYsTable[[#This Row],[Actual]]-allFYsTable[[#This Row],[OriginalBudget]]</f>
        <v>-155</v>
      </c>
      <c r="L157" s="11">
        <f>allFYsTable[[#This Row],[DiffAmount]]/allFYsTable[[#This Row],[OriginalBudget]]</f>
        <v>-1</v>
      </c>
    </row>
    <row r="158" spans="1:12" x14ac:dyDescent="0.45">
      <c r="A158" t="s">
        <v>1042</v>
      </c>
      <c r="B158" t="s">
        <v>6</v>
      </c>
      <c r="C158" t="s">
        <v>749</v>
      </c>
      <c r="D158" t="s">
        <v>658</v>
      </c>
      <c r="E158">
        <v>276</v>
      </c>
      <c r="F158">
        <v>294</v>
      </c>
      <c r="G158">
        <v>275</v>
      </c>
      <c r="H158">
        <v>19</v>
      </c>
      <c r="I158">
        <v>2006</v>
      </c>
      <c r="J158">
        <v>54</v>
      </c>
      <c r="K158">
        <f>allFYsTable[[#This Row],[Actual]]-allFYsTable[[#This Row],[OriginalBudget]]</f>
        <v>-1</v>
      </c>
      <c r="L158" s="11">
        <f>allFYsTable[[#This Row],[DiffAmount]]/allFYsTable[[#This Row],[OriginalBudget]]</f>
        <v>-3.6231884057971015E-3</v>
      </c>
    </row>
    <row r="159" spans="1:12" x14ac:dyDescent="0.45">
      <c r="A159" t="s">
        <v>1042</v>
      </c>
      <c r="B159" t="s">
        <v>6</v>
      </c>
      <c r="C159" t="s">
        <v>751</v>
      </c>
      <c r="D159" t="s">
        <v>594</v>
      </c>
      <c r="E159">
        <v>800</v>
      </c>
      <c r="F159">
        <v>800</v>
      </c>
      <c r="G159">
        <v>516</v>
      </c>
      <c r="H159">
        <v>284</v>
      </c>
      <c r="I159">
        <v>2006</v>
      </c>
      <c r="J159">
        <v>55</v>
      </c>
      <c r="K159">
        <f>allFYsTable[[#This Row],[Actual]]-allFYsTable[[#This Row],[OriginalBudget]]</f>
        <v>-284</v>
      </c>
      <c r="L159" s="11">
        <f>allFYsTable[[#This Row],[DiffAmount]]/allFYsTable[[#This Row],[OriginalBudget]]</f>
        <v>-0.35499999999999998</v>
      </c>
    </row>
    <row r="160" spans="1:12" x14ac:dyDescent="0.45">
      <c r="A160" t="s">
        <v>1042</v>
      </c>
      <c r="B160" t="s">
        <v>6</v>
      </c>
      <c r="C160" t="s">
        <v>756</v>
      </c>
      <c r="D160" t="s">
        <v>688</v>
      </c>
      <c r="E160">
        <v>0</v>
      </c>
      <c r="F160">
        <v>0</v>
      </c>
      <c r="G160">
        <v>0</v>
      </c>
      <c r="H160">
        <v>0</v>
      </c>
      <c r="I160">
        <v>2006</v>
      </c>
      <c r="J160">
        <v>56</v>
      </c>
      <c r="K160">
        <f>allFYsTable[[#This Row],[Actual]]-allFYsTable[[#This Row],[OriginalBudget]]</f>
        <v>0</v>
      </c>
      <c r="L160" s="11" t="e">
        <f>allFYsTable[[#This Row],[DiffAmount]]/allFYsTable[[#This Row],[OriginalBudget]]</f>
        <v>#DIV/0!</v>
      </c>
    </row>
    <row r="161" spans="1:12" x14ac:dyDescent="0.45">
      <c r="A161" t="s">
        <v>1042</v>
      </c>
      <c r="B161" t="s">
        <v>6</v>
      </c>
      <c r="C161" t="s">
        <v>766</v>
      </c>
      <c r="D161" t="s">
        <v>52</v>
      </c>
      <c r="E161">
        <v>12647</v>
      </c>
      <c r="F161">
        <v>13224</v>
      </c>
      <c r="G161">
        <v>12228</v>
      </c>
      <c r="H161">
        <v>996</v>
      </c>
      <c r="I161">
        <v>2006</v>
      </c>
      <c r="J161">
        <v>57</v>
      </c>
      <c r="K161">
        <f>allFYsTable[[#This Row],[Actual]]-allFYsTable[[#This Row],[OriginalBudget]]</f>
        <v>-419</v>
      </c>
      <c r="L161" s="11">
        <f>allFYsTable[[#This Row],[DiffAmount]]/allFYsTable[[#This Row],[OriginalBudget]]</f>
        <v>-3.3130386652961176E-2</v>
      </c>
    </row>
    <row r="162" spans="1:12" x14ac:dyDescent="0.45">
      <c r="A162" t="s">
        <v>1042</v>
      </c>
      <c r="B162" t="s">
        <v>136</v>
      </c>
      <c r="C162" t="s">
        <v>773</v>
      </c>
      <c r="D162" t="s">
        <v>595</v>
      </c>
      <c r="E162">
        <v>794245</v>
      </c>
      <c r="F162">
        <v>816346</v>
      </c>
      <c r="G162">
        <v>812830</v>
      </c>
      <c r="H162">
        <v>3516</v>
      </c>
      <c r="I162">
        <v>2006</v>
      </c>
      <c r="J162">
        <v>58</v>
      </c>
      <c r="K162">
        <f>allFYsTable[[#This Row],[Actual]]-allFYsTable[[#This Row],[OriginalBudget]]</f>
        <v>18585</v>
      </c>
      <c r="L162" s="11">
        <f>allFYsTable[[#This Row],[DiffAmount]]/allFYsTable[[#This Row],[OriginalBudget]]</f>
        <v>2.3399580733904527E-2</v>
      </c>
    </row>
    <row r="163" spans="1:12" x14ac:dyDescent="0.45">
      <c r="A163" t="s">
        <v>1042</v>
      </c>
      <c r="B163" t="s">
        <v>136</v>
      </c>
      <c r="C163" t="s">
        <v>870</v>
      </c>
      <c r="D163" t="s">
        <v>689</v>
      </c>
      <c r="E163">
        <v>0</v>
      </c>
      <c r="F163">
        <v>2943</v>
      </c>
      <c r="G163">
        <v>2943</v>
      </c>
      <c r="H163">
        <v>0</v>
      </c>
      <c r="I163">
        <v>2006</v>
      </c>
      <c r="J163">
        <v>59</v>
      </c>
      <c r="K163">
        <f>allFYsTable[[#This Row],[Actual]]-allFYsTable[[#This Row],[OriginalBudget]]</f>
        <v>2943</v>
      </c>
      <c r="L163" s="11" t="e">
        <f>allFYsTable[[#This Row],[DiffAmount]]/allFYsTable[[#This Row],[OriginalBudget]]</f>
        <v>#DIV/0!</v>
      </c>
    </row>
    <row r="164" spans="1:12" x14ac:dyDescent="0.45">
      <c r="A164" t="s">
        <v>1042</v>
      </c>
      <c r="B164" t="s">
        <v>136</v>
      </c>
      <c r="C164" t="s">
        <v>782</v>
      </c>
      <c r="D164" t="s">
        <v>662</v>
      </c>
      <c r="E164">
        <v>15500</v>
      </c>
      <c r="F164">
        <v>15500</v>
      </c>
      <c r="G164">
        <v>15431</v>
      </c>
      <c r="H164">
        <v>69</v>
      </c>
      <c r="I164">
        <v>2006</v>
      </c>
      <c r="J164">
        <v>60</v>
      </c>
      <c r="K164">
        <f>allFYsTable[[#This Row],[Actual]]-allFYsTable[[#This Row],[OriginalBudget]]</f>
        <v>-69</v>
      </c>
      <c r="L164" s="11">
        <f>allFYsTable[[#This Row],[DiffAmount]]/allFYsTable[[#This Row],[OriginalBudget]]</f>
        <v>-4.4516129032258064E-3</v>
      </c>
    </row>
    <row r="165" spans="1:12" x14ac:dyDescent="0.45">
      <c r="A165" t="s">
        <v>1042</v>
      </c>
      <c r="B165" t="s">
        <v>136</v>
      </c>
      <c r="C165" t="s">
        <v>779</v>
      </c>
      <c r="D165" t="s">
        <v>598</v>
      </c>
      <c r="E165">
        <v>13085</v>
      </c>
      <c r="F165">
        <v>13004</v>
      </c>
      <c r="G165">
        <v>12684</v>
      </c>
      <c r="H165">
        <v>320</v>
      </c>
      <c r="I165">
        <v>2006</v>
      </c>
      <c r="J165">
        <v>61</v>
      </c>
      <c r="K165">
        <f>allFYsTable[[#This Row],[Actual]]-allFYsTable[[#This Row],[OriginalBudget]]</f>
        <v>-401</v>
      </c>
      <c r="L165" s="11">
        <f>allFYsTable[[#This Row],[DiffAmount]]/allFYsTable[[#This Row],[OriginalBudget]]</f>
        <v>-3.0645777607948031E-2</v>
      </c>
    </row>
    <row r="166" spans="1:12" x14ac:dyDescent="0.45">
      <c r="A166" t="s">
        <v>1042</v>
      </c>
      <c r="B166" t="s">
        <v>136</v>
      </c>
      <c r="C166" t="s">
        <v>772</v>
      </c>
      <c r="D166" t="s">
        <v>260</v>
      </c>
      <c r="E166">
        <v>239284</v>
      </c>
      <c r="F166">
        <v>167076</v>
      </c>
      <c r="G166">
        <v>161069</v>
      </c>
      <c r="H166">
        <v>6007</v>
      </c>
      <c r="I166">
        <v>2006</v>
      </c>
      <c r="J166">
        <v>62</v>
      </c>
      <c r="K166">
        <f>allFYsTable[[#This Row],[Actual]]-allFYsTable[[#This Row],[OriginalBudget]]</f>
        <v>-78215</v>
      </c>
      <c r="L166" s="11">
        <f>allFYsTable[[#This Row],[DiffAmount]]/allFYsTable[[#This Row],[OriginalBudget]]</f>
        <v>-0.32687099847879508</v>
      </c>
    </row>
    <row r="167" spans="1:12" x14ac:dyDescent="0.45">
      <c r="A167" t="s">
        <v>1042</v>
      </c>
      <c r="B167" t="s">
        <v>136</v>
      </c>
      <c r="C167" t="s">
        <v>869</v>
      </c>
      <c r="D167" t="s">
        <v>690</v>
      </c>
      <c r="E167">
        <v>0</v>
      </c>
      <c r="F167">
        <v>66121</v>
      </c>
      <c r="G167">
        <v>66121</v>
      </c>
      <c r="H167">
        <v>0</v>
      </c>
      <c r="I167">
        <v>2006</v>
      </c>
      <c r="J167">
        <v>63</v>
      </c>
      <c r="K167">
        <f>allFYsTable[[#This Row],[Actual]]-allFYsTable[[#This Row],[OriginalBudget]]</f>
        <v>66121</v>
      </c>
      <c r="L167" s="11" t="e">
        <f>allFYsTable[[#This Row],[DiffAmount]]/allFYsTable[[#This Row],[OriginalBudget]]</f>
        <v>#DIV/0!</v>
      </c>
    </row>
    <row r="168" spans="1:12" x14ac:dyDescent="0.45">
      <c r="A168" t="s">
        <v>1042</v>
      </c>
      <c r="B168" t="s">
        <v>136</v>
      </c>
      <c r="C168" t="s">
        <v>784</v>
      </c>
      <c r="D168" t="s">
        <v>601</v>
      </c>
      <c r="E168">
        <v>57873</v>
      </c>
      <c r="F168">
        <v>61266</v>
      </c>
      <c r="G168">
        <v>61266</v>
      </c>
      <c r="H168">
        <v>0</v>
      </c>
      <c r="I168">
        <v>2006</v>
      </c>
      <c r="J168">
        <v>64</v>
      </c>
      <c r="K168">
        <f>allFYsTable[[#This Row],[Actual]]-allFYsTable[[#This Row],[OriginalBudget]]</f>
        <v>3393</v>
      </c>
      <c r="L168" s="11">
        <f>allFYsTable[[#This Row],[DiffAmount]]/allFYsTable[[#This Row],[OriginalBudget]]</f>
        <v>5.8628375926597892E-2</v>
      </c>
    </row>
    <row r="169" spans="1:12" x14ac:dyDescent="0.45">
      <c r="A169" t="s">
        <v>1042</v>
      </c>
      <c r="B169" t="s">
        <v>136</v>
      </c>
      <c r="C169" t="s">
        <v>774</v>
      </c>
      <c r="D169" t="s">
        <v>602</v>
      </c>
      <c r="E169">
        <v>32412</v>
      </c>
      <c r="F169">
        <v>34502</v>
      </c>
      <c r="G169">
        <v>34465</v>
      </c>
      <c r="H169">
        <v>37</v>
      </c>
      <c r="I169">
        <v>2006</v>
      </c>
      <c r="J169">
        <v>65</v>
      </c>
      <c r="K169">
        <f>allFYsTable[[#This Row],[Actual]]-allFYsTable[[#This Row],[OriginalBudget]]</f>
        <v>2053</v>
      </c>
      <c r="L169" s="11">
        <f>allFYsTable[[#This Row],[DiffAmount]]/allFYsTable[[#This Row],[OriginalBudget]]</f>
        <v>6.3340737998272251E-2</v>
      </c>
    </row>
    <row r="170" spans="1:12" x14ac:dyDescent="0.45">
      <c r="A170" t="s">
        <v>1042</v>
      </c>
      <c r="B170" t="s">
        <v>136</v>
      </c>
      <c r="C170" t="s">
        <v>837</v>
      </c>
      <c r="D170" t="s">
        <v>691</v>
      </c>
      <c r="E170">
        <v>21000</v>
      </c>
      <c r="F170">
        <v>0</v>
      </c>
      <c r="G170">
        <v>0</v>
      </c>
      <c r="H170">
        <v>0</v>
      </c>
      <c r="I170">
        <v>2006</v>
      </c>
      <c r="J170">
        <v>66</v>
      </c>
      <c r="K170">
        <f>allFYsTable[[#This Row],[Actual]]-allFYsTable[[#This Row],[OriginalBudget]]</f>
        <v>-21000</v>
      </c>
      <c r="L170" s="11">
        <f>allFYsTable[[#This Row],[DiffAmount]]/allFYsTable[[#This Row],[OriginalBudget]]</f>
        <v>-1</v>
      </c>
    </row>
    <row r="171" spans="1:12" x14ac:dyDescent="0.45">
      <c r="A171" t="s">
        <v>1042</v>
      </c>
      <c r="B171" t="s">
        <v>136</v>
      </c>
      <c r="C171" t="s">
        <v>838</v>
      </c>
      <c r="D171" t="s">
        <v>692</v>
      </c>
      <c r="E171">
        <v>4200</v>
      </c>
      <c r="F171">
        <v>1090</v>
      </c>
      <c r="G171">
        <v>0</v>
      </c>
      <c r="H171">
        <v>1090</v>
      </c>
      <c r="I171">
        <v>2006</v>
      </c>
      <c r="J171">
        <v>67</v>
      </c>
      <c r="K171">
        <f>allFYsTable[[#This Row],[Actual]]-allFYsTable[[#This Row],[OriginalBudget]]</f>
        <v>-4200</v>
      </c>
      <c r="L171" s="11">
        <f>allFYsTable[[#This Row],[DiffAmount]]/allFYsTable[[#This Row],[OriginalBudget]]</f>
        <v>-1</v>
      </c>
    </row>
    <row r="172" spans="1:12" x14ac:dyDescent="0.45">
      <c r="A172" t="s">
        <v>1042</v>
      </c>
      <c r="B172" t="s">
        <v>14</v>
      </c>
      <c r="C172" t="s">
        <v>790</v>
      </c>
      <c r="D172" t="s">
        <v>606</v>
      </c>
      <c r="E172">
        <v>224433</v>
      </c>
      <c r="F172">
        <v>253922</v>
      </c>
      <c r="G172">
        <v>253856</v>
      </c>
      <c r="H172">
        <v>66</v>
      </c>
      <c r="I172">
        <v>2006</v>
      </c>
      <c r="J172">
        <v>68</v>
      </c>
      <c r="K172">
        <f>allFYsTable[[#This Row],[Actual]]-allFYsTable[[#This Row],[OriginalBudget]]</f>
        <v>29423</v>
      </c>
      <c r="L172" s="11">
        <f>allFYsTable[[#This Row],[DiffAmount]]/allFYsTable[[#This Row],[OriginalBudget]]</f>
        <v>0.13109925902162339</v>
      </c>
    </row>
    <row r="173" spans="1:12" x14ac:dyDescent="0.45">
      <c r="A173" t="s">
        <v>1042</v>
      </c>
      <c r="B173" t="s">
        <v>14</v>
      </c>
      <c r="C173" t="s">
        <v>785</v>
      </c>
      <c r="D173" t="s">
        <v>607</v>
      </c>
      <c r="E173">
        <v>152843</v>
      </c>
      <c r="F173">
        <v>166525</v>
      </c>
      <c r="G173">
        <v>165874</v>
      </c>
      <c r="H173">
        <v>651</v>
      </c>
      <c r="I173">
        <v>2006</v>
      </c>
      <c r="J173">
        <v>69</v>
      </c>
      <c r="K173">
        <f>allFYsTable[[#This Row],[Actual]]-allFYsTable[[#This Row],[OriginalBudget]]</f>
        <v>13031</v>
      </c>
      <c r="L173" s="11">
        <f>allFYsTable[[#This Row],[DiffAmount]]/allFYsTable[[#This Row],[OriginalBudget]]</f>
        <v>8.5257421013719956E-2</v>
      </c>
    </row>
    <row r="174" spans="1:12" x14ac:dyDescent="0.45">
      <c r="A174" t="s">
        <v>1042</v>
      </c>
      <c r="B174" t="s">
        <v>14</v>
      </c>
      <c r="C174" t="s">
        <v>787</v>
      </c>
      <c r="D174" t="s">
        <v>668</v>
      </c>
      <c r="E174">
        <v>179767</v>
      </c>
      <c r="F174">
        <v>196798</v>
      </c>
      <c r="G174">
        <v>196723</v>
      </c>
      <c r="H174">
        <v>75</v>
      </c>
      <c r="I174">
        <v>2006</v>
      </c>
      <c r="J174">
        <v>70</v>
      </c>
      <c r="K174">
        <f>allFYsTable[[#This Row],[Actual]]-allFYsTable[[#This Row],[OriginalBudget]]</f>
        <v>16956</v>
      </c>
      <c r="L174" s="11">
        <f>allFYsTable[[#This Row],[DiffAmount]]/allFYsTable[[#This Row],[OriginalBudget]]</f>
        <v>9.4322094711487642E-2</v>
      </c>
    </row>
    <row r="175" spans="1:12" x14ac:dyDescent="0.45">
      <c r="A175" t="s">
        <v>1042</v>
      </c>
      <c r="B175" t="s">
        <v>14</v>
      </c>
      <c r="C175" t="s">
        <v>788</v>
      </c>
      <c r="D175" t="s">
        <v>610</v>
      </c>
      <c r="E175">
        <v>546305</v>
      </c>
      <c r="F175">
        <v>564728</v>
      </c>
      <c r="G175">
        <v>561762</v>
      </c>
      <c r="H175">
        <v>2966</v>
      </c>
      <c r="I175">
        <v>2006</v>
      </c>
      <c r="J175">
        <v>71</v>
      </c>
      <c r="K175">
        <f>allFYsTable[[#This Row],[Actual]]-allFYsTable[[#This Row],[OriginalBudget]]</f>
        <v>15457</v>
      </c>
      <c r="L175" s="11">
        <f>allFYsTable[[#This Row],[DiffAmount]]/allFYsTable[[#This Row],[OriginalBudget]]</f>
        <v>2.8293718710244279E-2</v>
      </c>
    </row>
    <row r="176" spans="1:12" x14ac:dyDescent="0.45">
      <c r="A176" t="s">
        <v>1042</v>
      </c>
      <c r="B176" t="s">
        <v>14</v>
      </c>
      <c r="C176" t="s">
        <v>770</v>
      </c>
      <c r="D176" t="s">
        <v>611</v>
      </c>
      <c r="E176">
        <v>41349</v>
      </c>
      <c r="F176">
        <v>42771</v>
      </c>
      <c r="G176">
        <v>42674</v>
      </c>
      <c r="H176">
        <v>97</v>
      </c>
      <c r="I176">
        <v>2006</v>
      </c>
      <c r="J176">
        <v>72</v>
      </c>
      <c r="K176">
        <f>allFYsTable[[#This Row],[Actual]]-allFYsTable[[#This Row],[OriginalBudget]]</f>
        <v>1325</v>
      </c>
      <c r="L176" s="11">
        <f>allFYsTable[[#This Row],[DiffAmount]]/allFYsTable[[#This Row],[OriginalBudget]]</f>
        <v>3.204430578732255E-2</v>
      </c>
    </row>
    <row r="177" spans="1:12" x14ac:dyDescent="0.45">
      <c r="A177" t="s">
        <v>1042</v>
      </c>
      <c r="B177" t="s">
        <v>14</v>
      </c>
      <c r="C177" t="s">
        <v>786</v>
      </c>
      <c r="D177" t="s">
        <v>612</v>
      </c>
      <c r="E177">
        <v>14744</v>
      </c>
      <c r="F177">
        <v>14808</v>
      </c>
      <c r="G177">
        <v>14681</v>
      </c>
      <c r="H177">
        <v>127</v>
      </c>
      <c r="I177">
        <v>2006</v>
      </c>
      <c r="J177">
        <v>73</v>
      </c>
      <c r="K177">
        <f>allFYsTable[[#This Row],[Actual]]-allFYsTable[[#This Row],[OriginalBudget]]</f>
        <v>-63</v>
      </c>
      <c r="L177" s="11">
        <f>allFYsTable[[#This Row],[DiffAmount]]/allFYsTable[[#This Row],[OriginalBudget]]</f>
        <v>-4.2729245794899621E-3</v>
      </c>
    </row>
    <row r="178" spans="1:12" x14ac:dyDescent="0.45">
      <c r="A178" t="s">
        <v>1042</v>
      </c>
      <c r="B178" t="s">
        <v>14</v>
      </c>
      <c r="C178" t="s">
        <v>783</v>
      </c>
      <c r="D178" t="s">
        <v>669</v>
      </c>
      <c r="E178">
        <v>7125</v>
      </c>
      <c r="F178">
        <v>6349</v>
      </c>
      <c r="G178">
        <v>5056</v>
      </c>
      <c r="H178">
        <v>1293</v>
      </c>
      <c r="I178">
        <v>2006</v>
      </c>
      <c r="J178">
        <v>74</v>
      </c>
      <c r="K178">
        <f>allFYsTable[[#This Row],[Actual]]-allFYsTable[[#This Row],[OriginalBudget]]</f>
        <v>-2069</v>
      </c>
      <c r="L178" s="11">
        <f>allFYsTable[[#This Row],[DiffAmount]]/allFYsTable[[#This Row],[OriginalBudget]]</f>
        <v>-0.29038596491228069</v>
      </c>
    </row>
    <row r="179" spans="1:12" x14ac:dyDescent="0.45">
      <c r="A179" t="s">
        <v>1042</v>
      </c>
      <c r="B179" t="s">
        <v>14</v>
      </c>
      <c r="C179" t="s">
        <v>706</v>
      </c>
      <c r="D179" t="s">
        <v>670</v>
      </c>
      <c r="E179">
        <v>30281</v>
      </c>
      <c r="F179">
        <v>28751</v>
      </c>
      <c r="G179">
        <v>28751</v>
      </c>
      <c r="H179">
        <v>0</v>
      </c>
      <c r="I179">
        <v>2006</v>
      </c>
      <c r="J179">
        <v>75</v>
      </c>
      <c r="K179">
        <f>allFYsTable[[#This Row],[Actual]]-allFYsTable[[#This Row],[OriginalBudget]]</f>
        <v>-1530</v>
      </c>
      <c r="L179" s="11">
        <f>allFYsTable[[#This Row],[DiffAmount]]/allFYsTable[[#This Row],[OriginalBudget]]</f>
        <v>-5.0526732934843631E-2</v>
      </c>
    </row>
    <row r="180" spans="1:12" x14ac:dyDescent="0.45">
      <c r="A180" t="s">
        <v>1042</v>
      </c>
      <c r="B180" t="s">
        <v>14</v>
      </c>
      <c r="C180" t="s">
        <v>760</v>
      </c>
      <c r="D180" t="s">
        <v>615</v>
      </c>
      <c r="E180">
        <v>2285</v>
      </c>
      <c r="F180">
        <v>2399</v>
      </c>
      <c r="G180">
        <v>2322</v>
      </c>
      <c r="H180">
        <v>77</v>
      </c>
      <c r="I180">
        <v>2006</v>
      </c>
      <c r="J180">
        <v>76</v>
      </c>
      <c r="K180">
        <f>allFYsTable[[#This Row],[Actual]]-allFYsTable[[#This Row],[OriginalBudget]]</f>
        <v>37</v>
      </c>
      <c r="L180" s="11">
        <f>allFYsTable[[#This Row],[DiffAmount]]/allFYsTable[[#This Row],[OriginalBudget]]</f>
        <v>1.6192560175054705E-2</v>
      </c>
    </row>
    <row r="181" spans="1:12" x14ac:dyDescent="0.45">
      <c r="A181" t="s">
        <v>1042</v>
      </c>
      <c r="B181" t="s">
        <v>14</v>
      </c>
      <c r="C181" t="s">
        <v>828</v>
      </c>
      <c r="D181" t="s">
        <v>219</v>
      </c>
      <c r="E181">
        <v>8068</v>
      </c>
      <c r="F181">
        <v>9249</v>
      </c>
      <c r="G181">
        <v>9249</v>
      </c>
      <c r="H181">
        <v>0</v>
      </c>
      <c r="I181">
        <v>2006</v>
      </c>
      <c r="J181">
        <v>77</v>
      </c>
      <c r="K181">
        <f>allFYsTable[[#This Row],[Actual]]-allFYsTable[[#This Row],[OriginalBudget]]</f>
        <v>1181</v>
      </c>
      <c r="L181" s="11">
        <f>allFYsTable[[#This Row],[DiffAmount]]/allFYsTable[[#This Row],[OriginalBudget]]</f>
        <v>0.1463807635101636</v>
      </c>
    </row>
    <row r="182" spans="1:12" x14ac:dyDescent="0.45">
      <c r="A182" t="s">
        <v>1042</v>
      </c>
      <c r="B182" t="s">
        <v>14</v>
      </c>
      <c r="C182" t="s">
        <v>729</v>
      </c>
      <c r="D182" t="s">
        <v>616</v>
      </c>
      <c r="E182">
        <v>3655</v>
      </c>
      <c r="F182">
        <v>3679</v>
      </c>
      <c r="G182">
        <v>3652</v>
      </c>
      <c r="H182">
        <v>27</v>
      </c>
      <c r="I182">
        <v>2006</v>
      </c>
      <c r="J182">
        <v>78</v>
      </c>
      <c r="K182">
        <f>allFYsTable[[#This Row],[Actual]]-allFYsTable[[#This Row],[OriginalBudget]]</f>
        <v>-3</v>
      </c>
      <c r="L182" s="11">
        <f>allFYsTable[[#This Row],[DiffAmount]]/allFYsTable[[#This Row],[OriginalBudget]]</f>
        <v>-8.2079343365253077E-4</v>
      </c>
    </row>
    <row r="183" spans="1:12" x14ac:dyDescent="0.45">
      <c r="A183" t="s">
        <v>1042</v>
      </c>
      <c r="B183" t="s">
        <v>14</v>
      </c>
      <c r="C183" t="s">
        <v>798</v>
      </c>
      <c r="D183" t="s">
        <v>682</v>
      </c>
      <c r="E183">
        <v>2940</v>
      </c>
      <c r="F183">
        <v>2944</v>
      </c>
      <c r="G183">
        <v>2934</v>
      </c>
      <c r="H183">
        <v>10</v>
      </c>
      <c r="I183">
        <v>2006</v>
      </c>
      <c r="J183">
        <v>79</v>
      </c>
      <c r="K183">
        <f>allFYsTable[[#This Row],[Actual]]-allFYsTable[[#This Row],[OriginalBudget]]</f>
        <v>-6</v>
      </c>
      <c r="L183" s="11">
        <f>allFYsTable[[#This Row],[DiffAmount]]/allFYsTable[[#This Row],[OriginalBudget]]</f>
        <v>-2.0408163265306124E-3</v>
      </c>
    </row>
    <row r="184" spans="1:12" x14ac:dyDescent="0.45">
      <c r="A184" t="s">
        <v>1042</v>
      </c>
      <c r="B184" t="s">
        <v>14</v>
      </c>
      <c r="C184" t="s">
        <v>728</v>
      </c>
      <c r="D184" t="s">
        <v>671</v>
      </c>
      <c r="E184">
        <v>540</v>
      </c>
      <c r="F184">
        <v>625</v>
      </c>
      <c r="G184">
        <v>606</v>
      </c>
      <c r="H184">
        <v>19</v>
      </c>
      <c r="I184">
        <v>2006</v>
      </c>
      <c r="J184">
        <v>80</v>
      </c>
      <c r="K184">
        <f>allFYsTable[[#This Row],[Actual]]-allFYsTable[[#This Row],[OriginalBudget]]</f>
        <v>66</v>
      </c>
      <c r="L184" s="11">
        <f>allFYsTable[[#This Row],[DiffAmount]]/allFYsTable[[#This Row],[OriginalBudget]]</f>
        <v>0.12222222222222222</v>
      </c>
    </row>
    <row r="185" spans="1:12" x14ac:dyDescent="0.45">
      <c r="A185" t="s">
        <v>1042</v>
      </c>
      <c r="B185" t="s">
        <v>14</v>
      </c>
      <c r="C185" t="s">
        <v>727</v>
      </c>
      <c r="D185" t="s">
        <v>672</v>
      </c>
      <c r="E185">
        <v>251</v>
      </c>
      <c r="F185">
        <v>292</v>
      </c>
      <c r="G185">
        <v>266</v>
      </c>
      <c r="H185">
        <v>26</v>
      </c>
      <c r="I185">
        <v>2006</v>
      </c>
      <c r="J185">
        <v>81</v>
      </c>
      <c r="K185">
        <f>allFYsTable[[#This Row],[Actual]]-allFYsTable[[#This Row],[OriginalBudget]]</f>
        <v>15</v>
      </c>
      <c r="L185" s="11">
        <f>allFYsTable[[#This Row],[DiffAmount]]/allFYsTable[[#This Row],[OriginalBudget]]</f>
        <v>5.9760956175298807E-2</v>
      </c>
    </row>
    <row r="186" spans="1:12" x14ac:dyDescent="0.45">
      <c r="A186" t="s">
        <v>1042</v>
      </c>
      <c r="B186" t="s">
        <v>14</v>
      </c>
      <c r="C186" t="s">
        <v>752</v>
      </c>
      <c r="D186" t="s">
        <v>673</v>
      </c>
      <c r="E186">
        <v>59090</v>
      </c>
      <c r="F186">
        <v>69101</v>
      </c>
      <c r="G186">
        <v>68157</v>
      </c>
      <c r="H186">
        <v>944</v>
      </c>
      <c r="I186">
        <v>2006</v>
      </c>
      <c r="J186">
        <v>82</v>
      </c>
      <c r="K186">
        <f>allFYsTable[[#This Row],[Actual]]-allFYsTable[[#This Row],[OriginalBudget]]</f>
        <v>9067</v>
      </c>
      <c r="L186" s="11">
        <f>allFYsTable[[#This Row],[DiffAmount]]/allFYsTable[[#This Row],[OriginalBudget]]</f>
        <v>0.15344389913690981</v>
      </c>
    </row>
    <row r="187" spans="1:12" x14ac:dyDescent="0.45">
      <c r="A187" t="s">
        <v>1042</v>
      </c>
      <c r="B187" t="s">
        <v>530</v>
      </c>
      <c r="C187" t="s">
        <v>802</v>
      </c>
      <c r="D187" t="s">
        <v>182</v>
      </c>
      <c r="E187">
        <v>91572</v>
      </c>
      <c r="F187">
        <v>97622</v>
      </c>
      <c r="G187">
        <v>97588</v>
      </c>
      <c r="H187">
        <v>34</v>
      </c>
      <c r="I187">
        <v>2006</v>
      </c>
      <c r="J187">
        <v>83</v>
      </c>
      <c r="K187">
        <f>allFYsTable[[#This Row],[Actual]]-allFYsTable[[#This Row],[OriginalBudget]]</f>
        <v>6016</v>
      </c>
      <c r="L187" s="11">
        <f>allFYsTable[[#This Row],[DiffAmount]]/allFYsTable[[#This Row],[OriginalBudget]]</f>
        <v>6.5696937928624466E-2</v>
      </c>
    </row>
    <row r="188" spans="1:12" x14ac:dyDescent="0.45">
      <c r="A188" t="s">
        <v>1042</v>
      </c>
      <c r="B188" t="s">
        <v>530</v>
      </c>
      <c r="C188" t="s">
        <v>803</v>
      </c>
      <c r="D188" t="s">
        <v>155</v>
      </c>
      <c r="E188">
        <v>0</v>
      </c>
      <c r="F188">
        <v>1805</v>
      </c>
      <c r="G188">
        <v>1805</v>
      </c>
      <c r="H188">
        <v>0</v>
      </c>
      <c r="I188">
        <v>2006</v>
      </c>
      <c r="J188">
        <v>84</v>
      </c>
      <c r="K188">
        <f>allFYsTable[[#This Row],[Actual]]-allFYsTable[[#This Row],[OriginalBudget]]</f>
        <v>1805</v>
      </c>
      <c r="L188" s="11" t="e">
        <f>allFYsTable[[#This Row],[DiffAmount]]/allFYsTable[[#This Row],[OriginalBudget]]</f>
        <v>#DIV/0!</v>
      </c>
    </row>
    <row r="189" spans="1:12" x14ac:dyDescent="0.45">
      <c r="A189" t="s">
        <v>1042</v>
      </c>
      <c r="B189" t="s">
        <v>530</v>
      </c>
      <c r="C189" t="s">
        <v>801</v>
      </c>
      <c r="D189" t="s">
        <v>77</v>
      </c>
      <c r="E189">
        <v>31069</v>
      </c>
      <c r="F189">
        <v>31669</v>
      </c>
      <c r="G189">
        <v>29327</v>
      </c>
      <c r="H189">
        <v>2342</v>
      </c>
      <c r="I189">
        <v>2006</v>
      </c>
      <c r="J189">
        <v>85</v>
      </c>
      <c r="K189">
        <f>allFYsTable[[#This Row],[Actual]]-allFYsTable[[#This Row],[OriginalBudget]]</f>
        <v>-1742</v>
      </c>
      <c r="L189" s="11">
        <f>allFYsTable[[#This Row],[DiffAmount]]/allFYsTable[[#This Row],[OriginalBudget]]</f>
        <v>-5.6068750201165148E-2</v>
      </c>
    </row>
    <row r="190" spans="1:12" x14ac:dyDescent="0.45">
      <c r="A190" t="s">
        <v>1042</v>
      </c>
      <c r="B190" t="s">
        <v>530</v>
      </c>
      <c r="C190" t="s">
        <v>799</v>
      </c>
      <c r="D190" t="s">
        <v>675</v>
      </c>
      <c r="E190">
        <v>822</v>
      </c>
      <c r="F190">
        <v>849</v>
      </c>
      <c r="G190">
        <v>658</v>
      </c>
      <c r="H190">
        <v>191</v>
      </c>
      <c r="I190">
        <v>2006</v>
      </c>
      <c r="J190">
        <v>86</v>
      </c>
      <c r="K190">
        <f>allFYsTable[[#This Row],[Actual]]-allFYsTable[[#This Row],[OriginalBudget]]</f>
        <v>-164</v>
      </c>
      <c r="L190" s="11">
        <f>allFYsTable[[#This Row],[DiffAmount]]/allFYsTable[[#This Row],[OriginalBudget]]</f>
        <v>-0.19951338199513383</v>
      </c>
    </row>
    <row r="191" spans="1:12" x14ac:dyDescent="0.45">
      <c r="A191" t="s">
        <v>1042</v>
      </c>
      <c r="B191" t="s">
        <v>530</v>
      </c>
      <c r="C191" t="s">
        <v>808</v>
      </c>
      <c r="D191" t="s">
        <v>676</v>
      </c>
      <c r="E191">
        <v>110</v>
      </c>
      <c r="F191">
        <v>110</v>
      </c>
      <c r="G191">
        <v>110</v>
      </c>
      <c r="H191">
        <v>0</v>
      </c>
      <c r="I191">
        <v>2006</v>
      </c>
      <c r="J191">
        <v>87</v>
      </c>
      <c r="K191">
        <f>allFYsTable[[#This Row],[Actual]]-allFYsTable[[#This Row],[OriginalBudget]]</f>
        <v>0</v>
      </c>
      <c r="L191" s="11">
        <f>allFYsTable[[#This Row],[DiffAmount]]/allFYsTable[[#This Row],[OriginalBudget]]</f>
        <v>0</v>
      </c>
    </row>
    <row r="192" spans="1:12" x14ac:dyDescent="0.45">
      <c r="A192" t="s">
        <v>1042</v>
      </c>
      <c r="B192" t="s">
        <v>530</v>
      </c>
      <c r="C192" t="s">
        <v>807</v>
      </c>
      <c r="D192" t="s">
        <v>17</v>
      </c>
      <c r="E192">
        <v>187632</v>
      </c>
      <c r="F192">
        <v>187632</v>
      </c>
      <c r="G192">
        <v>187615</v>
      </c>
      <c r="H192">
        <v>17</v>
      </c>
      <c r="I192">
        <v>2006</v>
      </c>
      <c r="J192">
        <v>88</v>
      </c>
      <c r="K192">
        <f>allFYsTable[[#This Row],[Actual]]-allFYsTable[[#This Row],[OriginalBudget]]</f>
        <v>-17</v>
      </c>
      <c r="L192" s="11">
        <f>allFYsTable[[#This Row],[DiffAmount]]/allFYsTable[[#This Row],[OriginalBudget]]</f>
        <v>-9.060288223757142E-5</v>
      </c>
    </row>
    <row r="193" spans="1:12" x14ac:dyDescent="0.45">
      <c r="A193" t="s">
        <v>1042</v>
      </c>
      <c r="B193" t="s">
        <v>530</v>
      </c>
      <c r="C193" s="12" t="s">
        <v>807</v>
      </c>
      <c r="D193" t="s">
        <v>626</v>
      </c>
      <c r="E193">
        <v>5169</v>
      </c>
      <c r="F193">
        <v>5169</v>
      </c>
      <c r="G193">
        <v>5169</v>
      </c>
      <c r="H193">
        <v>0</v>
      </c>
      <c r="I193">
        <v>2006</v>
      </c>
      <c r="J193">
        <v>89</v>
      </c>
      <c r="K193">
        <f>allFYsTable[[#This Row],[Actual]]-allFYsTable[[#This Row],[OriginalBudget]]</f>
        <v>0</v>
      </c>
      <c r="L193" s="11">
        <f>allFYsTable[[#This Row],[DiffAmount]]/allFYsTable[[#This Row],[OriginalBudget]]</f>
        <v>0</v>
      </c>
    </row>
    <row r="194" spans="1:12" x14ac:dyDescent="0.45">
      <c r="A194" t="s">
        <v>1042</v>
      </c>
      <c r="B194" t="s">
        <v>10</v>
      </c>
      <c r="C194" t="s">
        <v>775</v>
      </c>
      <c r="D194" t="s">
        <v>628</v>
      </c>
      <c r="E194">
        <v>370778</v>
      </c>
      <c r="F194">
        <v>370163</v>
      </c>
      <c r="G194">
        <v>370128</v>
      </c>
      <c r="H194">
        <v>35</v>
      </c>
      <c r="I194">
        <v>2006</v>
      </c>
      <c r="J194">
        <v>90</v>
      </c>
      <c r="K194">
        <f>allFYsTable[[#This Row],[Actual]]-allFYsTable[[#This Row],[OriginalBudget]]</f>
        <v>-650</v>
      </c>
      <c r="L194" s="11">
        <f>allFYsTable[[#This Row],[DiffAmount]]/allFYsTable[[#This Row],[OriginalBudget]]</f>
        <v>-1.7530705705300746E-3</v>
      </c>
    </row>
    <row r="195" spans="1:12" x14ac:dyDescent="0.45">
      <c r="A195" t="s">
        <v>1042</v>
      </c>
      <c r="B195" t="s">
        <v>10</v>
      </c>
      <c r="C195" t="s">
        <v>817</v>
      </c>
      <c r="D195" t="s">
        <v>629</v>
      </c>
      <c r="E195">
        <v>40000</v>
      </c>
      <c r="F195">
        <v>40000</v>
      </c>
      <c r="G195">
        <v>9196</v>
      </c>
      <c r="H195">
        <v>30804</v>
      </c>
      <c r="I195">
        <v>2006</v>
      </c>
      <c r="J195">
        <v>91</v>
      </c>
      <c r="K195">
        <f>allFYsTable[[#This Row],[Actual]]-allFYsTable[[#This Row],[OriginalBudget]]</f>
        <v>-30804</v>
      </c>
      <c r="L195" s="11">
        <f>allFYsTable[[#This Row],[DiffAmount]]/allFYsTable[[#This Row],[OriginalBudget]]</f>
        <v>-0.77010000000000001</v>
      </c>
    </row>
    <row r="196" spans="1:12" x14ac:dyDescent="0.45">
      <c r="A196" t="s">
        <v>1042</v>
      </c>
      <c r="B196" t="s">
        <v>10</v>
      </c>
      <c r="C196" t="s">
        <v>830</v>
      </c>
      <c r="D196" t="s">
        <v>630</v>
      </c>
      <c r="E196">
        <v>5500</v>
      </c>
      <c r="F196">
        <v>6650</v>
      </c>
      <c r="G196">
        <v>6650</v>
      </c>
      <c r="H196">
        <v>0</v>
      </c>
      <c r="I196">
        <v>2006</v>
      </c>
      <c r="J196">
        <v>92</v>
      </c>
      <c r="K196">
        <f>allFYsTable[[#This Row],[Actual]]-allFYsTable[[#This Row],[OriginalBudget]]</f>
        <v>1150</v>
      </c>
      <c r="L196" s="11">
        <f>allFYsTable[[#This Row],[DiffAmount]]/allFYsTable[[#This Row],[OriginalBudget]]</f>
        <v>0.20909090909090908</v>
      </c>
    </row>
    <row r="197" spans="1:12" x14ac:dyDescent="0.45">
      <c r="A197" t="s">
        <v>1042</v>
      </c>
      <c r="B197" t="s">
        <v>10</v>
      </c>
      <c r="C197" t="s">
        <v>831</v>
      </c>
      <c r="D197" t="s">
        <v>698</v>
      </c>
      <c r="E197">
        <v>11000</v>
      </c>
      <c r="F197">
        <v>11000</v>
      </c>
      <c r="G197">
        <v>10941</v>
      </c>
      <c r="H197">
        <v>59</v>
      </c>
      <c r="I197">
        <v>2006</v>
      </c>
      <c r="J197">
        <v>93</v>
      </c>
      <c r="K197">
        <f>allFYsTable[[#This Row],[Actual]]-allFYsTable[[#This Row],[OriginalBudget]]</f>
        <v>-59</v>
      </c>
      <c r="L197" s="11">
        <f>allFYsTable[[#This Row],[DiffAmount]]/allFYsTable[[#This Row],[OriginalBudget]]</f>
        <v>-5.3636363636363638E-3</v>
      </c>
    </row>
    <row r="198" spans="1:12" x14ac:dyDescent="0.45">
      <c r="A198" t="s">
        <v>1042</v>
      </c>
      <c r="B198" t="s">
        <v>10</v>
      </c>
      <c r="C198" t="s">
        <v>819</v>
      </c>
      <c r="D198" t="s">
        <v>1014</v>
      </c>
      <c r="E198">
        <v>20655</v>
      </c>
      <c r="F198">
        <v>29956</v>
      </c>
      <c r="G198">
        <v>29956</v>
      </c>
      <c r="H198">
        <v>0</v>
      </c>
      <c r="I198">
        <v>2006</v>
      </c>
      <c r="J198">
        <v>94</v>
      </c>
      <c r="K198">
        <f>allFYsTable[[#This Row],[Actual]]-allFYsTable[[#This Row],[OriginalBudget]]</f>
        <v>9301</v>
      </c>
      <c r="L198" s="11">
        <f>allFYsTable[[#This Row],[DiffAmount]]/allFYsTable[[#This Row],[OriginalBudget]]</f>
        <v>0.45030259017187124</v>
      </c>
    </row>
    <row r="199" spans="1:12" x14ac:dyDescent="0.45">
      <c r="A199" t="s">
        <v>1042</v>
      </c>
      <c r="B199" t="s">
        <v>10</v>
      </c>
      <c r="C199" t="s">
        <v>812</v>
      </c>
      <c r="D199" t="s">
        <v>631</v>
      </c>
      <c r="E199">
        <v>0</v>
      </c>
      <c r="F199">
        <v>0</v>
      </c>
      <c r="G199">
        <v>0</v>
      </c>
      <c r="H199">
        <v>0</v>
      </c>
      <c r="I199">
        <v>2006</v>
      </c>
      <c r="J199">
        <v>95</v>
      </c>
      <c r="K199">
        <f>allFYsTable[[#This Row],[Actual]]-allFYsTable[[#This Row],[OriginalBudget]]</f>
        <v>0</v>
      </c>
      <c r="L199" s="11" t="e">
        <f>allFYsTable[[#This Row],[DiffAmount]]/allFYsTable[[#This Row],[OriginalBudget]]</f>
        <v>#DIV/0!</v>
      </c>
    </row>
    <row r="200" spans="1:12" x14ac:dyDescent="0.45">
      <c r="A200" t="s">
        <v>1042</v>
      </c>
      <c r="B200" t="s">
        <v>10</v>
      </c>
      <c r="C200" t="s">
        <v>814</v>
      </c>
      <c r="D200" t="s">
        <v>632</v>
      </c>
      <c r="E200">
        <v>3740</v>
      </c>
      <c r="F200">
        <v>4050</v>
      </c>
      <c r="G200">
        <v>3830</v>
      </c>
      <c r="H200">
        <v>220</v>
      </c>
      <c r="I200">
        <v>2006</v>
      </c>
      <c r="J200">
        <v>96</v>
      </c>
      <c r="K200">
        <f>allFYsTable[[#This Row],[Actual]]-allFYsTable[[#This Row],[OriginalBudget]]</f>
        <v>90</v>
      </c>
      <c r="L200" s="11">
        <f>allFYsTable[[#This Row],[DiffAmount]]/allFYsTable[[#This Row],[OriginalBudget]]</f>
        <v>2.4064171122994651E-2</v>
      </c>
    </row>
    <row r="201" spans="1:12" x14ac:dyDescent="0.45">
      <c r="A201" t="s">
        <v>1042</v>
      </c>
      <c r="B201" t="s">
        <v>10</v>
      </c>
      <c r="C201" t="s">
        <v>821</v>
      </c>
      <c r="D201" t="s">
        <v>634</v>
      </c>
      <c r="E201">
        <v>61110</v>
      </c>
      <c r="F201">
        <v>9562</v>
      </c>
      <c r="G201">
        <v>0</v>
      </c>
      <c r="H201">
        <v>9562</v>
      </c>
      <c r="I201">
        <v>2006</v>
      </c>
      <c r="J201">
        <v>97</v>
      </c>
      <c r="K201">
        <f>allFYsTable[[#This Row],[Actual]]-allFYsTable[[#This Row],[OriginalBudget]]</f>
        <v>-61110</v>
      </c>
      <c r="L201" s="11">
        <f>allFYsTable[[#This Row],[DiffAmount]]/allFYsTable[[#This Row],[OriginalBudget]]</f>
        <v>-1</v>
      </c>
    </row>
    <row r="202" spans="1:12" x14ac:dyDescent="0.45">
      <c r="A202" t="s">
        <v>1042</v>
      </c>
      <c r="B202" t="s">
        <v>10</v>
      </c>
      <c r="C202" t="s">
        <v>1054</v>
      </c>
      <c r="D202" t="s">
        <v>1019</v>
      </c>
      <c r="E202">
        <v>0</v>
      </c>
      <c r="F202">
        <v>1468</v>
      </c>
      <c r="G202">
        <v>1423</v>
      </c>
      <c r="H202">
        <v>45</v>
      </c>
      <c r="I202">
        <v>2006</v>
      </c>
      <c r="J202">
        <v>98</v>
      </c>
      <c r="K202">
        <f>allFYsTable[[#This Row],[Actual]]-allFYsTable[[#This Row],[OriginalBudget]]</f>
        <v>1423</v>
      </c>
      <c r="L202" s="11" t="e">
        <f>allFYsTable[[#This Row],[DiffAmount]]/allFYsTable[[#This Row],[OriginalBudget]]</f>
        <v>#DIV/0!</v>
      </c>
    </row>
    <row r="203" spans="1:12" x14ac:dyDescent="0.45">
      <c r="A203" t="s">
        <v>1042</v>
      </c>
      <c r="B203" t="s">
        <v>10</v>
      </c>
      <c r="C203" t="s">
        <v>832</v>
      </c>
      <c r="D203" t="s">
        <v>546</v>
      </c>
      <c r="E203">
        <v>27441</v>
      </c>
      <c r="F203">
        <v>26090</v>
      </c>
      <c r="G203">
        <v>24574</v>
      </c>
      <c r="H203">
        <v>1516</v>
      </c>
      <c r="I203">
        <v>2006</v>
      </c>
      <c r="J203">
        <v>99</v>
      </c>
      <c r="K203">
        <f>allFYsTable[[#This Row],[Actual]]-allFYsTable[[#This Row],[OriginalBudget]]</f>
        <v>-2867</v>
      </c>
      <c r="L203" s="11">
        <f>allFYsTable[[#This Row],[DiffAmount]]/allFYsTable[[#This Row],[OriginalBudget]]</f>
        <v>-0.1044786997558398</v>
      </c>
    </row>
    <row r="204" spans="1:12" x14ac:dyDescent="0.45">
      <c r="A204" t="s">
        <v>1042</v>
      </c>
      <c r="B204" t="s">
        <v>10</v>
      </c>
      <c r="C204" t="s">
        <v>816</v>
      </c>
      <c r="D204" t="s">
        <v>637</v>
      </c>
      <c r="E204">
        <v>260883</v>
      </c>
      <c r="F204">
        <v>265023</v>
      </c>
      <c r="G204">
        <v>265023</v>
      </c>
      <c r="H204">
        <v>0</v>
      </c>
      <c r="I204">
        <v>2006</v>
      </c>
      <c r="J204">
        <v>100</v>
      </c>
      <c r="K204">
        <f>allFYsTable[[#This Row],[Actual]]-allFYsTable[[#This Row],[OriginalBudget]]</f>
        <v>4140</v>
      </c>
      <c r="L204" s="11">
        <f>allFYsTable[[#This Row],[DiffAmount]]/allFYsTable[[#This Row],[OriginalBudget]]</f>
        <v>1.5869182737089042E-2</v>
      </c>
    </row>
    <row r="205" spans="1:12" x14ac:dyDescent="0.45">
      <c r="A205" t="s">
        <v>1042</v>
      </c>
      <c r="B205" t="s">
        <v>10</v>
      </c>
      <c r="C205" t="s">
        <v>833</v>
      </c>
      <c r="D205" t="s">
        <v>677</v>
      </c>
      <c r="E205">
        <v>12208</v>
      </c>
      <c r="F205">
        <v>8</v>
      </c>
      <c r="G205">
        <v>0</v>
      </c>
      <c r="H205">
        <v>8</v>
      </c>
      <c r="I205">
        <v>2006</v>
      </c>
      <c r="J205">
        <v>101</v>
      </c>
      <c r="K205">
        <f>allFYsTable[[#This Row],[Actual]]-allFYsTable[[#This Row],[OriginalBudget]]</f>
        <v>-12208</v>
      </c>
      <c r="L205" s="11">
        <f>allFYsTable[[#This Row],[DiffAmount]]/allFYsTable[[#This Row],[OriginalBudget]]</f>
        <v>-1</v>
      </c>
    </row>
    <row r="206" spans="1:12" x14ac:dyDescent="0.45">
      <c r="A206" t="s">
        <v>1042</v>
      </c>
      <c r="B206" t="s">
        <v>10</v>
      </c>
      <c r="C206" t="s">
        <v>811</v>
      </c>
      <c r="D206" t="s">
        <v>638</v>
      </c>
      <c r="E206">
        <v>138000</v>
      </c>
      <c r="F206">
        <v>138000</v>
      </c>
      <c r="G206">
        <v>138000</v>
      </c>
      <c r="H206">
        <v>0</v>
      </c>
      <c r="I206">
        <v>2006</v>
      </c>
      <c r="J206">
        <v>102</v>
      </c>
      <c r="K206">
        <f>allFYsTable[[#This Row],[Actual]]-allFYsTable[[#This Row],[OriginalBudget]]</f>
        <v>0</v>
      </c>
      <c r="L206" s="11">
        <f>allFYsTable[[#This Row],[DiffAmount]]/allFYsTable[[#This Row],[OriginalBudget]]</f>
        <v>0</v>
      </c>
    </row>
    <row r="207" spans="1:12" x14ac:dyDescent="0.45">
      <c r="A207" t="s">
        <v>1042</v>
      </c>
      <c r="B207" t="s">
        <v>10</v>
      </c>
      <c r="C207" t="s">
        <v>834</v>
      </c>
      <c r="D207" t="s">
        <v>545</v>
      </c>
      <c r="E207">
        <v>50000</v>
      </c>
      <c r="F207">
        <v>2269</v>
      </c>
      <c r="G207">
        <v>0</v>
      </c>
      <c r="H207">
        <v>2269</v>
      </c>
      <c r="I207">
        <v>2006</v>
      </c>
      <c r="J207">
        <v>103</v>
      </c>
      <c r="K207">
        <f>allFYsTable[[#This Row],[Actual]]-allFYsTable[[#This Row],[OriginalBudget]]</f>
        <v>-50000</v>
      </c>
      <c r="L207" s="11">
        <f>allFYsTable[[#This Row],[DiffAmount]]/allFYsTable[[#This Row],[OriginalBudget]]</f>
        <v>-1</v>
      </c>
    </row>
    <row r="208" spans="1:12" x14ac:dyDescent="0.45">
      <c r="A208" t="s">
        <v>1042</v>
      </c>
      <c r="B208" t="s">
        <v>10</v>
      </c>
      <c r="C208" t="s">
        <v>815</v>
      </c>
      <c r="D208" t="s">
        <v>639</v>
      </c>
      <c r="E208">
        <v>12462</v>
      </c>
      <c r="F208">
        <v>572</v>
      </c>
      <c r="G208">
        <v>0</v>
      </c>
      <c r="H208">
        <v>572</v>
      </c>
      <c r="I208">
        <v>2006</v>
      </c>
      <c r="J208">
        <v>104</v>
      </c>
      <c r="K208">
        <f>allFYsTable[[#This Row],[Actual]]-allFYsTable[[#This Row],[OriginalBudget]]</f>
        <v>-12462</v>
      </c>
      <c r="L208" s="11">
        <f>allFYsTable[[#This Row],[DiffAmount]]/allFYsTable[[#This Row],[OriginalBudget]]</f>
        <v>-1</v>
      </c>
    </row>
    <row r="209" spans="1:12" x14ac:dyDescent="0.45">
      <c r="A209" t="s">
        <v>1042</v>
      </c>
      <c r="B209" t="s">
        <v>10</v>
      </c>
      <c r="C209" t="s">
        <v>835</v>
      </c>
      <c r="D209" t="s">
        <v>686</v>
      </c>
      <c r="E209">
        <v>0</v>
      </c>
      <c r="F209">
        <v>0</v>
      </c>
      <c r="G209">
        <v>0</v>
      </c>
      <c r="H209">
        <v>0</v>
      </c>
      <c r="I209">
        <v>2006</v>
      </c>
      <c r="J209">
        <v>105</v>
      </c>
      <c r="K209">
        <f>allFYsTable[[#This Row],[Actual]]-allFYsTable[[#This Row],[OriginalBudget]]</f>
        <v>0</v>
      </c>
      <c r="L209" s="11" t="e">
        <f>allFYsTable[[#This Row],[DiffAmount]]/allFYsTable[[#This Row],[OriginalBudget]]</f>
        <v>#DIV/0!</v>
      </c>
    </row>
    <row r="210" spans="1:12" x14ac:dyDescent="0.45">
      <c r="A210" t="s">
        <v>1042</v>
      </c>
      <c r="B210" t="s">
        <v>10</v>
      </c>
      <c r="C210" t="s">
        <v>825</v>
      </c>
      <c r="D210" t="s">
        <v>640</v>
      </c>
      <c r="E210">
        <v>0</v>
      </c>
      <c r="F210">
        <v>0</v>
      </c>
      <c r="G210">
        <v>0</v>
      </c>
      <c r="H210">
        <v>0</v>
      </c>
      <c r="I210">
        <v>2006</v>
      </c>
      <c r="J210">
        <v>106</v>
      </c>
      <c r="K210">
        <f>allFYsTable[[#This Row],[Actual]]-allFYsTable[[#This Row],[OriginalBudget]]</f>
        <v>0</v>
      </c>
      <c r="L210" s="11" t="e">
        <f>allFYsTable[[#This Row],[DiffAmount]]/allFYsTable[[#This Row],[OriginalBudget]]</f>
        <v>#DIV/0!</v>
      </c>
    </row>
    <row r="211" spans="1:12" x14ac:dyDescent="0.45">
      <c r="A211" t="s">
        <v>1042</v>
      </c>
      <c r="B211" t="s">
        <v>10</v>
      </c>
      <c r="C211" t="s">
        <v>824</v>
      </c>
      <c r="D211" t="s">
        <v>299</v>
      </c>
      <c r="E211">
        <v>0</v>
      </c>
      <c r="F211">
        <v>0</v>
      </c>
      <c r="G211">
        <v>0</v>
      </c>
      <c r="H211">
        <v>0</v>
      </c>
      <c r="I211">
        <v>2006</v>
      </c>
      <c r="J211">
        <v>107</v>
      </c>
      <c r="K211">
        <f>allFYsTable[[#This Row],[Actual]]-allFYsTable[[#This Row],[OriginalBudget]]</f>
        <v>0</v>
      </c>
      <c r="L211" s="11" t="e">
        <f>allFYsTable[[#This Row],[DiffAmount]]/allFYsTable[[#This Row],[OriginalBudget]]</f>
        <v>#DIV/0!</v>
      </c>
    </row>
    <row r="212" spans="1:12" x14ac:dyDescent="0.45">
      <c r="A212" t="s">
        <v>1042</v>
      </c>
      <c r="B212" t="s">
        <v>10</v>
      </c>
      <c r="C212" t="s">
        <v>743</v>
      </c>
      <c r="D212" t="s">
        <v>687</v>
      </c>
      <c r="E212">
        <v>0</v>
      </c>
      <c r="F212">
        <v>0</v>
      </c>
      <c r="G212">
        <v>0</v>
      </c>
      <c r="H212">
        <v>0</v>
      </c>
      <c r="I212">
        <v>2006</v>
      </c>
      <c r="J212">
        <v>108</v>
      </c>
      <c r="K212">
        <f>allFYsTable[[#This Row],[Actual]]-allFYsTable[[#This Row],[OriginalBudget]]</f>
        <v>0</v>
      </c>
      <c r="L212" s="11" t="e">
        <f>allFYsTable[[#This Row],[DiffAmount]]/allFYsTable[[#This Row],[OriginalBudget]]</f>
        <v>#DIV/0!</v>
      </c>
    </row>
    <row r="213" spans="1:12" x14ac:dyDescent="0.45">
      <c r="A213" t="s">
        <v>1040</v>
      </c>
      <c r="B213" t="s">
        <v>641</v>
      </c>
      <c r="C213" t="s">
        <v>703</v>
      </c>
      <c r="D213" t="s">
        <v>549</v>
      </c>
      <c r="E213">
        <v>14667</v>
      </c>
      <c r="F213">
        <v>17154</v>
      </c>
      <c r="G213">
        <v>16665</v>
      </c>
      <c r="H213">
        <v>489</v>
      </c>
      <c r="I213">
        <v>2007</v>
      </c>
      <c r="J213">
        <v>1</v>
      </c>
      <c r="K213">
        <f>allFYsTable[[#This Row],[Actual]]-allFYsTable[[#This Row],[OriginalBudget]]</f>
        <v>1998</v>
      </c>
      <c r="L213" s="11">
        <f>allFYsTable[[#This Row],[DiffAmount]]/allFYsTable[[#This Row],[OriginalBudget]]</f>
        <v>0.13622417672325629</v>
      </c>
    </row>
    <row r="214" spans="1:12" x14ac:dyDescent="0.45">
      <c r="A214" t="s">
        <v>1040</v>
      </c>
      <c r="B214" t="s">
        <v>641</v>
      </c>
      <c r="C214" t="s">
        <v>723</v>
      </c>
      <c r="D214" t="s">
        <v>550</v>
      </c>
      <c r="E214">
        <v>2178</v>
      </c>
      <c r="F214">
        <v>2178</v>
      </c>
      <c r="G214">
        <v>1949</v>
      </c>
      <c r="H214">
        <v>229</v>
      </c>
      <c r="I214">
        <v>2007</v>
      </c>
      <c r="J214">
        <v>2</v>
      </c>
      <c r="K214">
        <f>allFYsTable[[#This Row],[Actual]]-allFYsTable[[#This Row],[OriginalBudget]]</f>
        <v>-229</v>
      </c>
      <c r="L214" s="11">
        <f>allFYsTable[[#This Row],[DiffAmount]]/allFYsTable[[#This Row],[OriginalBudget]]</f>
        <v>-0.10514233241505969</v>
      </c>
    </row>
    <row r="215" spans="1:12" x14ac:dyDescent="0.45">
      <c r="A215" t="s">
        <v>1040</v>
      </c>
      <c r="B215" t="s">
        <v>641</v>
      </c>
      <c r="C215" t="s">
        <v>711</v>
      </c>
      <c r="D215" t="s">
        <v>642</v>
      </c>
      <c r="E215">
        <v>994</v>
      </c>
      <c r="F215">
        <v>997</v>
      </c>
      <c r="G215">
        <v>883</v>
      </c>
      <c r="H215">
        <v>114</v>
      </c>
      <c r="I215">
        <v>2007</v>
      </c>
      <c r="J215">
        <v>3</v>
      </c>
      <c r="K215">
        <f>allFYsTable[[#This Row],[Actual]]-allFYsTable[[#This Row],[OriginalBudget]]</f>
        <v>-111</v>
      </c>
      <c r="L215" s="11">
        <f>allFYsTable[[#This Row],[DiffAmount]]/allFYsTable[[#This Row],[OriginalBudget]]</f>
        <v>-0.11167002012072434</v>
      </c>
    </row>
    <row r="216" spans="1:12" x14ac:dyDescent="0.45">
      <c r="A216" t="s">
        <v>1040</v>
      </c>
      <c r="B216" t="s">
        <v>641</v>
      </c>
      <c r="C216" t="s">
        <v>707</v>
      </c>
      <c r="D216" t="s">
        <v>552</v>
      </c>
      <c r="E216">
        <v>8409</v>
      </c>
      <c r="F216">
        <v>10026</v>
      </c>
      <c r="G216">
        <v>8841</v>
      </c>
      <c r="H216">
        <v>1185</v>
      </c>
      <c r="I216">
        <v>2007</v>
      </c>
      <c r="J216">
        <v>4</v>
      </c>
      <c r="K216">
        <f>allFYsTable[[#This Row],[Actual]]-allFYsTable[[#This Row],[OriginalBudget]]</f>
        <v>432</v>
      </c>
      <c r="L216" s="11">
        <f>allFYsTable[[#This Row],[DiffAmount]]/allFYsTable[[#This Row],[OriginalBudget]]</f>
        <v>5.1373528362468786E-2</v>
      </c>
    </row>
    <row r="217" spans="1:12" x14ac:dyDescent="0.45">
      <c r="A217" t="s">
        <v>1040</v>
      </c>
      <c r="B217" t="s">
        <v>641</v>
      </c>
      <c r="C217" t="s">
        <v>725</v>
      </c>
      <c r="D217" t="s">
        <v>553</v>
      </c>
      <c r="E217">
        <v>3878</v>
      </c>
      <c r="F217">
        <v>3592</v>
      </c>
      <c r="G217">
        <v>3247</v>
      </c>
      <c r="H217">
        <v>345</v>
      </c>
      <c r="I217">
        <v>2007</v>
      </c>
      <c r="J217">
        <v>5</v>
      </c>
      <c r="K217">
        <f>allFYsTable[[#This Row],[Actual]]-allFYsTable[[#This Row],[OriginalBudget]]</f>
        <v>-631</v>
      </c>
      <c r="L217" s="11">
        <f>allFYsTable[[#This Row],[DiffAmount]]/allFYsTable[[#This Row],[OriginalBudget]]</f>
        <v>-0.16271273852501289</v>
      </c>
    </row>
    <row r="218" spans="1:12" x14ac:dyDescent="0.45">
      <c r="A218" t="s">
        <v>1040</v>
      </c>
      <c r="B218" t="s">
        <v>641</v>
      </c>
      <c r="C218" t="s">
        <v>766</v>
      </c>
      <c r="D218" t="s">
        <v>678</v>
      </c>
      <c r="E218">
        <v>363</v>
      </c>
      <c r="F218">
        <v>402</v>
      </c>
      <c r="G218">
        <v>246</v>
      </c>
      <c r="H218">
        <v>156</v>
      </c>
      <c r="I218">
        <v>2007</v>
      </c>
      <c r="J218">
        <v>6</v>
      </c>
      <c r="K218">
        <f>allFYsTable[[#This Row],[Actual]]-allFYsTable[[#This Row],[OriginalBudget]]</f>
        <v>-117</v>
      </c>
      <c r="L218" s="11">
        <f>allFYsTable[[#This Row],[DiffAmount]]/allFYsTable[[#This Row],[OriginalBudget]]</f>
        <v>-0.32231404958677684</v>
      </c>
    </row>
    <row r="219" spans="1:12" x14ac:dyDescent="0.45">
      <c r="A219" t="s">
        <v>1040</v>
      </c>
      <c r="B219" t="s">
        <v>641</v>
      </c>
      <c r="C219" t="s">
        <v>722</v>
      </c>
      <c r="D219" t="s">
        <v>643</v>
      </c>
      <c r="E219">
        <v>10673</v>
      </c>
      <c r="F219">
        <v>12567</v>
      </c>
      <c r="G219">
        <v>11447</v>
      </c>
      <c r="H219">
        <v>1120</v>
      </c>
      <c r="I219">
        <v>2007</v>
      </c>
      <c r="J219">
        <v>7</v>
      </c>
      <c r="K219">
        <f>allFYsTable[[#This Row],[Actual]]-allFYsTable[[#This Row],[OriginalBudget]]</f>
        <v>774</v>
      </c>
      <c r="L219" s="11">
        <f>allFYsTable[[#This Row],[DiffAmount]]/allFYsTable[[#This Row],[OriginalBudget]]</f>
        <v>7.2519441581560942E-2</v>
      </c>
    </row>
    <row r="220" spans="1:12" x14ac:dyDescent="0.45">
      <c r="A220" t="s">
        <v>1040</v>
      </c>
      <c r="B220" t="s">
        <v>641</v>
      </c>
      <c r="C220" t="s">
        <v>718</v>
      </c>
      <c r="D220" t="s">
        <v>554</v>
      </c>
      <c r="E220">
        <v>1567</v>
      </c>
      <c r="F220">
        <v>1650</v>
      </c>
      <c r="G220">
        <v>1550</v>
      </c>
      <c r="H220">
        <v>100</v>
      </c>
      <c r="I220">
        <v>2007</v>
      </c>
      <c r="J220">
        <v>8</v>
      </c>
      <c r="K220">
        <f>allFYsTable[[#This Row],[Actual]]-allFYsTable[[#This Row],[OriginalBudget]]</f>
        <v>-17</v>
      </c>
      <c r="L220" s="11">
        <f>allFYsTable[[#This Row],[DiffAmount]]/allFYsTable[[#This Row],[OriginalBudget]]</f>
        <v>-1.0848755583918315E-2</v>
      </c>
    </row>
    <row r="221" spans="1:12" x14ac:dyDescent="0.45">
      <c r="A221" t="s">
        <v>1040</v>
      </c>
      <c r="B221" t="s">
        <v>641</v>
      </c>
      <c r="C221" t="s">
        <v>704</v>
      </c>
      <c r="D221" t="s">
        <v>555</v>
      </c>
      <c r="E221">
        <v>11031</v>
      </c>
      <c r="F221">
        <v>11310</v>
      </c>
      <c r="G221">
        <v>9386</v>
      </c>
      <c r="H221">
        <v>1924</v>
      </c>
      <c r="I221">
        <v>2007</v>
      </c>
      <c r="J221">
        <v>9</v>
      </c>
      <c r="K221">
        <f>allFYsTable[[#This Row],[Actual]]-allFYsTable[[#This Row],[OriginalBudget]]</f>
        <v>-1645</v>
      </c>
      <c r="L221" s="11">
        <f>allFYsTable[[#This Row],[DiffAmount]]/allFYsTable[[#This Row],[OriginalBudget]]</f>
        <v>-0.14912519263892665</v>
      </c>
    </row>
    <row r="222" spans="1:12" x14ac:dyDescent="0.45">
      <c r="A222" t="s">
        <v>1040</v>
      </c>
      <c r="B222" t="s">
        <v>641</v>
      </c>
      <c r="C222" t="s">
        <v>704</v>
      </c>
      <c r="D222" t="s">
        <v>1017</v>
      </c>
      <c r="E222">
        <v>2073</v>
      </c>
      <c r="F222">
        <v>2103</v>
      </c>
      <c r="G222">
        <v>1804</v>
      </c>
      <c r="H222">
        <v>299</v>
      </c>
      <c r="I222">
        <v>2007</v>
      </c>
      <c r="J222">
        <v>10</v>
      </c>
      <c r="K222">
        <f>allFYsTable[[#This Row],[Actual]]-allFYsTable[[#This Row],[OriginalBudget]]</f>
        <v>-269</v>
      </c>
      <c r="L222" s="11">
        <f>allFYsTable[[#This Row],[DiffAmount]]/allFYsTable[[#This Row],[OriginalBudget]]</f>
        <v>-0.12976362759286059</v>
      </c>
    </row>
    <row r="223" spans="1:12" x14ac:dyDescent="0.45">
      <c r="A223" t="s">
        <v>1040</v>
      </c>
      <c r="B223" t="s">
        <v>641</v>
      </c>
      <c r="C223" t="s">
        <v>716</v>
      </c>
      <c r="D223" t="s">
        <v>556</v>
      </c>
      <c r="E223">
        <v>8046</v>
      </c>
      <c r="F223">
        <v>8134</v>
      </c>
      <c r="G223">
        <v>8120</v>
      </c>
      <c r="H223">
        <v>14</v>
      </c>
      <c r="I223">
        <v>2007</v>
      </c>
      <c r="J223">
        <v>11</v>
      </c>
      <c r="K223">
        <f>allFYsTable[[#This Row],[Actual]]-allFYsTable[[#This Row],[OriginalBudget]]</f>
        <v>74</v>
      </c>
      <c r="L223" s="11">
        <f>allFYsTable[[#This Row],[DiffAmount]]/allFYsTable[[#This Row],[OriginalBudget]]</f>
        <v>9.1971165796669151E-3</v>
      </c>
    </row>
    <row r="224" spans="1:12" x14ac:dyDescent="0.45">
      <c r="A224" t="s">
        <v>1040</v>
      </c>
      <c r="B224" t="s">
        <v>641</v>
      </c>
      <c r="C224" t="s">
        <v>713</v>
      </c>
      <c r="D224" t="s">
        <v>557</v>
      </c>
      <c r="E224">
        <v>11337</v>
      </c>
      <c r="F224">
        <v>11664</v>
      </c>
      <c r="G224">
        <v>11523</v>
      </c>
      <c r="H224">
        <v>141</v>
      </c>
      <c r="I224">
        <v>2007</v>
      </c>
      <c r="J224">
        <v>12</v>
      </c>
      <c r="K224">
        <f>allFYsTable[[#This Row],[Actual]]-allFYsTable[[#This Row],[OriginalBudget]]</f>
        <v>186</v>
      </c>
      <c r="L224" s="11">
        <f>allFYsTable[[#This Row],[DiffAmount]]/allFYsTable[[#This Row],[OriginalBudget]]</f>
        <v>1.6406456734585868E-2</v>
      </c>
    </row>
    <row r="225" spans="1:12" x14ac:dyDescent="0.45">
      <c r="A225" t="s">
        <v>1040</v>
      </c>
      <c r="B225" t="s">
        <v>641</v>
      </c>
      <c r="C225" t="s">
        <v>721</v>
      </c>
      <c r="D225" t="s">
        <v>558</v>
      </c>
      <c r="E225">
        <v>38015</v>
      </c>
      <c r="F225">
        <v>38764</v>
      </c>
      <c r="G225">
        <v>38140</v>
      </c>
      <c r="H225">
        <v>624</v>
      </c>
      <c r="I225">
        <v>2007</v>
      </c>
      <c r="J225">
        <v>13</v>
      </c>
      <c r="K225">
        <f>allFYsTable[[#This Row],[Actual]]-allFYsTable[[#This Row],[OriginalBudget]]</f>
        <v>125</v>
      </c>
      <c r="L225" s="11">
        <f>allFYsTable[[#This Row],[DiffAmount]]/allFYsTable[[#This Row],[OriginalBudget]]</f>
        <v>3.2881757201104829E-3</v>
      </c>
    </row>
    <row r="226" spans="1:12" x14ac:dyDescent="0.45">
      <c r="A226" t="s">
        <v>1040</v>
      </c>
      <c r="B226" t="s">
        <v>641</v>
      </c>
      <c r="C226" t="s">
        <v>705</v>
      </c>
      <c r="D226" t="s">
        <v>559</v>
      </c>
      <c r="E226">
        <v>19888</v>
      </c>
      <c r="F226">
        <v>21758</v>
      </c>
      <c r="G226">
        <v>21577</v>
      </c>
      <c r="H226">
        <v>181</v>
      </c>
      <c r="I226">
        <v>2007</v>
      </c>
      <c r="J226">
        <v>14</v>
      </c>
      <c r="K226">
        <f>allFYsTable[[#This Row],[Actual]]-allFYsTable[[#This Row],[OriginalBudget]]</f>
        <v>1689</v>
      </c>
      <c r="L226" s="11">
        <f>allFYsTable[[#This Row],[DiffAmount]]/allFYsTable[[#This Row],[OriginalBudget]]</f>
        <v>8.4925583266291224E-2</v>
      </c>
    </row>
    <row r="227" spans="1:12" x14ac:dyDescent="0.45">
      <c r="A227" t="s">
        <v>1040</v>
      </c>
      <c r="B227" t="s">
        <v>641</v>
      </c>
      <c r="C227" t="s">
        <v>702</v>
      </c>
      <c r="D227" t="s">
        <v>644</v>
      </c>
      <c r="E227">
        <v>849</v>
      </c>
      <c r="F227">
        <v>871</v>
      </c>
      <c r="G227">
        <v>776</v>
      </c>
      <c r="H227">
        <v>95</v>
      </c>
      <c r="I227">
        <v>2007</v>
      </c>
      <c r="J227">
        <v>15</v>
      </c>
      <c r="K227">
        <f>allFYsTable[[#This Row],[Actual]]-allFYsTable[[#This Row],[OriginalBudget]]</f>
        <v>-73</v>
      </c>
      <c r="L227" s="11">
        <f>allFYsTable[[#This Row],[DiffAmount]]/allFYsTable[[#This Row],[OriginalBudget]]</f>
        <v>-8.5983510011778563E-2</v>
      </c>
    </row>
    <row r="228" spans="1:12" x14ac:dyDescent="0.45">
      <c r="A228" t="s">
        <v>1040</v>
      </c>
      <c r="B228" t="s">
        <v>641</v>
      </c>
      <c r="C228" t="s">
        <v>699</v>
      </c>
      <c r="D228" t="s">
        <v>561</v>
      </c>
      <c r="E228">
        <v>5210</v>
      </c>
      <c r="F228">
        <v>6308</v>
      </c>
      <c r="G228">
        <v>5964</v>
      </c>
      <c r="H228">
        <v>344</v>
      </c>
      <c r="I228">
        <v>2007</v>
      </c>
      <c r="J228">
        <v>16</v>
      </c>
      <c r="K228">
        <f>allFYsTable[[#This Row],[Actual]]-allFYsTable[[#This Row],[OriginalBudget]]</f>
        <v>754</v>
      </c>
      <c r="L228" s="11">
        <f>allFYsTable[[#This Row],[DiffAmount]]/allFYsTable[[#This Row],[OriginalBudget]]</f>
        <v>0.14472168905950095</v>
      </c>
    </row>
    <row r="229" spans="1:12" x14ac:dyDescent="0.45">
      <c r="A229" t="s">
        <v>1040</v>
      </c>
      <c r="B229" t="s">
        <v>641</v>
      </c>
      <c r="C229" t="s">
        <v>712</v>
      </c>
      <c r="D229" t="s">
        <v>645</v>
      </c>
      <c r="E229">
        <v>1502</v>
      </c>
      <c r="F229">
        <v>1543</v>
      </c>
      <c r="G229">
        <v>1495</v>
      </c>
      <c r="H229">
        <v>48</v>
      </c>
      <c r="I229">
        <v>2007</v>
      </c>
      <c r="J229">
        <v>17</v>
      </c>
      <c r="K229">
        <f>allFYsTable[[#This Row],[Actual]]-allFYsTable[[#This Row],[OriginalBudget]]</f>
        <v>-7</v>
      </c>
      <c r="L229" s="11">
        <f>allFYsTable[[#This Row],[DiffAmount]]/allFYsTable[[#This Row],[OriginalBudget]]</f>
        <v>-4.6604527296937419E-3</v>
      </c>
    </row>
    <row r="230" spans="1:12" x14ac:dyDescent="0.45">
      <c r="A230" t="s">
        <v>1040</v>
      </c>
      <c r="B230" t="s">
        <v>641</v>
      </c>
      <c r="C230" t="s">
        <v>730</v>
      </c>
      <c r="D230" t="s">
        <v>563</v>
      </c>
      <c r="E230">
        <v>881</v>
      </c>
      <c r="F230">
        <v>897</v>
      </c>
      <c r="G230">
        <v>807</v>
      </c>
      <c r="H230">
        <v>90</v>
      </c>
      <c r="I230">
        <v>2007</v>
      </c>
      <c r="J230">
        <v>18</v>
      </c>
      <c r="K230">
        <f>allFYsTable[[#This Row],[Actual]]-allFYsTable[[#This Row],[OriginalBudget]]</f>
        <v>-74</v>
      </c>
      <c r="L230" s="11">
        <f>allFYsTable[[#This Row],[DiffAmount]]/allFYsTable[[#This Row],[OriginalBudget]]</f>
        <v>-8.3995459704880815E-2</v>
      </c>
    </row>
    <row r="231" spans="1:12" x14ac:dyDescent="0.45">
      <c r="A231" t="s">
        <v>1040</v>
      </c>
      <c r="B231" t="s">
        <v>641</v>
      </c>
      <c r="C231" t="s">
        <v>715</v>
      </c>
      <c r="D231" t="s">
        <v>564</v>
      </c>
      <c r="E231">
        <v>1677</v>
      </c>
      <c r="F231">
        <v>1722</v>
      </c>
      <c r="G231">
        <v>1652</v>
      </c>
      <c r="H231">
        <v>70</v>
      </c>
      <c r="I231">
        <v>2007</v>
      </c>
      <c r="J231">
        <v>19</v>
      </c>
      <c r="K231">
        <f>allFYsTable[[#This Row],[Actual]]-allFYsTable[[#This Row],[OriginalBudget]]</f>
        <v>-25</v>
      </c>
      <c r="L231" s="11">
        <f>allFYsTable[[#This Row],[DiffAmount]]/allFYsTable[[#This Row],[OriginalBudget]]</f>
        <v>-1.4907573047107931E-2</v>
      </c>
    </row>
    <row r="232" spans="1:12" x14ac:dyDescent="0.45">
      <c r="A232" t="s">
        <v>1040</v>
      </c>
      <c r="B232" t="s">
        <v>641</v>
      </c>
      <c r="C232" t="s">
        <v>709</v>
      </c>
      <c r="D232" t="s">
        <v>1015</v>
      </c>
      <c r="E232">
        <v>421</v>
      </c>
      <c r="F232">
        <v>421</v>
      </c>
      <c r="G232">
        <v>421</v>
      </c>
      <c r="H232">
        <v>0</v>
      </c>
      <c r="I232">
        <v>2007</v>
      </c>
      <c r="J232">
        <v>20</v>
      </c>
      <c r="K232">
        <f>allFYsTable[[#This Row],[Actual]]-allFYsTable[[#This Row],[OriginalBudget]]</f>
        <v>0</v>
      </c>
      <c r="L232" s="11">
        <f>allFYsTable[[#This Row],[DiffAmount]]/allFYsTable[[#This Row],[OriginalBudget]]</f>
        <v>0</v>
      </c>
    </row>
    <row r="233" spans="1:12" x14ac:dyDescent="0.45">
      <c r="A233" t="s">
        <v>1040</v>
      </c>
      <c r="B233" t="s">
        <v>641</v>
      </c>
      <c r="C233" t="s">
        <v>719</v>
      </c>
      <c r="D233" t="s">
        <v>646</v>
      </c>
      <c r="E233">
        <v>55189</v>
      </c>
      <c r="F233">
        <v>57292</v>
      </c>
      <c r="G233">
        <v>55291</v>
      </c>
      <c r="H233">
        <v>2001</v>
      </c>
      <c r="I233">
        <v>2007</v>
      </c>
      <c r="J233">
        <v>21</v>
      </c>
      <c r="K233">
        <f>allFYsTable[[#This Row],[Actual]]-allFYsTable[[#This Row],[OriginalBudget]]</f>
        <v>102</v>
      </c>
      <c r="L233" s="11">
        <f>allFYsTable[[#This Row],[DiffAmount]]/allFYsTable[[#This Row],[OriginalBudget]]</f>
        <v>1.8481943865625396E-3</v>
      </c>
    </row>
    <row r="234" spans="1:12" x14ac:dyDescent="0.45">
      <c r="A234" t="s">
        <v>1040</v>
      </c>
      <c r="B234" t="s">
        <v>641</v>
      </c>
      <c r="C234" t="s">
        <v>724</v>
      </c>
      <c r="D234" t="s">
        <v>570</v>
      </c>
      <c r="E234">
        <v>12372</v>
      </c>
      <c r="F234">
        <v>12779</v>
      </c>
      <c r="G234">
        <v>12365</v>
      </c>
      <c r="H234">
        <v>414</v>
      </c>
      <c r="I234">
        <v>2007</v>
      </c>
      <c r="J234">
        <v>22</v>
      </c>
      <c r="K234">
        <f>allFYsTable[[#This Row],[Actual]]-allFYsTable[[#This Row],[OriginalBudget]]</f>
        <v>-7</v>
      </c>
      <c r="L234" s="11">
        <f>allFYsTable[[#This Row],[DiffAmount]]/allFYsTable[[#This Row],[OriginalBudget]]</f>
        <v>-5.6579372777238932E-4</v>
      </c>
    </row>
    <row r="235" spans="1:12" x14ac:dyDescent="0.45">
      <c r="A235" t="s">
        <v>1040</v>
      </c>
      <c r="B235" t="s">
        <v>641</v>
      </c>
      <c r="C235" t="s">
        <v>720</v>
      </c>
      <c r="D235" t="s">
        <v>571</v>
      </c>
      <c r="E235">
        <v>118880</v>
      </c>
      <c r="F235">
        <v>120953</v>
      </c>
      <c r="G235">
        <v>120841</v>
      </c>
      <c r="H235">
        <v>112</v>
      </c>
      <c r="I235">
        <v>2007</v>
      </c>
      <c r="J235">
        <v>23</v>
      </c>
      <c r="K235">
        <f>allFYsTable[[#This Row],[Actual]]-allFYsTable[[#This Row],[OriginalBudget]]</f>
        <v>1961</v>
      </c>
      <c r="L235" s="11">
        <f>allFYsTable[[#This Row],[DiffAmount]]/allFYsTable[[#This Row],[OriginalBudget]]</f>
        <v>1.6495625841184386E-2</v>
      </c>
    </row>
    <row r="236" spans="1:12" x14ac:dyDescent="0.45">
      <c r="A236" t="s">
        <v>1040</v>
      </c>
      <c r="B236" t="s">
        <v>129</v>
      </c>
      <c r="C236" t="s">
        <v>743</v>
      </c>
      <c r="D236" t="s">
        <v>315</v>
      </c>
      <c r="E236">
        <v>13050</v>
      </c>
      <c r="F236">
        <v>25486</v>
      </c>
      <c r="G236">
        <v>24273</v>
      </c>
      <c r="H236">
        <v>1213</v>
      </c>
      <c r="I236">
        <v>2007</v>
      </c>
      <c r="J236">
        <v>24</v>
      </c>
      <c r="K236">
        <f>allFYsTable[[#This Row],[Actual]]-allFYsTable[[#This Row],[OriginalBudget]]</f>
        <v>11223</v>
      </c>
      <c r="L236" s="11">
        <f>allFYsTable[[#This Row],[DiffAmount]]/allFYsTable[[#This Row],[OriginalBudget]]</f>
        <v>0.86</v>
      </c>
    </row>
    <row r="237" spans="1:12" x14ac:dyDescent="0.45">
      <c r="A237" t="s">
        <v>1040</v>
      </c>
      <c r="B237" t="s">
        <v>129</v>
      </c>
      <c r="C237" t="s">
        <v>742</v>
      </c>
      <c r="D237" t="s">
        <v>26</v>
      </c>
      <c r="E237">
        <v>6623</v>
      </c>
      <c r="F237">
        <v>6897</v>
      </c>
      <c r="G237">
        <v>6563</v>
      </c>
      <c r="H237">
        <v>334</v>
      </c>
      <c r="I237">
        <v>2007</v>
      </c>
      <c r="J237">
        <v>25</v>
      </c>
      <c r="K237">
        <f>allFYsTable[[#This Row],[Actual]]-allFYsTable[[#This Row],[OriginalBudget]]</f>
        <v>-60</v>
      </c>
      <c r="L237" s="11">
        <f>allFYsTable[[#This Row],[DiffAmount]]/allFYsTable[[#This Row],[OriginalBudget]]</f>
        <v>-9.0593386682772149E-3</v>
      </c>
    </row>
    <row r="238" spans="1:12" x14ac:dyDescent="0.45">
      <c r="A238" t="s">
        <v>1040</v>
      </c>
      <c r="B238" t="s">
        <v>129</v>
      </c>
      <c r="C238" t="s">
        <v>738</v>
      </c>
      <c r="D238" t="s">
        <v>572</v>
      </c>
      <c r="E238">
        <v>2662</v>
      </c>
      <c r="F238">
        <v>2662</v>
      </c>
      <c r="G238">
        <v>1860</v>
      </c>
      <c r="H238">
        <v>802</v>
      </c>
      <c r="I238">
        <v>2007</v>
      </c>
      <c r="J238">
        <v>26</v>
      </c>
      <c r="K238">
        <f>allFYsTable[[#This Row],[Actual]]-allFYsTable[[#This Row],[OriginalBudget]]</f>
        <v>-802</v>
      </c>
      <c r="L238" s="11">
        <f>allFYsTable[[#This Row],[DiffAmount]]/allFYsTable[[#This Row],[OriginalBudget]]</f>
        <v>-0.30127723516153271</v>
      </c>
    </row>
    <row r="239" spans="1:12" x14ac:dyDescent="0.45">
      <c r="A239" t="s">
        <v>1040</v>
      </c>
      <c r="B239" t="s">
        <v>129</v>
      </c>
      <c r="C239" t="s">
        <v>741</v>
      </c>
      <c r="D239" t="s">
        <v>573</v>
      </c>
      <c r="E239">
        <v>594</v>
      </c>
      <c r="F239">
        <v>630</v>
      </c>
      <c r="G239">
        <v>543</v>
      </c>
      <c r="H239">
        <v>87</v>
      </c>
      <c r="I239">
        <v>2007</v>
      </c>
      <c r="J239">
        <v>27</v>
      </c>
      <c r="K239">
        <f>allFYsTable[[#This Row],[Actual]]-allFYsTable[[#This Row],[OriginalBudget]]</f>
        <v>-51</v>
      </c>
      <c r="L239" s="11">
        <f>allFYsTable[[#This Row],[DiffAmount]]/allFYsTable[[#This Row],[OriginalBudget]]</f>
        <v>-8.5858585858585856E-2</v>
      </c>
    </row>
    <row r="240" spans="1:12" x14ac:dyDescent="0.45">
      <c r="A240" t="s">
        <v>1040</v>
      </c>
      <c r="B240" t="s">
        <v>129</v>
      </c>
      <c r="C240" t="s">
        <v>744</v>
      </c>
      <c r="D240" t="s">
        <v>29</v>
      </c>
      <c r="E240">
        <v>2998</v>
      </c>
      <c r="F240">
        <v>3064</v>
      </c>
      <c r="G240">
        <v>3055</v>
      </c>
      <c r="H240">
        <v>9</v>
      </c>
      <c r="I240">
        <v>2007</v>
      </c>
      <c r="J240">
        <v>28</v>
      </c>
      <c r="K240">
        <f>allFYsTable[[#This Row],[Actual]]-allFYsTable[[#This Row],[OriginalBudget]]</f>
        <v>57</v>
      </c>
      <c r="L240" s="11">
        <f>allFYsTable[[#This Row],[DiffAmount]]/allFYsTable[[#This Row],[OriginalBudget]]</f>
        <v>1.9012675116744496E-2</v>
      </c>
    </row>
    <row r="241" spans="1:12" x14ac:dyDescent="0.45">
      <c r="A241" t="s">
        <v>1040</v>
      </c>
      <c r="B241" t="s">
        <v>129</v>
      </c>
      <c r="C241" t="s">
        <v>737</v>
      </c>
      <c r="D241" t="s">
        <v>575</v>
      </c>
      <c r="E241">
        <v>2186</v>
      </c>
      <c r="F241">
        <v>2240</v>
      </c>
      <c r="G241">
        <v>1734</v>
      </c>
      <c r="H241">
        <v>506</v>
      </c>
      <c r="I241">
        <v>2007</v>
      </c>
      <c r="J241">
        <v>29</v>
      </c>
      <c r="K241">
        <f>allFYsTable[[#This Row],[Actual]]-allFYsTable[[#This Row],[OriginalBudget]]</f>
        <v>-452</v>
      </c>
      <c r="L241" s="11">
        <f>allFYsTable[[#This Row],[DiffAmount]]/allFYsTable[[#This Row],[OriginalBudget]]</f>
        <v>-0.20677035681610248</v>
      </c>
    </row>
    <row r="242" spans="1:12" x14ac:dyDescent="0.45">
      <c r="A242" t="s">
        <v>1040</v>
      </c>
      <c r="B242" t="s">
        <v>129</v>
      </c>
      <c r="C242" t="s">
        <v>795</v>
      </c>
      <c r="D242" t="s">
        <v>72</v>
      </c>
      <c r="E242">
        <v>0</v>
      </c>
      <c r="F242">
        <v>0</v>
      </c>
      <c r="G242">
        <v>0</v>
      </c>
      <c r="H242">
        <v>0</v>
      </c>
      <c r="I242">
        <v>2007</v>
      </c>
      <c r="J242">
        <v>30</v>
      </c>
      <c r="K242">
        <f>allFYsTable[[#This Row],[Actual]]-allFYsTable[[#This Row],[OriginalBudget]]</f>
        <v>0</v>
      </c>
      <c r="L242" s="11" t="e">
        <f>allFYsTable[[#This Row],[DiffAmount]]/allFYsTable[[#This Row],[OriginalBudget]]</f>
        <v>#DIV/0!</v>
      </c>
    </row>
    <row r="243" spans="1:12" x14ac:dyDescent="0.45">
      <c r="A243" t="s">
        <v>1040</v>
      </c>
      <c r="B243" t="s">
        <v>129</v>
      </c>
      <c r="C243" t="s">
        <v>769</v>
      </c>
      <c r="D243" t="s">
        <v>648</v>
      </c>
      <c r="E243">
        <v>37120</v>
      </c>
      <c r="F243">
        <v>48007</v>
      </c>
      <c r="G243">
        <v>46115</v>
      </c>
      <c r="H243">
        <v>1892</v>
      </c>
      <c r="I243">
        <v>2007</v>
      </c>
      <c r="J243">
        <v>31</v>
      </c>
      <c r="K243">
        <f>allFYsTable[[#This Row],[Actual]]-allFYsTable[[#This Row],[OriginalBudget]]</f>
        <v>8995</v>
      </c>
      <c r="L243" s="11">
        <f>allFYsTable[[#This Row],[DiffAmount]]/allFYsTable[[#This Row],[OriginalBudget]]</f>
        <v>0.24232219827586207</v>
      </c>
    </row>
    <row r="244" spans="1:12" x14ac:dyDescent="0.45">
      <c r="A244" t="s">
        <v>1040</v>
      </c>
      <c r="B244" t="s">
        <v>129</v>
      </c>
      <c r="C244" t="s">
        <v>745</v>
      </c>
      <c r="D244" t="s">
        <v>649</v>
      </c>
      <c r="E244">
        <v>563</v>
      </c>
      <c r="F244">
        <v>578</v>
      </c>
      <c r="G244">
        <v>519</v>
      </c>
      <c r="H244">
        <v>59</v>
      </c>
      <c r="I244">
        <v>2007</v>
      </c>
      <c r="J244">
        <v>32</v>
      </c>
      <c r="K244">
        <f>allFYsTable[[#This Row],[Actual]]-allFYsTable[[#This Row],[OriginalBudget]]</f>
        <v>-44</v>
      </c>
      <c r="L244" s="11">
        <f>allFYsTable[[#This Row],[DiffAmount]]/allFYsTable[[#This Row],[OriginalBudget]]</f>
        <v>-7.8152753108348141E-2</v>
      </c>
    </row>
    <row r="245" spans="1:12" x14ac:dyDescent="0.45">
      <c r="A245" t="s">
        <v>1040</v>
      </c>
      <c r="B245" t="s">
        <v>129</v>
      </c>
      <c r="C245" t="s">
        <v>797</v>
      </c>
      <c r="D245" t="s">
        <v>578</v>
      </c>
      <c r="E245">
        <v>25574</v>
      </c>
      <c r="F245">
        <v>26085</v>
      </c>
      <c r="G245">
        <v>24695</v>
      </c>
      <c r="H245">
        <v>1390</v>
      </c>
      <c r="I245">
        <v>2007</v>
      </c>
      <c r="J245">
        <v>33</v>
      </c>
      <c r="K245">
        <f>allFYsTable[[#This Row],[Actual]]-allFYsTable[[#This Row],[OriginalBudget]]</f>
        <v>-879</v>
      </c>
      <c r="L245" s="11">
        <f>allFYsTable[[#This Row],[DiffAmount]]/allFYsTable[[#This Row],[OriginalBudget]]</f>
        <v>-3.4370845389849067E-2</v>
      </c>
    </row>
    <row r="246" spans="1:12" x14ac:dyDescent="0.45">
      <c r="A246" t="s">
        <v>1040</v>
      </c>
      <c r="B246" t="s">
        <v>129</v>
      </c>
      <c r="C246" t="s">
        <v>736</v>
      </c>
      <c r="D246" t="s">
        <v>190</v>
      </c>
      <c r="E246">
        <v>9368</v>
      </c>
      <c r="F246">
        <v>10147</v>
      </c>
      <c r="G246">
        <v>10032</v>
      </c>
      <c r="H246">
        <v>115</v>
      </c>
      <c r="I246">
        <v>2007</v>
      </c>
      <c r="J246">
        <v>34</v>
      </c>
      <c r="K246">
        <f>allFYsTable[[#This Row],[Actual]]-allFYsTable[[#This Row],[OriginalBudget]]</f>
        <v>664</v>
      </c>
      <c r="L246" s="11">
        <f>allFYsTable[[#This Row],[DiffAmount]]/allFYsTable[[#This Row],[OriginalBudget]]</f>
        <v>7.0879590093936809E-2</v>
      </c>
    </row>
    <row r="247" spans="1:12" x14ac:dyDescent="0.45">
      <c r="A247" t="s">
        <v>1040</v>
      </c>
      <c r="B247" t="s">
        <v>129</v>
      </c>
      <c r="C247" t="s">
        <v>827</v>
      </c>
      <c r="D247" t="s">
        <v>679</v>
      </c>
      <c r="E247">
        <v>5000</v>
      </c>
      <c r="F247">
        <v>5000</v>
      </c>
      <c r="G247">
        <v>5000</v>
      </c>
      <c r="H247">
        <v>0</v>
      </c>
      <c r="I247">
        <v>2007</v>
      </c>
      <c r="J247">
        <v>35</v>
      </c>
      <c r="K247">
        <f>allFYsTable[[#This Row],[Actual]]-allFYsTable[[#This Row],[OriginalBudget]]</f>
        <v>0</v>
      </c>
      <c r="L247" s="11">
        <f>allFYsTable[[#This Row],[DiffAmount]]/allFYsTable[[#This Row],[OriginalBudget]]</f>
        <v>0</v>
      </c>
    </row>
    <row r="248" spans="1:12" x14ac:dyDescent="0.45">
      <c r="A248" t="s">
        <v>1040</v>
      </c>
      <c r="B248" t="s">
        <v>129</v>
      </c>
      <c r="C248" t="s">
        <v>806</v>
      </c>
      <c r="D248" t="s">
        <v>82</v>
      </c>
      <c r="E248">
        <v>0</v>
      </c>
      <c r="F248">
        <v>0</v>
      </c>
      <c r="G248">
        <v>0</v>
      </c>
      <c r="H248">
        <v>0</v>
      </c>
      <c r="I248">
        <v>2007</v>
      </c>
      <c r="J248">
        <v>36</v>
      </c>
      <c r="K248">
        <f>allFYsTable[[#This Row],[Actual]]-allFYsTable[[#This Row],[OriginalBudget]]</f>
        <v>0</v>
      </c>
      <c r="L248" s="11" t="e">
        <f>allFYsTable[[#This Row],[DiffAmount]]/allFYsTable[[#This Row],[OriginalBudget]]</f>
        <v>#DIV/0!</v>
      </c>
    </row>
    <row r="249" spans="1:12" x14ac:dyDescent="0.45">
      <c r="A249" t="s">
        <v>1040</v>
      </c>
      <c r="B249" t="s">
        <v>129</v>
      </c>
      <c r="C249" t="s">
        <v>805</v>
      </c>
      <c r="D249" t="s">
        <v>650</v>
      </c>
      <c r="E249">
        <v>0</v>
      </c>
      <c r="F249">
        <v>0</v>
      </c>
      <c r="G249">
        <v>0</v>
      </c>
      <c r="H249">
        <v>0</v>
      </c>
      <c r="I249">
        <v>2007</v>
      </c>
      <c r="J249">
        <v>37</v>
      </c>
      <c r="K249">
        <f>allFYsTable[[#This Row],[Actual]]-allFYsTable[[#This Row],[OriginalBudget]]</f>
        <v>0</v>
      </c>
      <c r="L249" s="11" t="e">
        <f>allFYsTable[[#This Row],[DiffAmount]]/allFYsTable[[#This Row],[OriginalBudget]]</f>
        <v>#DIV/0!</v>
      </c>
    </row>
    <row r="250" spans="1:12" x14ac:dyDescent="0.45">
      <c r="A250" t="s">
        <v>1040</v>
      </c>
      <c r="B250" t="s">
        <v>129</v>
      </c>
      <c r="C250" t="s">
        <v>800</v>
      </c>
      <c r="D250" t="s">
        <v>581</v>
      </c>
      <c r="E250">
        <v>0</v>
      </c>
      <c r="F250">
        <v>0</v>
      </c>
      <c r="G250">
        <v>0</v>
      </c>
      <c r="H250">
        <v>0</v>
      </c>
      <c r="I250">
        <v>2007</v>
      </c>
      <c r="J250">
        <v>38</v>
      </c>
      <c r="K250">
        <f>allFYsTable[[#This Row],[Actual]]-allFYsTable[[#This Row],[OriginalBudget]]</f>
        <v>0</v>
      </c>
      <c r="L250" s="11" t="e">
        <f>allFYsTable[[#This Row],[DiffAmount]]/allFYsTable[[#This Row],[OriginalBudget]]</f>
        <v>#DIV/0!</v>
      </c>
    </row>
    <row r="251" spans="1:12" x14ac:dyDescent="0.45">
      <c r="A251" t="s">
        <v>1040</v>
      </c>
      <c r="B251" t="s">
        <v>129</v>
      </c>
      <c r="C251" t="s">
        <v>739</v>
      </c>
      <c r="D251" t="s">
        <v>23</v>
      </c>
      <c r="E251">
        <v>22730</v>
      </c>
      <c r="F251">
        <v>22730</v>
      </c>
      <c r="G251">
        <v>22730</v>
      </c>
      <c r="H251">
        <v>0</v>
      </c>
      <c r="I251">
        <v>2007</v>
      </c>
      <c r="J251">
        <v>39</v>
      </c>
      <c r="K251">
        <f>allFYsTable[[#This Row],[Actual]]-allFYsTable[[#This Row],[OriginalBudget]]</f>
        <v>0</v>
      </c>
      <c r="L251" s="11">
        <f>allFYsTable[[#This Row],[DiffAmount]]/allFYsTable[[#This Row],[OriginalBudget]]</f>
        <v>0</v>
      </c>
    </row>
    <row r="252" spans="1:12" x14ac:dyDescent="0.45">
      <c r="A252" t="s">
        <v>1040</v>
      </c>
      <c r="B252" t="s">
        <v>129</v>
      </c>
      <c r="C252" t="s">
        <v>740</v>
      </c>
      <c r="D252" t="s">
        <v>24</v>
      </c>
      <c r="E252">
        <v>65738</v>
      </c>
      <c r="F252">
        <v>58731</v>
      </c>
      <c r="G252">
        <v>58731</v>
      </c>
      <c r="H252">
        <v>0</v>
      </c>
      <c r="I252">
        <v>2007</v>
      </c>
      <c r="J252">
        <v>40</v>
      </c>
      <c r="K252">
        <f>allFYsTable[[#This Row],[Actual]]-allFYsTable[[#This Row],[OriginalBudget]]</f>
        <v>-7007</v>
      </c>
      <c r="L252" s="11">
        <f>allFYsTable[[#This Row],[DiffAmount]]/allFYsTable[[#This Row],[OriginalBudget]]</f>
        <v>-0.10658979585627795</v>
      </c>
    </row>
    <row r="253" spans="1:12" x14ac:dyDescent="0.45">
      <c r="A253" t="s">
        <v>1040</v>
      </c>
      <c r="B253" t="s">
        <v>129</v>
      </c>
      <c r="C253" t="s">
        <v>741</v>
      </c>
      <c r="D253" t="s">
        <v>1004</v>
      </c>
      <c r="E253">
        <v>0</v>
      </c>
      <c r="F253">
        <v>0</v>
      </c>
      <c r="G253">
        <v>0</v>
      </c>
      <c r="H253">
        <v>0</v>
      </c>
      <c r="I253">
        <v>2007</v>
      </c>
      <c r="J253">
        <v>41</v>
      </c>
      <c r="K253">
        <f>allFYsTable[[#This Row],[Actual]]-allFYsTable[[#This Row],[OriginalBudget]]</f>
        <v>0</v>
      </c>
      <c r="L253" s="11" t="e">
        <f>allFYsTable[[#This Row],[DiffAmount]]/allFYsTable[[#This Row],[OriginalBudget]]</f>
        <v>#DIV/0!</v>
      </c>
    </row>
    <row r="254" spans="1:12" x14ac:dyDescent="0.45">
      <c r="A254" t="s">
        <v>1040</v>
      </c>
      <c r="B254" t="s">
        <v>6</v>
      </c>
      <c r="C254" t="s">
        <v>758</v>
      </c>
      <c r="D254" t="s">
        <v>584</v>
      </c>
      <c r="E254">
        <v>420044</v>
      </c>
      <c r="F254">
        <v>436487</v>
      </c>
      <c r="G254">
        <v>434599</v>
      </c>
      <c r="H254">
        <v>1888</v>
      </c>
      <c r="I254">
        <v>2007</v>
      </c>
      <c r="J254">
        <v>42</v>
      </c>
      <c r="K254">
        <f>allFYsTable[[#This Row],[Actual]]-allFYsTable[[#This Row],[OriginalBudget]]</f>
        <v>14555</v>
      </c>
      <c r="L254" s="11">
        <f>allFYsTable[[#This Row],[DiffAmount]]/allFYsTable[[#This Row],[OriginalBudget]]</f>
        <v>3.4651131786193827E-2</v>
      </c>
    </row>
    <row r="255" spans="1:12" x14ac:dyDescent="0.45">
      <c r="A255" t="s">
        <v>1040</v>
      </c>
      <c r="B255" t="s">
        <v>6</v>
      </c>
      <c r="C255" t="s">
        <v>755</v>
      </c>
      <c r="D255" t="s">
        <v>131</v>
      </c>
      <c r="E255">
        <v>169202</v>
      </c>
      <c r="F255">
        <v>174171</v>
      </c>
      <c r="G255">
        <v>172775</v>
      </c>
      <c r="H255">
        <v>1396</v>
      </c>
      <c r="I255">
        <v>2007</v>
      </c>
      <c r="J255">
        <v>43</v>
      </c>
      <c r="K255">
        <f>allFYsTable[[#This Row],[Actual]]-allFYsTable[[#This Row],[OriginalBudget]]</f>
        <v>3573</v>
      </c>
      <c r="L255" s="11">
        <f>allFYsTable[[#This Row],[DiffAmount]]/allFYsTable[[#This Row],[OriginalBudget]]</f>
        <v>2.1116771669365611E-2</v>
      </c>
    </row>
    <row r="256" spans="1:12" x14ac:dyDescent="0.45">
      <c r="A256" t="s">
        <v>1040</v>
      </c>
      <c r="B256" t="s">
        <v>6</v>
      </c>
      <c r="C256" t="s">
        <v>768</v>
      </c>
      <c r="D256" t="s">
        <v>651</v>
      </c>
      <c r="E256">
        <v>140100</v>
      </c>
      <c r="F256">
        <v>140100</v>
      </c>
      <c r="G256">
        <v>140100</v>
      </c>
      <c r="H256">
        <v>0</v>
      </c>
      <c r="I256">
        <v>2007</v>
      </c>
      <c r="J256">
        <v>44</v>
      </c>
      <c r="K256">
        <f>allFYsTable[[#This Row],[Actual]]-allFYsTable[[#This Row],[OriginalBudget]]</f>
        <v>0</v>
      </c>
      <c r="L256" s="11">
        <f>allFYsTable[[#This Row],[DiffAmount]]/allFYsTable[[#This Row],[OriginalBudget]]</f>
        <v>0</v>
      </c>
    </row>
    <row r="257" spans="1:12" x14ac:dyDescent="0.45">
      <c r="A257" t="s">
        <v>1040</v>
      </c>
      <c r="B257" t="s">
        <v>6</v>
      </c>
      <c r="C257" t="s">
        <v>750</v>
      </c>
      <c r="D257" t="s">
        <v>587</v>
      </c>
      <c r="E257">
        <v>111392</v>
      </c>
      <c r="F257">
        <v>121864</v>
      </c>
      <c r="G257">
        <v>121417</v>
      </c>
      <c r="H257">
        <v>447</v>
      </c>
      <c r="I257">
        <v>2007</v>
      </c>
      <c r="J257">
        <v>45</v>
      </c>
      <c r="K257">
        <f>allFYsTable[[#This Row],[Actual]]-allFYsTable[[#This Row],[OriginalBudget]]</f>
        <v>10025</v>
      </c>
      <c r="L257" s="11">
        <f>allFYsTable[[#This Row],[DiffAmount]]/allFYsTable[[#This Row],[OriginalBudget]]</f>
        <v>8.9997486354495837E-2</v>
      </c>
    </row>
    <row r="258" spans="1:12" x14ac:dyDescent="0.45">
      <c r="A258" t="s">
        <v>1040</v>
      </c>
      <c r="B258" t="s">
        <v>6</v>
      </c>
      <c r="C258" t="s">
        <v>753</v>
      </c>
      <c r="D258" t="s">
        <v>588</v>
      </c>
      <c r="E258">
        <v>2657</v>
      </c>
      <c r="F258">
        <v>3244</v>
      </c>
      <c r="G258">
        <v>2846</v>
      </c>
      <c r="H258">
        <v>398</v>
      </c>
      <c r="I258">
        <v>2007</v>
      </c>
      <c r="J258">
        <v>46</v>
      </c>
      <c r="K258">
        <f>allFYsTable[[#This Row],[Actual]]-allFYsTable[[#This Row],[OriginalBudget]]</f>
        <v>189</v>
      </c>
      <c r="L258" s="11">
        <f>allFYsTable[[#This Row],[DiffAmount]]/allFYsTable[[#This Row],[OriginalBudget]]</f>
        <v>7.1132856605193834E-2</v>
      </c>
    </row>
    <row r="259" spans="1:12" x14ac:dyDescent="0.45">
      <c r="A259" t="s">
        <v>1040</v>
      </c>
      <c r="B259" t="s">
        <v>6</v>
      </c>
      <c r="C259" t="s">
        <v>756</v>
      </c>
      <c r="D259" t="s">
        <v>652</v>
      </c>
      <c r="E259">
        <v>4792</v>
      </c>
      <c r="F259">
        <v>4992</v>
      </c>
      <c r="G259">
        <v>4739</v>
      </c>
      <c r="H259">
        <v>253</v>
      </c>
      <c r="I259">
        <v>2007</v>
      </c>
      <c r="J259">
        <v>47</v>
      </c>
      <c r="K259">
        <f>allFYsTable[[#This Row],[Actual]]-allFYsTable[[#This Row],[OriginalBudget]]</f>
        <v>-53</v>
      </c>
      <c r="L259" s="11">
        <f>allFYsTable[[#This Row],[DiffAmount]]/allFYsTable[[#This Row],[OriginalBudget]]</f>
        <v>-1.1060100166944907E-2</v>
      </c>
    </row>
    <row r="260" spans="1:12" x14ac:dyDescent="0.45">
      <c r="A260" t="s">
        <v>1040</v>
      </c>
      <c r="B260" t="s">
        <v>6</v>
      </c>
      <c r="C260" t="s">
        <v>746</v>
      </c>
      <c r="D260" t="s">
        <v>653</v>
      </c>
      <c r="E260">
        <v>228</v>
      </c>
      <c r="F260">
        <v>259</v>
      </c>
      <c r="G260">
        <v>238</v>
      </c>
      <c r="H260">
        <v>21</v>
      </c>
      <c r="I260">
        <v>2007</v>
      </c>
      <c r="J260">
        <v>48</v>
      </c>
      <c r="K260">
        <f>allFYsTable[[#This Row],[Actual]]-allFYsTable[[#This Row],[OriginalBudget]]</f>
        <v>10</v>
      </c>
      <c r="L260" s="11">
        <f>allFYsTable[[#This Row],[DiffAmount]]/allFYsTable[[#This Row],[OriginalBudget]]</f>
        <v>4.3859649122807015E-2</v>
      </c>
    </row>
    <row r="261" spans="1:12" x14ac:dyDescent="0.45">
      <c r="A261" t="s">
        <v>1040</v>
      </c>
      <c r="B261" t="s">
        <v>6</v>
      </c>
      <c r="C261" t="s">
        <v>757</v>
      </c>
      <c r="D261" t="s">
        <v>654</v>
      </c>
      <c r="E261">
        <v>131</v>
      </c>
      <c r="F261">
        <v>144</v>
      </c>
      <c r="G261">
        <v>135</v>
      </c>
      <c r="H261">
        <v>9</v>
      </c>
      <c r="I261">
        <v>2007</v>
      </c>
      <c r="J261">
        <v>49</v>
      </c>
      <c r="K261">
        <f>allFYsTable[[#This Row],[Actual]]-allFYsTable[[#This Row],[OriginalBudget]]</f>
        <v>4</v>
      </c>
      <c r="L261" s="11">
        <f>allFYsTable[[#This Row],[DiffAmount]]/allFYsTable[[#This Row],[OriginalBudget]]</f>
        <v>3.0534351145038167E-2</v>
      </c>
    </row>
    <row r="262" spans="1:12" x14ac:dyDescent="0.45">
      <c r="A262" t="s">
        <v>1040</v>
      </c>
      <c r="B262" t="s">
        <v>6</v>
      </c>
      <c r="C262" t="s">
        <v>762</v>
      </c>
      <c r="D262" t="s">
        <v>655</v>
      </c>
      <c r="E262">
        <v>2312</v>
      </c>
      <c r="F262">
        <v>2384</v>
      </c>
      <c r="G262">
        <v>2191</v>
      </c>
      <c r="H262">
        <v>193</v>
      </c>
      <c r="I262">
        <v>2007</v>
      </c>
      <c r="J262">
        <v>50</v>
      </c>
      <c r="K262">
        <f>allFYsTable[[#This Row],[Actual]]-allFYsTable[[#This Row],[OriginalBudget]]</f>
        <v>-121</v>
      </c>
      <c r="L262" s="11">
        <f>allFYsTable[[#This Row],[DiffAmount]]/allFYsTable[[#This Row],[OriginalBudget]]</f>
        <v>-5.2335640138408301E-2</v>
      </c>
    </row>
    <row r="263" spans="1:12" x14ac:dyDescent="0.45">
      <c r="A263" t="s">
        <v>1040</v>
      </c>
      <c r="B263" t="s">
        <v>6</v>
      </c>
      <c r="C263" t="s">
        <v>754</v>
      </c>
      <c r="D263" t="s">
        <v>1016</v>
      </c>
      <c r="E263">
        <v>700</v>
      </c>
      <c r="F263">
        <v>716</v>
      </c>
      <c r="G263">
        <v>643</v>
      </c>
      <c r="H263">
        <v>73</v>
      </c>
      <c r="I263">
        <v>2007</v>
      </c>
      <c r="J263">
        <v>51</v>
      </c>
      <c r="K263">
        <f>allFYsTable[[#This Row],[Actual]]-allFYsTable[[#This Row],[OriginalBudget]]</f>
        <v>-57</v>
      </c>
      <c r="L263" s="11">
        <f>allFYsTable[[#This Row],[DiffAmount]]/allFYsTable[[#This Row],[OriginalBudget]]</f>
        <v>-8.1428571428571433E-2</v>
      </c>
    </row>
    <row r="264" spans="1:12" x14ac:dyDescent="0.45">
      <c r="A264" t="s">
        <v>1040</v>
      </c>
      <c r="B264" t="s">
        <v>6</v>
      </c>
      <c r="C264" t="s">
        <v>764</v>
      </c>
      <c r="D264" t="s">
        <v>656</v>
      </c>
      <c r="E264">
        <v>8854</v>
      </c>
      <c r="F264">
        <v>8854</v>
      </c>
      <c r="G264">
        <v>8219</v>
      </c>
      <c r="H264">
        <v>635</v>
      </c>
      <c r="I264">
        <v>2007</v>
      </c>
      <c r="J264">
        <v>52</v>
      </c>
      <c r="K264">
        <f>allFYsTable[[#This Row],[Actual]]-allFYsTable[[#This Row],[OriginalBudget]]</f>
        <v>-635</v>
      </c>
      <c r="L264" s="11">
        <f>allFYsTable[[#This Row],[DiffAmount]]/allFYsTable[[#This Row],[OriginalBudget]]</f>
        <v>-7.1718997063474135E-2</v>
      </c>
    </row>
    <row r="265" spans="1:12" x14ac:dyDescent="0.45">
      <c r="A265" t="s">
        <v>1040</v>
      </c>
      <c r="B265" t="s">
        <v>6</v>
      </c>
      <c r="C265" t="s">
        <v>759</v>
      </c>
      <c r="D265" t="s">
        <v>657</v>
      </c>
      <c r="E265">
        <v>5988</v>
      </c>
      <c r="F265">
        <v>6592</v>
      </c>
      <c r="G265">
        <v>4848</v>
      </c>
      <c r="H265">
        <v>1744</v>
      </c>
      <c r="I265">
        <v>2007</v>
      </c>
      <c r="J265">
        <v>53</v>
      </c>
      <c r="K265">
        <f>allFYsTable[[#This Row],[Actual]]-allFYsTable[[#This Row],[OriginalBudget]]</f>
        <v>-1140</v>
      </c>
      <c r="L265" s="11">
        <f>allFYsTable[[#This Row],[DiffAmount]]/allFYsTable[[#This Row],[OriginalBudget]]</f>
        <v>-0.19038076152304609</v>
      </c>
    </row>
    <row r="266" spans="1:12" x14ac:dyDescent="0.45">
      <c r="A266" t="s">
        <v>1040</v>
      </c>
      <c r="B266" t="s">
        <v>6</v>
      </c>
      <c r="C266" t="s">
        <v>747</v>
      </c>
      <c r="D266" t="s">
        <v>33</v>
      </c>
      <c r="E266">
        <v>118</v>
      </c>
      <c r="F266">
        <v>105</v>
      </c>
      <c r="G266">
        <v>0</v>
      </c>
      <c r="H266">
        <v>105</v>
      </c>
      <c r="I266">
        <v>2007</v>
      </c>
      <c r="J266">
        <v>54</v>
      </c>
      <c r="K266">
        <f>allFYsTable[[#This Row],[Actual]]-allFYsTable[[#This Row],[OriginalBudget]]</f>
        <v>-118</v>
      </c>
      <c r="L266" s="11">
        <f>allFYsTable[[#This Row],[DiffAmount]]/allFYsTable[[#This Row],[OriginalBudget]]</f>
        <v>-1</v>
      </c>
    </row>
    <row r="267" spans="1:12" x14ac:dyDescent="0.45">
      <c r="A267" t="s">
        <v>1040</v>
      </c>
      <c r="B267" t="s">
        <v>6</v>
      </c>
      <c r="C267" t="s">
        <v>749</v>
      </c>
      <c r="D267" t="s">
        <v>658</v>
      </c>
      <c r="E267">
        <v>289</v>
      </c>
      <c r="F267">
        <v>307</v>
      </c>
      <c r="G267">
        <v>285</v>
      </c>
      <c r="H267">
        <v>22</v>
      </c>
      <c r="I267">
        <v>2007</v>
      </c>
      <c r="J267">
        <v>55</v>
      </c>
      <c r="K267">
        <f>allFYsTable[[#This Row],[Actual]]-allFYsTable[[#This Row],[OriginalBudget]]</f>
        <v>-4</v>
      </c>
      <c r="L267" s="11">
        <f>allFYsTable[[#This Row],[DiffAmount]]/allFYsTable[[#This Row],[OriginalBudget]]</f>
        <v>-1.384083044982699E-2</v>
      </c>
    </row>
    <row r="268" spans="1:12" x14ac:dyDescent="0.45">
      <c r="A268" t="s">
        <v>1040</v>
      </c>
      <c r="B268" t="s">
        <v>6</v>
      </c>
      <c r="C268" t="s">
        <v>751</v>
      </c>
      <c r="D268" t="s">
        <v>594</v>
      </c>
      <c r="E268">
        <v>1238</v>
      </c>
      <c r="F268">
        <v>838</v>
      </c>
      <c r="G268">
        <v>811</v>
      </c>
      <c r="H268">
        <v>27</v>
      </c>
      <c r="I268">
        <v>2007</v>
      </c>
      <c r="J268">
        <v>56</v>
      </c>
      <c r="K268">
        <f>allFYsTable[[#This Row],[Actual]]-allFYsTable[[#This Row],[OriginalBudget]]</f>
        <v>-427</v>
      </c>
      <c r="L268" s="11">
        <f>allFYsTable[[#This Row],[DiffAmount]]/allFYsTable[[#This Row],[OriginalBudget]]</f>
        <v>-0.34491114701130854</v>
      </c>
    </row>
    <row r="269" spans="1:12" x14ac:dyDescent="0.45">
      <c r="A269" t="s">
        <v>1040</v>
      </c>
      <c r="B269" t="s">
        <v>6</v>
      </c>
      <c r="C269" t="s">
        <v>766</v>
      </c>
      <c r="D269" t="s">
        <v>52</v>
      </c>
      <c r="E269">
        <v>19958</v>
      </c>
      <c r="F269">
        <v>20713</v>
      </c>
      <c r="G269">
        <v>18464</v>
      </c>
      <c r="H269">
        <v>2249</v>
      </c>
      <c r="I269">
        <v>2007</v>
      </c>
      <c r="J269">
        <v>57</v>
      </c>
      <c r="K269">
        <f>allFYsTable[[#This Row],[Actual]]-allFYsTable[[#This Row],[OriginalBudget]]</f>
        <v>-1494</v>
      </c>
      <c r="L269" s="11">
        <f>allFYsTable[[#This Row],[DiffAmount]]/allFYsTable[[#This Row],[OriginalBudget]]</f>
        <v>-7.4857200120252529E-2</v>
      </c>
    </row>
    <row r="270" spans="1:12" x14ac:dyDescent="0.45">
      <c r="A270" t="s">
        <v>1040</v>
      </c>
      <c r="B270" t="s">
        <v>136</v>
      </c>
      <c r="C270" t="s">
        <v>773</v>
      </c>
      <c r="D270" t="s">
        <v>595</v>
      </c>
      <c r="E270">
        <v>808331</v>
      </c>
      <c r="F270">
        <v>809752</v>
      </c>
      <c r="G270">
        <v>808946</v>
      </c>
      <c r="H270">
        <v>806</v>
      </c>
      <c r="I270">
        <v>2007</v>
      </c>
      <c r="J270">
        <v>58</v>
      </c>
      <c r="K270">
        <f>allFYsTable[[#This Row],[Actual]]-allFYsTable[[#This Row],[OriginalBudget]]</f>
        <v>615</v>
      </c>
      <c r="L270" s="11">
        <f>allFYsTable[[#This Row],[DiffAmount]]/allFYsTable[[#This Row],[OriginalBudget]]</f>
        <v>7.6082693846951308E-4</v>
      </c>
    </row>
    <row r="271" spans="1:12" x14ac:dyDescent="0.45">
      <c r="A271" t="s">
        <v>1040</v>
      </c>
      <c r="B271" t="s">
        <v>136</v>
      </c>
      <c r="C271" t="s">
        <v>870</v>
      </c>
      <c r="D271" t="s">
        <v>680</v>
      </c>
      <c r="E271">
        <v>0</v>
      </c>
      <c r="F271">
        <v>4956</v>
      </c>
      <c r="G271">
        <v>4956</v>
      </c>
      <c r="H271">
        <v>0</v>
      </c>
      <c r="I271">
        <v>2007</v>
      </c>
      <c r="J271">
        <v>59</v>
      </c>
      <c r="K271">
        <f>allFYsTable[[#This Row],[Actual]]-allFYsTable[[#This Row],[OriginalBudget]]</f>
        <v>4956</v>
      </c>
      <c r="L271" s="11" t="e">
        <f>allFYsTable[[#This Row],[DiffAmount]]/allFYsTable[[#This Row],[OriginalBudget]]</f>
        <v>#DIV/0!</v>
      </c>
    </row>
    <row r="272" spans="1:12" x14ac:dyDescent="0.45">
      <c r="A272" t="s">
        <v>1040</v>
      </c>
      <c r="B272" t="s">
        <v>136</v>
      </c>
      <c r="C272" t="s">
        <v>782</v>
      </c>
      <c r="D272" t="s">
        <v>662</v>
      </c>
      <c r="E272">
        <v>14600</v>
      </c>
      <c r="F272">
        <v>14600</v>
      </c>
      <c r="G272">
        <v>14540</v>
      </c>
      <c r="H272">
        <v>60</v>
      </c>
      <c r="I272">
        <v>2007</v>
      </c>
      <c r="J272">
        <v>60</v>
      </c>
      <c r="K272">
        <f>allFYsTable[[#This Row],[Actual]]-allFYsTable[[#This Row],[OriginalBudget]]</f>
        <v>-60</v>
      </c>
      <c r="L272" s="11">
        <f>allFYsTable[[#This Row],[DiffAmount]]/allFYsTable[[#This Row],[OriginalBudget]]</f>
        <v>-4.10958904109589E-3</v>
      </c>
    </row>
    <row r="273" spans="1:12" x14ac:dyDescent="0.45">
      <c r="A273" t="s">
        <v>1040</v>
      </c>
      <c r="B273" t="s">
        <v>136</v>
      </c>
      <c r="C273" t="s">
        <v>779</v>
      </c>
      <c r="D273" t="s">
        <v>598</v>
      </c>
      <c r="E273">
        <v>14507</v>
      </c>
      <c r="F273">
        <v>15072</v>
      </c>
      <c r="G273">
        <v>14423</v>
      </c>
      <c r="H273">
        <v>649</v>
      </c>
      <c r="I273">
        <v>2007</v>
      </c>
      <c r="J273">
        <v>61</v>
      </c>
      <c r="K273">
        <f>allFYsTable[[#This Row],[Actual]]-allFYsTable[[#This Row],[OriginalBudget]]</f>
        <v>-84</v>
      </c>
      <c r="L273" s="11">
        <f>allFYsTable[[#This Row],[DiffAmount]]/allFYsTable[[#This Row],[OriginalBudget]]</f>
        <v>-5.7903081271110501E-3</v>
      </c>
    </row>
    <row r="274" spans="1:12" x14ac:dyDescent="0.45">
      <c r="A274" t="s">
        <v>1040</v>
      </c>
      <c r="B274" t="s">
        <v>136</v>
      </c>
      <c r="C274" t="s">
        <v>772</v>
      </c>
      <c r="D274" t="s">
        <v>260</v>
      </c>
      <c r="E274">
        <v>266066</v>
      </c>
      <c r="F274">
        <v>199645</v>
      </c>
      <c r="G274">
        <v>197068</v>
      </c>
      <c r="H274">
        <v>2577</v>
      </c>
      <c r="I274">
        <v>2007</v>
      </c>
      <c r="J274">
        <v>62</v>
      </c>
      <c r="K274">
        <f>allFYsTable[[#This Row],[Actual]]-allFYsTable[[#This Row],[OriginalBudget]]</f>
        <v>-68998</v>
      </c>
      <c r="L274" s="11">
        <f>allFYsTable[[#This Row],[DiffAmount]]/allFYsTable[[#This Row],[OriginalBudget]]</f>
        <v>-0.25932663324137623</v>
      </c>
    </row>
    <row r="275" spans="1:12" x14ac:dyDescent="0.45">
      <c r="A275" t="s">
        <v>1040</v>
      </c>
      <c r="B275" t="s">
        <v>136</v>
      </c>
      <c r="C275" t="s">
        <v>869</v>
      </c>
      <c r="D275" t="s">
        <v>681</v>
      </c>
      <c r="E275">
        <v>0</v>
      </c>
      <c r="F275">
        <v>80091</v>
      </c>
      <c r="G275">
        <v>80091</v>
      </c>
      <c r="H275">
        <v>0</v>
      </c>
      <c r="I275">
        <v>2007</v>
      </c>
      <c r="J275">
        <v>63</v>
      </c>
      <c r="K275">
        <f>allFYsTable[[#This Row],[Actual]]-allFYsTable[[#This Row],[OriginalBudget]]</f>
        <v>80091</v>
      </c>
      <c r="L275" s="11" t="e">
        <f>allFYsTable[[#This Row],[DiffAmount]]/allFYsTable[[#This Row],[OriginalBudget]]</f>
        <v>#DIV/0!</v>
      </c>
    </row>
    <row r="276" spans="1:12" x14ac:dyDescent="0.45">
      <c r="A276" t="s">
        <v>1040</v>
      </c>
      <c r="B276" t="s">
        <v>136</v>
      </c>
      <c r="C276" t="s">
        <v>855</v>
      </c>
      <c r="D276" t="s">
        <v>600</v>
      </c>
      <c r="E276">
        <v>0</v>
      </c>
      <c r="F276">
        <v>2569</v>
      </c>
      <c r="G276">
        <v>1281</v>
      </c>
      <c r="H276">
        <v>1288</v>
      </c>
      <c r="I276">
        <v>2007</v>
      </c>
      <c r="J276">
        <v>64</v>
      </c>
      <c r="K276">
        <f>allFYsTable[[#This Row],[Actual]]-allFYsTable[[#This Row],[OriginalBudget]]</f>
        <v>1281</v>
      </c>
      <c r="L276" s="11" t="e">
        <f>allFYsTable[[#This Row],[DiffAmount]]/allFYsTable[[#This Row],[OriginalBudget]]</f>
        <v>#DIV/0!</v>
      </c>
    </row>
    <row r="277" spans="1:12" x14ac:dyDescent="0.45">
      <c r="A277" t="s">
        <v>1040</v>
      </c>
      <c r="B277" t="s">
        <v>136</v>
      </c>
      <c r="C277" t="s">
        <v>784</v>
      </c>
      <c r="D277" t="s">
        <v>601</v>
      </c>
      <c r="E277">
        <v>59546</v>
      </c>
      <c r="F277">
        <v>62636</v>
      </c>
      <c r="G277">
        <v>62636</v>
      </c>
      <c r="H277">
        <v>0</v>
      </c>
      <c r="I277">
        <v>2007</v>
      </c>
      <c r="J277">
        <v>65</v>
      </c>
      <c r="K277">
        <f>allFYsTable[[#This Row],[Actual]]-allFYsTable[[#This Row],[OriginalBudget]]</f>
        <v>3090</v>
      </c>
      <c r="L277" s="11">
        <f>allFYsTable[[#This Row],[DiffAmount]]/allFYsTable[[#This Row],[OriginalBudget]]</f>
        <v>5.1892654418432806E-2</v>
      </c>
    </row>
    <row r="278" spans="1:12" x14ac:dyDescent="0.45">
      <c r="A278" t="s">
        <v>1040</v>
      </c>
      <c r="B278" t="s">
        <v>136</v>
      </c>
      <c r="C278" t="s">
        <v>774</v>
      </c>
      <c r="D278" t="s">
        <v>602</v>
      </c>
      <c r="E278">
        <v>40442</v>
      </c>
      <c r="F278">
        <v>42829</v>
      </c>
      <c r="G278">
        <v>42135</v>
      </c>
      <c r="H278">
        <v>694</v>
      </c>
      <c r="I278">
        <v>2007</v>
      </c>
      <c r="J278">
        <v>66</v>
      </c>
      <c r="K278">
        <f>allFYsTable[[#This Row],[Actual]]-allFYsTable[[#This Row],[OriginalBudget]]</f>
        <v>1693</v>
      </c>
      <c r="L278" s="11">
        <f>allFYsTable[[#This Row],[DiffAmount]]/allFYsTable[[#This Row],[OriginalBudget]]</f>
        <v>4.1862420256169326E-2</v>
      </c>
    </row>
    <row r="279" spans="1:12" x14ac:dyDescent="0.45">
      <c r="A279" t="s">
        <v>1040</v>
      </c>
      <c r="B279" t="s">
        <v>14</v>
      </c>
      <c r="C279" t="s">
        <v>790</v>
      </c>
      <c r="D279" t="s">
        <v>606</v>
      </c>
      <c r="E279">
        <v>244776</v>
      </c>
      <c r="F279">
        <v>278198</v>
      </c>
      <c r="G279">
        <v>272198</v>
      </c>
      <c r="H279">
        <v>6000</v>
      </c>
      <c r="I279">
        <v>2007</v>
      </c>
      <c r="J279">
        <v>67</v>
      </c>
      <c r="K279">
        <f>allFYsTable[[#This Row],[Actual]]-allFYsTable[[#This Row],[OriginalBudget]]</f>
        <v>27422</v>
      </c>
      <c r="L279" s="11">
        <f>allFYsTable[[#This Row],[DiffAmount]]/allFYsTable[[#This Row],[OriginalBudget]]</f>
        <v>0.11202895708729614</v>
      </c>
    </row>
    <row r="280" spans="1:12" x14ac:dyDescent="0.45">
      <c r="A280" t="s">
        <v>1040</v>
      </c>
      <c r="B280" t="s">
        <v>14</v>
      </c>
      <c r="C280" t="s">
        <v>785</v>
      </c>
      <c r="D280" t="s">
        <v>607</v>
      </c>
      <c r="E280">
        <v>173702</v>
      </c>
      <c r="F280">
        <v>181298</v>
      </c>
      <c r="G280">
        <v>181226</v>
      </c>
      <c r="H280">
        <v>72</v>
      </c>
      <c r="I280">
        <v>2007</v>
      </c>
      <c r="J280">
        <v>68</v>
      </c>
      <c r="K280">
        <f>allFYsTable[[#This Row],[Actual]]-allFYsTable[[#This Row],[OriginalBudget]]</f>
        <v>7524</v>
      </c>
      <c r="L280" s="11">
        <f>allFYsTable[[#This Row],[DiffAmount]]/allFYsTable[[#This Row],[OriginalBudget]]</f>
        <v>4.3315563436229866E-2</v>
      </c>
    </row>
    <row r="281" spans="1:12" x14ac:dyDescent="0.45">
      <c r="A281" t="s">
        <v>1040</v>
      </c>
      <c r="B281" t="s">
        <v>14</v>
      </c>
      <c r="C281" t="s">
        <v>787</v>
      </c>
      <c r="D281" t="s">
        <v>668</v>
      </c>
      <c r="E281">
        <v>173304</v>
      </c>
      <c r="F281">
        <v>188022</v>
      </c>
      <c r="G281">
        <v>186058</v>
      </c>
      <c r="H281">
        <v>1964</v>
      </c>
      <c r="I281">
        <v>2007</v>
      </c>
      <c r="J281">
        <v>69</v>
      </c>
      <c r="K281">
        <f>allFYsTable[[#This Row],[Actual]]-allFYsTable[[#This Row],[OriginalBudget]]</f>
        <v>12754</v>
      </c>
      <c r="L281" s="11">
        <f>allFYsTable[[#This Row],[DiffAmount]]/allFYsTable[[#This Row],[OriginalBudget]]</f>
        <v>7.3593223468586988E-2</v>
      </c>
    </row>
    <row r="282" spans="1:12" x14ac:dyDescent="0.45">
      <c r="A282" t="s">
        <v>1040</v>
      </c>
      <c r="B282" t="s">
        <v>14</v>
      </c>
      <c r="C282" t="s">
        <v>788</v>
      </c>
      <c r="D282" t="s">
        <v>610</v>
      </c>
      <c r="E282">
        <v>594624</v>
      </c>
      <c r="F282">
        <v>623881</v>
      </c>
      <c r="G282">
        <v>618367</v>
      </c>
      <c r="H282">
        <v>5514</v>
      </c>
      <c r="I282">
        <v>2007</v>
      </c>
      <c r="J282">
        <v>70</v>
      </c>
      <c r="K282">
        <f>allFYsTable[[#This Row],[Actual]]-allFYsTable[[#This Row],[OriginalBudget]]</f>
        <v>23743</v>
      </c>
      <c r="L282" s="11">
        <f>allFYsTable[[#This Row],[DiffAmount]]/allFYsTable[[#This Row],[OriginalBudget]]</f>
        <v>3.9929434398880637E-2</v>
      </c>
    </row>
    <row r="283" spans="1:12" x14ac:dyDescent="0.45">
      <c r="A283" t="s">
        <v>1040</v>
      </c>
      <c r="B283" t="s">
        <v>14</v>
      </c>
      <c r="C283" t="s">
        <v>770</v>
      </c>
      <c r="D283" t="s">
        <v>611</v>
      </c>
      <c r="E283">
        <v>42085</v>
      </c>
      <c r="F283">
        <v>47065</v>
      </c>
      <c r="G283">
        <v>46431</v>
      </c>
      <c r="H283">
        <v>634</v>
      </c>
      <c r="I283">
        <v>2007</v>
      </c>
      <c r="J283">
        <v>71</v>
      </c>
      <c r="K283">
        <f>allFYsTable[[#This Row],[Actual]]-allFYsTable[[#This Row],[OriginalBudget]]</f>
        <v>4346</v>
      </c>
      <c r="L283" s="11">
        <f>allFYsTable[[#This Row],[DiffAmount]]/allFYsTable[[#This Row],[OriginalBudget]]</f>
        <v>0.10326719733871925</v>
      </c>
    </row>
    <row r="284" spans="1:12" x14ac:dyDescent="0.45">
      <c r="A284" t="s">
        <v>1040</v>
      </c>
      <c r="B284" t="s">
        <v>14</v>
      </c>
      <c r="C284" t="s">
        <v>786</v>
      </c>
      <c r="D284" t="s">
        <v>612</v>
      </c>
      <c r="E284">
        <v>16729</v>
      </c>
      <c r="F284">
        <v>16784</v>
      </c>
      <c r="G284">
        <v>16460</v>
      </c>
      <c r="H284">
        <v>324</v>
      </c>
      <c r="I284">
        <v>2007</v>
      </c>
      <c r="J284">
        <v>72</v>
      </c>
      <c r="K284">
        <f>allFYsTable[[#This Row],[Actual]]-allFYsTable[[#This Row],[OriginalBudget]]</f>
        <v>-269</v>
      </c>
      <c r="L284" s="11">
        <f>allFYsTable[[#This Row],[DiffAmount]]/allFYsTable[[#This Row],[OriginalBudget]]</f>
        <v>-1.6079861318668179E-2</v>
      </c>
    </row>
    <row r="285" spans="1:12" x14ac:dyDescent="0.45">
      <c r="A285" t="s">
        <v>1040</v>
      </c>
      <c r="B285" t="s">
        <v>14</v>
      </c>
      <c r="C285" t="s">
        <v>783</v>
      </c>
      <c r="D285" t="s">
        <v>669</v>
      </c>
      <c r="E285">
        <v>5800</v>
      </c>
      <c r="F285">
        <v>5800</v>
      </c>
      <c r="G285">
        <v>5250</v>
      </c>
      <c r="H285">
        <v>550</v>
      </c>
      <c r="I285">
        <v>2007</v>
      </c>
      <c r="J285">
        <v>73</v>
      </c>
      <c r="K285">
        <f>allFYsTable[[#This Row],[Actual]]-allFYsTable[[#This Row],[OriginalBudget]]</f>
        <v>-550</v>
      </c>
      <c r="L285" s="11">
        <f>allFYsTable[[#This Row],[DiffAmount]]/allFYsTable[[#This Row],[OriginalBudget]]</f>
        <v>-9.4827586206896547E-2</v>
      </c>
    </row>
    <row r="286" spans="1:12" x14ac:dyDescent="0.45">
      <c r="A286" t="s">
        <v>1040</v>
      </c>
      <c r="B286" t="s">
        <v>14</v>
      </c>
      <c r="C286" t="s">
        <v>706</v>
      </c>
      <c r="D286" t="s">
        <v>670</v>
      </c>
      <c r="E286">
        <v>30280</v>
      </c>
      <c r="F286">
        <v>24851</v>
      </c>
      <c r="G286">
        <v>24851</v>
      </c>
      <c r="H286">
        <v>0</v>
      </c>
      <c r="I286">
        <v>2007</v>
      </c>
      <c r="J286">
        <v>74</v>
      </c>
      <c r="K286">
        <f>allFYsTable[[#This Row],[Actual]]-allFYsTable[[#This Row],[OriginalBudget]]</f>
        <v>-5429</v>
      </c>
      <c r="L286" s="11">
        <f>allFYsTable[[#This Row],[DiffAmount]]/allFYsTable[[#This Row],[OriginalBudget]]</f>
        <v>-0.17929326287978864</v>
      </c>
    </row>
    <row r="287" spans="1:12" x14ac:dyDescent="0.45">
      <c r="A287" t="s">
        <v>1040</v>
      </c>
      <c r="B287" t="s">
        <v>14</v>
      </c>
      <c r="C287" t="s">
        <v>760</v>
      </c>
      <c r="D287" t="s">
        <v>615</v>
      </c>
      <c r="E287">
        <v>2487</v>
      </c>
      <c r="F287">
        <v>2499</v>
      </c>
      <c r="G287">
        <v>2359</v>
      </c>
      <c r="H287">
        <v>140</v>
      </c>
      <c r="I287">
        <v>2007</v>
      </c>
      <c r="J287">
        <v>75</v>
      </c>
      <c r="K287">
        <f>allFYsTable[[#This Row],[Actual]]-allFYsTable[[#This Row],[OriginalBudget]]</f>
        <v>-128</v>
      </c>
      <c r="L287" s="11">
        <f>allFYsTable[[#This Row],[DiffAmount]]/allFYsTable[[#This Row],[OriginalBudget]]</f>
        <v>-5.1467631684760755E-2</v>
      </c>
    </row>
    <row r="288" spans="1:12" x14ac:dyDescent="0.45">
      <c r="A288" t="s">
        <v>1040</v>
      </c>
      <c r="B288" t="s">
        <v>14</v>
      </c>
      <c r="C288" t="s">
        <v>828</v>
      </c>
      <c r="D288" t="s">
        <v>219</v>
      </c>
      <c r="E288">
        <v>8507</v>
      </c>
      <c r="F288">
        <v>13092</v>
      </c>
      <c r="G288">
        <v>13092</v>
      </c>
      <c r="H288">
        <v>0</v>
      </c>
      <c r="I288">
        <v>2007</v>
      </c>
      <c r="J288">
        <v>76</v>
      </c>
      <c r="K288">
        <f>allFYsTable[[#This Row],[Actual]]-allFYsTable[[#This Row],[OriginalBudget]]</f>
        <v>4585</v>
      </c>
      <c r="L288" s="11">
        <f>allFYsTable[[#This Row],[DiffAmount]]/allFYsTable[[#This Row],[OriginalBudget]]</f>
        <v>0.53896790878100387</v>
      </c>
    </row>
    <row r="289" spans="1:12" x14ac:dyDescent="0.45">
      <c r="A289" t="s">
        <v>1040</v>
      </c>
      <c r="B289" t="s">
        <v>14</v>
      </c>
      <c r="C289" t="s">
        <v>729</v>
      </c>
      <c r="D289" t="s">
        <v>616</v>
      </c>
      <c r="E289">
        <v>4247</v>
      </c>
      <c r="F289">
        <v>4285</v>
      </c>
      <c r="G289">
        <v>4130</v>
      </c>
      <c r="H289">
        <v>155</v>
      </c>
      <c r="I289">
        <v>2007</v>
      </c>
      <c r="J289">
        <v>77</v>
      </c>
      <c r="K289">
        <f>allFYsTable[[#This Row],[Actual]]-allFYsTable[[#This Row],[OriginalBudget]]</f>
        <v>-117</v>
      </c>
      <c r="L289" s="11">
        <f>allFYsTable[[#This Row],[DiffAmount]]/allFYsTable[[#This Row],[OriginalBudget]]</f>
        <v>-2.7548858017424065E-2</v>
      </c>
    </row>
    <row r="290" spans="1:12" x14ac:dyDescent="0.45">
      <c r="A290" t="s">
        <v>1040</v>
      </c>
      <c r="B290" t="s">
        <v>14</v>
      </c>
      <c r="C290" t="s">
        <v>798</v>
      </c>
      <c r="D290" t="s">
        <v>682</v>
      </c>
      <c r="E290">
        <v>3981</v>
      </c>
      <c r="F290">
        <v>0</v>
      </c>
      <c r="G290">
        <v>0</v>
      </c>
      <c r="H290">
        <v>0</v>
      </c>
      <c r="I290">
        <v>2007</v>
      </c>
      <c r="J290">
        <v>78</v>
      </c>
      <c r="K290">
        <f>allFYsTable[[#This Row],[Actual]]-allFYsTable[[#This Row],[OriginalBudget]]</f>
        <v>-3981</v>
      </c>
      <c r="L290" s="11">
        <f>allFYsTable[[#This Row],[DiffAmount]]/allFYsTable[[#This Row],[OriginalBudget]]</f>
        <v>-1</v>
      </c>
    </row>
    <row r="291" spans="1:12" x14ac:dyDescent="0.45">
      <c r="A291" t="s">
        <v>1040</v>
      </c>
      <c r="B291" t="s">
        <v>14</v>
      </c>
      <c r="C291" t="s">
        <v>728</v>
      </c>
      <c r="D291" t="s">
        <v>671</v>
      </c>
      <c r="E291">
        <v>813</v>
      </c>
      <c r="F291">
        <v>857</v>
      </c>
      <c r="G291">
        <v>814</v>
      </c>
      <c r="H291">
        <v>43</v>
      </c>
      <c r="I291">
        <v>2007</v>
      </c>
      <c r="J291">
        <v>79</v>
      </c>
      <c r="K291">
        <f>allFYsTable[[#This Row],[Actual]]-allFYsTable[[#This Row],[OriginalBudget]]</f>
        <v>1</v>
      </c>
      <c r="L291" s="11">
        <f>allFYsTable[[#This Row],[DiffAmount]]/allFYsTable[[#This Row],[OriginalBudget]]</f>
        <v>1.2300123001230013E-3</v>
      </c>
    </row>
    <row r="292" spans="1:12" x14ac:dyDescent="0.45">
      <c r="A292" t="s">
        <v>1040</v>
      </c>
      <c r="B292" t="s">
        <v>14</v>
      </c>
      <c r="C292" t="s">
        <v>727</v>
      </c>
      <c r="D292" t="s">
        <v>672</v>
      </c>
      <c r="E292">
        <v>302</v>
      </c>
      <c r="F292">
        <v>326</v>
      </c>
      <c r="G292">
        <v>306</v>
      </c>
      <c r="H292">
        <v>20</v>
      </c>
      <c r="I292">
        <v>2007</v>
      </c>
      <c r="J292">
        <v>80</v>
      </c>
      <c r="K292">
        <f>allFYsTable[[#This Row],[Actual]]-allFYsTable[[#This Row],[OriginalBudget]]</f>
        <v>4</v>
      </c>
      <c r="L292" s="11">
        <f>allFYsTable[[#This Row],[DiffAmount]]/allFYsTable[[#This Row],[OriginalBudget]]</f>
        <v>1.3245033112582781E-2</v>
      </c>
    </row>
    <row r="293" spans="1:12" x14ac:dyDescent="0.45">
      <c r="A293" t="s">
        <v>1040</v>
      </c>
      <c r="B293" t="s">
        <v>14</v>
      </c>
      <c r="C293" t="s">
        <v>752</v>
      </c>
      <c r="D293" t="s">
        <v>673</v>
      </c>
      <c r="E293">
        <v>67929</v>
      </c>
      <c r="F293">
        <v>74644</v>
      </c>
      <c r="G293">
        <v>73936</v>
      </c>
      <c r="H293">
        <v>708</v>
      </c>
      <c r="I293">
        <v>2007</v>
      </c>
      <c r="J293">
        <v>81</v>
      </c>
      <c r="K293">
        <f>allFYsTable[[#This Row],[Actual]]-allFYsTable[[#This Row],[OriginalBudget]]</f>
        <v>6007</v>
      </c>
      <c r="L293" s="11">
        <f>allFYsTable[[#This Row],[DiffAmount]]/allFYsTable[[#This Row],[OriginalBudget]]</f>
        <v>8.8430567209880906E-2</v>
      </c>
    </row>
    <row r="294" spans="1:12" x14ac:dyDescent="0.45">
      <c r="A294" t="s">
        <v>1040</v>
      </c>
      <c r="B294" t="s">
        <v>14</v>
      </c>
      <c r="C294" t="s">
        <v>1041</v>
      </c>
      <c r="D294" t="s">
        <v>683</v>
      </c>
      <c r="E294">
        <v>0</v>
      </c>
      <c r="F294">
        <v>26927</v>
      </c>
      <c r="G294">
        <v>26927</v>
      </c>
      <c r="H294">
        <v>0</v>
      </c>
      <c r="I294">
        <v>2007</v>
      </c>
      <c r="J294">
        <v>82</v>
      </c>
      <c r="K294">
        <f>allFYsTable[[#This Row],[Actual]]-allFYsTable[[#This Row],[OriginalBudget]]</f>
        <v>26927</v>
      </c>
      <c r="L294" s="11" t="e">
        <f>allFYsTable[[#This Row],[DiffAmount]]/allFYsTable[[#This Row],[OriginalBudget]]</f>
        <v>#DIV/0!</v>
      </c>
    </row>
    <row r="295" spans="1:12" x14ac:dyDescent="0.45">
      <c r="A295" t="s">
        <v>1040</v>
      </c>
      <c r="B295" t="s">
        <v>14</v>
      </c>
      <c r="C295" t="s">
        <v>884</v>
      </c>
      <c r="D295" t="s">
        <v>684</v>
      </c>
      <c r="E295">
        <v>0</v>
      </c>
      <c r="F295">
        <v>0</v>
      </c>
      <c r="G295">
        <v>6813</v>
      </c>
      <c r="H295">
        <v>-6813</v>
      </c>
      <c r="I295">
        <v>2007</v>
      </c>
      <c r="J295">
        <v>83</v>
      </c>
      <c r="K295">
        <f>allFYsTable[[#This Row],[Actual]]-allFYsTable[[#This Row],[OriginalBudget]]</f>
        <v>6813</v>
      </c>
      <c r="L295" s="11" t="e">
        <f>allFYsTable[[#This Row],[DiffAmount]]/allFYsTable[[#This Row],[OriginalBudget]]</f>
        <v>#DIV/0!</v>
      </c>
    </row>
    <row r="296" spans="1:12" x14ac:dyDescent="0.45">
      <c r="A296" t="s">
        <v>1040</v>
      </c>
      <c r="B296" t="s">
        <v>530</v>
      </c>
      <c r="C296" t="s">
        <v>802</v>
      </c>
      <c r="D296" t="s">
        <v>182</v>
      </c>
      <c r="E296">
        <v>105361</v>
      </c>
      <c r="F296">
        <v>109534</v>
      </c>
      <c r="G296">
        <v>106156</v>
      </c>
      <c r="H296">
        <v>3378</v>
      </c>
      <c r="I296">
        <v>2007</v>
      </c>
      <c r="J296">
        <v>84</v>
      </c>
      <c r="K296">
        <f>allFYsTable[[#This Row],[Actual]]-allFYsTable[[#This Row],[OriginalBudget]]</f>
        <v>795</v>
      </c>
      <c r="L296" s="11">
        <f>allFYsTable[[#This Row],[DiffAmount]]/allFYsTable[[#This Row],[OriginalBudget]]</f>
        <v>7.5454864703258318E-3</v>
      </c>
    </row>
    <row r="297" spans="1:12" x14ac:dyDescent="0.45">
      <c r="A297" t="s">
        <v>1040</v>
      </c>
      <c r="B297" t="s">
        <v>530</v>
      </c>
      <c r="C297" t="s">
        <v>803</v>
      </c>
      <c r="D297" t="s">
        <v>155</v>
      </c>
      <c r="E297">
        <v>0</v>
      </c>
      <c r="F297">
        <v>0</v>
      </c>
      <c r="G297">
        <v>-6</v>
      </c>
      <c r="H297">
        <v>6</v>
      </c>
      <c r="I297">
        <v>2007</v>
      </c>
      <c r="J297">
        <v>85</v>
      </c>
      <c r="K297">
        <f>allFYsTable[[#This Row],[Actual]]-allFYsTable[[#This Row],[OriginalBudget]]</f>
        <v>-6</v>
      </c>
      <c r="L297" s="11" t="e">
        <f>allFYsTable[[#This Row],[DiffAmount]]/allFYsTable[[#This Row],[OriginalBudget]]</f>
        <v>#DIV/0!</v>
      </c>
    </row>
    <row r="298" spans="1:12" x14ac:dyDescent="0.45">
      <c r="A298" t="s">
        <v>1040</v>
      </c>
      <c r="B298" t="s">
        <v>530</v>
      </c>
      <c r="C298" t="s">
        <v>801</v>
      </c>
      <c r="D298" t="s">
        <v>77</v>
      </c>
      <c r="E298">
        <v>32658</v>
      </c>
      <c r="F298">
        <v>32798</v>
      </c>
      <c r="G298">
        <v>31528</v>
      </c>
      <c r="H298">
        <v>1270</v>
      </c>
      <c r="I298">
        <v>2007</v>
      </c>
      <c r="J298">
        <v>86</v>
      </c>
      <c r="K298">
        <f>allFYsTable[[#This Row],[Actual]]-allFYsTable[[#This Row],[OriginalBudget]]</f>
        <v>-1130</v>
      </c>
      <c r="L298" s="11">
        <f>allFYsTable[[#This Row],[DiffAmount]]/allFYsTable[[#This Row],[OriginalBudget]]</f>
        <v>-3.460101659623982E-2</v>
      </c>
    </row>
    <row r="299" spans="1:12" x14ac:dyDescent="0.45">
      <c r="A299" t="s">
        <v>1040</v>
      </c>
      <c r="B299" t="s">
        <v>530</v>
      </c>
      <c r="C299" t="s">
        <v>799</v>
      </c>
      <c r="D299" t="s">
        <v>675</v>
      </c>
      <c r="E299">
        <v>857</v>
      </c>
      <c r="F299">
        <v>857</v>
      </c>
      <c r="G299">
        <v>805</v>
      </c>
      <c r="H299">
        <v>52</v>
      </c>
      <c r="I299">
        <v>2007</v>
      </c>
      <c r="J299">
        <v>87</v>
      </c>
      <c r="K299">
        <f>allFYsTable[[#This Row],[Actual]]-allFYsTable[[#This Row],[OriginalBudget]]</f>
        <v>-52</v>
      </c>
      <c r="L299" s="11">
        <f>allFYsTable[[#This Row],[DiffAmount]]/allFYsTable[[#This Row],[OriginalBudget]]</f>
        <v>-6.0676779463243874E-2</v>
      </c>
    </row>
    <row r="300" spans="1:12" x14ac:dyDescent="0.45">
      <c r="A300" t="s">
        <v>1040</v>
      </c>
      <c r="B300" t="s">
        <v>530</v>
      </c>
      <c r="C300" t="s">
        <v>808</v>
      </c>
      <c r="D300" t="s">
        <v>676</v>
      </c>
      <c r="E300">
        <v>110</v>
      </c>
      <c r="F300">
        <v>110</v>
      </c>
      <c r="G300">
        <v>110</v>
      </c>
      <c r="H300">
        <v>0</v>
      </c>
      <c r="I300">
        <v>2007</v>
      </c>
      <c r="J300">
        <v>88</v>
      </c>
      <c r="K300">
        <f>allFYsTable[[#This Row],[Actual]]-allFYsTable[[#This Row],[OriginalBudget]]</f>
        <v>0</v>
      </c>
      <c r="L300" s="11">
        <f>allFYsTable[[#This Row],[DiffAmount]]/allFYsTable[[#This Row],[OriginalBudget]]</f>
        <v>0</v>
      </c>
    </row>
    <row r="301" spans="1:12" x14ac:dyDescent="0.45">
      <c r="A301" t="s">
        <v>1040</v>
      </c>
      <c r="B301" t="s">
        <v>530</v>
      </c>
      <c r="C301" t="s">
        <v>807</v>
      </c>
      <c r="D301" t="s">
        <v>17</v>
      </c>
      <c r="E301">
        <v>198487</v>
      </c>
      <c r="F301">
        <v>198487</v>
      </c>
      <c r="G301">
        <v>198484</v>
      </c>
      <c r="H301">
        <v>3</v>
      </c>
      <c r="I301">
        <v>2007</v>
      </c>
      <c r="J301">
        <v>89</v>
      </c>
      <c r="K301">
        <f>allFYsTable[[#This Row],[Actual]]-allFYsTable[[#This Row],[OriginalBudget]]</f>
        <v>-3</v>
      </c>
      <c r="L301" s="11">
        <f>allFYsTable[[#This Row],[DiffAmount]]/allFYsTable[[#This Row],[OriginalBudget]]</f>
        <v>-1.5114339981963555E-5</v>
      </c>
    </row>
    <row r="302" spans="1:12" x14ac:dyDescent="0.45">
      <c r="A302" t="s">
        <v>1040</v>
      </c>
      <c r="B302" t="s">
        <v>530</v>
      </c>
      <c r="C302" t="s">
        <v>798</v>
      </c>
      <c r="D302" t="s">
        <v>1018</v>
      </c>
      <c r="E302">
        <v>8754</v>
      </c>
      <c r="F302">
        <v>12927</v>
      </c>
      <c r="G302">
        <v>11421</v>
      </c>
      <c r="H302">
        <v>1506</v>
      </c>
      <c r="I302">
        <v>2007</v>
      </c>
      <c r="J302">
        <v>90</v>
      </c>
      <c r="K302">
        <f>allFYsTable[[#This Row],[Actual]]-allFYsTable[[#This Row],[OriginalBudget]]</f>
        <v>2667</v>
      </c>
      <c r="L302" s="11">
        <f>allFYsTable[[#This Row],[DiffAmount]]/allFYsTable[[#This Row],[OriginalBudget]]</f>
        <v>0.30466072652501713</v>
      </c>
    </row>
    <row r="303" spans="1:12" x14ac:dyDescent="0.45">
      <c r="A303" t="s">
        <v>1040</v>
      </c>
      <c r="B303" t="s">
        <v>530</v>
      </c>
      <c r="C303" s="12" t="s">
        <v>807</v>
      </c>
      <c r="D303" t="s">
        <v>626</v>
      </c>
      <c r="E303">
        <v>5169</v>
      </c>
      <c r="F303">
        <v>5169</v>
      </c>
      <c r="G303">
        <v>5092</v>
      </c>
      <c r="H303">
        <v>77</v>
      </c>
      <c r="I303">
        <v>2007</v>
      </c>
      <c r="J303">
        <v>91</v>
      </c>
      <c r="K303">
        <f>allFYsTable[[#This Row],[Actual]]-allFYsTable[[#This Row],[OriginalBudget]]</f>
        <v>-77</v>
      </c>
      <c r="L303" s="11">
        <f>allFYsTable[[#This Row],[DiffAmount]]/allFYsTable[[#This Row],[OriginalBudget]]</f>
        <v>-1.489649835558135E-2</v>
      </c>
    </row>
    <row r="304" spans="1:12" x14ac:dyDescent="0.45">
      <c r="A304" t="s">
        <v>1040</v>
      </c>
      <c r="B304" t="s">
        <v>10</v>
      </c>
      <c r="C304" t="s">
        <v>829</v>
      </c>
      <c r="D304" t="s">
        <v>627</v>
      </c>
      <c r="E304">
        <v>6000</v>
      </c>
      <c r="F304">
        <v>4750</v>
      </c>
      <c r="G304">
        <v>0</v>
      </c>
      <c r="H304">
        <v>4750</v>
      </c>
      <c r="I304">
        <v>2007</v>
      </c>
      <c r="J304">
        <v>92</v>
      </c>
      <c r="K304">
        <f>allFYsTable[[#This Row],[Actual]]-allFYsTable[[#This Row],[OriginalBudget]]</f>
        <v>-6000</v>
      </c>
      <c r="L304" s="11">
        <f>allFYsTable[[#This Row],[DiffAmount]]/allFYsTable[[#This Row],[OriginalBudget]]</f>
        <v>-1</v>
      </c>
    </row>
    <row r="305" spans="1:12" x14ac:dyDescent="0.45">
      <c r="A305" t="s">
        <v>1040</v>
      </c>
      <c r="B305" t="s">
        <v>10</v>
      </c>
      <c r="C305" t="s">
        <v>775</v>
      </c>
      <c r="D305" t="s">
        <v>628</v>
      </c>
      <c r="E305">
        <v>405114</v>
      </c>
      <c r="F305">
        <v>389016</v>
      </c>
      <c r="G305">
        <v>386245</v>
      </c>
      <c r="H305">
        <v>2771</v>
      </c>
      <c r="I305">
        <v>2007</v>
      </c>
      <c r="J305">
        <v>93</v>
      </c>
      <c r="K305">
        <f>allFYsTable[[#This Row],[Actual]]-allFYsTable[[#This Row],[OriginalBudget]]</f>
        <v>-18869</v>
      </c>
      <c r="L305" s="11">
        <f>allFYsTable[[#This Row],[DiffAmount]]/allFYsTable[[#This Row],[OriginalBudget]]</f>
        <v>-4.6577012890198811E-2</v>
      </c>
    </row>
    <row r="306" spans="1:12" x14ac:dyDescent="0.45">
      <c r="A306" t="s">
        <v>1040</v>
      </c>
      <c r="B306" t="s">
        <v>10</v>
      </c>
      <c r="C306" t="s">
        <v>817</v>
      </c>
      <c r="D306" t="s">
        <v>629</v>
      </c>
      <c r="E306">
        <v>30000</v>
      </c>
      <c r="F306">
        <v>30000</v>
      </c>
      <c r="G306">
        <v>6406</v>
      </c>
      <c r="H306">
        <v>23594</v>
      </c>
      <c r="I306">
        <v>2007</v>
      </c>
      <c r="J306">
        <v>94</v>
      </c>
      <c r="K306">
        <f>allFYsTable[[#This Row],[Actual]]-allFYsTable[[#This Row],[OriginalBudget]]</f>
        <v>-23594</v>
      </c>
      <c r="L306" s="11">
        <f>allFYsTable[[#This Row],[DiffAmount]]/allFYsTable[[#This Row],[OriginalBudget]]</f>
        <v>-0.78646666666666665</v>
      </c>
    </row>
    <row r="307" spans="1:12" x14ac:dyDescent="0.45">
      <c r="A307" t="s">
        <v>1040</v>
      </c>
      <c r="B307" t="s">
        <v>10</v>
      </c>
      <c r="C307" t="s">
        <v>830</v>
      </c>
      <c r="D307" t="s">
        <v>630</v>
      </c>
      <c r="E307">
        <v>8000</v>
      </c>
      <c r="F307">
        <v>8460</v>
      </c>
      <c r="G307">
        <v>8455</v>
      </c>
      <c r="H307">
        <v>5</v>
      </c>
      <c r="I307">
        <v>2007</v>
      </c>
      <c r="J307">
        <v>95</v>
      </c>
      <c r="K307">
        <f>allFYsTable[[#This Row],[Actual]]-allFYsTable[[#This Row],[OriginalBudget]]</f>
        <v>455</v>
      </c>
      <c r="L307" s="11">
        <f>allFYsTable[[#This Row],[DiffAmount]]/allFYsTable[[#This Row],[OriginalBudget]]</f>
        <v>5.6875000000000002E-2</v>
      </c>
    </row>
    <row r="308" spans="1:12" x14ac:dyDescent="0.45">
      <c r="A308" t="s">
        <v>1040</v>
      </c>
      <c r="B308" t="s">
        <v>10</v>
      </c>
      <c r="C308" t="s">
        <v>831</v>
      </c>
      <c r="D308" t="s">
        <v>698</v>
      </c>
      <c r="E308">
        <v>31225</v>
      </c>
      <c r="F308">
        <v>30575</v>
      </c>
      <c r="G308">
        <v>30448</v>
      </c>
      <c r="H308">
        <v>127</v>
      </c>
      <c r="I308">
        <v>2007</v>
      </c>
      <c r="J308">
        <v>96</v>
      </c>
      <c r="K308">
        <f>allFYsTable[[#This Row],[Actual]]-allFYsTable[[#This Row],[OriginalBudget]]</f>
        <v>-777</v>
      </c>
      <c r="L308" s="11">
        <f>allFYsTable[[#This Row],[DiffAmount]]/allFYsTable[[#This Row],[OriginalBudget]]</f>
        <v>-2.4883907125700561E-2</v>
      </c>
    </row>
    <row r="309" spans="1:12" x14ac:dyDescent="0.45">
      <c r="A309" t="s">
        <v>1040</v>
      </c>
      <c r="B309" t="s">
        <v>10</v>
      </c>
      <c r="C309" t="s">
        <v>819</v>
      </c>
      <c r="D309" t="s">
        <v>1014</v>
      </c>
      <c r="E309">
        <v>15655</v>
      </c>
      <c r="F309">
        <v>25047</v>
      </c>
      <c r="G309">
        <v>25029</v>
      </c>
      <c r="H309">
        <v>18</v>
      </c>
      <c r="I309">
        <v>2007</v>
      </c>
      <c r="J309">
        <v>97</v>
      </c>
      <c r="K309">
        <f>allFYsTable[[#This Row],[Actual]]-allFYsTable[[#This Row],[OriginalBudget]]</f>
        <v>9374</v>
      </c>
      <c r="L309" s="11">
        <f>allFYsTable[[#This Row],[DiffAmount]]/allFYsTable[[#This Row],[OriginalBudget]]</f>
        <v>0.59878633024592787</v>
      </c>
    </row>
    <row r="310" spans="1:12" x14ac:dyDescent="0.45">
      <c r="A310" t="s">
        <v>1040</v>
      </c>
      <c r="B310" t="s">
        <v>10</v>
      </c>
      <c r="C310" t="s">
        <v>812</v>
      </c>
      <c r="D310" t="s">
        <v>631</v>
      </c>
      <c r="E310">
        <v>0</v>
      </c>
      <c r="F310">
        <v>0</v>
      </c>
      <c r="G310">
        <v>0</v>
      </c>
      <c r="H310">
        <v>0</v>
      </c>
      <c r="I310">
        <v>2007</v>
      </c>
      <c r="J310">
        <v>98</v>
      </c>
      <c r="K310">
        <f>allFYsTable[[#This Row],[Actual]]-allFYsTable[[#This Row],[OriginalBudget]]</f>
        <v>0</v>
      </c>
      <c r="L310" s="11" t="e">
        <f>allFYsTable[[#This Row],[DiffAmount]]/allFYsTable[[#This Row],[OriginalBudget]]</f>
        <v>#DIV/0!</v>
      </c>
    </row>
    <row r="311" spans="1:12" x14ac:dyDescent="0.45">
      <c r="A311" t="s">
        <v>1040</v>
      </c>
      <c r="B311" t="s">
        <v>10</v>
      </c>
      <c r="C311" t="s">
        <v>814</v>
      </c>
      <c r="D311" t="s">
        <v>632</v>
      </c>
      <c r="E311">
        <v>4211</v>
      </c>
      <c r="F311">
        <v>3961</v>
      </c>
      <c r="G311">
        <v>3763</v>
      </c>
      <c r="H311">
        <v>198</v>
      </c>
      <c r="I311">
        <v>2007</v>
      </c>
      <c r="J311">
        <v>99</v>
      </c>
      <c r="K311">
        <f>allFYsTable[[#This Row],[Actual]]-allFYsTable[[#This Row],[OriginalBudget]]</f>
        <v>-448</v>
      </c>
      <c r="L311" s="11">
        <f>allFYsTable[[#This Row],[DiffAmount]]/allFYsTable[[#This Row],[OriginalBudget]]</f>
        <v>-0.10638803134647352</v>
      </c>
    </row>
    <row r="312" spans="1:12" x14ac:dyDescent="0.45">
      <c r="A312" t="s">
        <v>1040</v>
      </c>
      <c r="B312" t="s">
        <v>10</v>
      </c>
      <c r="C312" t="s">
        <v>821</v>
      </c>
      <c r="D312" t="s">
        <v>634</v>
      </c>
      <c r="E312">
        <v>38500</v>
      </c>
      <c r="F312">
        <v>7873</v>
      </c>
      <c r="G312">
        <v>0</v>
      </c>
      <c r="H312">
        <v>7873</v>
      </c>
      <c r="I312">
        <v>2007</v>
      </c>
      <c r="J312">
        <v>100</v>
      </c>
      <c r="K312">
        <f>allFYsTable[[#This Row],[Actual]]-allFYsTable[[#This Row],[OriginalBudget]]</f>
        <v>-38500</v>
      </c>
      <c r="L312" s="11">
        <f>allFYsTable[[#This Row],[DiffAmount]]/allFYsTable[[#This Row],[OriginalBudget]]</f>
        <v>-1</v>
      </c>
    </row>
    <row r="313" spans="1:12" x14ac:dyDescent="0.45">
      <c r="A313" t="s">
        <v>1040</v>
      </c>
      <c r="B313" t="s">
        <v>10</v>
      </c>
      <c r="C313" t="s">
        <v>885</v>
      </c>
      <c r="D313" t="s">
        <v>685</v>
      </c>
      <c r="E313">
        <v>0</v>
      </c>
      <c r="F313">
        <v>0</v>
      </c>
      <c r="G313">
        <v>8838</v>
      </c>
      <c r="H313">
        <v>-8838</v>
      </c>
      <c r="I313">
        <v>2007</v>
      </c>
      <c r="J313">
        <v>101</v>
      </c>
      <c r="K313">
        <f>allFYsTable[[#This Row],[Actual]]-allFYsTable[[#This Row],[OriginalBudget]]</f>
        <v>8838</v>
      </c>
      <c r="L313" s="11" t="e">
        <f>allFYsTable[[#This Row],[DiffAmount]]/allFYsTable[[#This Row],[OriginalBudget]]</f>
        <v>#DIV/0!</v>
      </c>
    </row>
    <row r="314" spans="1:12" x14ac:dyDescent="0.45">
      <c r="A314" t="s">
        <v>1040</v>
      </c>
      <c r="B314" t="s">
        <v>10</v>
      </c>
      <c r="C314" t="s">
        <v>832</v>
      </c>
      <c r="D314" t="s">
        <v>546</v>
      </c>
      <c r="E314">
        <v>43955</v>
      </c>
      <c r="F314">
        <v>22028</v>
      </c>
      <c r="G314">
        <v>21893</v>
      </c>
      <c r="H314">
        <v>135</v>
      </c>
      <c r="I314">
        <v>2007</v>
      </c>
      <c r="J314">
        <v>102</v>
      </c>
      <c r="K314">
        <f>allFYsTable[[#This Row],[Actual]]-allFYsTable[[#This Row],[OriginalBudget]]</f>
        <v>-22062</v>
      </c>
      <c r="L314" s="11">
        <f>allFYsTable[[#This Row],[DiffAmount]]/allFYsTable[[#This Row],[OriginalBudget]]</f>
        <v>-0.5019224206574906</v>
      </c>
    </row>
    <row r="315" spans="1:12" x14ac:dyDescent="0.45">
      <c r="A315" t="s">
        <v>1040</v>
      </c>
      <c r="B315" t="s">
        <v>10</v>
      </c>
      <c r="C315" t="s">
        <v>816</v>
      </c>
      <c r="D315" t="s">
        <v>637</v>
      </c>
      <c r="E315">
        <v>87987</v>
      </c>
      <c r="F315">
        <v>118861</v>
      </c>
      <c r="G315">
        <v>118861</v>
      </c>
      <c r="H315">
        <v>0</v>
      </c>
      <c r="I315">
        <v>2007</v>
      </c>
      <c r="J315">
        <v>103</v>
      </c>
      <c r="K315">
        <f>allFYsTable[[#This Row],[Actual]]-allFYsTable[[#This Row],[OriginalBudget]]</f>
        <v>30874</v>
      </c>
      <c r="L315" s="11">
        <f>allFYsTable[[#This Row],[DiffAmount]]/allFYsTable[[#This Row],[OriginalBudget]]</f>
        <v>0.35089274551922445</v>
      </c>
    </row>
    <row r="316" spans="1:12" x14ac:dyDescent="0.45">
      <c r="A316" t="s">
        <v>1040</v>
      </c>
      <c r="B316" t="s">
        <v>10</v>
      </c>
      <c r="C316" t="s">
        <v>833</v>
      </c>
      <c r="D316" t="s">
        <v>677</v>
      </c>
      <c r="E316">
        <v>1650</v>
      </c>
      <c r="F316">
        <v>0</v>
      </c>
      <c r="G316">
        <v>0</v>
      </c>
      <c r="H316">
        <v>0</v>
      </c>
      <c r="I316">
        <v>2007</v>
      </c>
      <c r="J316">
        <v>104</v>
      </c>
      <c r="K316">
        <f>allFYsTable[[#This Row],[Actual]]-allFYsTable[[#This Row],[OriginalBudget]]</f>
        <v>-1650</v>
      </c>
      <c r="L316" s="11">
        <f>allFYsTable[[#This Row],[DiffAmount]]/allFYsTable[[#This Row],[OriginalBudget]]</f>
        <v>-1</v>
      </c>
    </row>
    <row r="317" spans="1:12" x14ac:dyDescent="0.45">
      <c r="A317" t="s">
        <v>1040</v>
      </c>
      <c r="B317" t="s">
        <v>10</v>
      </c>
      <c r="C317" t="s">
        <v>811</v>
      </c>
      <c r="D317" t="s">
        <v>638</v>
      </c>
      <c r="E317">
        <v>4700</v>
      </c>
      <c r="F317">
        <v>4700</v>
      </c>
      <c r="G317">
        <v>4700</v>
      </c>
      <c r="H317">
        <v>0</v>
      </c>
      <c r="I317">
        <v>2007</v>
      </c>
      <c r="J317">
        <v>105</v>
      </c>
      <c r="K317">
        <f>allFYsTable[[#This Row],[Actual]]-allFYsTable[[#This Row],[OriginalBudget]]</f>
        <v>0</v>
      </c>
      <c r="L317" s="11">
        <f>allFYsTable[[#This Row],[DiffAmount]]/allFYsTable[[#This Row],[OriginalBudget]]</f>
        <v>0</v>
      </c>
    </row>
    <row r="318" spans="1:12" x14ac:dyDescent="0.45">
      <c r="A318" t="s">
        <v>1040</v>
      </c>
      <c r="B318" t="s">
        <v>10</v>
      </c>
      <c r="C318" t="s">
        <v>834</v>
      </c>
      <c r="D318" t="s">
        <v>545</v>
      </c>
      <c r="E318">
        <v>50000</v>
      </c>
      <c r="F318">
        <v>500</v>
      </c>
      <c r="G318">
        <v>0</v>
      </c>
      <c r="H318">
        <v>500</v>
      </c>
      <c r="I318">
        <v>2007</v>
      </c>
      <c r="J318">
        <v>106</v>
      </c>
      <c r="K318">
        <f>allFYsTable[[#This Row],[Actual]]-allFYsTable[[#This Row],[OriginalBudget]]</f>
        <v>-50000</v>
      </c>
      <c r="L318" s="11">
        <f>allFYsTable[[#This Row],[DiffAmount]]/allFYsTable[[#This Row],[OriginalBudget]]</f>
        <v>-1</v>
      </c>
    </row>
    <row r="319" spans="1:12" x14ac:dyDescent="0.45">
      <c r="A319" t="s">
        <v>1040</v>
      </c>
      <c r="B319" t="s">
        <v>10</v>
      </c>
      <c r="C319" t="s">
        <v>815</v>
      </c>
      <c r="D319" t="s">
        <v>639</v>
      </c>
      <c r="E319">
        <v>22437</v>
      </c>
      <c r="F319">
        <v>191</v>
      </c>
      <c r="G319">
        <v>0</v>
      </c>
      <c r="H319">
        <v>191</v>
      </c>
      <c r="I319">
        <v>2007</v>
      </c>
      <c r="J319">
        <v>107</v>
      </c>
      <c r="K319">
        <f>allFYsTable[[#This Row],[Actual]]-allFYsTable[[#This Row],[OriginalBudget]]</f>
        <v>-22437</v>
      </c>
      <c r="L319" s="11">
        <f>allFYsTable[[#This Row],[DiffAmount]]/allFYsTable[[#This Row],[OriginalBudget]]</f>
        <v>-1</v>
      </c>
    </row>
    <row r="320" spans="1:12" x14ac:dyDescent="0.45">
      <c r="A320" t="s">
        <v>1040</v>
      </c>
      <c r="B320" t="s">
        <v>10</v>
      </c>
      <c r="C320" t="s">
        <v>835</v>
      </c>
      <c r="D320" t="s">
        <v>686</v>
      </c>
      <c r="E320">
        <v>0</v>
      </c>
      <c r="F320">
        <v>0</v>
      </c>
      <c r="G320">
        <v>0</v>
      </c>
      <c r="H320">
        <v>0</v>
      </c>
      <c r="I320">
        <v>2007</v>
      </c>
      <c r="J320">
        <v>108</v>
      </c>
      <c r="K320">
        <f>allFYsTable[[#This Row],[Actual]]-allFYsTable[[#This Row],[OriginalBudget]]</f>
        <v>0</v>
      </c>
      <c r="L320" s="11" t="e">
        <f>allFYsTable[[#This Row],[DiffAmount]]/allFYsTable[[#This Row],[OriginalBudget]]</f>
        <v>#DIV/0!</v>
      </c>
    </row>
    <row r="321" spans="1:12" x14ac:dyDescent="0.45">
      <c r="A321" t="s">
        <v>1040</v>
      </c>
      <c r="B321" t="s">
        <v>10</v>
      </c>
      <c r="C321" t="s">
        <v>825</v>
      </c>
      <c r="D321" t="s">
        <v>640</v>
      </c>
      <c r="E321">
        <v>0</v>
      </c>
      <c r="F321">
        <v>0</v>
      </c>
      <c r="G321">
        <v>0</v>
      </c>
      <c r="H321">
        <v>0</v>
      </c>
      <c r="I321">
        <v>2007</v>
      </c>
      <c r="J321">
        <v>109</v>
      </c>
      <c r="K321">
        <f>allFYsTable[[#This Row],[Actual]]-allFYsTable[[#This Row],[OriginalBudget]]</f>
        <v>0</v>
      </c>
      <c r="L321" s="11" t="e">
        <f>allFYsTable[[#This Row],[DiffAmount]]/allFYsTable[[#This Row],[OriginalBudget]]</f>
        <v>#DIV/0!</v>
      </c>
    </row>
    <row r="322" spans="1:12" x14ac:dyDescent="0.45">
      <c r="A322" t="s">
        <v>1040</v>
      </c>
      <c r="B322" t="s">
        <v>10</v>
      </c>
      <c r="C322" t="s">
        <v>824</v>
      </c>
      <c r="D322" t="s">
        <v>299</v>
      </c>
      <c r="E322">
        <v>0</v>
      </c>
      <c r="F322">
        <v>0</v>
      </c>
      <c r="G322">
        <v>0</v>
      </c>
      <c r="H322">
        <v>0</v>
      </c>
      <c r="I322">
        <v>2007</v>
      </c>
      <c r="J322">
        <v>110</v>
      </c>
      <c r="K322">
        <f>allFYsTable[[#This Row],[Actual]]-allFYsTable[[#This Row],[OriginalBudget]]</f>
        <v>0</v>
      </c>
      <c r="L322" s="11" t="e">
        <f>allFYsTable[[#This Row],[DiffAmount]]/allFYsTable[[#This Row],[OriginalBudget]]</f>
        <v>#DIV/0!</v>
      </c>
    </row>
    <row r="323" spans="1:12" x14ac:dyDescent="0.45">
      <c r="A323" t="s">
        <v>1040</v>
      </c>
      <c r="B323" t="s">
        <v>10</v>
      </c>
      <c r="C323" t="s">
        <v>743</v>
      </c>
      <c r="D323" t="s">
        <v>687</v>
      </c>
      <c r="E323">
        <v>0</v>
      </c>
      <c r="F323">
        <v>0</v>
      </c>
      <c r="G323">
        <v>0</v>
      </c>
      <c r="H323">
        <v>0</v>
      </c>
      <c r="I323">
        <v>2007</v>
      </c>
      <c r="J323">
        <v>111</v>
      </c>
      <c r="K323">
        <f>allFYsTable[[#This Row],[Actual]]-allFYsTable[[#This Row],[OriginalBudget]]</f>
        <v>0</v>
      </c>
      <c r="L323" s="11" t="e">
        <f>allFYsTable[[#This Row],[DiffAmount]]/allFYsTable[[#This Row],[OriginalBudget]]</f>
        <v>#DIV/0!</v>
      </c>
    </row>
    <row r="324" spans="1:12" x14ac:dyDescent="0.45">
      <c r="A324" t="s">
        <v>1038</v>
      </c>
      <c r="B324" t="s">
        <v>641</v>
      </c>
      <c r="C324" t="s">
        <v>703</v>
      </c>
      <c r="D324" t="s">
        <v>549</v>
      </c>
      <c r="E324">
        <v>16651</v>
      </c>
      <c r="F324">
        <v>19201</v>
      </c>
      <c r="G324">
        <v>18824</v>
      </c>
      <c r="H324">
        <v>377</v>
      </c>
      <c r="I324">
        <v>2008</v>
      </c>
      <c r="J324">
        <v>1</v>
      </c>
      <c r="K324">
        <f>allFYsTable[[#This Row],[Actual]]-allFYsTable[[#This Row],[OriginalBudget]]</f>
        <v>2173</v>
      </c>
      <c r="L324" s="11">
        <f>allFYsTable[[#This Row],[DiffAmount]]/allFYsTable[[#This Row],[OriginalBudget]]</f>
        <v>0.13050267251216144</v>
      </c>
    </row>
    <row r="325" spans="1:12" x14ac:dyDescent="0.45">
      <c r="A325" t="s">
        <v>1038</v>
      </c>
      <c r="B325" t="s">
        <v>641</v>
      </c>
      <c r="C325" t="s">
        <v>723</v>
      </c>
      <c r="D325" t="s">
        <v>550</v>
      </c>
      <c r="E325">
        <v>2517</v>
      </c>
      <c r="F325">
        <v>3267</v>
      </c>
      <c r="G325">
        <v>2419</v>
      </c>
      <c r="H325">
        <v>848</v>
      </c>
      <c r="I325">
        <v>2008</v>
      </c>
      <c r="J325">
        <v>2</v>
      </c>
      <c r="K325">
        <f>allFYsTable[[#This Row],[Actual]]-allFYsTable[[#This Row],[OriginalBudget]]</f>
        <v>-98</v>
      </c>
      <c r="L325" s="11">
        <f>allFYsTable[[#This Row],[DiffAmount]]/allFYsTable[[#This Row],[OriginalBudget]]</f>
        <v>-3.8935240365514504E-2</v>
      </c>
    </row>
    <row r="326" spans="1:12" x14ac:dyDescent="0.45">
      <c r="A326" t="s">
        <v>1038</v>
      </c>
      <c r="B326" t="s">
        <v>641</v>
      </c>
      <c r="C326" t="s">
        <v>711</v>
      </c>
      <c r="D326" t="s">
        <v>642</v>
      </c>
      <c r="E326">
        <v>1089</v>
      </c>
      <c r="F326">
        <v>1089</v>
      </c>
      <c r="G326">
        <v>945</v>
      </c>
      <c r="H326">
        <v>144</v>
      </c>
      <c r="I326">
        <v>2008</v>
      </c>
      <c r="J326">
        <v>3</v>
      </c>
      <c r="K326">
        <f>allFYsTable[[#This Row],[Actual]]-allFYsTable[[#This Row],[OriginalBudget]]</f>
        <v>-144</v>
      </c>
      <c r="L326" s="11">
        <f>allFYsTable[[#This Row],[DiffAmount]]/allFYsTable[[#This Row],[OriginalBudget]]</f>
        <v>-0.13223140495867769</v>
      </c>
    </row>
    <row r="327" spans="1:12" x14ac:dyDescent="0.45">
      <c r="A327" t="s">
        <v>1038</v>
      </c>
      <c r="B327" t="s">
        <v>641</v>
      </c>
      <c r="C327" t="s">
        <v>707</v>
      </c>
      <c r="D327" t="s">
        <v>552</v>
      </c>
      <c r="E327">
        <v>6630</v>
      </c>
      <c r="F327">
        <v>7235</v>
      </c>
      <c r="G327">
        <v>6847</v>
      </c>
      <c r="H327">
        <v>388</v>
      </c>
      <c r="I327">
        <v>2008</v>
      </c>
      <c r="J327">
        <v>4</v>
      </c>
      <c r="K327">
        <f>allFYsTable[[#This Row],[Actual]]-allFYsTable[[#This Row],[OriginalBudget]]</f>
        <v>217</v>
      </c>
      <c r="L327" s="11">
        <f>allFYsTable[[#This Row],[DiffAmount]]/allFYsTable[[#This Row],[OriginalBudget]]</f>
        <v>3.2730015082956261E-2</v>
      </c>
    </row>
    <row r="328" spans="1:12" x14ac:dyDescent="0.45">
      <c r="A328" t="s">
        <v>1038</v>
      </c>
      <c r="B328" t="s">
        <v>641</v>
      </c>
      <c r="C328" t="s">
        <v>725</v>
      </c>
      <c r="D328" t="s">
        <v>553</v>
      </c>
      <c r="E328">
        <v>3341</v>
      </c>
      <c r="F328">
        <v>3141</v>
      </c>
      <c r="G328">
        <v>2796</v>
      </c>
      <c r="H328">
        <v>345</v>
      </c>
      <c r="I328">
        <v>2008</v>
      </c>
      <c r="J328">
        <v>5</v>
      </c>
      <c r="K328">
        <f>allFYsTable[[#This Row],[Actual]]-allFYsTable[[#This Row],[OriginalBudget]]</f>
        <v>-545</v>
      </c>
      <c r="L328" s="11">
        <f>allFYsTable[[#This Row],[DiffAmount]]/allFYsTable[[#This Row],[OriginalBudget]]</f>
        <v>-0.1631248129302604</v>
      </c>
    </row>
    <row r="329" spans="1:12" x14ac:dyDescent="0.45">
      <c r="A329" t="s">
        <v>1038</v>
      </c>
      <c r="B329" t="s">
        <v>641</v>
      </c>
      <c r="C329" t="s">
        <v>722</v>
      </c>
      <c r="D329" t="s">
        <v>643</v>
      </c>
      <c r="E329">
        <v>6979</v>
      </c>
      <c r="F329">
        <v>6846</v>
      </c>
      <c r="G329">
        <v>6507</v>
      </c>
      <c r="H329">
        <v>339</v>
      </c>
      <c r="I329">
        <v>2008</v>
      </c>
      <c r="J329">
        <v>6</v>
      </c>
      <c r="K329">
        <f>allFYsTable[[#This Row],[Actual]]-allFYsTable[[#This Row],[OriginalBudget]]</f>
        <v>-472</v>
      </c>
      <c r="L329" s="11">
        <f>allFYsTable[[#This Row],[DiffAmount]]/allFYsTable[[#This Row],[OriginalBudget]]</f>
        <v>-6.7631465826049578E-2</v>
      </c>
    </row>
    <row r="330" spans="1:12" x14ac:dyDescent="0.45">
      <c r="A330" t="s">
        <v>1038</v>
      </c>
      <c r="B330" t="s">
        <v>641</v>
      </c>
      <c r="C330" t="s">
        <v>718</v>
      </c>
      <c r="D330" t="s">
        <v>554</v>
      </c>
      <c r="E330">
        <v>1669</v>
      </c>
      <c r="F330">
        <v>1851</v>
      </c>
      <c r="G330">
        <v>1800</v>
      </c>
      <c r="H330">
        <v>51</v>
      </c>
      <c r="I330">
        <v>2008</v>
      </c>
      <c r="J330">
        <v>7</v>
      </c>
      <c r="K330">
        <f>allFYsTable[[#This Row],[Actual]]-allFYsTable[[#This Row],[OriginalBudget]]</f>
        <v>131</v>
      </c>
      <c r="L330" s="11">
        <f>allFYsTable[[#This Row],[DiffAmount]]/allFYsTable[[#This Row],[OriginalBudget]]</f>
        <v>7.8490113840623127E-2</v>
      </c>
    </row>
    <row r="331" spans="1:12" x14ac:dyDescent="0.45">
      <c r="A331" t="s">
        <v>1038</v>
      </c>
      <c r="B331" t="s">
        <v>641</v>
      </c>
      <c r="C331" t="s">
        <v>704</v>
      </c>
      <c r="D331" t="s">
        <v>555</v>
      </c>
      <c r="E331">
        <v>9251</v>
      </c>
      <c r="F331">
        <v>9151</v>
      </c>
      <c r="G331">
        <v>8694</v>
      </c>
      <c r="H331">
        <v>457</v>
      </c>
      <c r="I331">
        <v>2008</v>
      </c>
      <c r="J331">
        <v>8</v>
      </c>
      <c r="K331">
        <f>allFYsTable[[#This Row],[Actual]]-allFYsTable[[#This Row],[OriginalBudget]]</f>
        <v>-557</v>
      </c>
      <c r="L331" s="11">
        <f>allFYsTable[[#This Row],[DiffAmount]]/allFYsTable[[#This Row],[OriginalBudget]]</f>
        <v>-6.0209707058696355E-2</v>
      </c>
    </row>
    <row r="332" spans="1:12" x14ac:dyDescent="0.45">
      <c r="A332" t="s">
        <v>1038</v>
      </c>
      <c r="B332" t="s">
        <v>641</v>
      </c>
      <c r="C332" t="s">
        <v>716</v>
      </c>
      <c r="D332" t="s">
        <v>556</v>
      </c>
      <c r="E332">
        <v>4878</v>
      </c>
      <c r="F332">
        <v>5017</v>
      </c>
      <c r="G332">
        <v>4971</v>
      </c>
      <c r="H332">
        <v>46</v>
      </c>
      <c r="I332">
        <v>2008</v>
      </c>
      <c r="J332">
        <v>9</v>
      </c>
      <c r="K332">
        <f>allFYsTable[[#This Row],[Actual]]-allFYsTable[[#This Row],[OriginalBudget]]</f>
        <v>93</v>
      </c>
      <c r="L332" s="11">
        <f>allFYsTable[[#This Row],[DiffAmount]]/allFYsTable[[#This Row],[OriginalBudget]]</f>
        <v>1.9065190651906518E-2</v>
      </c>
    </row>
    <row r="333" spans="1:12" x14ac:dyDescent="0.45">
      <c r="A333" t="s">
        <v>1038</v>
      </c>
      <c r="B333" t="s">
        <v>641</v>
      </c>
      <c r="C333" t="s">
        <v>713</v>
      </c>
      <c r="D333" t="s">
        <v>557</v>
      </c>
      <c r="E333">
        <v>5568</v>
      </c>
      <c r="F333">
        <v>5568</v>
      </c>
      <c r="G333">
        <v>5414</v>
      </c>
      <c r="H333">
        <v>154</v>
      </c>
      <c r="I333">
        <v>2008</v>
      </c>
      <c r="J333">
        <v>10</v>
      </c>
      <c r="K333">
        <f>allFYsTable[[#This Row],[Actual]]-allFYsTable[[#This Row],[OriginalBudget]]</f>
        <v>-154</v>
      </c>
      <c r="L333" s="11">
        <f>allFYsTable[[#This Row],[DiffAmount]]/allFYsTable[[#This Row],[OriginalBudget]]</f>
        <v>-2.7658045977011495E-2</v>
      </c>
    </row>
    <row r="334" spans="1:12" x14ac:dyDescent="0.45">
      <c r="A334" t="s">
        <v>1038</v>
      </c>
      <c r="B334" t="s">
        <v>641</v>
      </c>
      <c r="C334" t="s">
        <v>721</v>
      </c>
      <c r="D334" t="s">
        <v>558</v>
      </c>
      <c r="E334">
        <v>61767</v>
      </c>
      <c r="F334">
        <v>64491</v>
      </c>
      <c r="G334">
        <v>64054</v>
      </c>
      <c r="H334">
        <v>437</v>
      </c>
      <c r="I334">
        <v>2008</v>
      </c>
      <c r="J334">
        <v>11</v>
      </c>
      <c r="K334">
        <f>allFYsTable[[#This Row],[Actual]]-allFYsTable[[#This Row],[OriginalBudget]]</f>
        <v>2287</v>
      </c>
      <c r="L334" s="11">
        <f>allFYsTable[[#This Row],[DiffAmount]]/allFYsTable[[#This Row],[OriginalBudget]]</f>
        <v>3.7026243787135524E-2</v>
      </c>
    </row>
    <row r="335" spans="1:12" x14ac:dyDescent="0.45">
      <c r="A335" t="s">
        <v>1038</v>
      </c>
      <c r="B335" t="s">
        <v>641</v>
      </c>
      <c r="C335" t="s">
        <v>705</v>
      </c>
      <c r="D335" t="s">
        <v>559</v>
      </c>
      <c r="E335">
        <v>16677</v>
      </c>
      <c r="F335">
        <v>17430</v>
      </c>
      <c r="G335">
        <v>16491</v>
      </c>
      <c r="H335">
        <v>939</v>
      </c>
      <c r="I335">
        <v>2008</v>
      </c>
      <c r="J335">
        <v>12</v>
      </c>
      <c r="K335">
        <f>allFYsTable[[#This Row],[Actual]]-allFYsTable[[#This Row],[OriginalBudget]]</f>
        <v>-186</v>
      </c>
      <c r="L335" s="11">
        <f>allFYsTable[[#This Row],[DiffAmount]]/allFYsTable[[#This Row],[OriginalBudget]]</f>
        <v>-1.1153085087245907E-2</v>
      </c>
    </row>
    <row r="336" spans="1:12" x14ac:dyDescent="0.45">
      <c r="A336" t="s">
        <v>1038</v>
      </c>
      <c r="B336" t="s">
        <v>641</v>
      </c>
      <c r="C336" t="s">
        <v>702</v>
      </c>
      <c r="D336" t="s">
        <v>644</v>
      </c>
      <c r="E336">
        <v>999</v>
      </c>
      <c r="F336">
        <v>999</v>
      </c>
      <c r="G336">
        <v>940</v>
      </c>
      <c r="H336">
        <v>59</v>
      </c>
      <c r="I336">
        <v>2008</v>
      </c>
      <c r="J336">
        <v>13</v>
      </c>
      <c r="K336">
        <f>allFYsTable[[#This Row],[Actual]]-allFYsTable[[#This Row],[OriginalBudget]]</f>
        <v>-59</v>
      </c>
      <c r="L336" s="11">
        <f>allFYsTable[[#This Row],[DiffAmount]]/allFYsTable[[#This Row],[OriginalBudget]]</f>
        <v>-5.905905905905906E-2</v>
      </c>
    </row>
    <row r="337" spans="1:12" x14ac:dyDescent="0.45">
      <c r="A337" t="s">
        <v>1038</v>
      </c>
      <c r="B337" t="s">
        <v>641</v>
      </c>
      <c r="C337" t="s">
        <v>699</v>
      </c>
      <c r="D337" t="s">
        <v>561</v>
      </c>
      <c r="E337">
        <v>5254</v>
      </c>
      <c r="F337">
        <v>5554</v>
      </c>
      <c r="G337">
        <v>5245</v>
      </c>
      <c r="H337">
        <v>309</v>
      </c>
      <c r="I337">
        <v>2008</v>
      </c>
      <c r="J337">
        <v>14</v>
      </c>
      <c r="K337">
        <f>allFYsTable[[#This Row],[Actual]]-allFYsTable[[#This Row],[OriginalBudget]]</f>
        <v>-9</v>
      </c>
      <c r="L337" s="11">
        <f>allFYsTable[[#This Row],[DiffAmount]]/allFYsTable[[#This Row],[OriginalBudget]]</f>
        <v>-1.7129805862200228E-3</v>
      </c>
    </row>
    <row r="338" spans="1:12" x14ac:dyDescent="0.45">
      <c r="A338" t="s">
        <v>1038</v>
      </c>
      <c r="B338" t="s">
        <v>641</v>
      </c>
      <c r="C338" t="s">
        <v>712</v>
      </c>
      <c r="D338" t="s">
        <v>645</v>
      </c>
      <c r="E338">
        <v>1720</v>
      </c>
      <c r="F338">
        <v>1720</v>
      </c>
      <c r="G338">
        <v>1589</v>
      </c>
      <c r="H338">
        <v>131</v>
      </c>
      <c r="I338">
        <v>2008</v>
      </c>
      <c r="J338">
        <v>15</v>
      </c>
      <c r="K338">
        <f>allFYsTable[[#This Row],[Actual]]-allFYsTable[[#This Row],[OriginalBudget]]</f>
        <v>-131</v>
      </c>
      <c r="L338" s="11">
        <f>allFYsTable[[#This Row],[DiffAmount]]/allFYsTable[[#This Row],[OriginalBudget]]</f>
        <v>-7.6162790697674412E-2</v>
      </c>
    </row>
    <row r="339" spans="1:12" x14ac:dyDescent="0.45">
      <c r="A339" t="s">
        <v>1038</v>
      </c>
      <c r="B339" t="s">
        <v>641</v>
      </c>
      <c r="C339" t="s">
        <v>730</v>
      </c>
      <c r="D339" t="s">
        <v>563</v>
      </c>
      <c r="E339">
        <v>964</v>
      </c>
      <c r="F339">
        <v>988</v>
      </c>
      <c r="G339">
        <v>922</v>
      </c>
      <c r="H339">
        <v>66</v>
      </c>
      <c r="I339">
        <v>2008</v>
      </c>
      <c r="J339">
        <v>16</v>
      </c>
      <c r="K339">
        <f>allFYsTable[[#This Row],[Actual]]-allFYsTable[[#This Row],[OriginalBudget]]</f>
        <v>-42</v>
      </c>
      <c r="L339" s="11">
        <f>allFYsTable[[#This Row],[DiffAmount]]/allFYsTable[[#This Row],[OriginalBudget]]</f>
        <v>-4.3568464730290454E-2</v>
      </c>
    </row>
    <row r="340" spans="1:12" x14ac:dyDescent="0.45">
      <c r="A340" t="s">
        <v>1038</v>
      </c>
      <c r="B340" t="s">
        <v>641</v>
      </c>
      <c r="C340" t="s">
        <v>715</v>
      </c>
      <c r="D340" t="s">
        <v>564</v>
      </c>
      <c r="E340">
        <v>1858</v>
      </c>
      <c r="F340">
        <v>1858</v>
      </c>
      <c r="G340">
        <v>1775</v>
      </c>
      <c r="H340">
        <v>83</v>
      </c>
      <c r="I340">
        <v>2008</v>
      </c>
      <c r="J340">
        <v>17</v>
      </c>
      <c r="K340">
        <f>allFYsTable[[#This Row],[Actual]]-allFYsTable[[#This Row],[OriginalBudget]]</f>
        <v>-83</v>
      </c>
      <c r="L340" s="11">
        <f>allFYsTable[[#This Row],[DiffAmount]]/allFYsTable[[#This Row],[OriginalBudget]]</f>
        <v>-4.4671689989235736E-2</v>
      </c>
    </row>
    <row r="341" spans="1:12" x14ac:dyDescent="0.45">
      <c r="A341" t="s">
        <v>1038</v>
      </c>
      <c r="B341" t="s">
        <v>641</v>
      </c>
      <c r="C341" t="s">
        <v>709</v>
      </c>
      <c r="D341" t="s">
        <v>1015</v>
      </c>
      <c r="E341">
        <v>381</v>
      </c>
      <c r="F341">
        <v>381</v>
      </c>
      <c r="G341">
        <v>381</v>
      </c>
      <c r="H341">
        <v>0</v>
      </c>
      <c r="I341">
        <v>2008</v>
      </c>
      <c r="J341">
        <v>18</v>
      </c>
      <c r="K341">
        <f>allFYsTable[[#This Row],[Actual]]-allFYsTable[[#This Row],[OriginalBudget]]</f>
        <v>0</v>
      </c>
      <c r="L341" s="11">
        <f>allFYsTable[[#This Row],[DiffAmount]]/allFYsTable[[#This Row],[OriginalBudget]]</f>
        <v>0</v>
      </c>
    </row>
    <row r="342" spans="1:12" x14ac:dyDescent="0.45">
      <c r="A342" t="s">
        <v>1038</v>
      </c>
      <c r="B342" t="s">
        <v>641</v>
      </c>
      <c r="C342" t="s">
        <v>719</v>
      </c>
      <c r="D342" t="s">
        <v>646</v>
      </c>
      <c r="E342">
        <v>58670</v>
      </c>
      <c r="F342">
        <v>62759</v>
      </c>
      <c r="G342">
        <v>61899</v>
      </c>
      <c r="H342">
        <v>860</v>
      </c>
      <c r="I342">
        <v>2008</v>
      </c>
      <c r="J342">
        <v>19</v>
      </c>
      <c r="K342">
        <f>allFYsTable[[#This Row],[Actual]]-allFYsTable[[#This Row],[OriginalBudget]]</f>
        <v>3229</v>
      </c>
      <c r="L342" s="11">
        <f>allFYsTable[[#This Row],[DiffAmount]]/allFYsTable[[#This Row],[OriginalBudget]]</f>
        <v>5.5036645645133803E-2</v>
      </c>
    </row>
    <row r="343" spans="1:12" x14ac:dyDescent="0.45">
      <c r="A343" t="s">
        <v>1038</v>
      </c>
      <c r="B343" t="s">
        <v>641</v>
      </c>
      <c r="C343" t="s">
        <v>856</v>
      </c>
      <c r="D343" t="s">
        <v>488</v>
      </c>
      <c r="E343">
        <v>2996</v>
      </c>
      <c r="F343">
        <v>2996</v>
      </c>
      <c r="G343">
        <v>2702</v>
      </c>
      <c r="H343">
        <v>294</v>
      </c>
      <c r="I343">
        <v>2008</v>
      </c>
      <c r="J343">
        <v>20</v>
      </c>
      <c r="K343">
        <f>allFYsTable[[#This Row],[Actual]]-allFYsTable[[#This Row],[OriginalBudget]]</f>
        <v>-294</v>
      </c>
      <c r="L343" s="11">
        <f>allFYsTable[[#This Row],[DiffAmount]]/allFYsTable[[#This Row],[OriginalBudget]]</f>
        <v>-9.8130841121495324E-2</v>
      </c>
    </row>
    <row r="344" spans="1:12" x14ac:dyDescent="0.45">
      <c r="A344" t="s">
        <v>1038</v>
      </c>
      <c r="B344" t="s">
        <v>641</v>
      </c>
      <c r="C344" t="s">
        <v>857</v>
      </c>
      <c r="D344" t="s">
        <v>568</v>
      </c>
      <c r="E344">
        <v>279</v>
      </c>
      <c r="F344">
        <v>346</v>
      </c>
      <c r="G344">
        <v>328</v>
      </c>
      <c r="H344">
        <v>18</v>
      </c>
      <c r="I344">
        <v>2008</v>
      </c>
      <c r="J344">
        <v>21</v>
      </c>
      <c r="K344">
        <f>allFYsTable[[#This Row],[Actual]]-allFYsTable[[#This Row],[OriginalBudget]]</f>
        <v>49</v>
      </c>
      <c r="L344" s="11">
        <f>allFYsTable[[#This Row],[DiffAmount]]/allFYsTable[[#This Row],[OriginalBudget]]</f>
        <v>0.17562724014336917</v>
      </c>
    </row>
    <row r="345" spans="1:12" x14ac:dyDescent="0.45">
      <c r="A345" t="s">
        <v>1038</v>
      </c>
      <c r="B345" t="s">
        <v>641</v>
      </c>
      <c r="C345" t="s">
        <v>714</v>
      </c>
      <c r="D345" t="s">
        <v>569</v>
      </c>
      <c r="E345">
        <v>882</v>
      </c>
      <c r="F345">
        <v>882</v>
      </c>
      <c r="G345">
        <v>566</v>
      </c>
      <c r="H345">
        <v>316</v>
      </c>
      <c r="I345">
        <v>2008</v>
      </c>
      <c r="J345">
        <v>22</v>
      </c>
      <c r="K345">
        <f>allFYsTable[[#This Row],[Actual]]-allFYsTable[[#This Row],[OriginalBudget]]</f>
        <v>-316</v>
      </c>
      <c r="L345" s="11">
        <f>allFYsTable[[#This Row],[DiffAmount]]/allFYsTable[[#This Row],[OriginalBudget]]</f>
        <v>-0.35827664399092973</v>
      </c>
    </row>
    <row r="346" spans="1:12" x14ac:dyDescent="0.45">
      <c r="A346" t="s">
        <v>1038</v>
      </c>
      <c r="B346" t="s">
        <v>641</v>
      </c>
      <c r="C346" t="s">
        <v>865</v>
      </c>
      <c r="D346" t="s">
        <v>647</v>
      </c>
      <c r="E346">
        <v>0</v>
      </c>
      <c r="F346">
        <v>10000</v>
      </c>
      <c r="G346">
        <v>10000</v>
      </c>
      <c r="H346">
        <v>0</v>
      </c>
      <c r="I346">
        <v>2008</v>
      </c>
      <c r="J346">
        <v>23</v>
      </c>
      <c r="K346">
        <f>allFYsTable[[#This Row],[Actual]]-allFYsTable[[#This Row],[OriginalBudget]]</f>
        <v>10000</v>
      </c>
      <c r="L346" s="11" t="e">
        <f>allFYsTable[[#This Row],[DiffAmount]]/allFYsTable[[#This Row],[OriginalBudget]]</f>
        <v>#DIV/0!</v>
      </c>
    </row>
    <row r="347" spans="1:12" x14ac:dyDescent="0.45">
      <c r="A347" t="s">
        <v>1038</v>
      </c>
      <c r="B347" t="s">
        <v>641</v>
      </c>
      <c r="C347" t="s">
        <v>724</v>
      </c>
      <c r="D347" t="s">
        <v>570</v>
      </c>
      <c r="E347">
        <v>14199</v>
      </c>
      <c r="F347">
        <v>15214</v>
      </c>
      <c r="G347">
        <v>14886</v>
      </c>
      <c r="H347">
        <v>328</v>
      </c>
      <c r="I347">
        <v>2008</v>
      </c>
      <c r="J347">
        <v>24</v>
      </c>
      <c r="K347">
        <f>allFYsTable[[#This Row],[Actual]]-allFYsTable[[#This Row],[OriginalBudget]]</f>
        <v>687</v>
      </c>
      <c r="L347" s="11">
        <f>allFYsTable[[#This Row],[DiffAmount]]/allFYsTable[[#This Row],[OriginalBudget]]</f>
        <v>4.8383688992182546E-2</v>
      </c>
    </row>
    <row r="348" spans="1:12" x14ac:dyDescent="0.45">
      <c r="A348" t="s">
        <v>1038</v>
      </c>
      <c r="B348" t="s">
        <v>641</v>
      </c>
      <c r="C348" t="s">
        <v>720</v>
      </c>
      <c r="D348" t="s">
        <v>571</v>
      </c>
      <c r="E348">
        <v>111956</v>
      </c>
      <c r="F348">
        <v>113476</v>
      </c>
      <c r="G348">
        <v>113406</v>
      </c>
      <c r="H348">
        <v>70</v>
      </c>
      <c r="I348">
        <v>2008</v>
      </c>
      <c r="J348">
        <v>25</v>
      </c>
      <c r="K348">
        <f>allFYsTable[[#This Row],[Actual]]-allFYsTable[[#This Row],[OriginalBudget]]</f>
        <v>1450</v>
      </c>
      <c r="L348" s="11">
        <f>allFYsTable[[#This Row],[DiffAmount]]/allFYsTable[[#This Row],[OriginalBudget]]</f>
        <v>1.2951516667262139E-2</v>
      </c>
    </row>
    <row r="349" spans="1:12" x14ac:dyDescent="0.45">
      <c r="A349" t="s">
        <v>1038</v>
      </c>
      <c r="B349" t="s">
        <v>129</v>
      </c>
      <c r="C349" t="s">
        <v>743</v>
      </c>
      <c r="D349" t="s">
        <v>315</v>
      </c>
      <c r="E349">
        <v>64468</v>
      </c>
      <c r="F349">
        <v>66968</v>
      </c>
      <c r="G349">
        <v>63129</v>
      </c>
      <c r="H349">
        <v>3839</v>
      </c>
      <c r="I349">
        <v>2008</v>
      </c>
      <c r="J349">
        <v>26</v>
      </c>
      <c r="K349">
        <f>allFYsTable[[#This Row],[Actual]]-allFYsTable[[#This Row],[OriginalBudget]]</f>
        <v>-1339</v>
      </c>
      <c r="L349" s="11">
        <f>allFYsTable[[#This Row],[DiffAmount]]/allFYsTable[[#This Row],[OriginalBudget]]</f>
        <v>-2.0769994415834211E-2</v>
      </c>
    </row>
    <row r="350" spans="1:12" x14ac:dyDescent="0.45">
      <c r="A350" t="s">
        <v>1038</v>
      </c>
      <c r="B350" t="s">
        <v>129</v>
      </c>
      <c r="C350" t="s">
        <v>742</v>
      </c>
      <c r="D350" t="s">
        <v>26</v>
      </c>
      <c r="E350">
        <v>8760</v>
      </c>
      <c r="F350">
        <v>8750</v>
      </c>
      <c r="G350">
        <v>8034</v>
      </c>
      <c r="H350">
        <v>716</v>
      </c>
      <c r="I350">
        <v>2008</v>
      </c>
      <c r="J350">
        <v>27</v>
      </c>
      <c r="K350">
        <f>allFYsTable[[#This Row],[Actual]]-allFYsTable[[#This Row],[OriginalBudget]]</f>
        <v>-726</v>
      </c>
      <c r="L350" s="11">
        <f>allFYsTable[[#This Row],[DiffAmount]]/allFYsTable[[#This Row],[OriginalBudget]]</f>
        <v>-8.287671232876713E-2</v>
      </c>
    </row>
    <row r="351" spans="1:12" x14ac:dyDescent="0.45">
      <c r="A351" t="s">
        <v>1038</v>
      </c>
      <c r="B351" t="s">
        <v>129</v>
      </c>
      <c r="C351" t="s">
        <v>738</v>
      </c>
      <c r="D351" t="s">
        <v>572</v>
      </c>
      <c r="E351">
        <v>4219</v>
      </c>
      <c r="F351">
        <v>4447</v>
      </c>
      <c r="G351">
        <v>3932</v>
      </c>
      <c r="H351">
        <v>515</v>
      </c>
      <c r="I351">
        <v>2008</v>
      </c>
      <c r="J351">
        <v>28</v>
      </c>
      <c r="K351">
        <f>allFYsTable[[#This Row],[Actual]]-allFYsTable[[#This Row],[OriginalBudget]]</f>
        <v>-287</v>
      </c>
      <c r="L351" s="11">
        <f>allFYsTable[[#This Row],[DiffAmount]]/allFYsTable[[#This Row],[OriginalBudget]]</f>
        <v>-6.8025598483052854E-2</v>
      </c>
    </row>
    <row r="352" spans="1:12" x14ac:dyDescent="0.45">
      <c r="A352" t="s">
        <v>1038</v>
      </c>
      <c r="B352" t="s">
        <v>129</v>
      </c>
      <c r="C352" t="s">
        <v>741</v>
      </c>
      <c r="D352" t="s">
        <v>573</v>
      </c>
      <c r="E352">
        <v>653</v>
      </c>
      <c r="F352">
        <v>922</v>
      </c>
      <c r="G352">
        <v>841</v>
      </c>
      <c r="H352">
        <v>81</v>
      </c>
      <c r="I352">
        <v>2008</v>
      </c>
      <c r="J352">
        <v>29</v>
      </c>
      <c r="K352">
        <f>allFYsTable[[#This Row],[Actual]]-allFYsTable[[#This Row],[OriginalBudget]]</f>
        <v>188</v>
      </c>
      <c r="L352" s="11">
        <f>allFYsTable[[#This Row],[DiffAmount]]/allFYsTable[[#This Row],[OriginalBudget]]</f>
        <v>0.28790199081163859</v>
      </c>
    </row>
    <row r="353" spans="1:12" x14ac:dyDescent="0.45">
      <c r="A353" t="s">
        <v>1038</v>
      </c>
      <c r="B353" t="s">
        <v>129</v>
      </c>
      <c r="C353" t="s">
        <v>744</v>
      </c>
      <c r="D353" t="s">
        <v>29</v>
      </c>
      <c r="E353">
        <v>3150</v>
      </c>
      <c r="F353">
        <v>3150</v>
      </c>
      <c r="G353">
        <v>3094</v>
      </c>
      <c r="H353">
        <v>56</v>
      </c>
      <c r="I353">
        <v>2008</v>
      </c>
      <c r="J353">
        <v>30</v>
      </c>
      <c r="K353">
        <f>allFYsTable[[#This Row],[Actual]]-allFYsTable[[#This Row],[OriginalBudget]]</f>
        <v>-56</v>
      </c>
      <c r="L353" s="11">
        <f>allFYsTable[[#This Row],[DiffAmount]]/allFYsTable[[#This Row],[OriginalBudget]]</f>
        <v>-1.7777777777777778E-2</v>
      </c>
    </row>
    <row r="354" spans="1:12" x14ac:dyDescent="0.45">
      <c r="A354" t="s">
        <v>1038</v>
      </c>
      <c r="B354" t="s">
        <v>129</v>
      </c>
      <c r="C354" t="s">
        <v>737</v>
      </c>
      <c r="D354" t="s">
        <v>575</v>
      </c>
      <c r="E354">
        <v>1967</v>
      </c>
      <c r="F354">
        <v>3426</v>
      </c>
      <c r="G354">
        <v>3346</v>
      </c>
      <c r="H354">
        <v>80</v>
      </c>
      <c r="I354">
        <v>2008</v>
      </c>
      <c r="J354">
        <v>31</v>
      </c>
      <c r="K354">
        <f>allFYsTable[[#This Row],[Actual]]-allFYsTable[[#This Row],[OriginalBudget]]</f>
        <v>1379</v>
      </c>
      <c r="L354" s="11">
        <f>allFYsTable[[#This Row],[DiffAmount]]/allFYsTable[[#This Row],[OriginalBudget]]</f>
        <v>0.70106761565836295</v>
      </c>
    </row>
    <row r="355" spans="1:12" x14ac:dyDescent="0.45">
      <c r="A355" t="s">
        <v>1038</v>
      </c>
      <c r="B355" t="s">
        <v>129</v>
      </c>
      <c r="C355" t="s">
        <v>795</v>
      </c>
      <c r="D355" t="s">
        <v>72</v>
      </c>
      <c r="E355">
        <v>1000</v>
      </c>
      <c r="F355">
        <v>1000</v>
      </c>
      <c r="G355">
        <v>342</v>
      </c>
      <c r="H355">
        <v>658</v>
      </c>
      <c r="I355">
        <v>2008</v>
      </c>
      <c r="J355">
        <v>32</v>
      </c>
      <c r="K355">
        <f>allFYsTable[[#This Row],[Actual]]-allFYsTable[[#This Row],[OriginalBudget]]</f>
        <v>-658</v>
      </c>
      <c r="L355" s="11">
        <f>allFYsTable[[#This Row],[DiffAmount]]/allFYsTable[[#This Row],[OriginalBudget]]</f>
        <v>-0.65800000000000003</v>
      </c>
    </row>
    <row r="356" spans="1:12" x14ac:dyDescent="0.45">
      <c r="A356" t="s">
        <v>1038</v>
      </c>
      <c r="B356" t="s">
        <v>129</v>
      </c>
      <c r="C356" t="s">
        <v>769</v>
      </c>
      <c r="D356" t="s">
        <v>648</v>
      </c>
      <c r="E356">
        <v>46119</v>
      </c>
      <c r="F356">
        <v>89918</v>
      </c>
      <c r="G356">
        <v>86415</v>
      </c>
      <c r="H356">
        <v>3503</v>
      </c>
      <c r="I356">
        <v>2008</v>
      </c>
      <c r="J356">
        <v>33</v>
      </c>
      <c r="K356">
        <f>allFYsTable[[#This Row],[Actual]]-allFYsTable[[#This Row],[OriginalBudget]]</f>
        <v>40296</v>
      </c>
      <c r="L356" s="11">
        <f>allFYsTable[[#This Row],[DiffAmount]]/allFYsTable[[#This Row],[OriginalBudget]]</f>
        <v>0.87373967345345738</v>
      </c>
    </row>
    <row r="357" spans="1:12" x14ac:dyDescent="0.45">
      <c r="A357" t="s">
        <v>1038</v>
      </c>
      <c r="B357" t="s">
        <v>129</v>
      </c>
      <c r="C357" t="s">
        <v>745</v>
      </c>
      <c r="D357" t="s">
        <v>649</v>
      </c>
      <c r="E357">
        <v>727</v>
      </c>
      <c r="F357">
        <v>731</v>
      </c>
      <c r="G357">
        <v>693</v>
      </c>
      <c r="H357">
        <v>38</v>
      </c>
      <c r="I357">
        <v>2008</v>
      </c>
      <c r="J357">
        <v>34</v>
      </c>
      <c r="K357">
        <f>allFYsTable[[#This Row],[Actual]]-allFYsTable[[#This Row],[OriginalBudget]]</f>
        <v>-34</v>
      </c>
      <c r="L357" s="11">
        <f>allFYsTable[[#This Row],[DiffAmount]]/allFYsTable[[#This Row],[OriginalBudget]]</f>
        <v>-4.676753782668501E-2</v>
      </c>
    </row>
    <row r="358" spans="1:12" x14ac:dyDescent="0.45">
      <c r="A358" t="s">
        <v>1038</v>
      </c>
      <c r="B358" t="s">
        <v>129</v>
      </c>
      <c r="C358" t="s">
        <v>797</v>
      </c>
      <c r="D358" t="s">
        <v>578</v>
      </c>
      <c r="E358">
        <v>21774</v>
      </c>
      <c r="F358">
        <v>22123</v>
      </c>
      <c r="G358">
        <v>22115</v>
      </c>
      <c r="H358">
        <v>8</v>
      </c>
      <c r="I358">
        <v>2008</v>
      </c>
      <c r="J358">
        <v>35</v>
      </c>
      <c r="K358">
        <f>allFYsTable[[#This Row],[Actual]]-allFYsTable[[#This Row],[OriginalBudget]]</f>
        <v>341</v>
      </c>
      <c r="L358" s="11">
        <f>allFYsTable[[#This Row],[DiffAmount]]/allFYsTable[[#This Row],[OriginalBudget]]</f>
        <v>1.5660879948562505E-2</v>
      </c>
    </row>
    <row r="359" spans="1:12" x14ac:dyDescent="0.45">
      <c r="A359" t="s">
        <v>1038</v>
      </c>
      <c r="B359" t="s">
        <v>129</v>
      </c>
      <c r="C359" t="s">
        <v>736</v>
      </c>
      <c r="D359" t="s">
        <v>190</v>
      </c>
      <c r="E359">
        <v>10379</v>
      </c>
      <c r="F359">
        <v>10235</v>
      </c>
      <c r="G359">
        <v>9887</v>
      </c>
      <c r="H359">
        <v>348</v>
      </c>
      <c r="I359">
        <v>2008</v>
      </c>
      <c r="J359">
        <v>36</v>
      </c>
      <c r="K359">
        <f>allFYsTable[[#This Row],[Actual]]-allFYsTable[[#This Row],[OriginalBudget]]</f>
        <v>-492</v>
      </c>
      <c r="L359" s="11">
        <f>allFYsTable[[#This Row],[DiffAmount]]/allFYsTable[[#This Row],[OriginalBudget]]</f>
        <v>-4.740341073321129E-2</v>
      </c>
    </row>
    <row r="360" spans="1:12" x14ac:dyDescent="0.45">
      <c r="A360" t="s">
        <v>1038</v>
      </c>
      <c r="B360" t="s">
        <v>129</v>
      </c>
      <c r="C360" t="s">
        <v>806</v>
      </c>
      <c r="D360" t="s">
        <v>82</v>
      </c>
      <c r="E360">
        <v>0</v>
      </c>
      <c r="F360">
        <v>0</v>
      </c>
      <c r="G360">
        <v>0</v>
      </c>
      <c r="H360">
        <v>0</v>
      </c>
      <c r="I360">
        <v>2008</v>
      </c>
      <c r="J360">
        <v>37</v>
      </c>
      <c r="K360">
        <f>allFYsTable[[#This Row],[Actual]]-allFYsTable[[#This Row],[OriginalBudget]]</f>
        <v>0</v>
      </c>
      <c r="L360" s="11" t="e">
        <f>allFYsTable[[#This Row],[DiffAmount]]/allFYsTable[[#This Row],[OriginalBudget]]</f>
        <v>#DIV/0!</v>
      </c>
    </row>
    <row r="361" spans="1:12" x14ac:dyDescent="0.45">
      <c r="A361" t="s">
        <v>1038</v>
      </c>
      <c r="B361" t="s">
        <v>129</v>
      </c>
      <c r="C361" t="s">
        <v>805</v>
      </c>
      <c r="D361" t="s">
        <v>650</v>
      </c>
      <c r="E361">
        <v>0</v>
      </c>
      <c r="F361">
        <v>0</v>
      </c>
      <c r="G361">
        <v>0</v>
      </c>
      <c r="H361">
        <v>0</v>
      </c>
      <c r="I361">
        <v>2008</v>
      </c>
      <c r="J361">
        <v>38</v>
      </c>
      <c r="K361">
        <f>allFYsTable[[#This Row],[Actual]]-allFYsTable[[#This Row],[OriginalBudget]]</f>
        <v>0</v>
      </c>
      <c r="L361" s="11" t="e">
        <f>allFYsTable[[#This Row],[DiffAmount]]/allFYsTable[[#This Row],[OriginalBudget]]</f>
        <v>#DIV/0!</v>
      </c>
    </row>
    <row r="362" spans="1:12" x14ac:dyDescent="0.45">
      <c r="A362" t="s">
        <v>1038</v>
      </c>
      <c r="B362" t="s">
        <v>129</v>
      </c>
      <c r="C362" t="s">
        <v>800</v>
      </c>
      <c r="D362" t="s">
        <v>581</v>
      </c>
      <c r="E362">
        <v>0</v>
      </c>
      <c r="F362">
        <v>0</v>
      </c>
      <c r="G362">
        <v>0</v>
      </c>
      <c r="H362">
        <v>0</v>
      </c>
      <c r="I362">
        <v>2008</v>
      </c>
      <c r="J362">
        <v>39</v>
      </c>
      <c r="K362">
        <f>allFYsTable[[#This Row],[Actual]]-allFYsTable[[#This Row],[OriginalBudget]]</f>
        <v>0</v>
      </c>
      <c r="L362" s="11" t="e">
        <f>allFYsTable[[#This Row],[DiffAmount]]/allFYsTable[[#This Row],[OriginalBudget]]</f>
        <v>#DIV/0!</v>
      </c>
    </row>
    <row r="363" spans="1:12" x14ac:dyDescent="0.45">
      <c r="A363" t="s">
        <v>1038</v>
      </c>
      <c r="B363" t="s">
        <v>129</v>
      </c>
      <c r="C363" t="s">
        <v>739</v>
      </c>
      <c r="D363" t="s">
        <v>23</v>
      </c>
      <c r="E363">
        <v>30983</v>
      </c>
      <c r="F363">
        <v>30983</v>
      </c>
      <c r="G363">
        <v>30983</v>
      </c>
      <c r="H363">
        <v>0</v>
      </c>
      <c r="I363">
        <v>2008</v>
      </c>
      <c r="J363">
        <v>40</v>
      </c>
      <c r="K363">
        <f>allFYsTable[[#This Row],[Actual]]-allFYsTable[[#This Row],[OriginalBudget]]</f>
        <v>0</v>
      </c>
      <c r="L363" s="11">
        <f>allFYsTable[[#This Row],[DiffAmount]]/allFYsTable[[#This Row],[OriginalBudget]]</f>
        <v>0</v>
      </c>
    </row>
    <row r="364" spans="1:12" x14ac:dyDescent="0.45">
      <c r="A364" t="s">
        <v>1038</v>
      </c>
      <c r="B364" t="s">
        <v>129</v>
      </c>
      <c r="C364" t="s">
        <v>740</v>
      </c>
      <c r="D364" t="s">
        <v>24</v>
      </c>
      <c r="E364">
        <v>46533</v>
      </c>
      <c r="F364">
        <v>76533</v>
      </c>
      <c r="G364">
        <v>70589</v>
      </c>
      <c r="H364">
        <v>5944</v>
      </c>
      <c r="I364">
        <v>2008</v>
      </c>
      <c r="J364">
        <v>41</v>
      </c>
      <c r="K364">
        <f>allFYsTable[[#This Row],[Actual]]-allFYsTable[[#This Row],[OriginalBudget]]</f>
        <v>24056</v>
      </c>
      <c r="L364" s="11">
        <f>allFYsTable[[#This Row],[DiffAmount]]/allFYsTable[[#This Row],[OriginalBudget]]</f>
        <v>0.5169664539144263</v>
      </c>
    </row>
    <row r="365" spans="1:12" x14ac:dyDescent="0.45">
      <c r="A365" t="s">
        <v>1038</v>
      </c>
      <c r="B365" t="s">
        <v>129</v>
      </c>
      <c r="C365" t="s">
        <v>839</v>
      </c>
      <c r="D365" t="s">
        <v>287</v>
      </c>
      <c r="E365">
        <v>1024</v>
      </c>
      <c r="F365">
        <v>1024</v>
      </c>
      <c r="G365">
        <v>1005</v>
      </c>
      <c r="H365">
        <v>19</v>
      </c>
      <c r="I365">
        <v>2008</v>
      </c>
      <c r="J365">
        <v>42</v>
      </c>
      <c r="K365">
        <f>allFYsTable[[#This Row],[Actual]]-allFYsTable[[#This Row],[OriginalBudget]]</f>
        <v>-19</v>
      </c>
      <c r="L365" s="11">
        <f>allFYsTable[[#This Row],[DiffAmount]]/allFYsTable[[#This Row],[OriginalBudget]]</f>
        <v>-1.85546875E-2</v>
      </c>
    </row>
    <row r="366" spans="1:12" x14ac:dyDescent="0.45">
      <c r="A366" t="s">
        <v>1038</v>
      </c>
      <c r="B366" t="s">
        <v>129</v>
      </c>
      <c r="C366" t="s">
        <v>741</v>
      </c>
      <c r="D366" t="s">
        <v>1004</v>
      </c>
      <c r="E366">
        <v>0</v>
      </c>
      <c r="F366">
        <v>0</v>
      </c>
      <c r="G366">
        <v>0</v>
      </c>
      <c r="H366">
        <v>0</v>
      </c>
      <c r="I366">
        <v>2008</v>
      </c>
      <c r="J366">
        <v>43</v>
      </c>
      <c r="K366">
        <f>allFYsTable[[#This Row],[Actual]]-allFYsTable[[#This Row],[OriginalBudget]]</f>
        <v>0</v>
      </c>
      <c r="L366" s="11" t="e">
        <f>allFYsTable[[#This Row],[DiffAmount]]/allFYsTable[[#This Row],[OriginalBudget]]</f>
        <v>#DIV/0!</v>
      </c>
    </row>
    <row r="367" spans="1:12" x14ac:dyDescent="0.45">
      <c r="A367" t="s">
        <v>1038</v>
      </c>
      <c r="B367" t="s">
        <v>6</v>
      </c>
      <c r="C367" t="s">
        <v>758</v>
      </c>
      <c r="D367" t="s">
        <v>584</v>
      </c>
      <c r="E367">
        <v>466816</v>
      </c>
      <c r="F367">
        <v>472693</v>
      </c>
      <c r="G367">
        <v>471889</v>
      </c>
      <c r="H367">
        <v>804</v>
      </c>
      <c r="I367">
        <v>2008</v>
      </c>
      <c r="J367">
        <v>44</v>
      </c>
      <c r="K367">
        <f>allFYsTable[[#This Row],[Actual]]-allFYsTable[[#This Row],[OriginalBudget]]</f>
        <v>5073</v>
      </c>
      <c r="L367" s="11">
        <f>allFYsTable[[#This Row],[DiffAmount]]/allFYsTable[[#This Row],[OriginalBudget]]</f>
        <v>1.0867236769947903E-2</v>
      </c>
    </row>
    <row r="368" spans="1:12" x14ac:dyDescent="0.45">
      <c r="A368" t="s">
        <v>1038</v>
      </c>
      <c r="B368" t="s">
        <v>6</v>
      </c>
      <c r="C368" t="s">
        <v>755</v>
      </c>
      <c r="D368" t="s">
        <v>131</v>
      </c>
      <c r="E368">
        <v>178111</v>
      </c>
      <c r="F368">
        <v>187875</v>
      </c>
      <c r="G368">
        <v>187868</v>
      </c>
      <c r="H368">
        <v>7</v>
      </c>
      <c r="I368">
        <v>2008</v>
      </c>
      <c r="J368">
        <v>45</v>
      </c>
      <c r="K368">
        <f>allFYsTable[[#This Row],[Actual]]-allFYsTable[[#This Row],[OriginalBudget]]</f>
        <v>9757</v>
      </c>
      <c r="L368" s="11">
        <f>allFYsTable[[#This Row],[DiffAmount]]/allFYsTable[[#This Row],[OriginalBudget]]</f>
        <v>5.4780445901712979E-2</v>
      </c>
    </row>
    <row r="369" spans="1:12" x14ac:dyDescent="0.45">
      <c r="A369" t="s">
        <v>1038</v>
      </c>
      <c r="B369" t="s">
        <v>6</v>
      </c>
      <c r="C369" t="s">
        <v>768</v>
      </c>
      <c r="D369" t="s">
        <v>651</v>
      </c>
      <c r="E369">
        <v>137000</v>
      </c>
      <c r="F369">
        <v>137000</v>
      </c>
      <c r="G369">
        <v>137000</v>
      </c>
      <c r="H369">
        <v>0</v>
      </c>
      <c r="I369">
        <v>2008</v>
      </c>
      <c r="J369">
        <v>46</v>
      </c>
      <c r="K369">
        <f>allFYsTable[[#This Row],[Actual]]-allFYsTable[[#This Row],[OriginalBudget]]</f>
        <v>0</v>
      </c>
      <c r="L369" s="11">
        <f>allFYsTable[[#This Row],[DiffAmount]]/allFYsTable[[#This Row],[OriginalBudget]]</f>
        <v>0</v>
      </c>
    </row>
    <row r="370" spans="1:12" x14ac:dyDescent="0.45">
      <c r="A370" t="s">
        <v>1038</v>
      </c>
      <c r="B370" t="s">
        <v>6</v>
      </c>
      <c r="C370" t="s">
        <v>750</v>
      </c>
      <c r="D370" t="s">
        <v>587</v>
      </c>
      <c r="E370">
        <v>117171</v>
      </c>
      <c r="F370">
        <v>116871</v>
      </c>
      <c r="G370">
        <v>116648</v>
      </c>
      <c r="H370">
        <v>223</v>
      </c>
      <c r="I370">
        <v>2008</v>
      </c>
      <c r="J370">
        <v>47</v>
      </c>
      <c r="K370">
        <f>allFYsTable[[#This Row],[Actual]]-allFYsTable[[#This Row],[OriginalBudget]]</f>
        <v>-523</v>
      </c>
      <c r="L370" s="11">
        <f>allFYsTable[[#This Row],[DiffAmount]]/allFYsTable[[#This Row],[OriginalBudget]]</f>
        <v>-4.4635618028351729E-3</v>
      </c>
    </row>
    <row r="371" spans="1:12" x14ac:dyDescent="0.45">
      <c r="A371" t="s">
        <v>1038</v>
      </c>
      <c r="B371" t="s">
        <v>6</v>
      </c>
      <c r="C371" t="s">
        <v>753</v>
      </c>
      <c r="D371" t="s">
        <v>588</v>
      </c>
      <c r="E371">
        <v>3824</v>
      </c>
      <c r="F371">
        <v>2842</v>
      </c>
      <c r="G371">
        <v>2828</v>
      </c>
      <c r="H371">
        <v>14</v>
      </c>
      <c r="I371">
        <v>2008</v>
      </c>
      <c r="J371">
        <v>48</v>
      </c>
      <c r="K371">
        <f>allFYsTable[[#This Row],[Actual]]-allFYsTable[[#This Row],[OriginalBudget]]</f>
        <v>-996</v>
      </c>
      <c r="L371" s="11">
        <f>allFYsTable[[#This Row],[DiffAmount]]/allFYsTable[[#This Row],[OriginalBudget]]</f>
        <v>-0.2604602510460251</v>
      </c>
    </row>
    <row r="372" spans="1:12" x14ac:dyDescent="0.45">
      <c r="A372" t="s">
        <v>1038</v>
      </c>
      <c r="B372" t="s">
        <v>6</v>
      </c>
      <c r="C372" t="s">
        <v>756</v>
      </c>
      <c r="D372" t="s">
        <v>652</v>
      </c>
      <c r="E372">
        <v>5014</v>
      </c>
      <c r="F372">
        <v>4755</v>
      </c>
      <c r="G372">
        <v>4639</v>
      </c>
      <c r="H372">
        <v>116</v>
      </c>
      <c r="I372">
        <v>2008</v>
      </c>
      <c r="J372">
        <v>49</v>
      </c>
      <c r="K372">
        <f>allFYsTable[[#This Row],[Actual]]-allFYsTable[[#This Row],[OriginalBudget]]</f>
        <v>-375</v>
      </c>
      <c r="L372" s="11">
        <f>allFYsTable[[#This Row],[DiffAmount]]/allFYsTable[[#This Row],[OriginalBudget]]</f>
        <v>-7.4790586358197048E-2</v>
      </c>
    </row>
    <row r="373" spans="1:12" x14ac:dyDescent="0.45">
      <c r="A373" t="s">
        <v>1038</v>
      </c>
      <c r="B373" t="s">
        <v>6</v>
      </c>
      <c r="C373" t="s">
        <v>746</v>
      </c>
      <c r="D373" t="s">
        <v>653</v>
      </c>
      <c r="E373">
        <v>248</v>
      </c>
      <c r="F373">
        <v>264</v>
      </c>
      <c r="G373">
        <v>249</v>
      </c>
      <c r="H373">
        <v>15</v>
      </c>
      <c r="I373">
        <v>2008</v>
      </c>
      <c r="J373">
        <v>50</v>
      </c>
      <c r="K373">
        <f>allFYsTable[[#This Row],[Actual]]-allFYsTable[[#This Row],[OriginalBudget]]</f>
        <v>1</v>
      </c>
      <c r="L373" s="11">
        <f>allFYsTable[[#This Row],[DiffAmount]]/allFYsTable[[#This Row],[OriginalBudget]]</f>
        <v>4.0322580645161289E-3</v>
      </c>
    </row>
    <row r="374" spans="1:12" x14ac:dyDescent="0.45">
      <c r="A374" t="s">
        <v>1038</v>
      </c>
      <c r="B374" t="s">
        <v>6</v>
      </c>
      <c r="C374" t="s">
        <v>757</v>
      </c>
      <c r="D374" t="s">
        <v>654</v>
      </c>
      <c r="E374">
        <v>144</v>
      </c>
      <c r="F374">
        <v>144</v>
      </c>
      <c r="G374">
        <v>103</v>
      </c>
      <c r="H374">
        <v>41</v>
      </c>
      <c r="I374">
        <v>2008</v>
      </c>
      <c r="J374">
        <v>51</v>
      </c>
      <c r="K374">
        <f>allFYsTable[[#This Row],[Actual]]-allFYsTable[[#This Row],[OriginalBudget]]</f>
        <v>-41</v>
      </c>
      <c r="L374" s="11">
        <f>allFYsTable[[#This Row],[DiffAmount]]/allFYsTable[[#This Row],[OriginalBudget]]</f>
        <v>-0.28472222222222221</v>
      </c>
    </row>
    <row r="375" spans="1:12" x14ac:dyDescent="0.45">
      <c r="A375" t="s">
        <v>1038</v>
      </c>
      <c r="B375" t="s">
        <v>6</v>
      </c>
      <c r="C375" t="s">
        <v>762</v>
      </c>
      <c r="D375" t="s">
        <v>655</v>
      </c>
      <c r="E375">
        <v>2473</v>
      </c>
      <c r="F375">
        <v>2332</v>
      </c>
      <c r="G375">
        <v>2282</v>
      </c>
      <c r="H375">
        <v>50</v>
      </c>
      <c r="I375">
        <v>2008</v>
      </c>
      <c r="J375">
        <v>52</v>
      </c>
      <c r="K375">
        <f>allFYsTable[[#This Row],[Actual]]-allFYsTable[[#This Row],[OriginalBudget]]</f>
        <v>-191</v>
      </c>
      <c r="L375" s="11">
        <f>allFYsTable[[#This Row],[DiffAmount]]/allFYsTable[[#This Row],[OriginalBudget]]</f>
        <v>-7.7234128588758597E-2</v>
      </c>
    </row>
    <row r="376" spans="1:12" x14ac:dyDescent="0.45">
      <c r="A376" t="s">
        <v>1038</v>
      </c>
      <c r="B376" t="s">
        <v>6</v>
      </c>
      <c r="C376" t="s">
        <v>754</v>
      </c>
      <c r="D376" t="s">
        <v>1016</v>
      </c>
      <c r="E376">
        <v>723</v>
      </c>
      <c r="F376">
        <v>623</v>
      </c>
      <c r="G376">
        <v>583</v>
      </c>
      <c r="H376">
        <v>40</v>
      </c>
      <c r="I376">
        <v>2008</v>
      </c>
      <c r="J376">
        <v>53</v>
      </c>
      <c r="K376">
        <f>allFYsTable[[#This Row],[Actual]]-allFYsTable[[#This Row],[OriginalBudget]]</f>
        <v>-140</v>
      </c>
      <c r="L376" s="11">
        <f>allFYsTable[[#This Row],[DiffAmount]]/allFYsTable[[#This Row],[OriginalBudget]]</f>
        <v>-0.19363762102351315</v>
      </c>
    </row>
    <row r="377" spans="1:12" x14ac:dyDescent="0.45">
      <c r="A377" t="s">
        <v>1038</v>
      </c>
      <c r="B377" t="s">
        <v>6</v>
      </c>
      <c r="C377" t="s">
        <v>764</v>
      </c>
      <c r="D377" t="s">
        <v>656</v>
      </c>
      <c r="E377">
        <v>10468</v>
      </c>
      <c r="F377">
        <v>9058</v>
      </c>
      <c r="G377">
        <v>9005</v>
      </c>
      <c r="H377">
        <v>53</v>
      </c>
      <c r="I377">
        <v>2008</v>
      </c>
      <c r="J377">
        <v>54</v>
      </c>
      <c r="K377">
        <f>allFYsTable[[#This Row],[Actual]]-allFYsTable[[#This Row],[OriginalBudget]]</f>
        <v>-1463</v>
      </c>
      <c r="L377" s="11">
        <f>allFYsTable[[#This Row],[DiffAmount]]/allFYsTable[[#This Row],[OriginalBudget]]</f>
        <v>-0.13975926633549865</v>
      </c>
    </row>
    <row r="378" spans="1:12" x14ac:dyDescent="0.45">
      <c r="A378" t="s">
        <v>1038</v>
      </c>
      <c r="B378" t="s">
        <v>6</v>
      </c>
      <c r="C378" t="s">
        <v>759</v>
      </c>
      <c r="D378" t="s">
        <v>657</v>
      </c>
      <c r="E378">
        <v>7701</v>
      </c>
      <c r="F378">
        <v>7103</v>
      </c>
      <c r="G378">
        <v>7078</v>
      </c>
      <c r="H378">
        <v>25</v>
      </c>
      <c r="I378">
        <v>2008</v>
      </c>
      <c r="J378">
        <v>55</v>
      </c>
      <c r="K378">
        <f>allFYsTable[[#This Row],[Actual]]-allFYsTable[[#This Row],[OriginalBudget]]</f>
        <v>-623</v>
      </c>
      <c r="L378" s="11">
        <f>allFYsTable[[#This Row],[DiffAmount]]/allFYsTable[[#This Row],[OriginalBudget]]</f>
        <v>-8.0898584599402676E-2</v>
      </c>
    </row>
    <row r="379" spans="1:12" x14ac:dyDescent="0.45">
      <c r="A379" t="s">
        <v>1038</v>
      </c>
      <c r="B379" t="s">
        <v>6</v>
      </c>
      <c r="C379" t="s">
        <v>747</v>
      </c>
      <c r="D379" t="s">
        <v>33</v>
      </c>
      <c r="E379">
        <v>115</v>
      </c>
      <c r="F379">
        <v>57</v>
      </c>
      <c r="G379">
        <v>0</v>
      </c>
      <c r="H379">
        <v>57</v>
      </c>
      <c r="I379">
        <v>2008</v>
      </c>
      <c r="J379">
        <v>56</v>
      </c>
      <c r="K379">
        <f>allFYsTable[[#This Row],[Actual]]-allFYsTable[[#This Row],[OriginalBudget]]</f>
        <v>-115</v>
      </c>
      <c r="L379" s="11">
        <f>allFYsTable[[#This Row],[DiffAmount]]/allFYsTable[[#This Row],[OriginalBudget]]</f>
        <v>-1</v>
      </c>
    </row>
    <row r="380" spans="1:12" x14ac:dyDescent="0.45">
      <c r="A380" t="s">
        <v>1038</v>
      </c>
      <c r="B380" t="s">
        <v>6</v>
      </c>
      <c r="C380" t="s">
        <v>749</v>
      </c>
      <c r="D380" t="s">
        <v>658</v>
      </c>
      <c r="E380">
        <v>384</v>
      </c>
      <c r="F380">
        <v>402</v>
      </c>
      <c r="G380">
        <v>398</v>
      </c>
      <c r="H380">
        <v>4</v>
      </c>
      <c r="I380">
        <v>2008</v>
      </c>
      <c r="J380">
        <v>57</v>
      </c>
      <c r="K380">
        <f>allFYsTable[[#This Row],[Actual]]-allFYsTable[[#This Row],[OriginalBudget]]</f>
        <v>14</v>
      </c>
      <c r="L380" s="11">
        <f>allFYsTable[[#This Row],[DiffAmount]]/allFYsTable[[#This Row],[OriginalBudget]]</f>
        <v>3.6458333333333336E-2</v>
      </c>
    </row>
    <row r="381" spans="1:12" x14ac:dyDescent="0.45">
      <c r="A381" t="s">
        <v>1038</v>
      </c>
      <c r="B381" t="s">
        <v>6</v>
      </c>
      <c r="C381" t="s">
        <v>751</v>
      </c>
      <c r="D381" t="s">
        <v>594</v>
      </c>
      <c r="E381">
        <v>1686</v>
      </c>
      <c r="F381">
        <v>1481</v>
      </c>
      <c r="G381">
        <v>1476</v>
      </c>
      <c r="H381">
        <v>5</v>
      </c>
      <c r="I381">
        <v>2008</v>
      </c>
      <c r="J381">
        <v>58</v>
      </c>
      <c r="K381">
        <f>allFYsTable[[#This Row],[Actual]]-allFYsTable[[#This Row],[OriginalBudget]]</f>
        <v>-210</v>
      </c>
      <c r="L381" s="11">
        <f>allFYsTable[[#This Row],[DiffAmount]]/allFYsTable[[#This Row],[OriginalBudget]]</f>
        <v>-0.12455516014234876</v>
      </c>
    </row>
    <row r="382" spans="1:12" x14ac:dyDescent="0.45">
      <c r="A382" t="s">
        <v>1038</v>
      </c>
      <c r="B382" t="s">
        <v>6</v>
      </c>
      <c r="C382" t="s">
        <v>854</v>
      </c>
      <c r="D382" t="s">
        <v>358</v>
      </c>
      <c r="E382">
        <v>2505</v>
      </c>
      <c r="F382">
        <v>2105</v>
      </c>
      <c r="G382">
        <v>2094</v>
      </c>
      <c r="H382">
        <v>11</v>
      </c>
      <c r="I382">
        <v>2008</v>
      </c>
      <c r="J382">
        <v>59</v>
      </c>
      <c r="K382">
        <f>allFYsTable[[#This Row],[Actual]]-allFYsTable[[#This Row],[OriginalBudget]]</f>
        <v>-411</v>
      </c>
      <c r="L382" s="11">
        <f>allFYsTable[[#This Row],[DiffAmount]]/allFYsTable[[#This Row],[OriginalBudget]]</f>
        <v>-0.16407185628742516</v>
      </c>
    </row>
    <row r="383" spans="1:12" x14ac:dyDescent="0.45">
      <c r="A383" t="s">
        <v>1038</v>
      </c>
      <c r="B383" t="s">
        <v>6</v>
      </c>
      <c r="C383" t="s">
        <v>841</v>
      </c>
      <c r="D383" t="s">
        <v>194</v>
      </c>
      <c r="E383">
        <v>92</v>
      </c>
      <c r="F383">
        <v>222</v>
      </c>
      <c r="G383">
        <v>222</v>
      </c>
      <c r="H383">
        <v>0</v>
      </c>
      <c r="I383">
        <v>2008</v>
      </c>
      <c r="J383">
        <v>60</v>
      </c>
      <c r="K383">
        <f>allFYsTable[[#This Row],[Actual]]-allFYsTable[[#This Row],[OriginalBudget]]</f>
        <v>130</v>
      </c>
      <c r="L383" s="11">
        <f>allFYsTable[[#This Row],[DiffAmount]]/allFYsTable[[#This Row],[OriginalBudget]]</f>
        <v>1.4130434782608696</v>
      </c>
    </row>
    <row r="384" spans="1:12" x14ac:dyDescent="0.45">
      <c r="A384" t="s">
        <v>1038</v>
      </c>
      <c r="B384" t="s">
        <v>6</v>
      </c>
      <c r="C384" t="s">
        <v>867</v>
      </c>
      <c r="D384" t="s">
        <v>659</v>
      </c>
      <c r="E384">
        <v>0</v>
      </c>
      <c r="F384">
        <v>3773</v>
      </c>
      <c r="G384">
        <v>3773</v>
      </c>
      <c r="H384">
        <v>0</v>
      </c>
      <c r="I384">
        <v>2008</v>
      </c>
      <c r="J384">
        <v>61</v>
      </c>
      <c r="K384">
        <f>allFYsTable[[#This Row],[Actual]]-allFYsTable[[#This Row],[OriginalBudget]]</f>
        <v>3773</v>
      </c>
      <c r="L384" s="11" t="e">
        <f>allFYsTable[[#This Row],[DiffAmount]]/allFYsTable[[#This Row],[OriginalBudget]]</f>
        <v>#DIV/0!</v>
      </c>
    </row>
    <row r="385" spans="1:12" x14ac:dyDescent="0.45">
      <c r="A385" t="s">
        <v>1038</v>
      </c>
      <c r="B385" t="s">
        <v>6</v>
      </c>
      <c r="C385" t="s">
        <v>766</v>
      </c>
      <c r="D385" t="s">
        <v>52</v>
      </c>
      <c r="E385">
        <v>28632</v>
      </c>
      <c r="F385">
        <v>28236</v>
      </c>
      <c r="G385">
        <v>28224</v>
      </c>
      <c r="H385">
        <v>12</v>
      </c>
      <c r="I385">
        <v>2008</v>
      </c>
      <c r="J385">
        <v>62</v>
      </c>
      <c r="K385">
        <f>allFYsTable[[#This Row],[Actual]]-allFYsTable[[#This Row],[OriginalBudget]]</f>
        <v>-408</v>
      </c>
      <c r="L385" s="11">
        <f>allFYsTable[[#This Row],[DiffAmount]]/allFYsTable[[#This Row],[OriginalBudget]]</f>
        <v>-1.4249790444258172E-2</v>
      </c>
    </row>
    <row r="386" spans="1:12" x14ac:dyDescent="0.45">
      <c r="A386" t="s">
        <v>1038</v>
      </c>
      <c r="B386" t="s">
        <v>136</v>
      </c>
      <c r="C386" t="s">
        <v>773</v>
      </c>
      <c r="D386" t="s">
        <v>595</v>
      </c>
      <c r="E386">
        <v>778067</v>
      </c>
      <c r="F386">
        <v>847582</v>
      </c>
      <c r="G386">
        <v>841023</v>
      </c>
      <c r="H386">
        <v>6559</v>
      </c>
      <c r="I386">
        <v>2008</v>
      </c>
      <c r="J386">
        <v>63</v>
      </c>
      <c r="K386">
        <f>allFYsTable[[#This Row],[Actual]]-allFYsTable[[#This Row],[OriginalBudget]]</f>
        <v>62956</v>
      </c>
      <c r="L386" s="11">
        <f>allFYsTable[[#This Row],[DiffAmount]]/allFYsTable[[#This Row],[OriginalBudget]]</f>
        <v>8.0913340367860354E-2</v>
      </c>
    </row>
    <row r="387" spans="1:12" x14ac:dyDescent="0.45">
      <c r="A387" t="s">
        <v>1038</v>
      </c>
      <c r="B387" t="s">
        <v>136</v>
      </c>
      <c r="C387" t="s">
        <v>870</v>
      </c>
      <c r="D387" t="s">
        <v>660</v>
      </c>
      <c r="E387">
        <v>0</v>
      </c>
      <c r="F387">
        <v>517</v>
      </c>
      <c r="G387">
        <v>517</v>
      </c>
      <c r="H387">
        <v>0</v>
      </c>
      <c r="I387">
        <v>2008</v>
      </c>
      <c r="J387">
        <v>64</v>
      </c>
      <c r="K387">
        <f>allFYsTable[[#This Row],[Actual]]-allFYsTable[[#This Row],[OriginalBudget]]</f>
        <v>517</v>
      </c>
      <c r="L387" s="11" t="e">
        <f>allFYsTable[[#This Row],[DiffAmount]]/allFYsTable[[#This Row],[OriginalBudget]]</f>
        <v>#DIV/0!</v>
      </c>
    </row>
    <row r="388" spans="1:12" x14ac:dyDescent="0.45">
      <c r="A388" t="s">
        <v>1038</v>
      </c>
      <c r="B388" t="s">
        <v>136</v>
      </c>
      <c r="C388" t="s">
        <v>883</v>
      </c>
      <c r="D388" t="s">
        <v>661</v>
      </c>
      <c r="E388">
        <v>0</v>
      </c>
      <c r="F388">
        <v>0</v>
      </c>
      <c r="G388">
        <v>26601</v>
      </c>
      <c r="H388">
        <v>-26601</v>
      </c>
      <c r="I388">
        <v>2008</v>
      </c>
      <c r="J388">
        <v>65</v>
      </c>
      <c r="K388">
        <f>allFYsTable[[#This Row],[Actual]]-allFYsTable[[#This Row],[OriginalBudget]]</f>
        <v>26601</v>
      </c>
      <c r="L388" s="11" t="e">
        <f>allFYsTable[[#This Row],[DiffAmount]]/allFYsTable[[#This Row],[OriginalBudget]]</f>
        <v>#DIV/0!</v>
      </c>
    </row>
    <row r="389" spans="1:12" x14ac:dyDescent="0.45">
      <c r="A389" t="s">
        <v>1038</v>
      </c>
      <c r="B389" t="s">
        <v>136</v>
      </c>
      <c r="C389" t="s">
        <v>782</v>
      </c>
      <c r="D389" t="s">
        <v>662</v>
      </c>
      <c r="E389">
        <v>6000</v>
      </c>
      <c r="F389">
        <v>6000</v>
      </c>
      <c r="G389">
        <v>5964</v>
      </c>
      <c r="H389">
        <v>36</v>
      </c>
      <c r="I389">
        <v>2008</v>
      </c>
      <c r="J389">
        <v>66</v>
      </c>
      <c r="K389">
        <f>allFYsTable[[#This Row],[Actual]]-allFYsTable[[#This Row],[OriginalBudget]]</f>
        <v>-36</v>
      </c>
      <c r="L389" s="11">
        <f>allFYsTable[[#This Row],[DiffAmount]]/allFYsTable[[#This Row],[OriginalBudget]]</f>
        <v>-6.0000000000000001E-3</v>
      </c>
    </row>
    <row r="390" spans="1:12" x14ac:dyDescent="0.45">
      <c r="A390" t="s">
        <v>1038</v>
      </c>
      <c r="B390" t="s">
        <v>136</v>
      </c>
      <c r="C390" t="s">
        <v>779</v>
      </c>
      <c r="D390" t="s">
        <v>598</v>
      </c>
      <c r="E390">
        <v>61905</v>
      </c>
      <c r="F390">
        <v>108899</v>
      </c>
      <c r="G390">
        <v>102998</v>
      </c>
      <c r="H390">
        <v>5901</v>
      </c>
      <c r="I390">
        <v>2008</v>
      </c>
      <c r="J390">
        <v>67</v>
      </c>
      <c r="K390">
        <f>allFYsTable[[#This Row],[Actual]]-allFYsTable[[#This Row],[OriginalBudget]]</f>
        <v>41093</v>
      </c>
      <c r="L390" s="11">
        <f>allFYsTable[[#This Row],[DiffAmount]]/allFYsTable[[#This Row],[OriginalBudget]]</f>
        <v>0.66380744689443505</v>
      </c>
    </row>
    <row r="391" spans="1:12" x14ac:dyDescent="0.45">
      <c r="A391" t="s">
        <v>1038</v>
      </c>
      <c r="B391" t="s">
        <v>136</v>
      </c>
      <c r="C391" t="s">
        <v>772</v>
      </c>
      <c r="D391" t="s">
        <v>260</v>
      </c>
      <c r="E391">
        <v>320366</v>
      </c>
      <c r="F391">
        <v>232274</v>
      </c>
      <c r="G391">
        <v>225363</v>
      </c>
      <c r="H391">
        <v>6911</v>
      </c>
      <c r="I391">
        <v>2008</v>
      </c>
      <c r="J391">
        <v>68</v>
      </c>
      <c r="K391">
        <f>allFYsTable[[#This Row],[Actual]]-allFYsTable[[#This Row],[OriginalBudget]]</f>
        <v>-95003</v>
      </c>
      <c r="L391" s="11">
        <f>allFYsTable[[#This Row],[DiffAmount]]/allFYsTable[[#This Row],[OriginalBudget]]</f>
        <v>-0.29654520142586915</v>
      </c>
    </row>
    <row r="392" spans="1:12" x14ac:dyDescent="0.45">
      <c r="A392" t="s">
        <v>1038</v>
      </c>
      <c r="B392" t="s">
        <v>136</v>
      </c>
      <c r="C392" t="s">
        <v>869</v>
      </c>
      <c r="D392" t="s">
        <v>663</v>
      </c>
      <c r="E392">
        <v>0</v>
      </c>
      <c r="F392">
        <v>91312</v>
      </c>
      <c r="G392">
        <v>91312</v>
      </c>
      <c r="H392">
        <v>0</v>
      </c>
      <c r="I392">
        <v>2008</v>
      </c>
      <c r="J392">
        <v>69</v>
      </c>
      <c r="K392">
        <f>allFYsTable[[#This Row],[Actual]]-allFYsTable[[#This Row],[OriginalBudget]]</f>
        <v>91312</v>
      </c>
      <c r="L392" s="11" t="e">
        <f>allFYsTable[[#This Row],[DiffAmount]]/allFYsTable[[#This Row],[OriginalBudget]]</f>
        <v>#DIV/0!</v>
      </c>
    </row>
    <row r="393" spans="1:12" x14ac:dyDescent="0.45">
      <c r="A393" t="s">
        <v>1038</v>
      </c>
      <c r="B393" t="s">
        <v>136</v>
      </c>
      <c r="C393" t="s">
        <v>855</v>
      </c>
      <c r="D393" t="s">
        <v>600</v>
      </c>
      <c r="E393">
        <v>6000</v>
      </c>
      <c r="F393">
        <v>35118</v>
      </c>
      <c r="G393">
        <v>34981</v>
      </c>
      <c r="H393">
        <v>137</v>
      </c>
      <c r="I393">
        <v>2008</v>
      </c>
      <c r="J393">
        <v>70</v>
      </c>
      <c r="K393">
        <f>allFYsTable[[#This Row],[Actual]]-allFYsTable[[#This Row],[OriginalBudget]]</f>
        <v>28981</v>
      </c>
      <c r="L393" s="11">
        <f>allFYsTable[[#This Row],[DiffAmount]]/allFYsTable[[#This Row],[OriginalBudget]]</f>
        <v>4.8301666666666669</v>
      </c>
    </row>
    <row r="394" spans="1:12" x14ac:dyDescent="0.45">
      <c r="A394" t="s">
        <v>1038</v>
      </c>
      <c r="B394" t="s">
        <v>136</v>
      </c>
      <c r="C394" t="s">
        <v>784</v>
      </c>
      <c r="D394" t="s">
        <v>601</v>
      </c>
      <c r="E394">
        <v>62570</v>
      </c>
      <c r="F394">
        <v>62770</v>
      </c>
      <c r="G394">
        <v>62770</v>
      </c>
      <c r="H394">
        <v>0</v>
      </c>
      <c r="I394">
        <v>2008</v>
      </c>
      <c r="J394">
        <v>71</v>
      </c>
      <c r="K394">
        <f>allFYsTable[[#This Row],[Actual]]-allFYsTable[[#This Row],[OriginalBudget]]</f>
        <v>200</v>
      </c>
      <c r="L394" s="11">
        <f>allFYsTable[[#This Row],[DiffAmount]]/allFYsTable[[#This Row],[OriginalBudget]]</f>
        <v>3.1964200095892601E-3</v>
      </c>
    </row>
    <row r="395" spans="1:12" x14ac:dyDescent="0.45">
      <c r="A395" t="s">
        <v>1038</v>
      </c>
      <c r="B395" t="s">
        <v>136</v>
      </c>
      <c r="C395" t="s">
        <v>774</v>
      </c>
      <c r="D395" t="s">
        <v>602</v>
      </c>
      <c r="E395">
        <v>45239</v>
      </c>
      <c r="F395">
        <v>45239</v>
      </c>
      <c r="G395">
        <v>44563</v>
      </c>
      <c r="H395">
        <v>676</v>
      </c>
      <c r="I395">
        <v>2008</v>
      </c>
      <c r="J395">
        <v>72</v>
      </c>
      <c r="K395">
        <f>allFYsTable[[#This Row],[Actual]]-allFYsTable[[#This Row],[OriginalBudget]]</f>
        <v>-676</v>
      </c>
      <c r="L395" s="11">
        <f>allFYsTable[[#This Row],[DiffAmount]]/allFYsTable[[#This Row],[OriginalBudget]]</f>
        <v>-1.4942859037556091E-2</v>
      </c>
    </row>
    <row r="396" spans="1:12" x14ac:dyDescent="0.45">
      <c r="A396" t="s">
        <v>1038</v>
      </c>
      <c r="B396" t="s">
        <v>136</v>
      </c>
      <c r="C396" t="s">
        <v>771</v>
      </c>
      <c r="D396" t="s">
        <v>265</v>
      </c>
      <c r="E396">
        <v>1719</v>
      </c>
      <c r="F396">
        <v>1719</v>
      </c>
      <c r="G396">
        <v>1719</v>
      </c>
      <c r="H396">
        <v>0</v>
      </c>
      <c r="I396">
        <v>2008</v>
      </c>
      <c r="J396">
        <v>73</v>
      </c>
      <c r="K396">
        <f>allFYsTable[[#This Row],[Actual]]-allFYsTable[[#This Row],[OriginalBudget]]</f>
        <v>0</v>
      </c>
      <c r="L396" s="11">
        <f>allFYsTable[[#This Row],[DiffAmount]]/allFYsTable[[#This Row],[OriginalBudget]]</f>
        <v>0</v>
      </c>
    </row>
    <row r="397" spans="1:12" x14ac:dyDescent="0.45">
      <c r="A397" t="s">
        <v>1038</v>
      </c>
      <c r="B397" t="s">
        <v>136</v>
      </c>
      <c r="C397" t="s">
        <v>874</v>
      </c>
      <c r="D397" t="s">
        <v>664</v>
      </c>
      <c r="E397">
        <v>0</v>
      </c>
      <c r="F397">
        <v>384</v>
      </c>
      <c r="G397">
        <v>384</v>
      </c>
      <c r="H397">
        <v>0</v>
      </c>
      <c r="I397">
        <v>2008</v>
      </c>
      <c r="J397">
        <v>74</v>
      </c>
      <c r="K397">
        <f>allFYsTable[[#This Row],[Actual]]-allFYsTable[[#This Row],[OriginalBudget]]</f>
        <v>384</v>
      </c>
      <c r="L397" s="11" t="e">
        <f>allFYsTable[[#This Row],[DiffAmount]]/allFYsTable[[#This Row],[OriginalBudget]]</f>
        <v>#DIV/0!</v>
      </c>
    </row>
    <row r="398" spans="1:12" x14ac:dyDescent="0.45">
      <c r="A398" t="s">
        <v>1038</v>
      </c>
      <c r="B398" t="s">
        <v>136</v>
      </c>
      <c r="C398" t="s">
        <v>1039</v>
      </c>
      <c r="D398" t="s">
        <v>665</v>
      </c>
      <c r="E398">
        <v>0</v>
      </c>
      <c r="F398">
        <v>171</v>
      </c>
      <c r="G398">
        <v>171</v>
      </c>
      <c r="H398">
        <v>0</v>
      </c>
      <c r="I398">
        <v>2008</v>
      </c>
      <c r="J398">
        <v>75</v>
      </c>
      <c r="K398">
        <f>allFYsTable[[#This Row],[Actual]]-allFYsTable[[#This Row],[OriginalBudget]]</f>
        <v>171</v>
      </c>
      <c r="L398" s="11" t="e">
        <f>allFYsTable[[#This Row],[DiffAmount]]/allFYsTable[[#This Row],[OriginalBudget]]</f>
        <v>#DIV/0!</v>
      </c>
    </row>
    <row r="399" spans="1:12" x14ac:dyDescent="0.45">
      <c r="A399" t="s">
        <v>1038</v>
      </c>
      <c r="B399" t="s">
        <v>136</v>
      </c>
      <c r="C399" t="s">
        <v>778</v>
      </c>
      <c r="D399" t="s">
        <v>666</v>
      </c>
      <c r="E399">
        <v>2442</v>
      </c>
      <c r="F399">
        <v>6942</v>
      </c>
      <c r="G399">
        <v>2467</v>
      </c>
      <c r="H399">
        <v>4475</v>
      </c>
      <c r="I399">
        <v>2008</v>
      </c>
      <c r="J399">
        <v>76</v>
      </c>
      <c r="K399">
        <f>allFYsTable[[#This Row],[Actual]]-allFYsTable[[#This Row],[OriginalBudget]]</f>
        <v>25</v>
      </c>
      <c r="L399" s="11">
        <f>allFYsTable[[#This Row],[DiffAmount]]/allFYsTable[[#This Row],[OriginalBudget]]</f>
        <v>1.0237510237510237E-2</v>
      </c>
    </row>
    <row r="400" spans="1:12" x14ac:dyDescent="0.45">
      <c r="A400" t="s">
        <v>1038</v>
      </c>
      <c r="B400" t="s">
        <v>14</v>
      </c>
      <c r="C400" t="s">
        <v>790</v>
      </c>
      <c r="D400" t="s">
        <v>606</v>
      </c>
      <c r="E400">
        <v>179567</v>
      </c>
      <c r="F400">
        <v>140001</v>
      </c>
      <c r="G400">
        <v>137874</v>
      </c>
      <c r="H400">
        <v>2127</v>
      </c>
      <c r="I400">
        <v>2008</v>
      </c>
      <c r="J400">
        <v>77</v>
      </c>
      <c r="K400">
        <f>allFYsTable[[#This Row],[Actual]]-allFYsTable[[#This Row],[OriginalBudget]]</f>
        <v>-41693</v>
      </c>
      <c r="L400" s="11">
        <f>allFYsTable[[#This Row],[DiffAmount]]/allFYsTable[[#This Row],[OriginalBudget]]</f>
        <v>-0.23218631485740698</v>
      </c>
    </row>
    <row r="401" spans="1:12" x14ac:dyDescent="0.45">
      <c r="A401" t="s">
        <v>1038</v>
      </c>
      <c r="B401" t="s">
        <v>14</v>
      </c>
      <c r="C401" t="s">
        <v>785</v>
      </c>
      <c r="D401" t="s">
        <v>607</v>
      </c>
      <c r="E401">
        <v>188306</v>
      </c>
      <c r="F401">
        <v>195136</v>
      </c>
      <c r="G401">
        <v>191390</v>
      </c>
      <c r="H401">
        <v>3746</v>
      </c>
      <c r="I401">
        <v>2008</v>
      </c>
      <c r="J401">
        <v>78</v>
      </c>
      <c r="K401">
        <f>allFYsTable[[#This Row],[Actual]]-allFYsTable[[#This Row],[OriginalBudget]]</f>
        <v>3084</v>
      </c>
      <c r="L401" s="11">
        <f>allFYsTable[[#This Row],[DiffAmount]]/allFYsTable[[#This Row],[OriginalBudget]]</f>
        <v>1.6377598164689387E-2</v>
      </c>
    </row>
    <row r="402" spans="1:12" x14ac:dyDescent="0.45">
      <c r="A402" t="s">
        <v>1038</v>
      </c>
      <c r="B402" t="s">
        <v>14</v>
      </c>
      <c r="C402" t="s">
        <v>881</v>
      </c>
      <c r="D402" t="s">
        <v>667</v>
      </c>
      <c r="E402">
        <v>0</v>
      </c>
      <c r="F402">
        <v>0</v>
      </c>
      <c r="G402">
        <v>82875</v>
      </c>
      <c r="H402">
        <v>-82875</v>
      </c>
      <c r="I402">
        <v>2008</v>
      </c>
      <c r="J402">
        <v>79</v>
      </c>
      <c r="K402">
        <f>allFYsTable[[#This Row],[Actual]]-allFYsTable[[#This Row],[OriginalBudget]]</f>
        <v>82875</v>
      </c>
      <c r="L402" s="11" t="e">
        <f>allFYsTable[[#This Row],[DiffAmount]]/allFYsTable[[#This Row],[OriginalBudget]]</f>
        <v>#DIV/0!</v>
      </c>
    </row>
    <row r="403" spans="1:12" x14ac:dyDescent="0.45">
      <c r="A403" t="s">
        <v>1038</v>
      </c>
      <c r="B403" t="s">
        <v>14</v>
      </c>
      <c r="C403" t="s">
        <v>787</v>
      </c>
      <c r="D403" t="s">
        <v>668</v>
      </c>
      <c r="E403">
        <v>209980</v>
      </c>
      <c r="F403">
        <v>209980</v>
      </c>
      <c r="G403">
        <v>207627</v>
      </c>
      <c r="H403">
        <v>2353</v>
      </c>
      <c r="I403">
        <v>2008</v>
      </c>
      <c r="J403">
        <v>80</v>
      </c>
      <c r="K403">
        <f>allFYsTable[[#This Row],[Actual]]-allFYsTable[[#This Row],[OriginalBudget]]</f>
        <v>-2353</v>
      </c>
      <c r="L403" s="11">
        <f>allFYsTable[[#This Row],[DiffAmount]]/allFYsTable[[#This Row],[OriginalBudget]]</f>
        <v>-1.1205829126583484E-2</v>
      </c>
    </row>
    <row r="404" spans="1:12" x14ac:dyDescent="0.45">
      <c r="A404" t="s">
        <v>1038</v>
      </c>
      <c r="B404" t="s">
        <v>14</v>
      </c>
      <c r="C404" t="s">
        <v>788</v>
      </c>
      <c r="D404" t="s">
        <v>610</v>
      </c>
      <c r="E404">
        <v>677613</v>
      </c>
      <c r="F404">
        <v>692534</v>
      </c>
      <c r="G404">
        <v>664808</v>
      </c>
      <c r="H404">
        <v>27726</v>
      </c>
      <c r="I404">
        <v>2008</v>
      </c>
      <c r="J404">
        <v>81</v>
      </c>
      <c r="K404">
        <f>allFYsTable[[#This Row],[Actual]]-allFYsTable[[#This Row],[OriginalBudget]]</f>
        <v>-12805</v>
      </c>
      <c r="L404" s="11">
        <f>allFYsTable[[#This Row],[DiffAmount]]/allFYsTable[[#This Row],[OriginalBudget]]</f>
        <v>-1.8897217143118563E-2</v>
      </c>
    </row>
    <row r="405" spans="1:12" x14ac:dyDescent="0.45">
      <c r="A405" t="s">
        <v>1038</v>
      </c>
      <c r="B405" t="s">
        <v>14</v>
      </c>
      <c r="C405" t="s">
        <v>770</v>
      </c>
      <c r="D405" t="s">
        <v>611</v>
      </c>
      <c r="E405">
        <v>47358</v>
      </c>
      <c r="F405">
        <v>49070</v>
      </c>
      <c r="G405">
        <v>49029</v>
      </c>
      <c r="H405">
        <v>41</v>
      </c>
      <c r="I405">
        <v>2008</v>
      </c>
      <c r="J405">
        <v>82</v>
      </c>
      <c r="K405">
        <f>allFYsTable[[#This Row],[Actual]]-allFYsTable[[#This Row],[OriginalBudget]]</f>
        <v>1671</v>
      </c>
      <c r="L405" s="11">
        <f>allFYsTable[[#This Row],[DiffAmount]]/allFYsTable[[#This Row],[OriginalBudget]]</f>
        <v>3.5284429241099709E-2</v>
      </c>
    </row>
    <row r="406" spans="1:12" x14ac:dyDescent="0.45">
      <c r="A406" t="s">
        <v>1038</v>
      </c>
      <c r="B406" t="s">
        <v>14</v>
      </c>
      <c r="C406" t="s">
        <v>786</v>
      </c>
      <c r="D406" t="s">
        <v>612</v>
      </c>
      <c r="E406">
        <v>17443</v>
      </c>
      <c r="F406">
        <v>17668</v>
      </c>
      <c r="G406">
        <v>17198</v>
      </c>
      <c r="H406">
        <v>470</v>
      </c>
      <c r="I406">
        <v>2008</v>
      </c>
      <c r="J406">
        <v>83</v>
      </c>
      <c r="K406">
        <f>allFYsTable[[#This Row],[Actual]]-allFYsTable[[#This Row],[OriginalBudget]]</f>
        <v>-245</v>
      </c>
      <c r="L406" s="11">
        <f>allFYsTable[[#This Row],[DiffAmount]]/allFYsTable[[#This Row],[OriginalBudget]]</f>
        <v>-1.4045749011064611E-2</v>
      </c>
    </row>
    <row r="407" spans="1:12" x14ac:dyDescent="0.45">
      <c r="A407" t="s">
        <v>1038</v>
      </c>
      <c r="B407" t="s">
        <v>14</v>
      </c>
      <c r="C407" t="s">
        <v>783</v>
      </c>
      <c r="D407" t="s">
        <v>669</v>
      </c>
      <c r="E407">
        <v>5800</v>
      </c>
      <c r="F407">
        <v>6459</v>
      </c>
      <c r="G407">
        <v>6459</v>
      </c>
      <c r="H407">
        <v>0</v>
      </c>
      <c r="I407">
        <v>2008</v>
      </c>
      <c r="J407">
        <v>84</v>
      </c>
      <c r="K407">
        <f>allFYsTable[[#This Row],[Actual]]-allFYsTable[[#This Row],[OriginalBudget]]</f>
        <v>659</v>
      </c>
      <c r="L407" s="11">
        <f>allFYsTable[[#This Row],[DiffAmount]]/allFYsTable[[#This Row],[OriginalBudget]]</f>
        <v>0.11362068965517241</v>
      </c>
    </row>
    <row r="408" spans="1:12" x14ac:dyDescent="0.45">
      <c r="A408" t="s">
        <v>1038</v>
      </c>
      <c r="B408" t="s">
        <v>14</v>
      </c>
      <c r="C408" t="s">
        <v>706</v>
      </c>
      <c r="D408" t="s">
        <v>670</v>
      </c>
      <c r="E408">
        <v>30280</v>
      </c>
      <c r="F408">
        <v>28220</v>
      </c>
      <c r="G408">
        <v>28220</v>
      </c>
      <c r="H408">
        <v>0</v>
      </c>
      <c r="I408">
        <v>2008</v>
      </c>
      <c r="J408">
        <v>85</v>
      </c>
      <c r="K408">
        <f>allFYsTable[[#This Row],[Actual]]-allFYsTable[[#This Row],[OriginalBudget]]</f>
        <v>-2060</v>
      </c>
      <c r="L408" s="11">
        <f>allFYsTable[[#This Row],[DiffAmount]]/allFYsTable[[#This Row],[OriginalBudget]]</f>
        <v>-6.8031704095112291E-2</v>
      </c>
    </row>
    <row r="409" spans="1:12" x14ac:dyDescent="0.45">
      <c r="A409" t="s">
        <v>1038</v>
      </c>
      <c r="B409" t="s">
        <v>14</v>
      </c>
      <c r="C409" t="s">
        <v>760</v>
      </c>
      <c r="D409" t="s">
        <v>615</v>
      </c>
      <c r="E409">
        <v>2839</v>
      </c>
      <c r="F409">
        <v>2914</v>
      </c>
      <c r="G409">
        <v>2605</v>
      </c>
      <c r="H409">
        <v>309</v>
      </c>
      <c r="I409">
        <v>2008</v>
      </c>
      <c r="J409">
        <v>86</v>
      </c>
      <c r="K409">
        <f>allFYsTable[[#This Row],[Actual]]-allFYsTable[[#This Row],[OriginalBudget]]</f>
        <v>-234</v>
      </c>
      <c r="L409" s="11">
        <f>allFYsTable[[#This Row],[DiffAmount]]/allFYsTable[[#This Row],[OriginalBudget]]</f>
        <v>-8.2423388517083473E-2</v>
      </c>
    </row>
    <row r="410" spans="1:12" x14ac:dyDescent="0.45">
      <c r="A410" t="s">
        <v>1038</v>
      </c>
      <c r="B410" t="s">
        <v>14</v>
      </c>
      <c r="C410" t="s">
        <v>828</v>
      </c>
      <c r="D410" t="s">
        <v>219</v>
      </c>
      <c r="E410">
        <v>14030</v>
      </c>
      <c r="F410">
        <v>20811</v>
      </c>
      <c r="G410">
        <v>20811</v>
      </c>
      <c r="H410">
        <v>0</v>
      </c>
      <c r="I410">
        <v>2008</v>
      </c>
      <c r="J410">
        <v>87</v>
      </c>
      <c r="K410">
        <f>allFYsTable[[#This Row],[Actual]]-allFYsTable[[#This Row],[OriginalBudget]]</f>
        <v>6781</v>
      </c>
      <c r="L410" s="11">
        <f>allFYsTable[[#This Row],[DiffAmount]]/allFYsTable[[#This Row],[OriginalBudget]]</f>
        <v>0.48332145402708482</v>
      </c>
    </row>
    <row r="411" spans="1:12" x14ac:dyDescent="0.45">
      <c r="A411" t="s">
        <v>1038</v>
      </c>
      <c r="B411" t="s">
        <v>14</v>
      </c>
      <c r="C411" t="s">
        <v>729</v>
      </c>
      <c r="D411" t="s">
        <v>616</v>
      </c>
      <c r="E411">
        <v>4123</v>
      </c>
      <c r="F411">
        <v>4149</v>
      </c>
      <c r="G411">
        <v>4120</v>
      </c>
      <c r="H411">
        <v>29</v>
      </c>
      <c r="I411">
        <v>2008</v>
      </c>
      <c r="J411">
        <v>88</v>
      </c>
      <c r="K411">
        <f>allFYsTable[[#This Row],[Actual]]-allFYsTable[[#This Row],[OriginalBudget]]</f>
        <v>-3</v>
      </c>
      <c r="L411" s="11">
        <f>allFYsTable[[#This Row],[DiffAmount]]/allFYsTable[[#This Row],[OriginalBudget]]</f>
        <v>-7.2762551540140675E-4</v>
      </c>
    </row>
    <row r="412" spans="1:12" x14ac:dyDescent="0.45">
      <c r="A412" t="s">
        <v>1038</v>
      </c>
      <c r="B412" t="s">
        <v>14</v>
      </c>
      <c r="C412" t="s">
        <v>728</v>
      </c>
      <c r="D412" t="s">
        <v>671</v>
      </c>
      <c r="E412">
        <v>939</v>
      </c>
      <c r="F412">
        <v>955</v>
      </c>
      <c r="G412">
        <v>930</v>
      </c>
      <c r="H412">
        <v>25</v>
      </c>
      <c r="I412">
        <v>2008</v>
      </c>
      <c r="J412">
        <v>89</v>
      </c>
      <c r="K412">
        <f>allFYsTable[[#This Row],[Actual]]-allFYsTable[[#This Row],[OriginalBudget]]</f>
        <v>-9</v>
      </c>
      <c r="L412" s="11">
        <f>allFYsTable[[#This Row],[DiffAmount]]/allFYsTable[[#This Row],[OriginalBudget]]</f>
        <v>-9.5846645367412137E-3</v>
      </c>
    </row>
    <row r="413" spans="1:12" x14ac:dyDescent="0.45">
      <c r="A413" t="s">
        <v>1038</v>
      </c>
      <c r="B413" t="s">
        <v>14</v>
      </c>
      <c r="C413" t="s">
        <v>727</v>
      </c>
      <c r="D413" t="s">
        <v>672</v>
      </c>
      <c r="E413">
        <v>350</v>
      </c>
      <c r="F413">
        <v>350</v>
      </c>
      <c r="G413">
        <v>295</v>
      </c>
      <c r="H413">
        <v>55</v>
      </c>
      <c r="I413">
        <v>2008</v>
      </c>
      <c r="J413">
        <v>90</v>
      </c>
      <c r="K413">
        <f>allFYsTable[[#This Row],[Actual]]-allFYsTable[[#This Row],[OriginalBudget]]</f>
        <v>-55</v>
      </c>
      <c r="L413" s="11">
        <f>allFYsTable[[#This Row],[DiffAmount]]/allFYsTable[[#This Row],[OriginalBudget]]</f>
        <v>-0.15714285714285714</v>
      </c>
    </row>
    <row r="414" spans="1:12" x14ac:dyDescent="0.45">
      <c r="A414" t="s">
        <v>1038</v>
      </c>
      <c r="B414" t="s">
        <v>14</v>
      </c>
      <c r="C414" t="s">
        <v>752</v>
      </c>
      <c r="D414" t="s">
        <v>673</v>
      </c>
      <c r="E414">
        <v>79705</v>
      </c>
      <c r="F414">
        <v>85612</v>
      </c>
      <c r="G414">
        <v>84463</v>
      </c>
      <c r="H414">
        <v>1149</v>
      </c>
      <c r="I414">
        <v>2008</v>
      </c>
      <c r="J414">
        <v>91</v>
      </c>
      <c r="K414">
        <f>allFYsTable[[#This Row],[Actual]]-allFYsTable[[#This Row],[OriginalBudget]]</f>
        <v>4758</v>
      </c>
      <c r="L414" s="11">
        <f>allFYsTable[[#This Row],[DiffAmount]]/allFYsTable[[#This Row],[OriginalBudget]]</f>
        <v>5.9695125776300109E-2</v>
      </c>
    </row>
    <row r="415" spans="1:12" x14ac:dyDescent="0.45">
      <c r="A415" t="s">
        <v>1038</v>
      </c>
      <c r="B415" t="s">
        <v>14</v>
      </c>
      <c r="C415" t="s">
        <v>791</v>
      </c>
      <c r="D415" t="s">
        <v>674</v>
      </c>
      <c r="E415">
        <v>83084</v>
      </c>
      <c r="F415">
        <v>83084</v>
      </c>
      <c r="G415">
        <v>81911</v>
      </c>
      <c r="H415">
        <v>1173</v>
      </c>
      <c r="I415">
        <v>2008</v>
      </c>
      <c r="J415">
        <v>92</v>
      </c>
      <c r="K415">
        <f>allFYsTable[[#This Row],[Actual]]-allFYsTable[[#This Row],[OriginalBudget]]</f>
        <v>-1173</v>
      </c>
      <c r="L415" s="11">
        <f>allFYsTable[[#This Row],[DiffAmount]]/allFYsTable[[#This Row],[OriginalBudget]]</f>
        <v>-1.4118241779403977E-2</v>
      </c>
    </row>
    <row r="416" spans="1:12" x14ac:dyDescent="0.45">
      <c r="A416" t="s">
        <v>1038</v>
      </c>
      <c r="B416" t="s">
        <v>530</v>
      </c>
      <c r="C416" t="s">
        <v>802</v>
      </c>
      <c r="D416" t="s">
        <v>182</v>
      </c>
      <c r="E416">
        <v>118792</v>
      </c>
      <c r="F416">
        <v>119652</v>
      </c>
      <c r="G416">
        <v>119618</v>
      </c>
      <c r="H416">
        <v>34</v>
      </c>
      <c r="I416">
        <v>2008</v>
      </c>
      <c r="J416">
        <v>93</v>
      </c>
      <c r="K416">
        <f>allFYsTable[[#This Row],[Actual]]-allFYsTable[[#This Row],[OriginalBudget]]</f>
        <v>826</v>
      </c>
      <c r="L416" s="11">
        <f>allFYsTable[[#This Row],[DiffAmount]]/allFYsTable[[#This Row],[OriginalBudget]]</f>
        <v>6.9533301905852244E-3</v>
      </c>
    </row>
    <row r="417" spans="1:12" x14ac:dyDescent="0.45">
      <c r="A417" t="s">
        <v>1038</v>
      </c>
      <c r="B417" t="s">
        <v>530</v>
      </c>
      <c r="C417" t="s">
        <v>803</v>
      </c>
      <c r="D417" t="s">
        <v>155</v>
      </c>
      <c r="E417">
        <v>17667</v>
      </c>
      <c r="F417">
        <v>18523</v>
      </c>
      <c r="G417">
        <v>18450</v>
      </c>
      <c r="H417">
        <v>73</v>
      </c>
      <c r="I417">
        <v>2008</v>
      </c>
      <c r="J417">
        <v>94</v>
      </c>
      <c r="K417">
        <f>allFYsTable[[#This Row],[Actual]]-allFYsTable[[#This Row],[OriginalBudget]]</f>
        <v>783</v>
      </c>
      <c r="L417" s="11">
        <f>allFYsTable[[#This Row],[DiffAmount]]/allFYsTable[[#This Row],[OriginalBudget]]</f>
        <v>4.431991849210392E-2</v>
      </c>
    </row>
    <row r="418" spans="1:12" x14ac:dyDescent="0.45">
      <c r="A418" t="s">
        <v>1038</v>
      </c>
      <c r="B418" t="s">
        <v>530</v>
      </c>
      <c r="C418" t="s">
        <v>801</v>
      </c>
      <c r="D418" t="s">
        <v>77</v>
      </c>
      <c r="E418">
        <v>32618</v>
      </c>
      <c r="F418">
        <v>30091</v>
      </c>
      <c r="G418">
        <v>28426</v>
      </c>
      <c r="H418">
        <v>1665</v>
      </c>
      <c r="I418">
        <v>2008</v>
      </c>
      <c r="J418">
        <v>95</v>
      </c>
      <c r="K418">
        <f>allFYsTable[[#This Row],[Actual]]-allFYsTable[[#This Row],[OriginalBudget]]</f>
        <v>-4192</v>
      </c>
      <c r="L418" s="11">
        <f>allFYsTable[[#This Row],[DiffAmount]]/allFYsTable[[#This Row],[OriginalBudget]]</f>
        <v>-0.12851799619841806</v>
      </c>
    </row>
    <row r="419" spans="1:12" x14ac:dyDescent="0.45">
      <c r="A419" t="s">
        <v>1038</v>
      </c>
      <c r="B419" t="s">
        <v>530</v>
      </c>
      <c r="C419" t="s">
        <v>799</v>
      </c>
      <c r="D419" t="s">
        <v>675</v>
      </c>
      <c r="E419">
        <v>1574</v>
      </c>
      <c r="F419">
        <v>1574</v>
      </c>
      <c r="G419">
        <v>1335</v>
      </c>
      <c r="H419">
        <v>239</v>
      </c>
      <c r="I419">
        <v>2008</v>
      </c>
      <c r="J419">
        <v>96</v>
      </c>
      <c r="K419">
        <f>allFYsTable[[#This Row],[Actual]]-allFYsTable[[#This Row],[OriginalBudget]]</f>
        <v>-239</v>
      </c>
      <c r="L419" s="11">
        <f>allFYsTable[[#This Row],[DiffAmount]]/allFYsTable[[#This Row],[OriginalBudget]]</f>
        <v>-0.15184243964421856</v>
      </c>
    </row>
    <row r="420" spans="1:12" x14ac:dyDescent="0.45">
      <c r="A420" t="s">
        <v>1038</v>
      </c>
      <c r="B420" t="s">
        <v>530</v>
      </c>
      <c r="C420" t="s">
        <v>808</v>
      </c>
      <c r="D420" t="s">
        <v>676</v>
      </c>
      <c r="E420">
        <v>113</v>
      </c>
      <c r="F420">
        <v>113</v>
      </c>
      <c r="G420">
        <v>113</v>
      </c>
      <c r="H420">
        <v>0</v>
      </c>
      <c r="I420">
        <v>2008</v>
      </c>
      <c r="J420">
        <v>97</v>
      </c>
      <c r="K420">
        <f>allFYsTable[[#This Row],[Actual]]-allFYsTable[[#This Row],[OriginalBudget]]</f>
        <v>0</v>
      </c>
      <c r="L420" s="11">
        <f>allFYsTable[[#This Row],[DiffAmount]]/allFYsTable[[#This Row],[OriginalBudget]]</f>
        <v>0</v>
      </c>
    </row>
    <row r="421" spans="1:12" x14ac:dyDescent="0.45">
      <c r="A421" t="s">
        <v>1038</v>
      </c>
      <c r="B421" t="s">
        <v>530</v>
      </c>
      <c r="C421" t="s">
        <v>807</v>
      </c>
      <c r="D421" t="s">
        <v>17</v>
      </c>
      <c r="E421">
        <v>214909</v>
      </c>
      <c r="F421">
        <v>214909</v>
      </c>
      <c r="G421">
        <v>214905</v>
      </c>
      <c r="H421">
        <v>4</v>
      </c>
      <c r="I421">
        <v>2008</v>
      </c>
      <c r="J421">
        <v>98</v>
      </c>
      <c r="K421">
        <f>allFYsTable[[#This Row],[Actual]]-allFYsTable[[#This Row],[OriginalBudget]]</f>
        <v>-4</v>
      </c>
      <c r="L421" s="11">
        <f>allFYsTable[[#This Row],[DiffAmount]]/allFYsTable[[#This Row],[OriginalBudget]]</f>
        <v>-1.8612529023912446E-5</v>
      </c>
    </row>
    <row r="422" spans="1:12" x14ac:dyDescent="0.45">
      <c r="A422" t="s">
        <v>1038</v>
      </c>
      <c r="B422" t="s">
        <v>530</v>
      </c>
      <c r="C422" t="s">
        <v>798</v>
      </c>
      <c r="D422" t="s">
        <v>625</v>
      </c>
      <c r="E422">
        <v>18154</v>
      </c>
      <c r="F422">
        <v>21832</v>
      </c>
      <c r="G422">
        <v>20716</v>
      </c>
      <c r="H422">
        <v>1116</v>
      </c>
      <c r="I422">
        <v>2008</v>
      </c>
      <c r="J422">
        <v>99</v>
      </c>
      <c r="K422">
        <f>allFYsTable[[#This Row],[Actual]]-allFYsTable[[#This Row],[OriginalBudget]]</f>
        <v>2562</v>
      </c>
      <c r="L422" s="11">
        <f>allFYsTable[[#This Row],[DiffAmount]]/allFYsTable[[#This Row],[OriginalBudget]]</f>
        <v>0.14112592266167237</v>
      </c>
    </row>
    <row r="423" spans="1:12" x14ac:dyDescent="0.45">
      <c r="A423" t="s">
        <v>1038</v>
      </c>
      <c r="B423" t="s">
        <v>530</v>
      </c>
      <c r="C423" s="12" t="s">
        <v>807</v>
      </c>
      <c r="D423" t="s">
        <v>626</v>
      </c>
      <c r="E423">
        <v>5420</v>
      </c>
      <c r="F423">
        <v>5420</v>
      </c>
      <c r="G423">
        <v>5420</v>
      </c>
      <c r="H423">
        <v>0</v>
      </c>
      <c r="I423">
        <v>2008</v>
      </c>
      <c r="J423">
        <v>100</v>
      </c>
      <c r="K423">
        <f>allFYsTable[[#This Row],[Actual]]-allFYsTable[[#This Row],[OriginalBudget]]</f>
        <v>0</v>
      </c>
      <c r="L423" s="11">
        <f>allFYsTable[[#This Row],[DiffAmount]]/allFYsTable[[#This Row],[OriginalBudget]]</f>
        <v>0</v>
      </c>
    </row>
    <row r="424" spans="1:12" x14ac:dyDescent="0.45">
      <c r="A424" t="s">
        <v>1038</v>
      </c>
      <c r="B424" t="s">
        <v>10</v>
      </c>
      <c r="C424" t="s">
        <v>829</v>
      </c>
      <c r="D424" t="s">
        <v>627</v>
      </c>
      <c r="E424">
        <v>12000</v>
      </c>
      <c r="F424">
        <v>12000</v>
      </c>
      <c r="G424">
        <v>2512</v>
      </c>
      <c r="H424">
        <v>9488</v>
      </c>
      <c r="I424">
        <v>2008</v>
      </c>
      <c r="J424">
        <v>101</v>
      </c>
      <c r="K424">
        <f>allFYsTable[[#This Row],[Actual]]-allFYsTable[[#This Row],[OriginalBudget]]</f>
        <v>-9488</v>
      </c>
      <c r="L424" s="11">
        <f>allFYsTable[[#This Row],[DiffAmount]]/allFYsTable[[#This Row],[OriginalBudget]]</f>
        <v>-0.79066666666666663</v>
      </c>
    </row>
    <row r="425" spans="1:12" x14ac:dyDescent="0.45">
      <c r="A425" t="s">
        <v>1038</v>
      </c>
      <c r="B425" t="s">
        <v>10</v>
      </c>
      <c r="C425" t="s">
        <v>775</v>
      </c>
      <c r="D425" t="s">
        <v>628</v>
      </c>
      <c r="E425">
        <v>440707</v>
      </c>
      <c r="F425">
        <v>421552</v>
      </c>
      <c r="G425">
        <v>420827</v>
      </c>
      <c r="H425">
        <v>725</v>
      </c>
      <c r="I425">
        <v>2008</v>
      </c>
      <c r="J425">
        <v>102</v>
      </c>
      <c r="K425">
        <f>allFYsTable[[#This Row],[Actual]]-allFYsTable[[#This Row],[OriginalBudget]]</f>
        <v>-19880</v>
      </c>
      <c r="L425" s="11">
        <f>allFYsTable[[#This Row],[DiffAmount]]/allFYsTable[[#This Row],[OriginalBudget]]</f>
        <v>-4.5109335681076092E-2</v>
      </c>
    </row>
    <row r="426" spans="1:12" x14ac:dyDescent="0.45">
      <c r="A426" t="s">
        <v>1038</v>
      </c>
      <c r="B426" t="s">
        <v>10</v>
      </c>
      <c r="C426" t="s">
        <v>817</v>
      </c>
      <c r="D426" t="s">
        <v>629</v>
      </c>
      <c r="E426">
        <v>60000</v>
      </c>
      <c r="F426">
        <v>60000</v>
      </c>
      <c r="G426">
        <v>16216</v>
      </c>
      <c r="H426">
        <v>43784</v>
      </c>
      <c r="I426">
        <v>2008</v>
      </c>
      <c r="J426">
        <v>103</v>
      </c>
      <c r="K426">
        <f>allFYsTable[[#This Row],[Actual]]-allFYsTable[[#This Row],[OriginalBudget]]</f>
        <v>-43784</v>
      </c>
      <c r="L426" s="11">
        <f>allFYsTable[[#This Row],[DiffAmount]]/allFYsTable[[#This Row],[OriginalBudget]]</f>
        <v>-0.72973333333333334</v>
      </c>
    </row>
    <row r="427" spans="1:12" x14ac:dyDescent="0.45">
      <c r="A427" t="s">
        <v>1038</v>
      </c>
      <c r="B427" t="s">
        <v>10</v>
      </c>
      <c r="C427" t="s">
        <v>830</v>
      </c>
      <c r="D427" t="s">
        <v>630</v>
      </c>
      <c r="E427">
        <v>13334</v>
      </c>
      <c r="F427">
        <v>7849</v>
      </c>
      <c r="G427">
        <v>7849</v>
      </c>
      <c r="H427">
        <v>0</v>
      </c>
      <c r="I427">
        <v>2008</v>
      </c>
      <c r="J427">
        <v>104</v>
      </c>
      <c r="K427">
        <f>allFYsTable[[#This Row],[Actual]]-allFYsTable[[#This Row],[OriginalBudget]]</f>
        <v>-5485</v>
      </c>
      <c r="L427" s="11">
        <f>allFYsTable[[#This Row],[DiffAmount]]/allFYsTable[[#This Row],[OriginalBudget]]</f>
        <v>-0.41135443227838608</v>
      </c>
    </row>
    <row r="428" spans="1:12" x14ac:dyDescent="0.45">
      <c r="A428" t="s">
        <v>1038</v>
      </c>
      <c r="B428" t="s">
        <v>10</v>
      </c>
      <c r="C428" t="s">
        <v>831</v>
      </c>
      <c r="D428" t="s">
        <v>698</v>
      </c>
      <c r="E428">
        <v>32288</v>
      </c>
      <c r="F428">
        <v>32288</v>
      </c>
      <c r="G428">
        <v>30664</v>
      </c>
      <c r="H428">
        <v>1624</v>
      </c>
      <c r="I428">
        <v>2008</v>
      </c>
      <c r="J428">
        <v>105</v>
      </c>
      <c r="K428">
        <f>allFYsTable[[#This Row],[Actual]]-allFYsTable[[#This Row],[OriginalBudget]]</f>
        <v>-1624</v>
      </c>
      <c r="L428" s="11">
        <f>allFYsTable[[#This Row],[DiffAmount]]/allFYsTable[[#This Row],[OriginalBudget]]</f>
        <v>-5.0297324083250744E-2</v>
      </c>
    </row>
    <row r="429" spans="1:12" x14ac:dyDescent="0.45">
      <c r="A429" t="s">
        <v>1038</v>
      </c>
      <c r="B429" t="s">
        <v>10</v>
      </c>
      <c r="C429" t="s">
        <v>819</v>
      </c>
      <c r="D429" t="s">
        <v>1014</v>
      </c>
      <c r="E429">
        <v>21015</v>
      </c>
      <c r="F429">
        <v>21015</v>
      </c>
      <c r="G429">
        <v>21015</v>
      </c>
      <c r="H429">
        <v>0</v>
      </c>
      <c r="I429">
        <v>2008</v>
      </c>
      <c r="J429">
        <v>106</v>
      </c>
      <c r="K429">
        <f>allFYsTable[[#This Row],[Actual]]-allFYsTable[[#This Row],[OriginalBudget]]</f>
        <v>0</v>
      </c>
      <c r="L429" s="11">
        <f>allFYsTable[[#This Row],[DiffAmount]]/allFYsTable[[#This Row],[OriginalBudget]]</f>
        <v>0</v>
      </c>
    </row>
    <row r="430" spans="1:12" x14ac:dyDescent="0.45">
      <c r="A430" t="s">
        <v>1038</v>
      </c>
      <c r="B430" t="s">
        <v>10</v>
      </c>
      <c r="C430" t="s">
        <v>812</v>
      </c>
      <c r="D430" t="s">
        <v>631</v>
      </c>
      <c r="E430">
        <v>0</v>
      </c>
      <c r="F430">
        <v>0</v>
      </c>
      <c r="G430">
        <v>0</v>
      </c>
      <c r="H430">
        <v>0</v>
      </c>
      <c r="I430">
        <v>2008</v>
      </c>
      <c r="J430">
        <v>107</v>
      </c>
      <c r="K430">
        <f>allFYsTable[[#This Row],[Actual]]-allFYsTable[[#This Row],[OriginalBudget]]</f>
        <v>0</v>
      </c>
      <c r="L430" s="11" t="e">
        <f>allFYsTable[[#This Row],[DiffAmount]]/allFYsTable[[#This Row],[OriginalBudget]]</f>
        <v>#DIV/0!</v>
      </c>
    </row>
    <row r="431" spans="1:12" x14ac:dyDescent="0.45">
      <c r="A431" t="s">
        <v>1038</v>
      </c>
      <c r="B431" t="s">
        <v>10</v>
      </c>
      <c r="C431" t="s">
        <v>814</v>
      </c>
      <c r="D431" t="s">
        <v>632</v>
      </c>
      <c r="E431">
        <v>4190</v>
      </c>
      <c r="F431">
        <v>4190</v>
      </c>
      <c r="G431">
        <v>4147</v>
      </c>
      <c r="H431">
        <v>43</v>
      </c>
      <c r="I431">
        <v>2008</v>
      </c>
      <c r="J431">
        <v>108</v>
      </c>
      <c r="K431">
        <f>allFYsTable[[#This Row],[Actual]]-allFYsTable[[#This Row],[OriginalBudget]]</f>
        <v>-43</v>
      </c>
      <c r="L431" s="11">
        <f>allFYsTable[[#This Row],[DiffAmount]]/allFYsTable[[#This Row],[OriginalBudget]]</f>
        <v>-1.026252983293556E-2</v>
      </c>
    </row>
    <row r="432" spans="1:12" x14ac:dyDescent="0.45">
      <c r="A432" t="s">
        <v>1038</v>
      </c>
      <c r="B432" t="s">
        <v>10</v>
      </c>
      <c r="C432" t="s">
        <v>821</v>
      </c>
      <c r="D432" t="s">
        <v>634</v>
      </c>
      <c r="E432">
        <v>21044</v>
      </c>
      <c r="F432">
        <v>11927</v>
      </c>
      <c r="G432">
        <v>0</v>
      </c>
      <c r="H432">
        <v>11927</v>
      </c>
      <c r="I432">
        <v>2008</v>
      </c>
      <c r="J432">
        <v>109</v>
      </c>
      <c r="K432">
        <f>allFYsTable[[#This Row],[Actual]]-allFYsTable[[#This Row],[OriginalBudget]]</f>
        <v>-21044</v>
      </c>
      <c r="L432" s="11">
        <f>allFYsTable[[#This Row],[DiffAmount]]/allFYsTable[[#This Row],[OriginalBudget]]</f>
        <v>-1</v>
      </c>
    </row>
    <row r="433" spans="1:12" x14ac:dyDescent="0.45">
      <c r="A433" t="s">
        <v>1038</v>
      </c>
      <c r="B433" t="s">
        <v>10</v>
      </c>
      <c r="C433" t="s">
        <v>832</v>
      </c>
      <c r="D433" t="s">
        <v>546</v>
      </c>
      <c r="E433">
        <v>43755</v>
      </c>
      <c r="F433">
        <v>32971</v>
      </c>
      <c r="G433">
        <v>29896</v>
      </c>
      <c r="H433">
        <v>3075</v>
      </c>
      <c r="I433">
        <v>2008</v>
      </c>
      <c r="J433">
        <v>110</v>
      </c>
      <c r="K433">
        <f>allFYsTable[[#This Row],[Actual]]-allFYsTable[[#This Row],[OriginalBudget]]</f>
        <v>-13859</v>
      </c>
      <c r="L433" s="11">
        <f>allFYsTable[[#This Row],[DiffAmount]]/allFYsTable[[#This Row],[OriginalBudget]]</f>
        <v>-0.31674094389212659</v>
      </c>
    </row>
    <row r="434" spans="1:12" x14ac:dyDescent="0.45">
      <c r="A434" t="s">
        <v>1038</v>
      </c>
      <c r="B434" t="s">
        <v>10</v>
      </c>
      <c r="C434" t="s">
        <v>850</v>
      </c>
      <c r="D434" t="s">
        <v>636</v>
      </c>
      <c r="E434">
        <v>46397</v>
      </c>
      <c r="F434">
        <v>46397</v>
      </c>
      <c r="G434">
        <v>46397</v>
      </c>
      <c r="H434">
        <v>0</v>
      </c>
      <c r="I434">
        <v>2008</v>
      </c>
      <c r="J434">
        <v>111</v>
      </c>
      <c r="K434">
        <f>allFYsTable[[#This Row],[Actual]]-allFYsTable[[#This Row],[OriginalBudget]]</f>
        <v>0</v>
      </c>
      <c r="L434" s="11">
        <f>allFYsTable[[#This Row],[DiffAmount]]/allFYsTable[[#This Row],[OriginalBudget]]</f>
        <v>0</v>
      </c>
    </row>
    <row r="435" spans="1:12" x14ac:dyDescent="0.45">
      <c r="A435" t="s">
        <v>1038</v>
      </c>
      <c r="B435" t="s">
        <v>10</v>
      </c>
      <c r="C435" t="s">
        <v>816</v>
      </c>
      <c r="D435" t="s">
        <v>637</v>
      </c>
      <c r="E435">
        <v>108152</v>
      </c>
      <c r="F435">
        <v>139488</v>
      </c>
      <c r="G435">
        <v>139488</v>
      </c>
      <c r="H435">
        <v>0</v>
      </c>
      <c r="I435">
        <v>2008</v>
      </c>
      <c r="J435">
        <v>112</v>
      </c>
      <c r="K435">
        <f>allFYsTable[[#This Row],[Actual]]-allFYsTable[[#This Row],[OriginalBudget]]</f>
        <v>31336</v>
      </c>
      <c r="L435" s="11">
        <f>allFYsTable[[#This Row],[DiffAmount]]/allFYsTable[[#This Row],[OriginalBudget]]</f>
        <v>0.28974036541164289</v>
      </c>
    </row>
    <row r="436" spans="1:12" x14ac:dyDescent="0.45">
      <c r="A436" t="s">
        <v>1038</v>
      </c>
      <c r="B436" t="s">
        <v>10</v>
      </c>
      <c r="C436" t="s">
        <v>833</v>
      </c>
      <c r="D436" t="s">
        <v>677</v>
      </c>
      <c r="E436">
        <v>6435</v>
      </c>
      <c r="F436">
        <v>4735</v>
      </c>
      <c r="G436">
        <v>4716</v>
      </c>
      <c r="H436">
        <v>19</v>
      </c>
      <c r="I436">
        <v>2008</v>
      </c>
      <c r="J436">
        <v>113</v>
      </c>
      <c r="K436">
        <f>allFYsTable[[#This Row],[Actual]]-allFYsTable[[#This Row],[OriginalBudget]]</f>
        <v>-1719</v>
      </c>
      <c r="L436" s="11">
        <f>allFYsTable[[#This Row],[DiffAmount]]/allFYsTable[[#This Row],[OriginalBudget]]</f>
        <v>-0.26713286713286716</v>
      </c>
    </row>
    <row r="437" spans="1:12" x14ac:dyDescent="0.45">
      <c r="A437" t="s">
        <v>1038</v>
      </c>
      <c r="B437" t="s">
        <v>10</v>
      </c>
      <c r="C437" t="s">
        <v>811</v>
      </c>
      <c r="D437" t="s">
        <v>638</v>
      </c>
      <c r="E437">
        <v>110907</v>
      </c>
      <c r="F437">
        <v>110907</v>
      </c>
      <c r="G437">
        <v>110907</v>
      </c>
      <c r="H437">
        <v>0</v>
      </c>
      <c r="I437">
        <v>2008</v>
      </c>
      <c r="J437">
        <v>114</v>
      </c>
      <c r="K437">
        <f>allFYsTable[[#This Row],[Actual]]-allFYsTable[[#This Row],[OriginalBudget]]</f>
        <v>0</v>
      </c>
      <c r="L437" s="11">
        <f>allFYsTable[[#This Row],[DiffAmount]]/allFYsTable[[#This Row],[OriginalBudget]]</f>
        <v>0</v>
      </c>
    </row>
    <row r="438" spans="1:12" x14ac:dyDescent="0.45">
      <c r="A438" t="s">
        <v>1038</v>
      </c>
      <c r="B438" t="s">
        <v>10</v>
      </c>
      <c r="C438" t="s">
        <v>834</v>
      </c>
      <c r="D438" t="s">
        <v>545</v>
      </c>
      <c r="E438">
        <v>50000</v>
      </c>
      <c r="F438">
        <v>36525</v>
      </c>
      <c r="G438">
        <v>0</v>
      </c>
      <c r="H438">
        <v>36525</v>
      </c>
      <c r="I438">
        <v>2008</v>
      </c>
      <c r="J438">
        <v>115</v>
      </c>
      <c r="K438">
        <f>allFYsTable[[#This Row],[Actual]]-allFYsTable[[#This Row],[OriginalBudget]]</f>
        <v>-50000</v>
      </c>
      <c r="L438" s="11">
        <f>allFYsTable[[#This Row],[DiffAmount]]/allFYsTable[[#This Row],[OriginalBudget]]</f>
        <v>-1</v>
      </c>
    </row>
    <row r="439" spans="1:12" x14ac:dyDescent="0.45">
      <c r="A439" t="s">
        <v>1038</v>
      </c>
      <c r="B439" t="s">
        <v>10</v>
      </c>
      <c r="C439" t="s">
        <v>815</v>
      </c>
      <c r="D439" t="s">
        <v>639</v>
      </c>
      <c r="E439">
        <v>20609</v>
      </c>
      <c r="F439">
        <v>11073</v>
      </c>
      <c r="G439">
        <v>0</v>
      </c>
      <c r="H439">
        <v>11073</v>
      </c>
      <c r="I439">
        <v>2008</v>
      </c>
      <c r="J439">
        <v>116</v>
      </c>
      <c r="K439">
        <f>allFYsTable[[#This Row],[Actual]]-allFYsTable[[#This Row],[OriginalBudget]]</f>
        <v>-20609</v>
      </c>
      <c r="L439" s="11">
        <f>allFYsTable[[#This Row],[DiffAmount]]/allFYsTable[[#This Row],[OriginalBudget]]</f>
        <v>-1</v>
      </c>
    </row>
    <row r="440" spans="1:12" x14ac:dyDescent="0.45">
      <c r="A440" t="s">
        <v>1038</v>
      </c>
      <c r="B440" t="s">
        <v>10</v>
      </c>
      <c r="C440" t="s">
        <v>825</v>
      </c>
      <c r="D440" t="s">
        <v>640</v>
      </c>
      <c r="E440">
        <v>0</v>
      </c>
      <c r="F440">
        <v>0</v>
      </c>
      <c r="G440">
        <v>0</v>
      </c>
      <c r="H440">
        <v>0</v>
      </c>
      <c r="I440">
        <v>2008</v>
      </c>
      <c r="J440">
        <v>117</v>
      </c>
      <c r="K440">
        <f>allFYsTable[[#This Row],[Actual]]-allFYsTable[[#This Row],[OriginalBudget]]</f>
        <v>0</v>
      </c>
      <c r="L440" s="11" t="e">
        <f>allFYsTable[[#This Row],[DiffAmount]]/allFYsTable[[#This Row],[OriginalBudget]]</f>
        <v>#DIV/0!</v>
      </c>
    </row>
    <row r="441" spans="1:12" x14ac:dyDescent="0.45">
      <c r="A441" t="s">
        <v>1038</v>
      </c>
      <c r="B441" t="s">
        <v>10</v>
      </c>
      <c r="C441" t="s">
        <v>824</v>
      </c>
      <c r="D441" t="s">
        <v>299</v>
      </c>
      <c r="E441">
        <v>0</v>
      </c>
      <c r="F441">
        <v>0</v>
      </c>
      <c r="G441">
        <v>0</v>
      </c>
      <c r="H441">
        <v>0</v>
      </c>
      <c r="I441">
        <v>2008</v>
      </c>
      <c r="J441">
        <v>118</v>
      </c>
      <c r="K441">
        <f>allFYsTable[[#This Row],[Actual]]-allFYsTable[[#This Row],[OriginalBudget]]</f>
        <v>0</v>
      </c>
      <c r="L441" s="11" t="e">
        <f>allFYsTable[[#This Row],[DiffAmount]]/allFYsTable[[#This Row],[OriginalBudget]]</f>
        <v>#DIV/0!</v>
      </c>
    </row>
    <row r="442" spans="1:12" x14ac:dyDescent="0.45">
      <c r="A442" t="s">
        <v>1037</v>
      </c>
      <c r="B442" t="s">
        <v>11</v>
      </c>
      <c r="C442" t="s">
        <v>703</v>
      </c>
      <c r="D442" t="s">
        <v>549</v>
      </c>
      <c r="E442">
        <v>20396</v>
      </c>
      <c r="F442">
        <v>20396</v>
      </c>
      <c r="G442">
        <v>19929</v>
      </c>
      <c r="H442">
        <v>467</v>
      </c>
      <c r="I442">
        <v>2009</v>
      </c>
      <c r="J442">
        <v>1</v>
      </c>
      <c r="K442">
        <f>allFYsTable[[#This Row],[Actual]]-allFYsTable[[#This Row],[OriginalBudget]]</f>
        <v>-467</v>
      </c>
      <c r="L442" s="11">
        <f>allFYsTable[[#This Row],[DiffAmount]]/allFYsTable[[#This Row],[OriginalBudget]]</f>
        <v>-2.2896646401255147E-2</v>
      </c>
    </row>
    <row r="443" spans="1:12" x14ac:dyDescent="0.45">
      <c r="A443" t="s">
        <v>1037</v>
      </c>
      <c r="B443" t="s">
        <v>11</v>
      </c>
      <c r="C443" t="s">
        <v>723</v>
      </c>
      <c r="D443" t="s">
        <v>550</v>
      </c>
      <c r="E443">
        <v>4036</v>
      </c>
      <c r="F443">
        <v>4036</v>
      </c>
      <c r="G443">
        <v>3506</v>
      </c>
      <c r="H443">
        <v>530</v>
      </c>
      <c r="I443">
        <v>2009</v>
      </c>
      <c r="J443">
        <v>2</v>
      </c>
      <c r="K443">
        <f>allFYsTable[[#This Row],[Actual]]-allFYsTable[[#This Row],[OriginalBudget]]</f>
        <v>-530</v>
      </c>
      <c r="L443" s="11">
        <f>allFYsTable[[#This Row],[DiffAmount]]/allFYsTable[[#This Row],[OriginalBudget]]</f>
        <v>-0.1313181367690783</v>
      </c>
    </row>
    <row r="444" spans="1:12" x14ac:dyDescent="0.45">
      <c r="A444" t="s">
        <v>1037</v>
      </c>
      <c r="B444" t="s">
        <v>11</v>
      </c>
      <c r="C444" t="s">
        <v>711</v>
      </c>
      <c r="D444" t="s">
        <v>551</v>
      </c>
      <c r="E444">
        <v>1092</v>
      </c>
      <c r="F444">
        <v>1092</v>
      </c>
      <c r="G444">
        <v>1043</v>
      </c>
      <c r="H444">
        <v>49</v>
      </c>
      <c r="I444">
        <v>2009</v>
      </c>
      <c r="J444">
        <v>3</v>
      </c>
      <c r="K444">
        <f>allFYsTable[[#This Row],[Actual]]-allFYsTable[[#This Row],[OriginalBudget]]</f>
        <v>-49</v>
      </c>
      <c r="L444" s="11">
        <f>allFYsTable[[#This Row],[DiffAmount]]/allFYsTable[[#This Row],[OriginalBudget]]</f>
        <v>-4.4871794871794872E-2</v>
      </c>
    </row>
    <row r="445" spans="1:12" x14ac:dyDescent="0.45">
      <c r="A445" t="s">
        <v>1037</v>
      </c>
      <c r="B445" t="s">
        <v>11</v>
      </c>
      <c r="C445" t="s">
        <v>707</v>
      </c>
      <c r="D445" t="s">
        <v>552</v>
      </c>
      <c r="E445">
        <v>6086</v>
      </c>
      <c r="F445">
        <v>5556</v>
      </c>
      <c r="G445">
        <v>5215</v>
      </c>
      <c r="H445">
        <v>341</v>
      </c>
      <c r="I445">
        <v>2009</v>
      </c>
      <c r="J445">
        <v>4</v>
      </c>
      <c r="K445">
        <f>allFYsTable[[#This Row],[Actual]]-allFYsTable[[#This Row],[OriginalBudget]]</f>
        <v>-871</v>
      </c>
      <c r="L445" s="11">
        <f>allFYsTable[[#This Row],[DiffAmount]]/allFYsTable[[#This Row],[OriginalBudget]]</f>
        <v>-0.14311534669733816</v>
      </c>
    </row>
    <row r="446" spans="1:12" x14ac:dyDescent="0.45">
      <c r="A446" t="s">
        <v>1037</v>
      </c>
      <c r="B446" t="s">
        <v>11</v>
      </c>
      <c r="C446" t="s">
        <v>725</v>
      </c>
      <c r="D446" t="s">
        <v>553</v>
      </c>
      <c r="E446">
        <v>3742</v>
      </c>
      <c r="F446">
        <v>3341</v>
      </c>
      <c r="G446">
        <v>3059</v>
      </c>
      <c r="H446">
        <v>282</v>
      </c>
      <c r="I446">
        <v>2009</v>
      </c>
      <c r="J446">
        <v>5</v>
      </c>
      <c r="K446">
        <f>allFYsTable[[#This Row],[Actual]]-allFYsTable[[#This Row],[OriginalBudget]]</f>
        <v>-683</v>
      </c>
      <c r="L446" s="11">
        <f>allFYsTable[[#This Row],[DiffAmount]]/allFYsTable[[#This Row],[OriginalBudget]]</f>
        <v>-0.18252271512560128</v>
      </c>
    </row>
    <row r="447" spans="1:12" x14ac:dyDescent="0.45">
      <c r="A447" t="s">
        <v>1037</v>
      </c>
      <c r="B447" t="s">
        <v>11</v>
      </c>
      <c r="C447" t="s">
        <v>701</v>
      </c>
      <c r="D447" t="s">
        <v>480</v>
      </c>
      <c r="E447">
        <v>0</v>
      </c>
      <c r="F447">
        <v>198</v>
      </c>
      <c r="G447">
        <v>198</v>
      </c>
      <c r="H447">
        <v>0</v>
      </c>
      <c r="I447">
        <v>2009</v>
      </c>
      <c r="J447">
        <v>6</v>
      </c>
      <c r="K447">
        <f>allFYsTable[[#This Row],[Actual]]-allFYsTable[[#This Row],[OriginalBudget]]</f>
        <v>198</v>
      </c>
      <c r="L447" s="11" t="e">
        <f>allFYsTable[[#This Row],[DiffAmount]]/allFYsTable[[#This Row],[OriginalBudget]]</f>
        <v>#DIV/0!</v>
      </c>
    </row>
    <row r="448" spans="1:12" x14ac:dyDescent="0.45">
      <c r="A448" t="s">
        <v>1037</v>
      </c>
      <c r="B448" t="s">
        <v>11</v>
      </c>
      <c r="C448" t="s">
        <v>722</v>
      </c>
      <c r="D448" t="s">
        <v>164</v>
      </c>
      <c r="E448">
        <v>5964</v>
      </c>
      <c r="F448">
        <v>5864</v>
      </c>
      <c r="G448">
        <v>5691</v>
      </c>
      <c r="H448">
        <v>173</v>
      </c>
      <c r="I448">
        <v>2009</v>
      </c>
      <c r="J448">
        <v>7</v>
      </c>
      <c r="K448">
        <f>allFYsTable[[#This Row],[Actual]]-allFYsTable[[#This Row],[OriginalBudget]]</f>
        <v>-273</v>
      </c>
      <c r="L448" s="11">
        <f>allFYsTable[[#This Row],[DiffAmount]]/allFYsTable[[#This Row],[OriginalBudget]]</f>
        <v>-4.5774647887323945E-2</v>
      </c>
    </row>
    <row r="449" spans="1:12" x14ac:dyDescent="0.45">
      <c r="A449" t="s">
        <v>1037</v>
      </c>
      <c r="B449" t="s">
        <v>11</v>
      </c>
      <c r="C449" t="s">
        <v>718</v>
      </c>
      <c r="D449" t="s">
        <v>554</v>
      </c>
      <c r="E449">
        <v>1480</v>
      </c>
      <c r="F449">
        <v>1680</v>
      </c>
      <c r="G449">
        <v>1662</v>
      </c>
      <c r="H449">
        <v>18</v>
      </c>
      <c r="I449">
        <v>2009</v>
      </c>
      <c r="J449">
        <v>8</v>
      </c>
      <c r="K449">
        <f>allFYsTable[[#This Row],[Actual]]-allFYsTable[[#This Row],[OriginalBudget]]</f>
        <v>182</v>
      </c>
      <c r="L449" s="11">
        <f>allFYsTable[[#This Row],[DiffAmount]]/allFYsTable[[#This Row],[OriginalBudget]]</f>
        <v>0.12297297297297298</v>
      </c>
    </row>
    <row r="450" spans="1:12" x14ac:dyDescent="0.45">
      <c r="A450" t="s">
        <v>1037</v>
      </c>
      <c r="B450" t="s">
        <v>11</v>
      </c>
      <c r="C450" t="s">
        <v>704</v>
      </c>
      <c r="D450" t="s">
        <v>555</v>
      </c>
      <c r="E450">
        <v>9269</v>
      </c>
      <c r="F450">
        <v>8916</v>
      </c>
      <c r="G450">
        <v>8733</v>
      </c>
      <c r="H450">
        <v>183</v>
      </c>
      <c r="I450">
        <v>2009</v>
      </c>
      <c r="J450">
        <v>9</v>
      </c>
      <c r="K450">
        <f>allFYsTable[[#This Row],[Actual]]-allFYsTable[[#This Row],[OriginalBudget]]</f>
        <v>-536</v>
      </c>
      <c r="L450" s="11">
        <f>allFYsTable[[#This Row],[DiffAmount]]/allFYsTable[[#This Row],[OriginalBudget]]</f>
        <v>-5.7827165821555726E-2</v>
      </c>
    </row>
    <row r="451" spans="1:12" x14ac:dyDescent="0.45">
      <c r="A451" t="s">
        <v>1037</v>
      </c>
      <c r="B451" t="s">
        <v>11</v>
      </c>
      <c r="C451" t="s">
        <v>716</v>
      </c>
      <c r="D451" t="s">
        <v>556</v>
      </c>
      <c r="E451">
        <v>4471</v>
      </c>
      <c r="F451">
        <v>4471</v>
      </c>
      <c r="G451">
        <v>4444</v>
      </c>
      <c r="H451">
        <v>27</v>
      </c>
      <c r="I451">
        <v>2009</v>
      </c>
      <c r="J451">
        <v>10</v>
      </c>
      <c r="K451">
        <f>allFYsTable[[#This Row],[Actual]]-allFYsTable[[#This Row],[OriginalBudget]]</f>
        <v>-27</v>
      </c>
      <c r="L451" s="11">
        <f>allFYsTable[[#This Row],[DiffAmount]]/allFYsTable[[#This Row],[OriginalBudget]]</f>
        <v>-6.0389174681279353E-3</v>
      </c>
    </row>
    <row r="452" spans="1:12" x14ac:dyDescent="0.45">
      <c r="A452" t="s">
        <v>1037</v>
      </c>
      <c r="B452" t="s">
        <v>11</v>
      </c>
      <c r="C452" t="s">
        <v>713</v>
      </c>
      <c r="D452" t="s">
        <v>557</v>
      </c>
      <c r="E452">
        <v>5501</v>
      </c>
      <c r="F452">
        <v>5144</v>
      </c>
      <c r="G452">
        <v>5033</v>
      </c>
      <c r="H452">
        <v>111</v>
      </c>
      <c r="I452">
        <v>2009</v>
      </c>
      <c r="J452">
        <v>11</v>
      </c>
      <c r="K452">
        <f>allFYsTable[[#This Row],[Actual]]-allFYsTable[[#This Row],[OriginalBudget]]</f>
        <v>-468</v>
      </c>
      <c r="L452" s="11">
        <f>allFYsTable[[#This Row],[DiffAmount]]/allFYsTable[[#This Row],[OriginalBudget]]</f>
        <v>-8.5075440828940196E-2</v>
      </c>
    </row>
    <row r="453" spans="1:12" x14ac:dyDescent="0.45">
      <c r="A453" t="s">
        <v>1037</v>
      </c>
      <c r="B453" t="s">
        <v>11</v>
      </c>
      <c r="C453" t="s">
        <v>721</v>
      </c>
      <c r="D453" t="s">
        <v>558</v>
      </c>
      <c r="E453">
        <v>56348</v>
      </c>
      <c r="F453">
        <v>53872</v>
      </c>
      <c r="G453">
        <v>53872</v>
      </c>
      <c r="H453">
        <v>0</v>
      </c>
      <c r="I453">
        <v>2009</v>
      </c>
      <c r="J453">
        <v>12</v>
      </c>
      <c r="K453">
        <f>allFYsTable[[#This Row],[Actual]]-allFYsTable[[#This Row],[OriginalBudget]]</f>
        <v>-2476</v>
      </c>
      <c r="L453" s="11">
        <f>allFYsTable[[#This Row],[DiffAmount]]/allFYsTable[[#This Row],[OriginalBudget]]</f>
        <v>-4.3941222403634558E-2</v>
      </c>
    </row>
    <row r="454" spans="1:12" x14ac:dyDescent="0.45">
      <c r="A454" t="s">
        <v>1037</v>
      </c>
      <c r="B454" t="s">
        <v>11</v>
      </c>
      <c r="C454" t="s">
        <v>705</v>
      </c>
      <c r="D454" t="s">
        <v>559</v>
      </c>
      <c r="E454">
        <v>18630</v>
      </c>
      <c r="F454">
        <v>25531</v>
      </c>
      <c r="G454">
        <v>25504</v>
      </c>
      <c r="H454">
        <v>27</v>
      </c>
      <c r="I454">
        <v>2009</v>
      </c>
      <c r="J454">
        <v>13</v>
      </c>
      <c r="K454">
        <f>allFYsTable[[#This Row],[Actual]]-allFYsTable[[#This Row],[OriginalBudget]]</f>
        <v>6874</v>
      </c>
      <c r="L454" s="11">
        <f>allFYsTable[[#This Row],[DiffAmount]]/allFYsTable[[#This Row],[OriginalBudget]]</f>
        <v>0.36897477187332262</v>
      </c>
    </row>
    <row r="455" spans="1:12" x14ac:dyDescent="0.45">
      <c r="A455" t="s">
        <v>1037</v>
      </c>
      <c r="B455" t="s">
        <v>11</v>
      </c>
      <c r="C455" t="s">
        <v>702</v>
      </c>
      <c r="D455" t="s">
        <v>560</v>
      </c>
      <c r="E455">
        <v>972</v>
      </c>
      <c r="F455">
        <v>934</v>
      </c>
      <c r="G455">
        <v>933</v>
      </c>
      <c r="H455">
        <v>1</v>
      </c>
      <c r="I455">
        <v>2009</v>
      </c>
      <c r="J455">
        <v>14</v>
      </c>
      <c r="K455">
        <f>allFYsTable[[#This Row],[Actual]]-allFYsTable[[#This Row],[OriginalBudget]]</f>
        <v>-39</v>
      </c>
      <c r="L455" s="11">
        <f>allFYsTable[[#This Row],[DiffAmount]]/allFYsTable[[#This Row],[OriginalBudget]]</f>
        <v>-4.0123456790123455E-2</v>
      </c>
    </row>
    <row r="456" spans="1:12" x14ac:dyDescent="0.45">
      <c r="A456" t="s">
        <v>1037</v>
      </c>
      <c r="B456" t="s">
        <v>11</v>
      </c>
      <c r="C456" t="s">
        <v>699</v>
      </c>
      <c r="D456" t="s">
        <v>561</v>
      </c>
      <c r="E456">
        <v>5334</v>
      </c>
      <c r="F456">
        <v>5334</v>
      </c>
      <c r="G456">
        <v>5076</v>
      </c>
      <c r="H456">
        <v>258</v>
      </c>
      <c r="I456">
        <v>2009</v>
      </c>
      <c r="J456">
        <v>15</v>
      </c>
      <c r="K456">
        <f>allFYsTable[[#This Row],[Actual]]-allFYsTable[[#This Row],[OriginalBudget]]</f>
        <v>-258</v>
      </c>
      <c r="L456" s="11">
        <f>allFYsTable[[#This Row],[DiffAmount]]/allFYsTable[[#This Row],[OriginalBudget]]</f>
        <v>-4.8368953880764905E-2</v>
      </c>
    </row>
    <row r="457" spans="1:12" x14ac:dyDescent="0.45">
      <c r="A457" t="s">
        <v>1037</v>
      </c>
      <c r="B457" t="s">
        <v>11</v>
      </c>
      <c r="C457" t="s">
        <v>712</v>
      </c>
      <c r="D457" t="s">
        <v>562</v>
      </c>
      <c r="E457">
        <v>1721</v>
      </c>
      <c r="F457">
        <v>1721</v>
      </c>
      <c r="G457">
        <v>1648</v>
      </c>
      <c r="H457">
        <v>73</v>
      </c>
      <c r="I457">
        <v>2009</v>
      </c>
      <c r="J457">
        <v>16</v>
      </c>
      <c r="K457">
        <f>allFYsTable[[#This Row],[Actual]]-allFYsTable[[#This Row],[OriginalBudget]]</f>
        <v>-73</v>
      </c>
      <c r="L457" s="11">
        <f>allFYsTable[[#This Row],[DiffAmount]]/allFYsTable[[#This Row],[OriginalBudget]]</f>
        <v>-4.2417199302730968E-2</v>
      </c>
    </row>
    <row r="458" spans="1:12" x14ac:dyDescent="0.45">
      <c r="A458" t="s">
        <v>1037</v>
      </c>
      <c r="B458" t="s">
        <v>11</v>
      </c>
      <c r="C458" t="s">
        <v>730</v>
      </c>
      <c r="D458" t="s">
        <v>563</v>
      </c>
      <c r="E458">
        <v>980</v>
      </c>
      <c r="F458">
        <v>1060</v>
      </c>
      <c r="G458">
        <v>999</v>
      </c>
      <c r="H458">
        <v>61</v>
      </c>
      <c r="I458">
        <v>2009</v>
      </c>
      <c r="J458">
        <v>17</v>
      </c>
      <c r="K458">
        <f>allFYsTable[[#This Row],[Actual]]-allFYsTable[[#This Row],[OriginalBudget]]</f>
        <v>19</v>
      </c>
      <c r="L458" s="11">
        <f>allFYsTable[[#This Row],[DiffAmount]]/allFYsTable[[#This Row],[OriginalBudget]]</f>
        <v>1.9387755102040816E-2</v>
      </c>
    </row>
    <row r="459" spans="1:12" x14ac:dyDescent="0.45">
      <c r="A459" t="s">
        <v>1037</v>
      </c>
      <c r="B459" t="s">
        <v>11</v>
      </c>
      <c r="C459" t="s">
        <v>715</v>
      </c>
      <c r="D459" t="s">
        <v>564</v>
      </c>
      <c r="E459">
        <v>1778</v>
      </c>
      <c r="F459">
        <v>1818</v>
      </c>
      <c r="G459">
        <v>1780</v>
      </c>
      <c r="H459">
        <v>38</v>
      </c>
      <c r="I459">
        <v>2009</v>
      </c>
      <c r="J459">
        <v>18</v>
      </c>
      <c r="K459">
        <f>allFYsTable[[#This Row],[Actual]]-allFYsTable[[#This Row],[OriginalBudget]]</f>
        <v>2</v>
      </c>
      <c r="L459" s="11">
        <f>allFYsTable[[#This Row],[DiffAmount]]/allFYsTable[[#This Row],[OriginalBudget]]</f>
        <v>1.1248593925759281E-3</v>
      </c>
    </row>
    <row r="460" spans="1:12" x14ac:dyDescent="0.45">
      <c r="A460" t="s">
        <v>1037</v>
      </c>
      <c r="B460" t="s">
        <v>11</v>
      </c>
      <c r="C460" t="s">
        <v>709</v>
      </c>
      <c r="D460" t="s">
        <v>565</v>
      </c>
      <c r="E460">
        <v>396</v>
      </c>
      <c r="F460">
        <v>396</v>
      </c>
      <c r="G460">
        <v>396</v>
      </c>
      <c r="H460">
        <v>0</v>
      </c>
      <c r="I460">
        <v>2009</v>
      </c>
      <c r="J460">
        <v>19</v>
      </c>
      <c r="K460">
        <f>allFYsTable[[#This Row],[Actual]]-allFYsTable[[#This Row],[OriginalBudget]]</f>
        <v>0</v>
      </c>
      <c r="L460" s="11">
        <f>allFYsTable[[#This Row],[DiffAmount]]/allFYsTable[[#This Row],[OriginalBudget]]</f>
        <v>0</v>
      </c>
    </row>
    <row r="461" spans="1:12" x14ac:dyDescent="0.45">
      <c r="A461" t="s">
        <v>1037</v>
      </c>
      <c r="B461" t="s">
        <v>11</v>
      </c>
      <c r="C461" t="s">
        <v>719</v>
      </c>
      <c r="D461" t="s">
        <v>1010</v>
      </c>
      <c r="E461">
        <v>64040</v>
      </c>
      <c r="F461">
        <v>62876</v>
      </c>
      <c r="G461">
        <v>62564</v>
      </c>
      <c r="H461">
        <v>312</v>
      </c>
      <c r="I461">
        <v>2009</v>
      </c>
      <c r="J461">
        <v>20</v>
      </c>
      <c r="K461">
        <f>allFYsTable[[#This Row],[Actual]]-allFYsTable[[#This Row],[OriginalBudget]]</f>
        <v>-1476</v>
      </c>
      <c r="L461" s="11">
        <f>allFYsTable[[#This Row],[DiffAmount]]/allFYsTable[[#This Row],[OriginalBudget]]</f>
        <v>-2.3048094940662085E-2</v>
      </c>
    </row>
    <row r="462" spans="1:12" x14ac:dyDescent="0.45">
      <c r="A462" t="s">
        <v>1037</v>
      </c>
      <c r="B462" t="s">
        <v>11</v>
      </c>
      <c r="C462" t="s">
        <v>858</v>
      </c>
      <c r="D462" t="s">
        <v>566</v>
      </c>
      <c r="E462">
        <v>897</v>
      </c>
      <c r="F462">
        <v>897</v>
      </c>
      <c r="G462">
        <v>850</v>
      </c>
      <c r="H462">
        <v>47</v>
      </c>
      <c r="I462">
        <v>2009</v>
      </c>
      <c r="J462">
        <v>21</v>
      </c>
      <c r="K462">
        <f>allFYsTable[[#This Row],[Actual]]-allFYsTable[[#This Row],[OriginalBudget]]</f>
        <v>-47</v>
      </c>
      <c r="L462" s="11">
        <f>allFYsTable[[#This Row],[DiffAmount]]/allFYsTable[[#This Row],[OriginalBudget]]</f>
        <v>-5.2396878483835008E-2</v>
      </c>
    </row>
    <row r="463" spans="1:12" x14ac:dyDescent="0.45">
      <c r="A463" t="s">
        <v>1037</v>
      </c>
      <c r="B463" t="s">
        <v>11</v>
      </c>
      <c r="C463" t="s">
        <v>856</v>
      </c>
      <c r="D463" t="s">
        <v>567</v>
      </c>
      <c r="E463">
        <v>3093</v>
      </c>
      <c r="F463">
        <v>3049</v>
      </c>
      <c r="G463">
        <v>2708</v>
      </c>
      <c r="H463">
        <v>341</v>
      </c>
      <c r="I463">
        <v>2009</v>
      </c>
      <c r="J463">
        <v>22</v>
      </c>
      <c r="K463">
        <f>allFYsTable[[#This Row],[Actual]]-allFYsTable[[#This Row],[OriginalBudget]]</f>
        <v>-385</v>
      </c>
      <c r="L463" s="11">
        <f>allFYsTable[[#This Row],[DiffAmount]]/allFYsTable[[#This Row],[OriginalBudget]]</f>
        <v>-0.12447462010992563</v>
      </c>
    </row>
    <row r="464" spans="1:12" x14ac:dyDescent="0.45">
      <c r="A464" t="s">
        <v>1037</v>
      </c>
      <c r="B464" t="s">
        <v>11</v>
      </c>
      <c r="C464" t="s">
        <v>857</v>
      </c>
      <c r="D464" t="s">
        <v>568</v>
      </c>
      <c r="E464">
        <v>410</v>
      </c>
      <c r="F464">
        <v>410</v>
      </c>
      <c r="G464">
        <v>369</v>
      </c>
      <c r="H464">
        <v>41</v>
      </c>
      <c r="I464">
        <v>2009</v>
      </c>
      <c r="J464">
        <v>23</v>
      </c>
      <c r="K464">
        <f>allFYsTable[[#This Row],[Actual]]-allFYsTable[[#This Row],[OriginalBudget]]</f>
        <v>-41</v>
      </c>
      <c r="L464" s="11">
        <f>allFYsTable[[#This Row],[DiffAmount]]/allFYsTable[[#This Row],[OriginalBudget]]</f>
        <v>-0.1</v>
      </c>
    </row>
    <row r="465" spans="1:12" x14ac:dyDescent="0.45">
      <c r="A465" t="s">
        <v>1037</v>
      </c>
      <c r="B465" t="s">
        <v>11</v>
      </c>
      <c r="C465" t="s">
        <v>714</v>
      </c>
      <c r="D465" t="s">
        <v>569</v>
      </c>
      <c r="E465">
        <v>1470</v>
      </c>
      <c r="F465">
        <v>1371</v>
      </c>
      <c r="G465">
        <v>1140</v>
      </c>
      <c r="H465">
        <v>231</v>
      </c>
      <c r="I465">
        <v>2009</v>
      </c>
      <c r="J465">
        <v>24</v>
      </c>
      <c r="K465">
        <f>allFYsTable[[#This Row],[Actual]]-allFYsTable[[#This Row],[OriginalBudget]]</f>
        <v>-330</v>
      </c>
      <c r="L465" s="11">
        <f>allFYsTable[[#This Row],[DiffAmount]]/allFYsTable[[#This Row],[OriginalBudget]]</f>
        <v>-0.22448979591836735</v>
      </c>
    </row>
    <row r="466" spans="1:12" x14ac:dyDescent="0.45">
      <c r="A466" t="s">
        <v>1037</v>
      </c>
      <c r="B466" t="s">
        <v>11</v>
      </c>
      <c r="C466" t="s">
        <v>724</v>
      </c>
      <c r="D466" t="s">
        <v>570</v>
      </c>
      <c r="E466">
        <v>14858</v>
      </c>
      <c r="F466">
        <v>15793</v>
      </c>
      <c r="G466">
        <v>15324</v>
      </c>
      <c r="H466">
        <v>469</v>
      </c>
      <c r="I466">
        <v>2009</v>
      </c>
      <c r="J466">
        <v>25</v>
      </c>
      <c r="K466">
        <f>allFYsTable[[#This Row],[Actual]]-allFYsTable[[#This Row],[OriginalBudget]]</f>
        <v>466</v>
      </c>
      <c r="L466" s="11">
        <f>allFYsTable[[#This Row],[DiffAmount]]/allFYsTable[[#This Row],[OriginalBudget]]</f>
        <v>3.1363575178355092E-2</v>
      </c>
    </row>
    <row r="467" spans="1:12" x14ac:dyDescent="0.45">
      <c r="A467" t="s">
        <v>1037</v>
      </c>
      <c r="B467" t="s">
        <v>11</v>
      </c>
      <c r="C467" t="s">
        <v>720</v>
      </c>
      <c r="D467" t="s">
        <v>571</v>
      </c>
      <c r="E467">
        <v>116303</v>
      </c>
      <c r="F467">
        <v>119603</v>
      </c>
      <c r="G467">
        <v>119559</v>
      </c>
      <c r="H467">
        <v>44</v>
      </c>
      <c r="I467">
        <v>2009</v>
      </c>
      <c r="J467">
        <v>26</v>
      </c>
      <c r="K467">
        <f>allFYsTable[[#This Row],[Actual]]-allFYsTable[[#This Row],[OriginalBudget]]</f>
        <v>3256</v>
      </c>
      <c r="L467" s="11">
        <f>allFYsTable[[#This Row],[DiffAmount]]/allFYsTable[[#This Row],[OriginalBudget]]</f>
        <v>2.7995838456445665E-2</v>
      </c>
    </row>
    <row r="468" spans="1:12" x14ac:dyDescent="0.45">
      <c r="A468" t="s">
        <v>1037</v>
      </c>
      <c r="B468" t="s">
        <v>129</v>
      </c>
      <c r="C468" t="s">
        <v>743</v>
      </c>
      <c r="D468" t="s">
        <v>315</v>
      </c>
      <c r="E468">
        <v>46903</v>
      </c>
      <c r="F468">
        <v>44151</v>
      </c>
      <c r="G468">
        <v>44141</v>
      </c>
      <c r="H468">
        <v>10</v>
      </c>
      <c r="I468">
        <v>2009</v>
      </c>
      <c r="J468">
        <v>27</v>
      </c>
      <c r="K468">
        <f>allFYsTable[[#This Row],[Actual]]-allFYsTable[[#This Row],[OriginalBudget]]</f>
        <v>-2762</v>
      </c>
      <c r="L468" s="11">
        <f>allFYsTable[[#This Row],[DiffAmount]]/allFYsTable[[#This Row],[OriginalBudget]]</f>
        <v>-5.8887491205253398E-2</v>
      </c>
    </row>
    <row r="469" spans="1:12" x14ac:dyDescent="0.45">
      <c r="A469" t="s">
        <v>1037</v>
      </c>
      <c r="B469" t="s">
        <v>129</v>
      </c>
      <c r="C469" t="s">
        <v>742</v>
      </c>
      <c r="D469" t="s">
        <v>26</v>
      </c>
      <c r="E469">
        <v>9408</v>
      </c>
      <c r="F469">
        <v>9455</v>
      </c>
      <c r="G469">
        <v>8614</v>
      </c>
      <c r="H469">
        <v>841</v>
      </c>
      <c r="I469">
        <v>2009</v>
      </c>
      <c r="J469">
        <v>28</v>
      </c>
      <c r="K469">
        <f>allFYsTable[[#This Row],[Actual]]-allFYsTable[[#This Row],[OriginalBudget]]</f>
        <v>-794</v>
      </c>
      <c r="L469" s="11">
        <f>allFYsTable[[#This Row],[DiffAmount]]/allFYsTable[[#This Row],[OriginalBudget]]</f>
        <v>-8.4396258503401364E-2</v>
      </c>
    </row>
    <row r="470" spans="1:12" x14ac:dyDescent="0.45">
      <c r="A470" t="s">
        <v>1037</v>
      </c>
      <c r="B470" t="s">
        <v>129</v>
      </c>
      <c r="C470" t="s">
        <v>738</v>
      </c>
      <c r="D470" t="s">
        <v>572</v>
      </c>
      <c r="E470">
        <v>3225</v>
      </c>
      <c r="F470">
        <v>3745</v>
      </c>
      <c r="G470">
        <v>3343</v>
      </c>
      <c r="H470">
        <v>402</v>
      </c>
      <c r="I470">
        <v>2009</v>
      </c>
      <c r="J470">
        <v>29</v>
      </c>
      <c r="K470">
        <f>allFYsTable[[#This Row],[Actual]]-allFYsTable[[#This Row],[OriginalBudget]]</f>
        <v>118</v>
      </c>
      <c r="L470" s="11">
        <f>allFYsTable[[#This Row],[DiffAmount]]/allFYsTable[[#This Row],[OriginalBudget]]</f>
        <v>3.6589147286821708E-2</v>
      </c>
    </row>
    <row r="471" spans="1:12" x14ac:dyDescent="0.45">
      <c r="A471" t="s">
        <v>1037</v>
      </c>
      <c r="B471" t="s">
        <v>129</v>
      </c>
      <c r="C471" t="s">
        <v>741</v>
      </c>
      <c r="D471" t="s">
        <v>573</v>
      </c>
      <c r="E471">
        <v>652</v>
      </c>
      <c r="F471">
        <v>2052</v>
      </c>
      <c r="G471">
        <v>1990</v>
      </c>
      <c r="H471">
        <v>62</v>
      </c>
      <c r="I471">
        <v>2009</v>
      </c>
      <c r="J471">
        <v>30</v>
      </c>
      <c r="K471">
        <f>allFYsTable[[#This Row],[Actual]]-allFYsTable[[#This Row],[OriginalBudget]]</f>
        <v>1338</v>
      </c>
      <c r="L471" s="11">
        <f>allFYsTable[[#This Row],[DiffAmount]]/allFYsTable[[#This Row],[OriginalBudget]]</f>
        <v>2.0521472392638036</v>
      </c>
    </row>
    <row r="472" spans="1:12" x14ac:dyDescent="0.45">
      <c r="A472" t="s">
        <v>1037</v>
      </c>
      <c r="B472" t="s">
        <v>129</v>
      </c>
      <c r="C472" t="s">
        <v>744</v>
      </c>
      <c r="D472" t="s">
        <v>574</v>
      </c>
      <c r="E472">
        <v>3137</v>
      </c>
      <c r="F472">
        <v>3112</v>
      </c>
      <c r="G472">
        <v>2935</v>
      </c>
      <c r="H472">
        <v>177</v>
      </c>
      <c r="I472">
        <v>2009</v>
      </c>
      <c r="J472">
        <v>31</v>
      </c>
      <c r="K472">
        <f>allFYsTable[[#This Row],[Actual]]-allFYsTable[[#This Row],[OriginalBudget]]</f>
        <v>-202</v>
      </c>
      <c r="L472" s="11">
        <f>allFYsTable[[#This Row],[DiffAmount]]/allFYsTable[[#This Row],[OriginalBudget]]</f>
        <v>-6.4392731909467649E-2</v>
      </c>
    </row>
    <row r="473" spans="1:12" x14ac:dyDescent="0.45">
      <c r="A473" t="s">
        <v>1037</v>
      </c>
      <c r="B473" t="s">
        <v>129</v>
      </c>
      <c r="C473" t="s">
        <v>737</v>
      </c>
      <c r="D473" t="s">
        <v>575</v>
      </c>
      <c r="E473">
        <v>11185</v>
      </c>
      <c r="F473">
        <v>21164</v>
      </c>
      <c r="G473">
        <v>15705</v>
      </c>
      <c r="H473">
        <v>5459</v>
      </c>
      <c r="I473">
        <v>2009</v>
      </c>
      <c r="J473">
        <v>32</v>
      </c>
      <c r="K473">
        <f>allFYsTable[[#This Row],[Actual]]-allFYsTable[[#This Row],[OriginalBudget]]</f>
        <v>4520</v>
      </c>
      <c r="L473" s="11">
        <f>allFYsTable[[#This Row],[DiffAmount]]/allFYsTable[[#This Row],[OriginalBudget]]</f>
        <v>0.40411265087170317</v>
      </c>
    </row>
    <row r="474" spans="1:12" x14ac:dyDescent="0.45">
      <c r="A474" t="s">
        <v>1037</v>
      </c>
      <c r="B474" t="s">
        <v>129</v>
      </c>
      <c r="C474" t="s">
        <v>795</v>
      </c>
      <c r="D474" t="s">
        <v>1011</v>
      </c>
      <c r="E474">
        <v>196</v>
      </c>
      <c r="F474">
        <v>196</v>
      </c>
      <c r="G474">
        <v>190</v>
      </c>
      <c r="H474">
        <v>6</v>
      </c>
      <c r="I474">
        <v>2009</v>
      </c>
      <c r="J474">
        <v>33</v>
      </c>
      <c r="K474">
        <f>allFYsTable[[#This Row],[Actual]]-allFYsTable[[#This Row],[OriginalBudget]]</f>
        <v>-6</v>
      </c>
      <c r="L474" s="11">
        <f>allFYsTable[[#This Row],[DiffAmount]]/allFYsTable[[#This Row],[OriginalBudget]]</f>
        <v>-3.0612244897959183E-2</v>
      </c>
    </row>
    <row r="475" spans="1:12" x14ac:dyDescent="0.45">
      <c r="A475" t="s">
        <v>1037</v>
      </c>
      <c r="B475" t="s">
        <v>129</v>
      </c>
      <c r="C475" t="s">
        <v>769</v>
      </c>
      <c r="D475" t="s">
        <v>1012</v>
      </c>
      <c r="E475">
        <v>58127</v>
      </c>
      <c r="F475">
        <v>77856</v>
      </c>
      <c r="G475">
        <v>68652</v>
      </c>
      <c r="H475">
        <v>9204</v>
      </c>
      <c r="I475">
        <v>2009</v>
      </c>
      <c r="J475">
        <v>34</v>
      </c>
      <c r="K475">
        <f>allFYsTable[[#This Row],[Actual]]-allFYsTable[[#This Row],[OriginalBudget]]</f>
        <v>10525</v>
      </c>
      <c r="L475" s="11">
        <f>allFYsTable[[#This Row],[DiffAmount]]/allFYsTable[[#This Row],[OriginalBudget]]</f>
        <v>0.1810690384846973</v>
      </c>
    </row>
    <row r="476" spans="1:12" x14ac:dyDescent="0.45">
      <c r="A476" t="s">
        <v>1037</v>
      </c>
      <c r="B476" t="s">
        <v>129</v>
      </c>
      <c r="C476" t="s">
        <v>863</v>
      </c>
      <c r="D476" t="s">
        <v>576</v>
      </c>
      <c r="E476">
        <v>2500</v>
      </c>
      <c r="F476">
        <v>2500</v>
      </c>
      <c r="G476">
        <v>2500</v>
      </c>
      <c r="H476">
        <v>0</v>
      </c>
      <c r="I476">
        <v>2009</v>
      </c>
      <c r="J476">
        <v>35</v>
      </c>
      <c r="K476">
        <f>allFYsTable[[#This Row],[Actual]]-allFYsTable[[#This Row],[OriginalBudget]]</f>
        <v>0</v>
      </c>
      <c r="L476" s="11">
        <f>allFYsTable[[#This Row],[DiffAmount]]/allFYsTable[[#This Row],[OriginalBudget]]</f>
        <v>0</v>
      </c>
    </row>
    <row r="477" spans="1:12" x14ac:dyDescent="0.45">
      <c r="A477" t="s">
        <v>1037</v>
      </c>
      <c r="B477" t="s">
        <v>129</v>
      </c>
      <c r="C477" t="s">
        <v>745</v>
      </c>
      <c r="D477" t="s">
        <v>577</v>
      </c>
      <c r="E477">
        <v>708</v>
      </c>
      <c r="F477">
        <v>733</v>
      </c>
      <c r="G477">
        <v>705</v>
      </c>
      <c r="H477">
        <v>28</v>
      </c>
      <c r="I477">
        <v>2009</v>
      </c>
      <c r="J477">
        <v>36</v>
      </c>
      <c r="K477">
        <f>allFYsTable[[#This Row],[Actual]]-allFYsTable[[#This Row],[OriginalBudget]]</f>
        <v>-3</v>
      </c>
      <c r="L477" s="11">
        <f>allFYsTable[[#This Row],[DiffAmount]]/allFYsTable[[#This Row],[OriginalBudget]]</f>
        <v>-4.2372881355932203E-3</v>
      </c>
    </row>
    <row r="478" spans="1:12" x14ac:dyDescent="0.45">
      <c r="A478" t="s">
        <v>1037</v>
      </c>
      <c r="B478" t="s">
        <v>129</v>
      </c>
      <c r="C478" t="s">
        <v>797</v>
      </c>
      <c r="D478" t="s">
        <v>578</v>
      </c>
      <c r="E478">
        <v>17649</v>
      </c>
      <c r="F478">
        <v>17649</v>
      </c>
      <c r="G478">
        <v>17153</v>
      </c>
      <c r="H478">
        <v>496</v>
      </c>
      <c r="I478">
        <v>2009</v>
      </c>
      <c r="J478">
        <v>37</v>
      </c>
      <c r="K478">
        <f>allFYsTable[[#This Row],[Actual]]-allFYsTable[[#This Row],[OriginalBudget]]</f>
        <v>-496</v>
      </c>
      <c r="L478" s="11">
        <f>allFYsTable[[#This Row],[DiffAmount]]/allFYsTable[[#This Row],[OriginalBudget]]</f>
        <v>-2.8103575273386593E-2</v>
      </c>
    </row>
    <row r="479" spans="1:12" x14ac:dyDescent="0.45">
      <c r="A479" t="s">
        <v>1037</v>
      </c>
      <c r="B479" t="s">
        <v>129</v>
      </c>
      <c r="C479" t="s">
        <v>736</v>
      </c>
      <c r="D479" t="s">
        <v>579</v>
      </c>
      <c r="E479">
        <v>13227</v>
      </c>
      <c r="F479">
        <v>13165</v>
      </c>
      <c r="G479">
        <v>13018</v>
      </c>
      <c r="H479">
        <v>147</v>
      </c>
      <c r="I479">
        <v>2009</v>
      </c>
      <c r="J479">
        <v>38</v>
      </c>
      <c r="K479">
        <f>allFYsTable[[#This Row],[Actual]]-allFYsTable[[#This Row],[OriginalBudget]]</f>
        <v>-209</v>
      </c>
      <c r="L479" s="11">
        <f>allFYsTable[[#This Row],[DiffAmount]]/allFYsTable[[#This Row],[OriginalBudget]]</f>
        <v>-1.5801013079307476E-2</v>
      </c>
    </row>
    <row r="480" spans="1:12" x14ac:dyDescent="0.45">
      <c r="A480" t="s">
        <v>1037</v>
      </c>
      <c r="B480" t="s">
        <v>129</v>
      </c>
      <c r="C480" t="s">
        <v>806</v>
      </c>
      <c r="D480" t="s">
        <v>580</v>
      </c>
      <c r="E480">
        <v>0</v>
      </c>
      <c r="F480">
        <v>0</v>
      </c>
      <c r="G480">
        <v>0</v>
      </c>
      <c r="H480">
        <v>0</v>
      </c>
      <c r="I480">
        <v>2009</v>
      </c>
      <c r="J480">
        <v>39</v>
      </c>
      <c r="K480">
        <f>allFYsTable[[#This Row],[Actual]]-allFYsTable[[#This Row],[OriginalBudget]]</f>
        <v>0</v>
      </c>
      <c r="L480" s="11" t="e">
        <f>allFYsTable[[#This Row],[DiffAmount]]/allFYsTable[[#This Row],[OriginalBudget]]</f>
        <v>#DIV/0!</v>
      </c>
    </row>
    <row r="481" spans="1:12" x14ac:dyDescent="0.45">
      <c r="A481" t="s">
        <v>1037</v>
      </c>
      <c r="B481" t="s">
        <v>129</v>
      </c>
      <c r="C481" t="s">
        <v>805</v>
      </c>
      <c r="D481" t="s">
        <v>191</v>
      </c>
      <c r="E481">
        <v>0</v>
      </c>
      <c r="F481">
        <v>0</v>
      </c>
      <c r="G481">
        <v>0</v>
      </c>
      <c r="H481">
        <v>0</v>
      </c>
      <c r="I481">
        <v>2009</v>
      </c>
      <c r="J481">
        <v>40</v>
      </c>
      <c r="K481">
        <f>allFYsTable[[#This Row],[Actual]]-allFYsTable[[#This Row],[OriginalBudget]]</f>
        <v>0</v>
      </c>
      <c r="L481" s="11" t="e">
        <f>allFYsTable[[#This Row],[DiffAmount]]/allFYsTable[[#This Row],[OriginalBudget]]</f>
        <v>#DIV/0!</v>
      </c>
    </row>
    <row r="482" spans="1:12" x14ac:dyDescent="0.45">
      <c r="A482" t="s">
        <v>1037</v>
      </c>
      <c r="B482" t="s">
        <v>129</v>
      </c>
      <c r="C482" t="s">
        <v>877</v>
      </c>
      <c r="D482" t="s">
        <v>581</v>
      </c>
      <c r="E482">
        <v>0</v>
      </c>
      <c r="F482">
        <v>0</v>
      </c>
      <c r="G482">
        <v>0</v>
      </c>
      <c r="H482">
        <v>0</v>
      </c>
      <c r="I482">
        <v>2009</v>
      </c>
      <c r="J482">
        <v>41</v>
      </c>
      <c r="K482">
        <f>allFYsTable[[#This Row],[Actual]]-allFYsTable[[#This Row],[OriginalBudget]]</f>
        <v>0</v>
      </c>
      <c r="L482" s="11" t="e">
        <f>allFYsTable[[#This Row],[DiffAmount]]/allFYsTable[[#This Row],[OriginalBudget]]</f>
        <v>#DIV/0!</v>
      </c>
    </row>
    <row r="483" spans="1:12" x14ac:dyDescent="0.45">
      <c r="A483" t="s">
        <v>1037</v>
      </c>
      <c r="B483" t="s">
        <v>129</v>
      </c>
      <c r="C483" t="s">
        <v>739</v>
      </c>
      <c r="D483" t="s">
        <v>23</v>
      </c>
      <c r="E483">
        <v>30983</v>
      </c>
      <c r="F483">
        <v>30983</v>
      </c>
      <c r="G483">
        <v>30983</v>
      </c>
      <c r="H483">
        <v>0</v>
      </c>
      <c r="I483">
        <v>2009</v>
      </c>
      <c r="J483">
        <v>42</v>
      </c>
      <c r="K483">
        <f>allFYsTable[[#This Row],[Actual]]-allFYsTable[[#This Row],[OriginalBudget]]</f>
        <v>0</v>
      </c>
      <c r="L483" s="11">
        <f>allFYsTable[[#This Row],[DiffAmount]]/allFYsTable[[#This Row],[OriginalBudget]]</f>
        <v>0</v>
      </c>
    </row>
    <row r="484" spans="1:12" x14ac:dyDescent="0.45">
      <c r="A484" t="s">
        <v>1037</v>
      </c>
      <c r="B484" t="s">
        <v>129</v>
      </c>
      <c r="C484" t="s">
        <v>740</v>
      </c>
      <c r="D484" t="s">
        <v>582</v>
      </c>
      <c r="E484">
        <v>22725</v>
      </c>
      <c r="F484">
        <v>31744</v>
      </c>
      <c r="G484">
        <v>28244</v>
      </c>
      <c r="H484">
        <v>3500</v>
      </c>
      <c r="I484">
        <v>2009</v>
      </c>
      <c r="J484">
        <v>43</v>
      </c>
      <c r="K484">
        <f>allFYsTable[[#This Row],[Actual]]-allFYsTable[[#This Row],[OriginalBudget]]</f>
        <v>5519</v>
      </c>
      <c r="L484" s="11">
        <f>allFYsTable[[#This Row],[DiffAmount]]/allFYsTable[[#This Row],[OriginalBudget]]</f>
        <v>0.24286028602860285</v>
      </c>
    </row>
    <row r="485" spans="1:12" x14ac:dyDescent="0.45">
      <c r="A485" t="s">
        <v>1037</v>
      </c>
      <c r="B485" t="s">
        <v>129</v>
      </c>
      <c r="C485" t="s">
        <v>839</v>
      </c>
      <c r="D485" t="s">
        <v>287</v>
      </c>
      <c r="E485">
        <v>842</v>
      </c>
      <c r="F485">
        <v>842</v>
      </c>
      <c r="G485">
        <v>840</v>
      </c>
      <c r="H485">
        <v>2</v>
      </c>
      <c r="I485">
        <v>2009</v>
      </c>
      <c r="J485">
        <v>44</v>
      </c>
      <c r="K485">
        <f>allFYsTable[[#This Row],[Actual]]-allFYsTable[[#This Row],[OriginalBudget]]</f>
        <v>-2</v>
      </c>
      <c r="L485" s="11">
        <f>allFYsTable[[#This Row],[DiffAmount]]/allFYsTable[[#This Row],[OriginalBudget]]</f>
        <v>-2.3752969121140144E-3</v>
      </c>
    </row>
    <row r="486" spans="1:12" x14ac:dyDescent="0.45">
      <c r="A486" t="s">
        <v>1037</v>
      </c>
      <c r="B486" t="s">
        <v>129</v>
      </c>
      <c r="C486" t="s">
        <v>741</v>
      </c>
      <c r="D486" t="s">
        <v>583</v>
      </c>
      <c r="E486">
        <v>0</v>
      </c>
      <c r="F486">
        <v>0</v>
      </c>
      <c r="G486">
        <v>0</v>
      </c>
      <c r="H486">
        <v>0</v>
      </c>
      <c r="I486">
        <v>2009</v>
      </c>
      <c r="J486">
        <v>45</v>
      </c>
      <c r="K486">
        <f>allFYsTable[[#This Row],[Actual]]-allFYsTable[[#This Row],[OriginalBudget]]</f>
        <v>0</v>
      </c>
      <c r="L486" s="11" t="e">
        <f>allFYsTable[[#This Row],[DiffAmount]]/allFYsTable[[#This Row],[OriginalBudget]]</f>
        <v>#DIV/0!</v>
      </c>
    </row>
    <row r="487" spans="1:12" x14ac:dyDescent="0.45">
      <c r="A487" t="s">
        <v>1037</v>
      </c>
      <c r="B487" t="s">
        <v>1013</v>
      </c>
      <c r="C487" t="s">
        <v>758</v>
      </c>
      <c r="D487" t="s">
        <v>584</v>
      </c>
      <c r="E487">
        <v>462224</v>
      </c>
      <c r="F487">
        <v>455217</v>
      </c>
      <c r="G487">
        <v>453891</v>
      </c>
      <c r="H487">
        <v>1326</v>
      </c>
      <c r="I487">
        <v>2009</v>
      </c>
      <c r="J487">
        <v>46</v>
      </c>
      <c r="K487">
        <f>allFYsTable[[#This Row],[Actual]]-allFYsTable[[#This Row],[OriginalBudget]]</f>
        <v>-8333</v>
      </c>
      <c r="L487" s="11">
        <f>allFYsTable[[#This Row],[DiffAmount]]/allFYsTable[[#This Row],[OriginalBudget]]</f>
        <v>-1.8028055661324378E-2</v>
      </c>
    </row>
    <row r="488" spans="1:12" x14ac:dyDescent="0.45">
      <c r="A488" t="s">
        <v>1037</v>
      </c>
      <c r="B488" t="s">
        <v>1013</v>
      </c>
      <c r="C488" t="s">
        <v>755</v>
      </c>
      <c r="D488" t="s">
        <v>585</v>
      </c>
      <c r="E488">
        <v>183465</v>
      </c>
      <c r="F488">
        <v>186465</v>
      </c>
      <c r="G488">
        <v>185838</v>
      </c>
      <c r="H488">
        <v>627</v>
      </c>
      <c r="I488">
        <v>2009</v>
      </c>
      <c r="J488">
        <v>47</v>
      </c>
      <c r="K488">
        <f>allFYsTable[[#This Row],[Actual]]-allFYsTable[[#This Row],[OriginalBudget]]</f>
        <v>2373</v>
      </c>
      <c r="L488" s="11">
        <f>allFYsTable[[#This Row],[DiffAmount]]/allFYsTable[[#This Row],[OriginalBudget]]</f>
        <v>1.2934347150682691E-2</v>
      </c>
    </row>
    <row r="489" spans="1:12" x14ac:dyDescent="0.45">
      <c r="A489" t="s">
        <v>1037</v>
      </c>
      <c r="B489" t="s">
        <v>1013</v>
      </c>
      <c r="C489" t="s">
        <v>768</v>
      </c>
      <c r="D489" t="s">
        <v>586</v>
      </c>
      <c r="E489">
        <v>110900</v>
      </c>
      <c r="F489">
        <v>106000</v>
      </c>
      <c r="G489">
        <v>106000</v>
      </c>
      <c r="H489">
        <v>0</v>
      </c>
      <c r="I489">
        <v>2009</v>
      </c>
      <c r="J489">
        <v>48</v>
      </c>
      <c r="K489">
        <f>allFYsTable[[#This Row],[Actual]]-allFYsTable[[#This Row],[OriginalBudget]]</f>
        <v>-4900</v>
      </c>
      <c r="L489" s="11">
        <f>allFYsTable[[#This Row],[DiffAmount]]/allFYsTable[[#This Row],[OriginalBudget]]</f>
        <v>-4.4183949504057712E-2</v>
      </c>
    </row>
    <row r="490" spans="1:12" x14ac:dyDescent="0.45">
      <c r="A490" t="s">
        <v>1037</v>
      </c>
      <c r="B490" t="s">
        <v>1013</v>
      </c>
      <c r="C490" t="s">
        <v>750</v>
      </c>
      <c r="D490" t="s">
        <v>587</v>
      </c>
      <c r="E490">
        <v>115588</v>
      </c>
      <c r="F490">
        <v>117688</v>
      </c>
      <c r="G490">
        <v>117610</v>
      </c>
      <c r="H490">
        <v>78</v>
      </c>
      <c r="I490">
        <v>2009</v>
      </c>
      <c r="J490">
        <v>49</v>
      </c>
      <c r="K490">
        <f>allFYsTable[[#This Row],[Actual]]-allFYsTable[[#This Row],[OriginalBudget]]</f>
        <v>2022</v>
      </c>
      <c r="L490" s="11">
        <f>allFYsTable[[#This Row],[DiffAmount]]/allFYsTable[[#This Row],[OriginalBudget]]</f>
        <v>1.7493165380489326E-2</v>
      </c>
    </row>
    <row r="491" spans="1:12" x14ac:dyDescent="0.45">
      <c r="A491" t="s">
        <v>1037</v>
      </c>
      <c r="B491" t="s">
        <v>1013</v>
      </c>
      <c r="C491" t="s">
        <v>753</v>
      </c>
      <c r="D491" t="s">
        <v>588</v>
      </c>
      <c r="E491">
        <v>3371</v>
      </c>
      <c r="F491">
        <v>3371</v>
      </c>
      <c r="G491">
        <v>3047</v>
      </c>
      <c r="H491">
        <v>324</v>
      </c>
      <c r="I491">
        <v>2009</v>
      </c>
      <c r="J491">
        <v>50</v>
      </c>
      <c r="K491">
        <f>allFYsTable[[#This Row],[Actual]]-allFYsTable[[#This Row],[OriginalBudget]]</f>
        <v>-324</v>
      </c>
      <c r="L491" s="11">
        <f>allFYsTable[[#This Row],[DiffAmount]]/allFYsTable[[#This Row],[OriginalBudget]]</f>
        <v>-9.6113912785523586E-2</v>
      </c>
    </row>
    <row r="492" spans="1:12" x14ac:dyDescent="0.45">
      <c r="A492" t="s">
        <v>1037</v>
      </c>
      <c r="B492" t="s">
        <v>1013</v>
      </c>
      <c r="C492" t="s">
        <v>756</v>
      </c>
      <c r="D492" t="s">
        <v>589</v>
      </c>
      <c r="E492">
        <v>4462</v>
      </c>
      <c r="F492">
        <v>4365</v>
      </c>
      <c r="G492">
        <v>3642</v>
      </c>
      <c r="H492">
        <v>723</v>
      </c>
      <c r="I492">
        <v>2009</v>
      </c>
      <c r="J492">
        <v>51</v>
      </c>
      <c r="K492">
        <f>allFYsTable[[#This Row],[Actual]]-allFYsTable[[#This Row],[OriginalBudget]]</f>
        <v>-820</v>
      </c>
      <c r="L492" s="11">
        <f>allFYsTable[[#This Row],[DiffAmount]]/allFYsTable[[#This Row],[OriginalBudget]]</f>
        <v>-0.18377409233527567</v>
      </c>
    </row>
    <row r="493" spans="1:12" x14ac:dyDescent="0.45">
      <c r="A493" t="s">
        <v>1037</v>
      </c>
      <c r="B493" t="s">
        <v>1013</v>
      </c>
      <c r="C493" t="s">
        <v>746</v>
      </c>
      <c r="D493" t="s">
        <v>590</v>
      </c>
      <c r="E493">
        <v>271</v>
      </c>
      <c r="F493">
        <v>275</v>
      </c>
      <c r="G493">
        <v>272</v>
      </c>
      <c r="H493">
        <v>3</v>
      </c>
      <c r="I493">
        <v>2009</v>
      </c>
      <c r="J493">
        <v>52</v>
      </c>
      <c r="K493">
        <f>allFYsTable[[#This Row],[Actual]]-allFYsTable[[#This Row],[OriginalBudget]]</f>
        <v>1</v>
      </c>
      <c r="L493" s="11">
        <f>allFYsTable[[#This Row],[DiffAmount]]/allFYsTable[[#This Row],[OriginalBudget]]</f>
        <v>3.6900369003690036E-3</v>
      </c>
    </row>
    <row r="494" spans="1:12" x14ac:dyDescent="0.45">
      <c r="A494" t="s">
        <v>1037</v>
      </c>
      <c r="B494" t="s">
        <v>1013</v>
      </c>
      <c r="C494" t="s">
        <v>757</v>
      </c>
      <c r="D494" t="s">
        <v>591</v>
      </c>
      <c r="E494">
        <v>152</v>
      </c>
      <c r="F494">
        <v>152</v>
      </c>
      <c r="G494">
        <v>134</v>
      </c>
      <c r="H494">
        <v>18</v>
      </c>
      <c r="I494">
        <v>2009</v>
      </c>
      <c r="J494">
        <v>53</v>
      </c>
      <c r="K494">
        <f>allFYsTable[[#This Row],[Actual]]-allFYsTable[[#This Row],[OriginalBudget]]</f>
        <v>-18</v>
      </c>
      <c r="L494" s="11">
        <f>allFYsTable[[#This Row],[DiffAmount]]/allFYsTable[[#This Row],[OriginalBudget]]</f>
        <v>-0.11842105263157894</v>
      </c>
    </row>
    <row r="495" spans="1:12" x14ac:dyDescent="0.45">
      <c r="A495" t="s">
        <v>1037</v>
      </c>
      <c r="B495" t="s">
        <v>1013</v>
      </c>
      <c r="C495" t="s">
        <v>762</v>
      </c>
      <c r="D495" t="s">
        <v>357</v>
      </c>
      <c r="E495">
        <v>2618</v>
      </c>
      <c r="F495">
        <v>2618</v>
      </c>
      <c r="G495">
        <v>2434</v>
      </c>
      <c r="H495">
        <v>184</v>
      </c>
      <c r="I495">
        <v>2009</v>
      </c>
      <c r="J495">
        <v>54</v>
      </c>
      <c r="K495">
        <f>allFYsTable[[#This Row],[Actual]]-allFYsTable[[#This Row],[OriginalBudget]]</f>
        <v>-184</v>
      </c>
      <c r="L495" s="11">
        <f>allFYsTable[[#This Row],[DiffAmount]]/allFYsTable[[#This Row],[OriginalBudget]]</f>
        <v>-7.0282658517952637E-2</v>
      </c>
    </row>
    <row r="496" spans="1:12" x14ac:dyDescent="0.45">
      <c r="A496" t="s">
        <v>1037</v>
      </c>
      <c r="B496" t="s">
        <v>1013</v>
      </c>
      <c r="C496" t="s">
        <v>754</v>
      </c>
      <c r="D496" t="s">
        <v>290</v>
      </c>
      <c r="E496">
        <v>779</v>
      </c>
      <c r="F496">
        <v>779</v>
      </c>
      <c r="G496">
        <v>582</v>
      </c>
      <c r="H496">
        <v>197</v>
      </c>
      <c r="I496">
        <v>2009</v>
      </c>
      <c r="J496">
        <v>55</v>
      </c>
      <c r="K496">
        <f>allFYsTable[[#This Row],[Actual]]-allFYsTable[[#This Row],[OriginalBudget]]</f>
        <v>-197</v>
      </c>
      <c r="L496" s="11">
        <f>allFYsTable[[#This Row],[DiffAmount]]/allFYsTable[[#This Row],[OriginalBudget]]</f>
        <v>-0.25288831835686776</v>
      </c>
    </row>
    <row r="497" spans="1:12" x14ac:dyDescent="0.45">
      <c r="A497" t="s">
        <v>1037</v>
      </c>
      <c r="B497" t="s">
        <v>1013</v>
      </c>
      <c r="C497" t="s">
        <v>764</v>
      </c>
      <c r="D497" t="s">
        <v>50</v>
      </c>
      <c r="E497">
        <v>9746</v>
      </c>
      <c r="F497">
        <v>9550</v>
      </c>
      <c r="G497">
        <v>9170</v>
      </c>
      <c r="H497">
        <v>380</v>
      </c>
      <c r="I497">
        <v>2009</v>
      </c>
      <c r="J497">
        <v>56</v>
      </c>
      <c r="K497">
        <f>allFYsTable[[#This Row],[Actual]]-allFYsTable[[#This Row],[OriginalBudget]]</f>
        <v>-576</v>
      </c>
      <c r="L497" s="11">
        <f>allFYsTable[[#This Row],[DiffAmount]]/allFYsTable[[#This Row],[OriginalBudget]]</f>
        <v>-5.9101169710650527E-2</v>
      </c>
    </row>
    <row r="498" spans="1:12" x14ac:dyDescent="0.45">
      <c r="A498" t="s">
        <v>1037</v>
      </c>
      <c r="B498" t="s">
        <v>1013</v>
      </c>
      <c r="C498" t="s">
        <v>759</v>
      </c>
      <c r="D498" t="s">
        <v>133</v>
      </c>
      <c r="E498">
        <v>7718</v>
      </c>
      <c r="F498">
        <v>8203</v>
      </c>
      <c r="G498">
        <v>7847</v>
      </c>
      <c r="H498">
        <v>356</v>
      </c>
      <c r="I498">
        <v>2009</v>
      </c>
      <c r="J498">
        <v>57</v>
      </c>
      <c r="K498">
        <f>allFYsTable[[#This Row],[Actual]]-allFYsTable[[#This Row],[OriginalBudget]]</f>
        <v>129</v>
      </c>
      <c r="L498" s="11">
        <f>allFYsTable[[#This Row],[DiffAmount]]/allFYsTable[[#This Row],[OriginalBudget]]</f>
        <v>1.6714174656646801E-2</v>
      </c>
    </row>
    <row r="499" spans="1:12" x14ac:dyDescent="0.45">
      <c r="A499" t="s">
        <v>1037</v>
      </c>
      <c r="B499" t="s">
        <v>1013</v>
      </c>
      <c r="C499" t="s">
        <v>747</v>
      </c>
      <c r="D499" t="s">
        <v>592</v>
      </c>
      <c r="E499">
        <v>25</v>
      </c>
      <c r="F499">
        <v>0</v>
      </c>
      <c r="G499">
        <v>0</v>
      </c>
      <c r="H499">
        <v>0</v>
      </c>
      <c r="I499">
        <v>2009</v>
      </c>
      <c r="J499">
        <v>58</v>
      </c>
      <c r="K499">
        <f>allFYsTable[[#This Row],[Actual]]-allFYsTable[[#This Row],[OriginalBudget]]</f>
        <v>-25</v>
      </c>
      <c r="L499" s="11">
        <f>allFYsTable[[#This Row],[DiffAmount]]/allFYsTable[[#This Row],[OriginalBudget]]</f>
        <v>-1</v>
      </c>
    </row>
    <row r="500" spans="1:12" x14ac:dyDescent="0.45">
      <c r="A500" t="s">
        <v>1037</v>
      </c>
      <c r="B500" t="s">
        <v>1013</v>
      </c>
      <c r="C500" t="s">
        <v>749</v>
      </c>
      <c r="D500" t="s">
        <v>593</v>
      </c>
      <c r="E500">
        <v>404</v>
      </c>
      <c r="F500">
        <v>404</v>
      </c>
      <c r="G500">
        <v>358</v>
      </c>
      <c r="H500">
        <v>46</v>
      </c>
      <c r="I500">
        <v>2009</v>
      </c>
      <c r="J500">
        <v>59</v>
      </c>
      <c r="K500">
        <f>allFYsTable[[#This Row],[Actual]]-allFYsTable[[#This Row],[OriginalBudget]]</f>
        <v>-46</v>
      </c>
      <c r="L500" s="11">
        <f>allFYsTable[[#This Row],[DiffAmount]]/allFYsTable[[#This Row],[OriginalBudget]]</f>
        <v>-0.11386138613861387</v>
      </c>
    </row>
    <row r="501" spans="1:12" x14ac:dyDescent="0.45">
      <c r="A501" t="s">
        <v>1037</v>
      </c>
      <c r="B501" t="s">
        <v>1013</v>
      </c>
      <c r="C501" t="s">
        <v>751</v>
      </c>
      <c r="D501" t="s">
        <v>594</v>
      </c>
      <c r="E501">
        <v>1323</v>
      </c>
      <c r="F501">
        <v>1377</v>
      </c>
      <c r="G501">
        <v>1375</v>
      </c>
      <c r="H501">
        <v>2</v>
      </c>
      <c r="I501">
        <v>2009</v>
      </c>
      <c r="J501">
        <v>60</v>
      </c>
      <c r="K501">
        <f>allFYsTable[[#This Row],[Actual]]-allFYsTable[[#This Row],[OriginalBudget]]</f>
        <v>52</v>
      </c>
      <c r="L501" s="11">
        <f>allFYsTable[[#This Row],[DiffAmount]]/allFYsTable[[#This Row],[OriginalBudget]]</f>
        <v>3.9304610733182165E-2</v>
      </c>
    </row>
    <row r="502" spans="1:12" x14ac:dyDescent="0.45">
      <c r="A502" t="s">
        <v>1037</v>
      </c>
      <c r="B502" t="s">
        <v>1013</v>
      </c>
      <c r="C502" t="s">
        <v>853</v>
      </c>
      <c r="D502" t="s">
        <v>510</v>
      </c>
      <c r="E502">
        <v>475</v>
      </c>
      <c r="F502">
        <v>0</v>
      </c>
      <c r="G502">
        <v>0</v>
      </c>
      <c r="H502">
        <v>0</v>
      </c>
      <c r="I502">
        <v>2009</v>
      </c>
      <c r="J502">
        <v>61</v>
      </c>
      <c r="K502">
        <f>allFYsTable[[#This Row],[Actual]]-allFYsTable[[#This Row],[OriginalBudget]]</f>
        <v>-475</v>
      </c>
      <c r="L502" s="11">
        <f>allFYsTable[[#This Row],[DiffAmount]]/allFYsTable[[#This Row],[OriginalBudget]]</f>
        <v>-1</v>
      </c>
    </row>
    <row r="503" spans="1:12" x14ac:dyDescent="0.45">
      <c r="A503" t="s">
        <v>1037</v>
      </c>
      <c r="B503" t="s">
        <v>1013</v>
      </c>
      <c r="C503" t="s">
        <v>854</v>
      </c>
      <c r="D503" t="s">
        <v>358</v>
      </c>
      <c r="E503">
        <v>3988</v>
      </c>
      <c r="F503">
        <v>4388</v>
      </c>
      <c r="G503">
        <v>4219</v>
      </c>
      <c r="H503">
        <v>169</v>
      </c>
      <c r="I503">
        <v>2009</v>
      </c>
      <c r="J503">
        <v>62</v>
      </c>
      <c r="K503">
        <f>allFYsTable[[#This Row],[Actual]]-allFYsTable[[#This Row],[OriginalBudget]]</f>
        <v>231</v>
      </c>
      <c r="L503" s="11">
        <f>allFYsTable[[#This Row],[DiffAmount]]/allFYsTable[[#This Row],[OriginalBudget]]</f>
        <v>5.7923771313941823E-2</v>
      </c>
    </row>
    <row r="504" spans="1:12" x14ac:dyDescent="0.45">
      <c r="A504" t="s">
        <v>1037</v>
      </c>
      <c r="B504" t="s">
        <v>1013</v>
      </c>
      <c r="C504" t="s">
        <v>841</v>
      </c>
      <c r="D504" t="s">
        <v>194</v>
      </c>
      <c r="E504">
        <v>905</v>
      </c>
      <c r="F504">
        <v>930</v>
      </c>
      <c r="G504">
        <v>905</v>
      </c>
      <c r="H504">
        <v>25</v>
      </c>
      <c r="I504">
        <v>2009</v>
      </c>
      <c r="J504">
        <v>63</v>
      </c>
      <c r="K504">
        <f>allFYsTable[[#This Row],[Actual]]-allFYsTable[[#This Row],[OriginalBudget]]</f>
        <v>0</v>
      </c>
      <c r="L504" s="11">
        <f>allFYsTable[[#This Row],[DiffAmount]]/allFYsTable[[#This Row],[OriginalBudget]]</f>
        <v>0</v>
      </c>
    </row>
    <row r="505" spans="1:12" x14ac:dyDescent="0.45">
      <c r="A505" t="s">
        <v>1037</v>
      </c>
      <c r="B505" t="s">
        <v>1013</v>
      </c>
      <c r="C505" t="s">
        <v>766</v>
      </c>
      <c r="D505" t="s">
        <v>52</v>
      </c>
      <c r="E505">
        <v>33935</v>
      </c>
      <c r="F505">
        <v>32720</v>
      </c>
      <c r="G505">
        <v>31656</v>
      </c>
      <c r="H505">
        <v>1064</v>
      </c>
      <c r="I505">
        <v>2009</v>
      </c>
      <c r="J505">
        <v>64</v>
      </c>
      <c r="K505">
        <f>allFYsTable[[#This Row],[Actual]]-allFYsTable[[#This Row],[OriginalBudget]]</f>
        <v>-2279</v>
      </c>
      <c r="L505" s="11">
        <f>allFYsTable[[#This Row],[DiffAmount]]/allFYsTable[[#This Row],[OriginalBudget]]</f>
        <v>-6.7157801679681745E-2</v>
      </c>
    </row>
    <row r="506" spans="1:12" x14ac:dyDescent="0.45">
      <c r="A506" t="s">
        <v>1037</v>
      </c>
      <c r="B506" t="s">
        <v>136</v>
      </c>
      <c r="C506" t="s">
        <v>773</v>
      </c>
      <c r="D506" t="s">
        <v>595</v>
      </c>
      <c r="E506">
        <v>562109</v>
      </c>
      <c r="F506">
        <v>566294</v>
      </c>
      <c r="G506">
        <v>566292</v>
      </c>
      <c r="H506">
        <v>2</v>
      </c>
      <c r="I506">
        <v>2009</v>
      </c>
      <c r="J506">
        <v>65</v>
      </c>
      <c r="K506">
        <f>allFYsTable[[#This Row],[Actual]]-allFYsTable[[#This Row],[OriginalBudget]]</f>
        <v>4183</v>
      </c>
      <c r="L506" s="11">
        <f>allFYsTable[[#This Row],[DiffAmount]]/allFYsTable[[#This Row],[OriginalBudget]]</f>
        <v>7.4416171952414924E-3</v>
      </c>
    </row>
    <row r="507" spans="1:12" x14ac:dyDescent="0.45">
      <c r="A507" t="s">
        <v>1037</v>
      </c>
      <c r="B507" t="s">
        <v>136</v>
      </c>
      <c r="C507" t="s">
        <v>870</v>
      </c>
      <c r="D507" t="s">
        <v>596</v>
      </c>
      <c r="E507">
        <v>0</v>
      </c>
      <c r="F507">
        <v>9757</v>
      </c>
      <c r="G507">
        <v>9757</v>
      </c>
      <c r="H507">
        <v>0</v>
      </c>
      <c r="I507">
        <v>2009</v>
      </c>
      <c r="J507">
        <v>66</v>
      </c>
      <c r="K507">
        <f>allFYsTable[[#This Row],[Actual]]-allFYsTable[[#This Row],[OriginalBudget]]</f>
        <v>9757</v>
      </c>
      <c r="L507" s="11" t="e">
        <f>allFYsTable[[#This Row],[DiffAmount]]/allFYsTable[[#This Row],[OriginalBudget]]</f>
        <v>#DIV/0!</v>
      </c>
    </row>
    <row r="508" spans="1:12" x14ac:dyDescent="0.45">
      <c r="A508" t="s">
        <v>1037</v>
      </c>
      <c r="B508" t="s">
        <v>136</v>
      </c>
      <c r="C508" t="s">
        <v>782</v>
      </c>
      <c r="D508" t="s">
        <v>597</v>
      </c>
      <c r="E508">
        <v>0</v>
      </c>
      <c r="F508">
        <v>0</v>
      </c>
      <c r="G508">
        <v>-3</v>
      </c>
      <c r="H508">
        <v>3</v>
      </c>
      <c r="I508">
        <v>2009</v>
      </c>
      <c r="J508">
        <v>67</v>
      </c>
      <c r="K508">
        <f>allFYsTable[[#This Row],[Actual]]-allFYsTable[[#This Row],[OriginalBudget]]</f>
        <v>-3</v>
      </c>
      <c r="L508" s="11" t="e">
        <f>allFYsTable[[#This Row],[DiffAmount]]/allFYsTable[[#This Row],[OriginalBudget]]</f>
        <v>#DIV/0!</v>
      </c>
    </row>
    <row r="509" spans="1:12" x14ac:dyDescent="0.45">
      <c r="A509" t="s">
        <v>1037</v>
      </c>
      <c r="B509" t="s">
        <v>136</v>
      </c>
      <c r="C509" t="s">
        <v>779</v>
      </c>
      <c r="D509" t="s">
        <v>598</v>
      </c>
      <c r="E509">
        <v>117544</v>
      </c>
      <c r="F509">
        <v>118562</v>
      </c>
      <c r="G509">
        <v>111750</v>
      </c>
      <c r="H509">
        <v>6812</v>
      </c>
      <c r="I509">
        <v>2009</v>
      </c>
      <c r="J509">
        <v>68</v>
      </c>
      <c r="K509">
        <f>allFYsTable[[#This Row],[Actual]]-allFYsTable[[#This Row],[OriginalBudget]]</f>
        <v>-5794</v>
      </c>
      <c r="L509" s="11">
        <f>allFYsTable[[#This Row],[DiffAmount]]/allFYsTable[[#This Row],[OriginalBudget]]</f>
        <v>-4.9292179949635882E-2</v>
      </c>
    </row>
    <row r="510" spans="1:12" x14ac:dyDescent="0.45">
      <c r="A510" t="s">
        <v>1037</v>
      </c>
      <c r="B510" t="s">
        <v>136</v>
      </c>
      <c r="C510" t="s">
        <v>772</v>
      </c>
      <c r="D510" t="s">
        <v>173</v>
      </c>
      <c r="E510">
        <v>366053</v>
      </c>
      <c r="F510">
        <v>292926</v>
      </c>
      <c r="G510">
        <v>292926</v>
      </c>
      <c r="H510">
        <v>0</v>
      </c>
      <c r="I510">
        <v>2009</v>
      </c>
      <c r="J510">
        <v>69</v>
      </c>
      <c r="K510">
        <f>allFYsTable[[#This Row],[Actual]]-allFYsTable[[#This Row],[OriginalBudget]]</f>
        <v>-73127</v>
      </c>
      <c r="L510" s="11">
        <f>allFYsTable[[#This Row],[DiffAmount]]/allFYsTable[[#This Row],[OriginalBudget]]</f>
        <v>-0.19977161777119706</v>
      </c>
    </row>
    <row r="511" spans="1:12" x14ac:dyDescent="0.45">
      <c r="A511" t="s">
        <v>1037</v>
      </c>
      <c r="B511" t="s">
        <v>136</v>
      </c>
      <c r="C511" t="s">
        <v>869</v>
      </c>
      <c r="D511" t="s">
        <v>599</v>
      </c>
      <c r="E511">
        <v>0</v>
      </c>
      <c r="F511">
        <v>92970</v>
      </c>
      <c r="G511">
        <v>92970</v>
      </c>
      <c r="H511">
        <v>0</v>
      </c>
      <c r="I511">
        <v>2009</v>
      </c>
      <c r="J511">
        <v>70</v>
      </c>
      <c r="K511">
        <f>allFYsTable[[#This Row],[Actual]]-allFYsTable[[#This Row],[OriginalBudget]]</f>
        <v>92970</v>
      </c>
      <c r="L511" s="11" t="e">
        <f>allFYsTable[[#This Row],[DiffAmount]]/allFYsTable[[#This Row],[OriginalBudget]]</f>
        <v>#DIV/0!</v>
      </c>
    </row>
    <row r="512" spans="1:12" x14ac:dyDescent="0.45">
      <c r="A512" t="s">
        <v>1037</v>
      </c>
      <c r="B512" t="s">
        <v>136</v>
      </c>
      <c r="C512" t="s">
        <v>855</v>
      </c>
      <c r="D512" t="s">
        <v>600</v>
      </c>
      <c r="E512">
        <v>22368</v>
      </c>
      <c r="F512">
        <v>24868</v>
      </c>
      <c r="G512">
        <v>24720</v>
      </c>
      <c r="H512">
        <v>148</v>
      </c>
      <c r="I512">
        <v>2009</v>
      </c>
      <c r="J512">
        <v>71</v>
      </c>
      <c r="K512">
        <f>allFYsTable[[#This Row],[Actual]]-allFYsTable[[#This Row],[OriginalBudget]]</f>
        <v>2352</v>
      </c>
      <c r="L512" s="11">
        <f>allFYsTable[[#This Row],[DiffAmount]]/allFYsTable[[#This Row],[OriginalBudget]]</f>
        <v>0.10515021459227468</v>
      </c>
    </row>
    <row r="513" spans="1:12" x14ac:dyDescent="0.45">
      <c r="A513" t="s">
        <v>1037</v>
      </c>
      <c r="B513" t="s">
        <v>136</v>
      </c>
      <c r="C513" t="s">
        <v>784</v>
      </c>
      <c r="D513" t="s">
        <v>601</v>
      </c>
      <c r="E513">
        <v>62070</v>
      </c>
      <c r="F513">
        <v>62070</v>
      </c>
      <c r="G513">
        <v>62070</v>
      </c>
      <c r="H513">
        <v>0</v>
      </c>
      <c r="I513">
        <v>2009</v>
      </c>
      <c r="J513">
        <v>72</v>
      </c>
      <c r="K513">
        <f>allFYsTable[[#This Row],[Actual]]-allFYsTable[[#This Row],[OriginalBudget]]</f>
        <v>0</v>
      </c>
      <c r="L513" s="11">
        <f>allFYsTable[[#This Row],[DiffAmount]]/allFYsTable[[#This Row],[OriginalBudget]]</f>
        <v>0</v>
      </c>
    </row>
    <row r="514" spans="1:12" x14ac:dyDescent="0.45">
      <c r="A514" t="s">
        <v>1037</v>
      </c>
      <c r="B514" t="s">
        <v>136</v>
      </c>
      <c r="C514" t="s">
        <v>774</v>
      </c>
      <c r="D514" t="s">
        <v>602</v>
      </c>
      <c r="E514">
        <v>44725</v>
      </c>
      <c r="F514">
        <v>44865</v>
      </c>
      <c r="G514">
        <v>44760</v>
      </c>
      <c r="H514">
        <v>105</v>
      </c>
      <c r="I514">
        <v>2009</v>
      </c>
      <c r="J514">
        <v>73</v>
      </c>
      <c r="K514">
        <f>allFYsTable[[#This Row],[Actual]]-allFYsTable[[#This Row],[OriginalBudget]]</f>
        <v>35</v>
      </c>
      <c r="L514" s="11">
        <f>allFYsTable[[#This Row],[DiffAmount]]/allFYsTable[[#This Row],[OriginalBudget]]</f>
        <v>7.8256008943543883E-4</v>
      </c>
    </row>
    <row r="515" spans="1:12" x14ac:dyDescent="0.45">
      <c r="A515" t="s">
        <v>1037</v>
      </c>
      <c r="B515" t="s">
        <v>136</v>
      </c>
      <c r="C515" t="s">
        <v>777</v>
      </c>
      <c r="D515" t="s">
        <v>64</v>
      </c>
      <c r="E515">
        <v>141700</v>
      </c>
      <c r="F515">
        <v>166000</v>
      </c>
      <c r="G515">
        <v>165911</v>
      </c>
      <c r="H515">
        <v>89</v>
      </c>
      <c r="I515">
        <v>2009</v>
      </c>
      <c r="J515">
        <v>74</v>
      </c>
      <c r="K515">
        <f>allFYsTable[[#This Row],[Actual]]-allFYsTable[[#This Row],[OriginalBudget]]</f>
        <v>24211</v>
      </c>
      <c r="L515" s="11">
        <f>allFYsTable[[#This Row],[DiffAmount]]/allFYsTable[[#This Row],[OriginalBudget]]</f>
        <v>0.17086097388849683</v>
      </c>
    </row>
    <row r="516" spans="1:12" x14ac:dyDescent="0.45">
      <c r="A516" t="s">
        <v>1037</v>
      </c>
      <c r="B516" t="s">
        <v>136</v>
      </c>
      <c r="C516" t="s">
        <v>771</v>
      </c>
      <c r="D516" t="s">
        <v>603</v>
      </c>
      <c r="E516">
        <v>1660</v>
      </c>
      <c r="F516">
        <v>1660</v>
      </c>
      <c r="G516">
        <v>1660</v>
      </c>
      <c r="H516">
        <v>0</v>
      </c>
      <c r="I516">
        <v>2009</v>
      </c>
      <c r="J516">
        <v>75</v>
      </c>
      <c r="K516">
        <f>allFYsTable[[#This Row],[Actual]]-allFYsTable[[#This Row],[OriginalBudget]]</f>
        <v>0</v>
      </c>
      <c r="L516" s="11">
        <f>allFYsTable[[#This Row],[DiffAmount]]/allFYsTable[[#This Row],[OriginalBudget]]</f>
        <v>0</v>
      </c>
    </row>
    <row r="517" spans="1:12" x14ac:dyDescent="0.45">
      <c r="A517" t="s">
        <v>1037</v>
      </c>
      <c r="B517" t="s">
        <v>136</v>
      </c>
      <c r="C517" t="s">
        <v>780</v>
      </c>
      <c r="D517" t="s">
        <v>604</v>
      </c>
      <c r="E517">
        <v>75558</v>
      </c>
      <c r="F517">
        <v>87929</v>
      </c>
      <c r="G517">
        <v>87779</v>
      </c>
      <c r="H517">
        <v>150</v>
      </c>
      <c r="I517">
        <v>2009</v>
      </c>
      <c r="J517">
        <v>76</v>
      </c>
      <c r="K517">
        <f>allFYsTable[[#This Row],[Actual]]-allFYsTable[[#This Row],[OriginalBudget]]</f>
        <v>12221</v>
      </c>
      <c r="L517" s="11">
        <f>allFYsTable[[#This Row],[DiffAmount]]/allFYsTable[[#This Row],[OriginalBudget]]</f>
        <v>0.16174329654040603</v>
      </c>
    </row>
    <row r="518" spans="1:12" x14ac:dyDescent="0.45">
      <c r="A518" t="s">
        <v>1037</v>
      </c>
      <c r="B518" t="s">
        <v>136</v>
      </c>
      <c r="C518" t="s">
        <v>778</v>
      </c>
      <c r="D518" t="s">
        <v>605</v>
      </c>
      <c r="E518">
        <v>4892</v>
      </c>
      <c r="F518">
        <v>4892</v>
      </c>
      <c r="G518">
        <v>4479</v>
      </c>
      <c r="H518">
        <v>413</v>
      </c>
      <c r="I518">
        <v>2009</v>
      </c>
      <c r="J518">
        <v>77</v>
      </c>
      <c r="K518">
        <f>allFYsTable[[#This Row],[Actual]]-allFYsTable[[#This Row],[OriginalBudget]]</f>
        <v>-413</v>
      </c>
      <c r="L518" s="11">
        <f>allFYsTable[[#This Row],[DiffAmount]]/allFYsTable[[#This Row],[OriginalBudget]]</f>
        <v>-8.4423548650858549E-2</v>
      </c>
    </row>
    <row r="519" spans="1:12" x14ac:dyDescent="0.45">
      <c r="A519" t="s">
        <v>1037</v>
      </c>
      <c r="B519" t="s">
        <v>14</v>
      </c>
      <c r="C519" t="s">
        <v>790</v>
      </c>
      <c r="D519" t="s">
        <v>606</v>
      </c>
      <c r="E519">
        <v>168882</v>
      </c>
      <c r="F519">
        <v>166330</v>
      </c>
      <c r="G519">
        <v>165358</v>
      </c>
      <c r="H519">
        <v>972</v>
      </c>
      <c r="I519">
        <v>2009</v>
      </c>
      <c r="J519">
        <v>78</v>
      </c>
      <c r="K519">
        <f>allFYsTable[[#This Row],[Actual]]-allFYsTable[[#This Row],[OriginalBudget]]</f>
        <v>-3524</v>
      </c>
      <c r="L519" s="11">
        <f>allFYsTable[[#This Row],[DiffAmount]]/allFYsTable[[#This Row],[OriginalBudget]]</f>
        <v>-2.086664061297237E-2</v>
      </c>
    </row>
    <row r="520" spans="1:12" x14ac:dyDescent="0.45">
      <c r="A520" t="s">
        <v>1037</v>
      </c>
      <c r="B520" t="s">
        <v>14</v>
      </c>
      <c r="C520" t="s">
        <v>785</v>
      </c>
      <c r="D520" t="s">
        <v>607</v>
      </c>
      <c r="E520">
        <v>196825</v>
      </c>
      <c r="F520">
        <v>229025</v>
      </c>
      <c r="G520">
        <v>220372</v>
      </c>
      <c r="H520">
        <v>8653</v>
      </c>
      <c r="I520">
        <v>2009</v>
      </c>
      <c r="J520">
        <v>79</v>
      </c>
      <c r="K520">
        <f>allFYsTable[[#This Row],[Actual]]-allFYsTable[[#This Row],[OriginalBudget]]</f>
        <v>23547</v>
      </c>
      <c r="L520" s="11">
        <f>allFYsTable[[#This Row],[DiffAmount]]/allFYsTable[[#This Row],[OriginalBudget]]</f>
        <v>0.11963419281087261</v>
      </c>
    </row>
    <row r="521" spans="1:12" x14ac:dyDescent="0.45">
      <c r="A521" t="s">
        <v>1037</v>
      </c>
      <c r="B521" t="s">
        <v>14</v>
      </c>
      <c r="C521" t="s">
        <v>881</v>
      </c>
      <c r="D521" t="s">
        <v>608</v>
      </c>
      <c r="E521">
        <v>0</v>
      </c>
      <c r="F521">
        <v>0</v>
      </c>
      <c r="G521">
        <v>32055</v>
      </c>
      <c r="H521">
        <v>-32055</v>
      </c>
      <c r="I521">
        <v>2009</v>
      </c>
      <c r="J521">
        <v>80</v>
      </c>
      <c r="K521">
        <f>allFYsTable[[#This Row],[Actual]]-allFYsTable[[#This Row],[OriginalBudget]]</f>
        <v>32055</v>
      </c>
      <c r="L521" s="11" t="e">
        <f>allFYsTable[[#This Row],[DiffAmount]]/allFYsTable[[#This Row],[OriginalBudget]]</f>
        <v>#DIV/0!</v>
      </c>
    </row>
    <row r="522" spans="1:12" x14ac:dyDescent="0.45">
      <c r="A522" t="s">
        <v>1037</v>
      </c>
      <c r="B522" t="s">
        <v>14</v>
      </c>
      <c r="C522" t="s">
        <v>787</v>
      </c>
      <c r="D522" t="s">
        <v>609</v>
      </c>
      <c r="E522">
        <v>209832</v>
      </c>
      <c r="F522">
        <v>210231</v>
      </c>
      <c r="G522">
        <v>208811</v>
      </c>
      <c r="H522">
        <v>1420</v>
      </c>
      <c r="I522">
        <v>2009</v>
      </c>
      <c r="J522">
        <v>81</v>
      </c>
      <c r="K522">
        <f>allFYsTable[[#This Row],[Actual]]-allFYsTable[[#This Row],[OriginalBudget]]</f>
        <v>-1021</v>
      </c>
      <c r="L522" s="11">
        <f>allFYsTable[[#This Row],[DiffAmount]]/allFYsTable[[#This Row],[OriginalBudget]]</f>
        <v>-4.865797399824622E-3</v>
      </c>
    </row>
    <row r="523" spans="1:12" x14ac:dyDescent="0.45">
      <c r="A523" t="s">
        <v>1037</v>
      </c>
      <c r="B523" t="s">
        <v>14</v>
      </c>
      <c r="C523" t="s">
        <v>788</v>
      </c>
      <c r="D523" t="s">
        <v>610</v>
      </c>
      <c r="E523">
        <v>95335</v>
      </c>
      <c r="F523">
        <v>97567</v>
      </c>
      <c r="G523">
        <v>97494</v>
      </c>
      <c r="H523">
        <v>73</v>
      </c>
      <c r="I523">
        <v>2009</v>
      </c>
      <c r="J523">
        <v>82</v>
      </c>
      <c r="K523">
        <f>allFYsTable[[#This Row],[Actual]]-allFYsTable[[#This Row],[OriginalBudget]]</f>
        <v>2159</v>
      </c>
      <c r="L523" s="11">
        <f>allFYsTable[[#This Row],[DiffAmount]]/allFYsTable[[#This Row],[OriginalBudget]]</f>
        <v>2.2646457229768709E-2</v>
      </c>
    </row>
    <row r="524" spans="1:12" x14ac:dyDescent="0.45">
      <c r="A524" t="s">
        <v>1037</v>
      </c>
      <c r="B524" t="s">
        <v>14</v>
      </c>
      <c r="C524" t="s">
        <v>770</v>
      </c>
      <c r="D524" t="s">
        <v>611</v>
      </c>
      <c r="E524">
        <v>44820</v>
      </c>
      <c r="F524">
        <v>50713</v>
      </c>
      <c r="G524">
        <v>49607</v>
      </c>
      <c r="H524">
        <v>1106</v>
      </c>
      <c r="I524">
        <v>2009</v>
      </c>
      <c r="J524">
        <v>83</v>
      </c>
      <c r="K524">
        <f>allFYsTable[[#This Row],[Actual]]-allFYsTable[[#This Row],[OriginalBudget]]</f>
        <v>4787</v>
      </c>
      <c r="L524" s="11">
        <f>allFYsTable[[#This Row],[DiffAmount]]/allFYsTable[[#This Row],[OriginalBudget]]</f>
        <v>0.10680499776885319</v>
      </c>
    </row>
    <row r="525" spans="1:12" x14ac:dyDescent="0.45">
      <c r="A525" t="s">
        <v>1037</v>
      </c>
      <c r="B525" t="s">
        <v>14</v>
      </c>
      <c r="C525" t="s">
        <v>786</v>
      </c>
      <c r="D525" t="s">
        <v>612</v>
      </c>
      <c r="E525">
        <v>17525</v>
      </c>
      <c r="F525">
        <v>16975</v>
      </c>
      <c r="G525">
        <v>16585</v>
      </c>
      <c r="H525">
        <v>390</v>
      </c>
      <c r="I525">
        <v>2009</v>
      </c>
      <c r="J525">
        <v>84</v>
      </c>
      <c r="K525">
        <f>allFYsTable[[#This Row],[Actual]]-allFYsTable[[#This Row],[OriginalBudget]]</f>
        <v>-940</v>
      </c>
      <c r="L525" s="11">
        <f>allFYsTable[[#This Row],[DiffAmount]]/allFYsTable[[#This Row],[OriginalBudget]]</f>
        <v>-5.3637660485021395E-2</v>
      </c>
    </row>
    <row r="526" spans="1:12" x14ac:dyDescent="0.45">
      <c r="A526" t="s">
        <v>1037</v>
      </c>
      <c r="B526" t="s">
        <v>14</v>
      </c>
      <c r="C526" t="s">
        <v>783</v>
      </c>
      <c r="D526" t="s">
        <v>613</v>
      </c>
      <c r="E526">
        <v>5500</v>
      </c>
      <c r="F526">
        <v>13929</v>
      </c>
      <c r="G526">
        <v>13929</v>
      </c>
      <c r="H526">
        <v>0</v>
      </c>
      <c r="I526">
        <v>2009</v>
      </c>
      <c r="J526">
        <v>85</v>
      </c>
      <c r="K526">
        <f>allFYsTable[[#This Row],[Actual]]-allFYsTable[[#This Row],[OriginalBudget]]</f>
        <v>8429</v>
      </c>
      <c r="L526" s="11">
        <f>allFYsTable[[#This Row],[DiffAmount]]/allFYsTable[[#This Row],[OriginalBudget]]</f>
        <v>1.5325454545454547</v>
      </c>
    </row>
    <row r="527" spans="1:12" x14ac:dyDescent="0.45">
      <c r="A527" t="s">
        <v>1037</v>
      </c>
      <c r="B527" t="s">
        <v>14</v>
      </c>
      <c r="C527" t="s">
        <v>706</v>
      </c>
      <c r="D527" t="s">
        <v>614</v>
      </c>
      <c r="E527">
        <v>15030</v>
      </c>
      <c r="F527">
        <v>27822</v>
      </c>
      <c r="G527">
        <v>27822</v>
      </c>
      <c r="H527">
        <v>0</v>
      </c>
      <c r="I527">
        <v>2009</v>
      </c>
      <c r="J527">
        <v>86</v>
      </c>
      <c r="K527">
        <f>allFYsTable[[#This Row],[Actual]]-allFYsTable[[#This Row],[OriginalBudget]]</f>
        <v>12792</v>
      </c>
      <c r="L527" s="11">
        <f>allFYsTable[[#This Row],[DiffAmount]]/allFYsTable[[#This Row],[OriginalBudget]]</f>
        <v>0.85109780439121752</v>
      </c>
    </row>
    <row r="528" spans="1:12" x14ac:dyDescent="0.45">
      <c r="A528" t="s">
        <v>1037</v>
      </c>
      <c r="B528" t="s">
        <v>14</v>
      </c>
      <c r="C528" t="s">
        <v>760</v>
      </c>
      <c r="D528" t="s">
        <v>615</v>
      </c>
      <c r="E528">
        <v>2757</v>
      </c>
      <c r="F528">
        <v>2700</v>
      </c>
      <c r="G528">
        <v>2626</v>
      </c>
      <c r="H528">
        <v>74</v>
      </c>
      <c r="I528">
        <v>2009</v>
      </c>
      <c r="J528">
        <v>87</v>
      </c>
      <c r="K528">
        <f>allFYsTable[[#This Row],[Actual]]-allFYsTable[[#This Row],[OriginalBudget]]</f>
        <v>-131</v>
      </c>
      <c r="L528" s="11">
        <f>allFYsTable[[#This Row],[DiffAmount]]/allFYsTable[[#This Row],[OriginalBudget]]</f>
        <v>-4.7515415306492566E-2</v>
      </c>
    </row>
    <row r="529" spans="1:12" x14ac:dyDescent="0.45">
      <c r="A529" t="s">
        <v>1037</v>
      </c>
      <c r="B529" t="s">
        <v>14</v>
      </c>
      <c r="C529" t="s">
        <v>828</v>
      </c>
      <c r="D529" t="s">
        <v>525</v>
      </c>
      <c r="E529">
        <v>18460</v>
      </c>
      <c r="F529">
        <v>19100</v>
      </c>
      <c r="G529">
        <v>19100</v>
      </c>
      <c r="H529">
        <v>0</v>
      </c>
      <c r="I529">
        <v>2009</v>
      </c>
      <c r="J529">
        <v>88</v>
      </c>
      <c r="K529">
        <f>allFYsTable[[#This Row],[Actual]]-allFYsTable[[#This Row],[OriginalBudget]]</f>
        <v>640</v>
      </c>
      <c r="L529" s="11">
        <f>allFYsTable[[#This Row],[DiffAmount]]/allFYsTable[[#This Row],[OriginalBudget]]</f>
        <v>3.4669555796316358E-2</v>
      </c>
    </row>
    <row r="530" spans="1:12" x14ac:dyDescent="0.45">
      <c r="A530" t="s">
        <v>1037</v>
      </c>
      <c r="B530" t="s">
        <v>14</v>
      </c>
      <c r="C530" t="s">
        <v>729</v>
      </c>
      <c r="D530" t="s">
        <v>616</v>
      </c>
      <c r="E530">
        <v>4587</v>
      </c>
      <c r="F530">
        <v>4545</v>
      </c>
      <c r="G530">
        <v>4477</v>
      </c>
      <c r="H530">
        <v>68</v>
      </c>
      <c r="I530">
        <v>2009</v>
      </c>
      <c r="J530">
        <v>89</v>
      </c>
      <c r="K530">
        <f>allFYsTable[[#This Row],[Actual]]-allFYsTable[[#This Row],[OriginalBudget]]</f>
        <v>-110</v>
      </c>
      <c r="L530" s="11">
        <f>allFYsTable[[#This Row],[DiffAmount]]/allFYsTable[[#This Row],[OriginalBudget]]</f>
        <v>-2.3980815347721823E-2</v>
      </c>
    </row>
    <row r="531" spans="1:12" x14ac:dyDescent="0.45">
      <c r="A531" t="s">
        <v>1037</v>
      </c>
      <c r="B531" t="s">
        <v>14</v>
      </c>
      <c r="C531" t="s">
        <v>728</v>
      </c>
      <c r="D531" t="s">
        <v>617</v>
      </c>
      <c r="E531">
        <v>965</v>
      </c>
      <c r="F531">
        <v>948</v>
      </c>
      <c r="G531">
        <v>902</v>
      </c>
      <c r="H531">
        <v>46</v>
      </c>
      <c r="I531">
        <v>2009</v>
      </c>
      <c r="J531">
        <v>90</v>
      </c>
      <c r="K531">
        <f>allFYsTable[[#This Row],[Actual]]-allFYsTable[[#This Row],[OriginalBudget]]</f>
        <v>-63</v>
      </c>
      <c r="L531" s="11">
        <f>allFYsTable[[#This Row],[DiffAmount]]/allFYsTable[[#This Row],[OriginalBudget]]</f>
        <v>-6.5284974093264253E-2</v>
      </c>
    </row>
    <row r="532" spans="1:12" x14ac:dyDescent="0.45">
      <c r="A532" t="s">
        <v>1037</v>
      </c>
      <c r="B532" t="s">
        <v>14</v>
      </c>
      <c r="C532" t="s">
        <v>727</v>
      </c>
      <c r="D532" t="s">
        <v>618</v>
      </c>
      <c r="E532">
        <v>462</v>
      </c>
      <c r="F532">
        <v>375</v>
      </c>
      <c r="G532">
        <v>322</v>
      </c>
      <c r="H532">
        <v>53</v>
      </c>
      <c r="I532">
        <v>2009</v>
      </c>
      <c r="J532">
        <v>91</v>
      </c>
      <c r="K532">
        <f>allFYsTable[[#This Row],[Actual]]-allFYsTable[[#This Row],[OriginalBudget]]</f>
        <v>-140</v>
      </c>
      <c r="L532" s="11">
        <f>allFYsTable[[#This Row],[DiffAmount]]/allFYsTable[[#This Row],[OriginalBudget]]</f>
        <v>-0.30303030303030304</v>
      </c>
    </row>
    <row r="533" spans="1:12" x14ac:dyDescent="0.45">
      <c r="A533" t="s">
        <v>1037</v>
      </c>
      <c r="B533" t="s">
        <v>14</v>
      </c>
      <c r="C533" t="s">
        <v>752</v>
      </c>
      <c r="D533" t="s">
        <v>619</v>
      </c>
      <c r="E533">
        <v>81143</v>
      </c>
      <c r="F533">
        <v>94043</v>
      </c>
      <c r="G533">
        <v>93732</v>
      </c>
      <c r="H533">
        <v>311</v>
      </c>
      <c r="I533">
        <v>2009</v>
      </c>
      <c r="J533">
        <v>92</v>
      </c>
      <c r="K533">
        <f>allFYsTable[[#This Row],[Actual]]-allFYsTable[[#This Row],[OriginalBudget]]</f>
        <v>12589</v>
      </c>
      <c r="L533" s="11">
        <f>allFYsTable[[#This Row],[DiffAmount]]/allFYsTable[[#This Row],[OriginalBudget]]</f>
        <v>0.15514585361645489</v>
      </c>
    </row>
    <row r="534" spans="1:12" x14ac:dyDescent="0.45">
      <c r="A534" t="s">
        <v>1037</v>
      </c>
      <c r="B534" t="s">
        <v>14</v>
      </c>
      <c r="C534" t="s">
        <v>791</v>
      </c>
      <c r="D534" t="s">
        <v>620</v>
      </c>
      <c r="E534">
        <v>89071</v>
      </c>
      <c r="F534">
        <v>94953</v>
      </c>
      <c r="G534">
        <v>92843</v>
      </c>
      <c r="H534">
        <v>2110</v>
      </c>
      <c r="I534">
        <v>2009</v>
      </c>
      <c r="J534">
        <v>93</v>
      </c>
      <c r="K534">
        <f>allFYsTable[[#This Row],[Actual]]-allFYsTable[[#This Row],[OriginalBudget]]</f>
        <v>3772</v>
      </c>
      <c r="L534" s="11">
        <f>allFYsTable[[#This Row],[DiffAmount]]/allFYsTable[[#This Row],[OriginalBudget]]</f>
        <v>4.2348239045256031E-2</v>
      </c>
    </row>
    <row r="535" spans="1:12" x14ac:dyDescent="0.45">
      <c r="A535" t="s">
        <v>1037</v>
      </c>
      <c r="B535" t="s">
        <v>14</v>
      </c>
      <c r="C535" t="s">
        <v>789</v>
      </c>
      <c r="D535" t="s">
        <v>621</v>
      </c>
      <c r="E535">
        <v>604757</v>
      </c>
      <c r="F535">
        <v>486227</v>
      </c>
      <c r="G535">
        <v>463677</v>
      </c>
      <c r="H535">
        <v>22550</v>
      </c>
      <c r="I535">
        <v>2009</v>
      </c>
      <c r="J535">
        <v>94</v>
      </c>
      <c r="K535">
        <f>allFYsTable[[#This Row],[Actual]]-allFYsTable[[#This Row],[OriginalBudget]]</f>
        <v>-141080</v>
      </c>
      <c r="L535" s="11">
        <f>allFYsTable[[#This Row],[DiffAmount]]/allFYsTable[[#This Row],[OriginalBudget]]</f>
        <v>-0.23328378175035594</v>
      </c>
    </row>
    <row r="536" spans="1:12" x14ac:dyDescent="0.45">
      <c r="A536" t="s">
        <v>1037</v>
      </c>
      <c r="B536" t="s">
        <v>182</v>
      </c>
      <c r="C536" t="s">
        <v>802</v>
      </c>
      <c r="D536" t="s">
        <v>182</v>
      </c>
      <c r="E536">
        <v>123734</v>
      </c>
      <c r="F536">
        <v>127518</v>
      </c>
      <c r="G536">
        <v>127375</v>
      </c>
      <c r="H536">
        <v>143</v>
      </c>
      <c r="I536">
        <v>2009</v>
      </c>
      <c r="J536">
        <v>95</v>
      </c>
      <c r="K536">
        <f>allFYsTable[[#This Row],[Actual]]-allFYsTable[[#This Row],[OriginalBudget]]</f>
        <v>3641</v>
      </c>
      <c r="L536" s="11">
        <f>allFYsTable[[#This Row],[DiffAmount]]/allFYsTable[[#This Row],[OriginalBudget]]</f>
        <v>2.9426026799424573E-2</v>
      </c>
    </row>
    <row r="537" spans="1:12" x14ac:dyDescent="0.45">
      <c r="A537" t="s">
        <v>1037</v>
      </c>
      <c r="B537" t="s">
        <v>182</v>
      </c>
      <c r="C537" t="s">
        <v>803</v>
      </c>
      <c r="D537" t="s">
        <v>622</v>
      </c>
      <c r="E537">
        <v>14806</v>
      </c>
      <c r="F537">
        <v>14729</v>
      </c>
      <c r="G537">
        <v>14729</v>
      </c>
      <c r="H537">
        <v>0</v>
      </c>
      <c r="I537">
        <v>2009</v>
      </c>
      <c r="J537">
        <v>96</v>
      </c>
      <c r="K537">
        <f>allFYsTable[[#This Row],[Actual]]-allFYsTable[[#This Row],[OriginalBudget]]</f>
        <v>-77</v>
      </c>
      <c r="L537" s="11">
        <f>allFYsTable[[#This Row],[DiffAmount]]/allFYsTable[[#This Row],[OriginalBudget]]</f>
        <v>-5.2005943536404158E-3</v>
      </c>
    </row>
    <row r="538" spans="1:12" x14ac:dyDescent="0.45">
      <c r="A538" t="s">
        <v>1037</v>
      </c>
      <c r="B538" t="s">
        <v>182</v>
      </c>
      <c r="C538" t="s">
        <v>801</v>
      </c>
      <c r="D538" t="s">
        <v>77</v>
      </c>
      <c r="E538">
        <v>29628</v>
      </c>
      <c r="F538">
        <v>26427</v>
      </c>
      <c r="G538">
        <v>26376</v>
      </c>
      <c r="H538">
        <v>51</v>
      </c>
      <c r="I538">
        <v>2009</v>
      </c>
      <c r="J538">
        <v>97</v>
      </c>
      <c r="K538">
        <f>allFYsTable[[#This Row],[Actual]]-allFYsTable[[#This Row],[OriginalBudget]]</f>
        <v>-3252</v>
      </c>
      <c r="L538" s="11">
        <f>allFYsTable[[#This Row],[DiffAmount]]/allFYsTable[[#This Row],[OriginalBudget]]</f>
        <v>-0.10976103685702714</v>
      </c>
    </row>
    <row r="539" spans="1:12" x14ac:dyDescent="0.45">
      <c r="A539" t="s">
        <v>1037</v>
      </c>
      <c r="B539" t="s">
        <v>182</v>
      </c>
      <c r="C539" t="s">
        <v>799</v>
      </c>
      <c r="D539" t="s">
        <v>206</v>
      </c>
      <c r="E539">
        <v>1304</v>
      </c>
      <c r="F539">
        <v>1304</v>
      </c>
      <c r="G539">
        <v>1220</v>
      </c>
      <c r="H539">
        <v>84</v>
      </c>
      <c r="I539">
        <v>2009</v>
      </c>
      <c r="J539">
        <v>98</v>
      </c>
      <c r="K539">
        <f>allFYsTable[[#This Row],[Actual]]-allFYsTable[[#This Row],[OriginalBudget]]</f>
        <v>-84</v>
      </c>
      <c r="L539" s="11">
        <f>allFYsTable[[#This Row],[DiffAmount]]/allFYsTable[[#This Row],[OriginalBudget]]</f>
        <v>-6.4417177914110432E-2</v>
      </c>
    </row>
    <row r="540" spans="1:12" x14ac:dyDescent="0.45">
      <c r="A540" t="s">
        <v>1037</v>
      </c>
      <c r="B540" t="s">
        <v>182</v>
      </c>
      <c r="C540" t="s">
        <v>808</v>
      </c>
      <c r="D540" t="s">
        <v>623</v>
      </c>
      <c r="E540">
        <v>113</v>
      </c>
      <c r="F540">
        <v>113</v>
      </c>
      <c r="G540">
        <v>113</v>
      </c>
      <c r="H540">
        <v>0</v>
      </c>
      <c r="I540">
        <v>2009</v>
      </c>
      <c r="J540">
        <v>99</v>
      </c>
      <c r="K540">
        <f>allFYsTable[[#This Row],[Actual]]-allFYsTable[[#This Row],[OriginalBudget]]</f>
        <v>0</v>
      </c>
      <c r="L540" s="11">
        <f>allFYsTable[[#This Row],[DiffAmount]]/allFYsTable[[#This Row],[OriginalBudget]]</f>
        <v>0</v>
      </c>
    </row>
    <row r="541" spans="1:12" x14ac:dyDescent="0.45">
      <c r="A541" t="s">
        <v>1037</v>
      </c>
      <c r="B541" t="s">
        <v>182</v>
      </c>
      <c r="C541" t="s">
        <v>807</v>
      </c>
      <c r="D541" t="s">
        <v>624</v>
      </c>
      <c r="E541">
        <v>230499</v>
      </c>
      <c r="F541">
        <v>230499</v>
      </c>
      <c r="G541">
        <v>230499</v>
      </c>
      <c r="H541">
        <v>0</v>
      </c>
      <c r="I541">
        <v>2009</v>
      </c>
      <c r="J541">
        <v>100</v>
      </c>
      <c r="K541">
        <f>allFYsTable[[#This Row],[Actual]]-allFYsTable[[#This Row],[OriginalBudget]]</f>
        <v>0</v>
      </c>
      <c r="L541" s="11">
        <f>allFYsTable[[#This Row],[DiffAmount]]/allFYsTable[[#This Row],[OriginalBudget]]</f>
        <v>0</v>
      </c>
    </row>
    <row r="542" spans="1:12" x14ac:dyDescent="0.45">
      <c r="A542" t="s">
        <v>1037</v>
      </c>
      <c r="B542" t="s">
        <v>182</v>
      </c>
      <c r="C542" t="s">
        <v>798</v>
      </c>
      <c r="D542" t="s">
        <v>625</v>
      </c>
      <c r="E542">
        <v>22863</v>
      </c>
      <c r="F542">
        <v>21340</v>
      </c>
      <c r="G542">
        <v>21175</v>
      </c>
      <c r="H542">
        <v>165</v>
      </c>
      <c r="I542">
        <v>2009</v>
      </c>
      <c r="J542">
        <v>101</v>
      </c>
      <c r="K542">
        <f>allFYsTable[[#This Row],[Actual]]-allFYsTable[[#This Row],[OriginalBudget]]</f>
        <v>-1688</v>
      </c>
      <c r="L542" s="11">
        <f>allFYsTable[[#This Row],[DiffAmount]]/allFYsTable[[#This Row],[OriginalBudget]]</f>
        <v>-7.3831080785548703E-2</v>
      </c>
    </row>
    <row r="543" spans="1:12" x14ac:dyDescent="0.45">
      <c r="A543" t="s">
        <v>1037</v>
      </c>
      <c r="B543" t="s">
        <v>182</v>
      </c>
      <c r="C543" s="12" t="s">
        <v>807</v>
      </c>
      <c r="D543" t="s">
        <v>626</v>
      </c>
      <c r="E543">
        <v>7866</v>
      </c>
      <c r="F543">
        <v>7003</v>
      </c>
      <c r="G543">
        <v>7003</v>
      </c>
      <c r="H543">
        <v>0</v>
      </c>
      <c r="I543">
        <v>2009</v>
      </c>
      <c r="J543">
        <v>102</v>
      </c>
      <c r="K543">
        <f>allFYsTable[[#This Row],[Actual]]-allFYsTable[[#This Row],[OriginalBudget]]</f>
        <v>-863</v>
      </c>
      <c r="L543" s="11">
        <f>allFYsTable[[#This Row],[DiffAmount]]/allFYsTable[[#This Row],[OriginalBudget]]</f>
        <v>-0.10971268751589118</v>
      </c>
    </row>
    <row r="544" spans="1:12" x14ac:dyDescent="0.45">
      <c r="A544" t="s">
        <v>1037</v>
      </c>
      <c r="B544" t="s">
        <v>10</v>
      </c>
      <c r="C544" t="s">
        <v>829</v>
      </c>
      <c r="D544" t="s">
        <v>627</v>
      </c>
      <c r="E544">
        <v>6000</v>
      </c>
      <c r="F544">
        <v>2500</v>
      </c>
      <c r="G544">
        <v>2144</v>
      </c>
      <c r="H544">
        <v>356</v>
      </c>
      <c r="I544">
        <v>2009</v>
      </c>
      <c r="J544">
        <v>103</v>
      </c>
      <c r="K544">
        <f>allFYsTable[[#This Row],[Actual]]-allFYsTable[[#This Row],[OriginalBudget]]</f>
        <v>-3856</v>
      </c>
      <c r="L544" s="11">
        <f>allFYsTable[[#This Row],[DiffAmount]]/allFYsTable[[#This Row],[OriginalBudget]]</f>
        <v>-0.64266666666666672</v>
      </c>
    </row>
    <row r="545" spans="1:12" x14ac:dyDescent="0.45">
      <c r="A545" t="s">
        <v>1037</v>
      </c>
      <c r="B545" t="s">
        <v>10</v>
      </c>
      <c r="C545" t="s">
        <v>775</v>
      </c>
      <c r="D545" t="s">
        <v>628</v>
      </c>
      <c r="E545">
        <v>456630</v>
      </c>
      <c r="F545">
        <v>435585</v>
      </c>
      <c r="G545">
        <v>435286</v>
      </c>
      <c r="H545">
        <v>299</v>
      </c>
      <c r="I545">
        <v>2009</v>
      </c>
      <c r="J545">
        <v>104</v>
      </c>
      <c r="K545">
        <f>allFYsTable[[#This Row],[Actual]]-allFYsTable[[#This Row],[OriginalBudget]]</f>
        <v>-21344</v>
      </c>
      <c r="L545" s="11">
        <f>allFYsTable[[#This Row],[DiffAmount]]/allFYsTable[[#This Row],[OriginalBudget]]</f>
        <v>-4.6742439173948276E-2</v>
      </c>
    </row>
    <row r="546" spans="1:12" x14ac:dyDescent="0.45">
      <c r="A546" t="s">
        <v>1037</v>
      </c>
      <c r="B546" t="s">
        <v>10</v>
      </c>
      <c r="C546" t="s">
        <v>817</v>
      </c>
      <c r="D546" t="s">
        <v>629</v>
      </c>
      <c r="E546">
        <v>15000</v>
      </c>
      <c r="F546">
        <v>15000</v>
      </c>
      <c r="G546">
        <v>4382</v>
      </c>
      <c r="H546">
        <v>10618</v>
      </c>
      <c r="I546">
        <v>2009</v>
      </c>
      <c r="J546">
        <v>105</v>
      </c>
      <c r="K546">
        <f>allFYsTable[[#This Row],[Actual]]-allFYsTable[[#This Row],[OriginalBudget]]</f>
        <v>-10618</v>
      </c>
      <c r="L546" s="11">
        <f>allFYsTable[[#This Row],[DiffAmount]]/allFYsTable[[#This Row],[OriginalBudget]]</f>
        <v>-0.70786666666666664</v>
      </c>
    </row>
    <row r="547" spans="1:12" x14ac:dyDescent="0.45">
      <c r="A547" t="s">
        <v>1037</v>
      </c>
      <c r="B547" t="s">
        <v>10</v>
      </c>
      <c r="C547" t="s">
        <v>830</v>
      </c>
      <c r="D547" t="s">
        <v>630</v>
      </c>
      <c r="E547">
        <v>9000</v>
      </c>
      <c r="F547">
        <v>4544</v>
      </c>
      <c r="G547">
        <v>4538</v>
      </c>
      <c r="H547">
        <v>6</v>
      </c>
      <c r="I547">
        <v>2009</v>
      </c>
      <c r="J547">
        <v>106</v>
      </c>
      <c r="K547">
        <f>allFYsTable[[#This Row],[Actual]]-allFYsTable[[#This Row],[OriginalBudget]]</f>
        <v>-4462</v>
      </c>
      <c r="L547" s="11">
        <f>allFYsTable[[#This Row],[DiffAmount]]/allFYsTable[[#This Row],[OriginalBudget]]</f>
        <v>-0.49577777777777776</v>
      </c>
    </row>
    <row r="548" spans="1:12" x14ac:dyDescent="0.45">
      <c r="A548" t="s">
        <v>1037</v>
      </c>
      <c r="B548" t="s">
        <v>10</v>
      </c>
      <c r="C548" t="s">
        <v>831</v>
      </c>
      <c r="D548" t="s">
        <v>698</v>
      </c>
      <c r="E548">
        <v>32791</v>
      </c>
      <c r="F548">
        <v>32541</v>
      </c>
      <c r="G548">
        <v>32270</v>
      </c>
      <c r="H548">
        <v>271</v>
      </c>
      <c r="I548">
        <v>2009</v>
      </c>
      <c r="J548">
        <v>107</v>
      </c>
      <c r="K548">
        <f>allFYsTable[[#This Row],[Actual]]-allFYsTable[[#This Row],[OriginalBudget]]</f>
        <v>-521</v>
      </c>
      <c r="L548" s="11">
        <f>allFYsTable[[#This Row],[DiffAmount]]/allFYsTable[[#This Row],[OriginalBudget]]</f>
        <v>-1.5888505992497942E-2</v>
      </c>
    </row>
    <row r="549" spans="1:12" x14ac:dyDescent="0.45">
      <c r="A549" t="s">
        <v>1037</v>
      </c>
      <c r="B549" t="s">
        <v>10</v>
      </c>
      <c r="C549" t="s">
        <v>819</v>
      </c>
      <c r="D549" t="s">
        <v>1014</v>
      </c>
      <c r="E549">
        <v>21477</v>
      </c>
      <c r="F549">
        <v>17326</v>
      </c>
      <c r="G549">
        <v>17325</v>
      </c>
      <c r="H549">
        <v>1</v>
      </c>
      <c r="I549">
        <v>2009</v>
      </c>
      <c r="J549">
        <v>108</v>
      </c>
      <c r="K549">
        <f>allFYsTable[[#This Row],[Actual]]-allFYsTable[[#This Row],[OriginalBudget]]</f>
        <v>-4152</v>
      </c>
      <c r="L549" s="11">
        <f>allFYsTable[[#This Row],[DiffAmount]]/allFYsTable[[#This Row],[OriginalBudget]]</f>
        <v>-0.19332308981701354</v>
      </c>
    </row>
    <row r="550" spans="1:12" x14ac:dyDescent="0.45">
      <c r="A550" t="s">
        <v>1037</v>
      </c>
      <c r="B550" t="s">
        <v>10</v>
      </c>
      <c r="C550" t="s">
        <v>822</v>
      </c>
      <c r="D550" t="s">
        <v>344</v>
      </c>
      <c r="E550">
        <v>0</v>
      </c>
      <c r="F550">
        <v>0</v>
      </c>
      <c r="G550">
        <v>0</v>
      </c>
      <c r="H550">
        <v>0</v>
      </c>
      <c r="I550">
        <v>2009</v>
      </c>
      <c r="J550">
        <v>109</v>
      </c>
      <c r="K550">
        <f>allFYsTable[[#This Row],[Actual]]-allFYsTable[[#This Row],[OriginalBudget]]</f>
        <v>0</v>
      </c>
      <c r="L550" s="11" t="e">
        <f>allFYsTable[[#This Row],[DiffAmount]]/allFYsTable[[#This Row],[OriginalBudget]]</f>
        <v>#DIV/0!</v>
      </c>
    </row>
    <row r="551" spans="1:12" x14ac:dyDescent="0.45">
      <c r="A551" t="s">
        <v>1037</v>
      </c>
      <c r="B551" t="s">
        <v>10</v>
      </c>
      <c r="C551" t="s">
        <v>812</v>
      </c>
      <c r="D551" t="s">
        <v>631</v>
      </c>
      <c r="E551">
        <v>0</v>
      </c>
      <c r="F551">
        <v>0</v>
      </c>
      <c r="G551">
        <v>0</v>
      </c>
      <c r="H551">
        <v>0</v>
      </c>
      <c r="I551">
        <v>2009</v>
      </c>
      <c r="J551">
        <v>110</v>
      </c>
      <c r="K551">
        <f>allFYsTable[[#This Row],[Actual]]-allFYsTable[[#This Row],[OriginalBudget]]</f>
        <v>0</v>
      </c>
      <c r="L551" s="11" t="e">
        <f>allFYsTable[[#This Row],[DiffAmount]]/allFYsTable[[#This Row],[OriginalBudget]]</f>
        <v>#DIV/0!</v>
      </c>
    </row>
    <row r="552" spans="1:12" x14ac:dyDescent="0.45">
      <c r="A552" t="s">
        <v>1037</v>
      </c>
      <c r="B552" t="s">
        <v>10</v>
      </c>
      <c r="C552" t="s">
        <v>814</v>
      </c>
      <c r="D552" t="s">
        <v>632</v>
      </c>
      <c r="E552">
        <v>4058</v>
      </c>
      <c r="F552">
        <v>4058</v>
      </c>
      <c r="G552">
        <v>4008</v>
      </c>
      <c r="H552">
        <v>50</v>
      </c>
      <c r="I552">
        <v>2009</v>
      </c>
      <c r="J552">
        <v>111</v>
      </c>
      <c r="K552">
        <f>allFYsTable[[#This Row],[Actual]]-allFYsTable[[#This Row],[OriginalBudget]]</f>
        <v>-50</v>
      </c>
      <c r="L552" s="11">
        <f>allFYsTable[[#This Row],[DiffAmount]]/allFYsTable[[#This Row],[OriginalBudget]]</f>
        <v>-1.232134056185313E-2</v>
      </c>
    </row>
    <row r="553" spans="1:12" x14ac:dyDescent="0.45">
      <c r="A553" t="s">
        <v>1037</v>
      </c>
      <c r="B553" t="s">
        <v>10</v>
      </c>
      <c r="C553" t="s">
        <v>882</v>
      </c>
      <c r="D553" t="s">
        <v>633</v>
      </c>
      <c r="E553">
        <v>0</v>
      </c>
      <c r="F553">
        <v>0</v>
      </c>
      <c r="G553">
        <v>4513</v>
      </c>
      <c r="H553">
        <v>-4513</v>
      </c>
      <c r="I553">
        <v>2009</v>
      </c>
      <c r="J553">
        <v>112</v>
      </c>
      <c r="K553">
        <f>allFYsTable[[#This Row],[Actual]]-allFYsTable[[#This Row],[OriginalBudget]]</f>
        <v>4513</v>
      </c>
      <c r="L553" s="11" t="e">
        <f>allFYsTable[[#This Row],[DiffAmount]]/allFYsTable[[#This Row],[OriginalBudget]]</f>
        <v>#DIV/0!</v>
      </c>
    </row>
    <row r="554" spans="1:12" x14ac:dyDescent="0.45">
      <c r="A554" t="s">
        <v>1037</v>
      </c>
      <c r="B554" t="s">
        <v>10</v>
      </c>
      <c r="C554" t="s">
        <v>821</v>
      </c>
      <c r="D554" t="s">
        <v>634</v>
      </c>
      <c r="E554">
        <v>26691</v>
      </c>
      <c r="F554">
        <v>1</v>
      </c>
      <c r="G554">
        <v>0</v>
      </c>
      <c r="H554">
        <v>1</v>
      </c>
      <c r="I554">
        <v>2009</v>
      </c>
      <c r="J554">
        <v>113</v>
      </c>
      <c r="K554">
        <f>allFYsTable[[#This Row],[Actual]]-allFYsTable[[#This Row],[OriginalBudget]]</f>
        <v>-26691</v>
      </c>
      <c r="L554" s="11">
        <f>allFYsTable[[#This Row],[DiffAmount]]/allFYsTable[[#This Row],[OriginalBudget]]</f>
        <v>-1</v>
      </c>
    </row>
    <row r="555" spans="1:12" x14ac:dyDescent="0.45">
      <c r="A555" t="s">
        <v>1037</v>
      </c>
      <c r="B555" t="s">
        <v>10</v>
      </c>
      <c r="C555" t="s">
        <v>1053</v>
      </c>
      <c r="D555" t="s">
        <v>635</v>
      </c>
      <c r="E555">
        <v>0</v>
      </c>
      <c r="F555">
        <v>93073</v>
      </c>
      <c r="G555">
        <v>93073</v>
      </c>
      <c r="H555">
        <v>0</v>
      </c>
      <c r="I555">
        <v>2009</v>
      </c>
      <c r="J555">
        <v>114</v>
      </c>
      <c r="K555">
        <f>allFYsTable[[#This Row],[Actual]]-allFYsTable[[#This Row],[OriginalBudget]]</f>
        <v>93073</v>
      </c>
      <c r="L555" s="11" t="e">
        <f>allFYsTable[[#This Row],[DiffAmount]]/allFYsTable[[#This Row],[OriginalBudget]]</f>
        <v>#DIV/0!</v>
      </c>
    </row>
    <row r="556" spans="1:12" x14ac:dyDescent="0.45">
      <c r="A556" t="s">
        <v>1037</v>
      </c>
      <c r="B556" t="s">
        <v>10</v>
      </c>
      <c r="C556" t="s">
        <v>832</v>
      </c>
      <c r="D556" t="s">
        <v>546</v>
      </c>
      <c r="E556">
        <v>43033</v>
      </c>
      <c r="F556">
        <v>38533</v>
      </c>
      <c r="G556">
        <v>38378</v>
      </c>
      <c r="H556">
        <v>155</v>
      </c>
      <c r="I556">
        <v>2009</v>
      </c>
      <c r="J556">
        <v>115</v>
      </c>
      <c r="K556">
        <f>allFYsTable[[#This Row],[Actual]]-allFYsTable[[#This Row],[OriginalBudget]]</f>
        <v>-4655</v>
      </c>
      <c r="L556" s="11">
        <f>allFYsTable[[#This Row],[DiffAmount]]/allFYsTable[[#This Row],[OriginalBudget]]</f>
        <v>-0.10817279762043083</v>
      </c>
    </row>
    <row r="557" spans="1:12" x14ac:dyDescent="0.45">
      <c r="A557" t="s">
        <v>1037</v>
      </c>
      <c r="B557" t="s">
        <v>10</v>
      </c>
      <c r="C557" t="s">
        <v>850</v>
      </c>
      <c r="D557" t="s">
        <v>636</v>
      </c>
      <c r="E557">
        <v>50044</v>
      </c>
      <c r="F557">
        <v>50044</v>
      </c>
      <c r="G557">
        <v>50044</v>
      </c>
      <c r="H557">
        <v>0</v>
      </c>
      <c r="I557">
        <v>2009</v>
      </c>
      <c r="J557">
        <v>116</v>
      </c>
      <c r="K557">
        <f>allFYsTable[[#This Row],[Actual]]-allFYsTable[[#This Row],[OriginalBudget]]</f>
        <v>0</v>
      </c>
      <c r="L557" s="11">
        <f>allFYsTable[[#This Row],[DiffAmount]]/allFYsTable[[#This Row],[OriginalBudget]]</f>
        <v>0</v>
      </c>
    </row>
    <row r="558" spans="1:12" x14ac:dyDescent="0.45">
      <c r="A558" t="s">
        <v>1037</v>
      </c>
      <c r="B558" t="s">
        <v>10</v>
      </c>
      <c r="C558" t="s">
        <v>816</v>
      </c>
      <c r="D558" t="s">
        <v>637</v>
      </c>
      <c r="E558">
        <v>123014</v>
      </c>
      <c r="F558">
        <v>14935</v>
      </c>
      <c r="G558">
        <v>14748</v>
      </c>
      <c r="H558">
        <v>187</v>
      </c>
      <c r="I558">
        <v>2009</v>
      </c>
      <c r="J558">
        <v>117</v>
      </c>
      <c r="K558">
        <f>allFYsTable[[#This Row],[Actual]]-allFYsTable[[#This Row],[OriginalBudget]]</f>
        <v>-108266</v>
      </c>
      <c r="L558" s="11">
        <f>allFYsTable[[#This Row],[DiffAmount]]/allFYsTable[[#This Row],[OriginalBudget]]</f>
        <v>-0.88011120685450439</v>
      </c>
    </row>
    <row r="559" spans="1:12" x14ac:dyDescent="0.45">
      <c r="A559" t="s">
        <v>1037</v>
      </c>
      <c r="B559" t="s">
        <v>10</v>
      </c>
      <c r="C559" t="s">
        <v>833</v>
      </c>
      <c r="D559" t="s">
        <v>677</v>
      </c>
      <c r="E559">
        <v>8613</v>
      </c>
      <c r="F559">
        <v>8613</v>
      </c>
      <c r="G559">
        <v>8613</v>
      </c>
      <c r="H559">
        <v>0</v>
      </c>
      <c r="I559">
        <v>2009</v>
      </c>
      <c r="J559">
        <v>118</v>
      </c>
      <c r="K559">
        <f>allFYsTable[[#This Row],[Actual]]-allFYsTable[[#This Row],[OriginalBudget]]</f>
        <v>0</v>
      </c>
      <c r="L559" s="11">
        <f>allFYsTable[[#This Row],[DiffAmount]]/allFYsTable[[#This Row],[OriginalBudget]]</f>
        <v>0</v>
      </c>
    </row>
    <row r="560" spans="1:12" x14ac:dyDescent="0.45">
      <c r="A560" t="s">
        <v>1037</v>
      </c>
      <c r="B560" t="s">
        <v>10</v>
      </c>
      <c r="C560" t="s">
        <v>811</v>
      </c>
      <c r="D560" t="s">
        <v>638</v>
      </c>
      <c r="E560">
        <v>81100</v>
      </c>
      <c r="F560">
        <v>81100</v>
      </c>
      <c r="G560">
        <v>81100</v>
      </c>
      <c r="H560">
        <v>0</v>
      </c>
      <c r="I560">
        <v>2009</v>
      </c>
      <c r="J560">
        <v>119</v>
      </c>
      <c r="K560">
        <f>allFYsTable[[#This Row],[Actual]]-allFYsTable[[#This Row],[OriginalBudget]]</f>
        <v>0</v>
      </c>
      <c r="L560" s="11">
        <f>allFYsTable[[#This Row],[DiffAmount]]/allFYsTable[[#This Row],[OriginalBudget]]</f>
        <v>0</v>
      </c>
    </row>
    <row r="561" spans="1:12" x14ac:dyDescent="0.45">
      <c r="A561" t="s">
        <v>1037</v>
      </c>
      <c r="B561" t="s">
        <v>10</v>
      </c>
      <c r="C561" t="s">
        <v>834</v>
      </c>
      <c r="D561" t="s">
        <v>545</v>
      </c>
      <c r="E561">
        <v>46000</v>
      </c>
      <c r="F561">
        <v>0</v>
      </c>
      <c r="G561">
        <v>0</v>
      </c>
      <c r="H561">
        <v>0</v>
      </c>
      <c r="I561">
        <v>2009</v>
      </c>
      <c r="J561">
        <v>120</v>
      </c>
      <c r="K561">
        <f>allFYsTable[[#This Row],[Actual]]-allFYsTable[[#This Row],[OriginalBudget]]</f>
        <v>-46000</v>
      </c>
      <c r="L561" s="11">
        <f>allFYsTable[[#This Row],[DiffAmount]]/allFYsTable[[#This Row],[OriginalBudget]]</f>
        <v>-1</v>
      </c>
    </row>
    <row r="562" spans="1:12" x14ac:dyDescent="0.45">
      <c r="A562" t="s">
        <v>1037</v>
      </c>
      <c r="B562" t="s">
        <v>10</v>
      </c>
      <c r="C562" t="s">
        <v>815</v>
      </c>
      <c r="D562" t="s">
        <v>639</v>
      </c>
      <c r="E562">
        <v>10438</v>
      </c>
      <c r="F562">
        <v>0</v>
      </c>
      <c r="G562">
        <v>0</v>
      </c>
      <c r="H562">
        <v>0</v>
      </c>
      <c r="I562">
        <v>2009</v>
      </c>
      <c r="J562">
        <v>121</v>
      </c>
      <c r="K562">
        <f>allFYsTable[[#This Row],[Actual]]-allFYsTable[[#This Row],[OriginalBudget]]</f>
        <v>-10438</v>
      </c>
      <c r="L562" s="11">
        <f>allFYsTable[[#This Row],[DiffAmount]]/allFYsTable[[#This Row],[OriginalBudget]]</f>
        <v>-1</v>
      </c>
    </row>
    <row r="563" spans="1:12" x14ac:dyDescent="0.45">
      <c r="A563" t="s">
        <v>1037</v>
      </c>
      <c r="B563" t="s">
        <v>10</v>
      </c>
      <c r="C563" t="s">
        <v>825</v>
      </c>
      <c r="D563" t="s">
        <v>640</v>
      </c>
      <c r="E563">
        <v>0</v>
      </c>
      <c r="F563">
        <v>0</v>
      </c>
      <c r="G563">
        <v>0</v>
      </c>
      <c r="H563">
        <v>0</v>
      </c>
      <c r="I563">
        <v>2009</v>
      </c>
      <c r="J563">
        <v>122</v>
      </c>
      <c r="K563">
        <f>allFYsTable[[#This Row],[Actual]]-allFYsTable[[#This Row],[OriginalBudget]]</f>
        <v>0</v>
      </c>
      <c r="L563" s="11" t="e">
        <f>allFYsTable[[#This Row],[DiffAmount]]/allFYsTable[[#This Row],[OriginalBudget]]</f>
        <v>#DIV/0!</v>
      </c>
    </row>
    <row r="564" spans="1:12" x14ac:dyDescent="0.45">
      <c r="A564" t="s">
        <v>1037</v>
      </c>
      <c r="B564" t="s">
        <v>10</v>
      </c>
      <c r="C564" t="s">
        <v>824</v>
      </c>
      <c r="D564" t="s">
        <v>299</v>
      </c>
      <c r="E564">
        <v>0</v>
      </c>
      <c r="F564">
        <v>0</v>
      </c>
      <c r="G564">
        <v>0</v>
      </c>
      <c r="H564">
        <v>0</v>
      </c>
      <c r="I564">
        <v>2009</v>
      </c>
      <c r="J564">
        <v>123</v>
      </c>
      <c r="K564">
        <f>allFYsTable[[#This Row],[Actual]]-allFYsTable[[#This Row],[OriginalBudget]]</f>
        <v>0</v>
      </c>
      <c r="L564" s="11" t="e">
        <f>allFYsTable[[#This Row],[DiffAmount]]/allFYsTable[[#This Row],[OriginalBudget]]</f>
        <v>#DIV/0!</v>
      </c>
    </row>
    <row r="565" spans="1:12" x14ac:dyDescent="0.45">
      <c r="A565" t="s">
        <v>1035</v>
      </c>
      <c r="B565" t="s">
        <v>11</v>
      </c>
      <c r="C565" t="s">
        <v>703</v>
      </c>
      <c r="D565" t="s">
        <v>477</v>
      </c>
      <c r="E565">
        <v>19833</v>
      </c>
      <c r="F565">
        <v>19700</v>
      </c>
      <c r="G565">
        <v>18768</v>
      </c>
      <c r="H565">
        <v>932</v>
      </c>
      <c r="I565">
        <v>2010</v>
      </c>
      <c r="J565">
        <v>1</v>
      </c>
      <c r="K565">
        <f>allFYsTable[[#This Row],[Actual]]-allFYsTable[[#This Row],[OriginalBudget]]</f>
        <v>-1065</v>
      </c>
      <c r="L565" s="11">
        <f>allFYsTable[[#This Row],[DiffAmount]]/allFYsTable[[#This Row],[OriginalBudget]]</f>
        <v>-5.3698381485403117E-2</v>
      </c>
    </row>
    <row r="566" spans="1:12" x14ac:dyDescent="0.45">
      <c r="A566" t="s">
        <v>1035</v>
      </c>
      <c r="B566" t="s">
        <v>11</v>
      </c>
      <c r="C566" t="s">
        <v>723</v>
      </c>
      <c r="D566" t="s">
        <v>478</v>
      </c>
      <c r="E566">
        <v>4119</v>
      </c>
      <c r="F566">
        <v>4339</v>
      </c>
      <c r="G566">
        <v>3858</v>
      </c>
      <c r="H566">
        <v>481</v>
      </c>
      <c r="I566">
        <v>2010</v>
      </c>
      <c r="J566">
        <v>2</v>
      </c>
      <c r="K566">
        <f>allFYsTable[[#This Row],[Actual]]-allFYsTable[[#This Row],[OriginalBudget]]</f>
        <v>-261</v>
      </c>
      <c r="L566" s="11">
        <f>allFYsTable[[#This Row],[DiffAmount]]/allFYsTable[[#This Row],[OriginalBudget]]</f>
        <v>-6.3364894391842674E-2</v>
      </c>
    </row>
    <row r="567" spans="1:12" x14ac:dyDescent="0.45">
      <c r="A567" t="s">
        <v>1035</v>
      </c>
      <c r="B567" t="s">
        <v>11</v>
      </c>
      <c r="C567" t="s">
        <v>711</v>
      </c>
      <c r="D567" t="s">
        <v>479</v>
      </c>
      <c r="E567">
        <v>1001</v>
      </c>
      <c r="F567">
        <v>994</v>
      </c>
      <c r="G567">
        <v>920</v>
      </c>
      <c r="H567">
        <v>74</v>
      </c>
      <c r="I567">
        <v>2010</v>
      </c>
      <c r="J567">
        <v>3</v>
      </c>
      <c r="K567">
        <f>allFYsTable[[#This Row],[Actual]]-allFYsTable[[#This Row],[OriginalBudget]]</f>
        <v>-81</v>
      </c>
      <c r="L567" s="11">
        <f>allFYsTable[[#This Row],[DiffAmount]]/allFYsTable[[#This Row],[OriginalBudget]]</f>
        <v>-8.0919080919080913E-2</v>
      </c>
    </row>
    <row r="568" spans="1:12" x14ac:dyDescent="0.45">
      <c r="A568" t="s">
        <v>1035</v>
      </c>
      <c r="B568" t="s">
        <v>11</v>
      </c>
      <c r="C568" t="s">
        <v>707</v>
      </c>
      <c r="D568" t="s">
        <v>163</v>
      </c>
      <c r="E568">
        <v>5349</v>
      </c>
      <c r="F568">
        <v>4349</v>
      </c>
      <c r="G568">
        <v>4333</v>
      </c>
      <c r="H568">
        <v>16</v>
      </c>
      <c r="I568">
        <v>2010</v>
      </c>
      <c r="J568">
        <v>4</v>
      </c>
      <c r="K568">
        <f>allFYsTable[[#This Row],[Actual]]-allFYsTable[[#This Row],[OriginalBudget]]</f>
        <v>-1016</v>
      </c>
      <c r="L568" s="11">
        <f>allFYsTable[[#This Row],[DiffAmount]]/allFYsTable[[#This Row],[OriginalBudget]]</f>
        <v>-0.18994204524210132</v>
      </c>
    </row>
    <row r="569" spans="1:12" x14ac:dyDescent="0.45">
      <c r="A569" t="s">
        <v>1035</v>
      </c>
      <c r="B569" t="s">
        <v>11</v>
      </c>
      <c r="C569" t="s">
        <v>725</v>
      </c>
      <c r="D569" t="s">
        <v>104</v>
      </c>
      <c r="E569">
        <v>2751</v>
      </c>
      <c r="F569">
        <v>2647</v>
      </c>
      <c r="G569">
        <v>2520</v>
      </c>
      <c r="H569">
        <v>127</v>
      </c>
      <c r="I569">
        <v>2010</v>
      </c>
      <c r="J569">
        <v>5</v>
      </c>
      <c r="K569">
        <f>allFYsTable[[#This Row],[Actual]]-allFYsTable[[#This Row],[OriginalBudget]]</f>
        <v>-231</v>
      </c>
      <c r="L569" s="11">
        <f>allFYsTable[[#This Row],[DiffAmount]]/allFYsTable[[#This Row],[OriginalBudget]]</f>
        <v>-8.3969465648854963E-2</v>
      </c>
    </row>
    <row r="570" spans="1:12" x14ac:dyDescent="0.45">
      <c r="A570" t="s">
        <v>1035</v>
      </c>
      <c r="B570" t="s">
        <v>11</v>
      </c>
      <c r="C570" t="s">
        <v>724</v>
      </c>
      <c r="D570" t="s">
        <v>105</v>
      </c>
      <c r="E570">
        <v>15457</v>
      </c>
      <c r="F570">
        <v>15527</v>
      </c>
      <c r="G570">
        <v>14880</v>
      </c>
      <c r="H570">
        <v>647</v>
      </c>
      <c r="I570">
        <v>2010</v>
      </c>
      <c r="J570">
        <v>6</v>
      </c>
      <c r="K570">
        <f>allFYsTable[[#This Row],[Actual]]-allFYsTable[[#This Row],[OriginalBudget]]</f>
        <v>-577</v>
      </c>
      <c r="L570" s="11">
        <f>allFYsTable[[#This Row],[DiffAmount]]/allFYsTable[[#This Row],[OriginalBudget]]</f>
        <v>-3.7329365336093677E-2</v>
      </c>
    </row>
    <row r="571" spans="1:12" x14ac:dyDescent="0.45">
      <c r="A571" t="s">
        <v>1035</v>
      </c>
      <c r="B571" t="s">
        <v>11</v>
      </c>
      <c r="C571" t="s">
        <v>701</v>
      </c>
      <c r="D571" t="s">
        <v>480</v>
      </c>
      <c r="E571">
        <v>0</v>
      </c>
      <c r="F571">
        <v>0</v>
      </c>
      <c r="G571">
        <v>0</v>
      </c>
      <c r="H571">
        <v>0</v>
      </c>
      <c r="I571">
        <v>2010</v>
      </c>
      <c r="J571">
        <v>7</v>
      </c>
      <c r="K571">
        <f>allFYsTable[[#This Row],[Actual]]-allFYsTable[[#This Row],[OriginalBudget]]</f>
        <v>0</v>
      </c>
      <c r="L571" s="11" t="e">
        <f>allFYsTable[[#This Row],[DiffAmount]]/allFYsTable[[#This Row],[OriginalBudget]]</f>
        <v>#DIV/0!</v>
      </c>
    </row>
    <row r="572" spans="1:12" x14ac:dyDescent="0.45">
      <c r="A572" t="s">
        <v>1035</v>
      </c>
      <c r="B572" t="s">
        <v>11</v>
      </c>
      <c r="C572" t="s">
        <v>722</v>
      </c>
      <c r="D572" t="s">
        <v>481</v>
      </c>
      <c r="E572">
        <v>5442</v>
      </c>
      <c r="F572">
        <v>5042</v>
      </c>
      <c r="G572">
        <v>5017</v>
      </c>
      <c r="H572">
        <v>25</v>
      </c>
      <c r="I572">
        <v>2010</v>
      </c>
      <c r="J572">
        <v>8</v>
      </c>
      <c r="K572">
        <f>allFYsTable[[#This Row],[Actual]]-allFYsTable[[#This Row],[OriginalBudget]]</f>
        <v>-425</v>
      </c>
      <c r="L572" s="11">
        <f>allFYsTable[[#This Row],[DiffAmount]]/allFYsTable[[#This Row],[OriginalBudget]]</f>
        <v>-7.80962881293642E-2</v>
      </c>
    </row>
    <row r="573" spans="1:12" x14ac:dyDescent="0.45">
      <c r="A573" t="s">
        <v>1035</v>
      </c>
      <c r="B573" t="s">
        <v>11</v>
      </c>
      <c r="C573" t="s">
        <v>704</v>
      </c>
      <c r="D573" t="s">
        <v>482</v>
      </c>
      <c r="E573">
        <v>5408</v>
      </c>
      <c r="F573">
        <v>5249</v>
      </c>
      <c r="G573">
        <v>5136</v>
      </c>
      <c r="H573">
        <v>113</v>
      </c>
      <c r="I573">
        <v>2010</v>
      </c>
      <c r="J573">
        <v>9</v>
      </c>
      <c r="K573">
        <f>allFYsTable[[#This Row],[Actual]]-allFYsTable[[#This Row],[OriginalBudget]]</f>
        <v>-272</v>
      </c>
      <c r="L573" s="11">
        <f>allFYsTable[[#This Row],[DiffAmount]]/allFYsTable[[#This Row],[OriginalBudget]]</f>
        <v>-5.0295857988165681E-2</v>
      </c>
    </row>
    <row r="574" spans="1:12" x14ac:dyDescent="0.45">
      <c r="A574" t="s">
        <v>1035</v>
      </c>
      <c r="B574" t="s">
        <v>11</v>
      </c>
      <c r="C574" t="s">
        <v>716</v>
      </c>
      <c r="D574" t="s">
        <v>483</v>
      </c>
      <c r="E574">
        <v>4323</v>
      </c>
      <c r="F574">
        <v>4323</v>
      </c>
      <c r="G574">
        <v>4297</v>
      </c>
      <c r="H574">
        <v>26</v>
      </c>
      <c r="I574">
        <v>2010</v>
      </c>
      <c r="J574">
        <v>10</v>
      </c>
      <c r="K574">
        <f>allFYsTable[[#This Row],[Actual]]-allFYsTable[[#This Row],[OriginalBudget]]</f>
        <v>-26</v>
      </c>
      <c r="L574" s="11">
        <f>allFYsTable[[#This Row],[DiffAmount]]/allFYsTable[[#This Row],[OriginalBudget]]</f>
        <v>-6.0143418922044877E-3</v>
      </c>
    </row>
    <row r="575" spans="1:12" x14ac:dyDescent="0.45">
      <c r="A575" t="s">
        <v>1035</v>
      </c>
      <c r="B575" t="s">
        <v>11</v>
      </c>
      <c r="C575" t="s">
        <v>705</v>
      </c>
      <c r="D575" t="s">
        <v>484</v>
      </c>
      <c r="E575">
        <v>21801</v>
      </c>
      <c r="F575">
        <v>19604</v>
      </c>
      <c r="G575">
        <v>19546</v>
      </c>
      <c r="H575">
        <v>58</v>
      </c>
      <c r="I575">
        <v>2010</v>
      </c>
      <c r="J575">
        <v>11</v>
      </c>
      <c r="K575">
        <f>allFYsTable[[#This Row],[Actual]]-allFYsTable[[#This Row],[OriginalBudget]]</f>
        <v>-2255</v>
      </c>
      <c r="L575" s="11">
        <f>allFYsTable[[#This Row],[DiffAmount]]/allFYsTable[[#This Row],[OriginalBudget]]</f>
        <v>-0.10343562221916426</v>
      </c>
    </row>
    <row r="576" spans="1:12" x14ac:dyDescent="0.45">
      <c r="A576" t="s">
        <v>1035</v>
      </c>
      <c r="B576" t="s">
        <v>11</v>
      </c>
      <c r="C576" t="s">
        <v>713</v>
      </c>
      <c r="D576" t="s">
        <v>485</v>
      </c>
      <c r="E576">
        <v>3021</v>
      </c>
      <c r="F576">
        <v>2921</v>
      </c>
      <c r="G576">
        <v>2775</v>
      </c>
      <c r="H576">
        <v>146</v>
      </c>
      <c r="I576">
        <v>2010</v>
      </c>
      <c r="J576">
        <v>12</v>
      </c>
      <c r="K576">
        <f>allFYsTable[[#This Row],[Actual]]-allFYsTable[[#This Row],[OriginalBudget]]</f>
        <v>-246</v>
      </c>
      <c r="L576" s="11">
        <f>allFYsTable[[#This Row],[DiffAmount]]/allFYsTable[[#This Row],[OriginalBudget]]</f>
        <v>-8.1429990069513403E-2</v>
      </c>
    </row>
    <row r="577" spans="1:12" x14ac:dyDescent="0.45">
      <c r="A577" t="s">
        <v>1035</v>
      </c>
      <c r="B577" t="s">
        <v>11</v>
      </c>
      <c r="C577" t="s">
        <v>702</v>
      </c>
      <c r="D577" t="s">
        <v>486</v>
      </c>
      <c r="E577">
        <v>1100</v>
      </c>
      <c r="F577">
        <v>1040</v>
      </c>
      <c r="G577">
        <v>1032</v>
      </c>
      <c r="H577">
        <v>8</v>
      </c>
      <c r="I577">
        <v>2010</v>
      </c>
      <c r="J577">
        <v>13</v>
      </c>
      <c r="K577">
        <f>allFYsTable[[#This Row],[Actual]]-allFYsTable[[#This Row],[OriginalBudget]]</f>
        <v>-68</v>
      </c>
      <c r="L577" s="11">
        <f>allFYsTable[[#This Row],[DiffAmount]]/allFYsTable[[#This Row],[OriginalBudget]]</f>
        <v>-6.1818181818181821E-2</v>
      </c>
    </row>
    <row r="578" spans="1:12" x14ac:dyDescent="0.45">
      <c r="A578" t="s">
        <v>1035</v>
      </c>
      <c r="B578" t="s">
        <v>11</v>
      </c>
      <c r="C578" t="s">
        <v>720</v>
      </c>
      <c r="D578" t="s">
        <v>113</v>
      </c>
      <c r="E578">
        <v>105866</v>
      </c>
      <c r="F578">
        <v>115268</v>
      </c>
      <c r="G578">
        <v>115213</v>
      </c>
      <c r="H578">
        <v>55</v>
      </c>
      <c r="I578">
        <v>2010</v>
      </c>
      <c r="J578">
        <v>14</v>
      </c>
      <c r="K578">
        <f>allFYsTable[[#This Row],[Actual]]-allFYsTable[[#This Row],[OriginalBudget]]</f>
        <v>9347</v>
      </c>
      <c r="L578" s="11">
        <f>allFYsTable[[#This Row],[DiffAmount]]/allFYsTable[[#This Row],[OriginalBudget]]</f>
        <v>8.8290858254774909E-2</v>
      </c>
    </row>
    <row r="579" spans="1:12" x14ac:dyDescent="0.45">
      <c r="A579" t="s">
        <v>1035</v>
      </c>
      <c r="B579" t="s">
        <v>11</v>
      </c>
      <c r="C579" t="s">
        <v>719</v>
      </c>
      <c r="D579" t="s">
        <v>487</v>
      </c>
      <c r="E579">
        <v>58303</v>
      </c>
      <c r="F579">
        <v>56748</v>
      </c>
      <c r="G579">
        <v>56039</v>
      </c>
      <c r="H579">
        <v>709</v>
      </c>
      <c r="I579">
        <v>2010</v>
      </c>
      <c r="J579">
        <v>15</v>
      </c>
      <c r="K579">
        <f>allFYsTable[[#This Row],[Actual]]-allFYsTable[[#This Row],[OriginalBudget]]</f>
        <v>-2264</v>
      </c>
      <c r="L579" s="11">
        <f>allFYsTable[[#This Row],[DiffAmount]]/allFYsTable[[#This Row],[OriginalBudget]]</f>
        <v>-3.8831621014356034E-2</v>
      </c>
    </row>
    <row r="580" spans="1:12" x14ac:dyDescent="0.45">
      <c r="A580" t="s">
        <v>1035</v>
      </c>
      <c r="B580" t="s">
        <v>11</v>
      </c>
      <c r="C580" t="s">
        <v>718</v>
      </c>
      <c r="D580" t="s">
        <v>115</v>
      </c>
      <c r="E580">
        <v>1039</v>
      </c>
      <c r="F580">
        <v>1039</v>
      </c>
      <c r="G580">
        <v>1016</v>
      </c>
      <c r="H580">
        <v>23</v>
      </c>
      <c r="I580">
        <v>2010</v>
      </c>
      <c r="J580">
        <v>16</v>
      </c>
      <c r="K580">
        <f>allFYsTable[[#This Row],[Actual]]-allFYsTable[[#This Row],[OriginalBudget]]</f>
        <v>-23</v>
      </c>
      <c r="L580" s="11">
        <f>allFYsTable[[#This Row],[DiffAmount]]/allFYsTable[[#This Row],[OriginalBudget]]</f>
        <v>-2.2136669874879691E-2</v>
      </c>
    </row>
    <row r="581" spans="1:12" x14ac:dyDescent="0.45">
      <c r="A581" t="s">
        <v>1035</v>
      </c>
      <c r="B581" t="s">
        <v>11</v>
      </c>
      <c r="C581" t="s">
        <v>856</v>
      </c>
      <c r="D581" t="s">
        <v>488</v>
      </c>
      <c r="E581">
        <v>3022</v>
      </c>
      <c r="F581">
        <v>2722</v>
      </c>
      <c r="G581">
        <v>2678</v>
      </c>
      <c r="H581">
        <v>44</v>
      </c>
      <c r="I581">
        <v>2010</v>
      </c>
      <c r="J581">
        <v>17</v>
      </c>
      <c r="K581">
        <f>allFYsTable[[#This Row],[Actual]]-allFYsTable[[#This Row],[OriginalBudget]]</f>
        <v>-344</v>
      </c>
      <c r="L581" s="11">
        <f>allFYsTable[[#This Row],[DiffAmount]]/allFYsTable[[#This Row],[OriginalBudget]]</f>
        <v>-0.11383189940436797</v>
      </c>
    </row>
    <row r="582" spans="1:12" x14ac:dyDescent="0.45">
      <c r="A582" t="s">
        <v>1035</v>
      </c>
      <c r="B582" t="s">
        <v>11</v>
      </c>
      <c r="C582" t="s">
        <v>857</v>
      </c>
      <c r="D582" t="s">
        <v>489</v>
      </c>
      <c r="E582">
        <v>434</v>
      </c>
      <c r="F582">
        <v>434</v>
      </c>
      <c r="G582">
        <v>355</v>
      </c>
      <c r="H582">
        <v>79</v>
      </c>
      <c r="I582">
        <v>2010</v>
      </c>
      <c r="J582">
        <v>18</v>
      </c>
      <c r="K582">
        <f>allFYsTable[[#This Row],[Actual]]-allFYsTable[[#This Row],[OriginalBudget]]</f>
        <v>-79</v>
      </c>
      <c r="L582" s="11">
        <f>allFYsTable[[#This Row],[DiffAmount]]/allFYsTable[[#This Row],[OriginalBudget]]</f>
        <v>-0.18202764976958524</v>
      </c>
    </row>
    <row r="583" spans="1:12" x14ac:dyDescent="0.45">
      <c r="A583" t="s">
        <v>1035</v>
      </c>
      <c r="B583" t="s">
        <v>11</v>
      </c>
      <c r="C583" t="s">
        <v>714</v>
      </c>
      <c r="D583" t="s">
        <v>1002</v>
      </c>
      <c r="E583">
        <v>1135</v>
      </c>
      <c r="F583">
        <v>1033</v>
      </c>
      <c r="G583">
        <v>961</v>
      </c>
      <c r="H583">
        <v>72</v>
      </c>
      <c r="I583">
        <v>2010</v>
      </c>
      <c r="J583">
        <v>19</v>
      </c>
      <c r="K583">
        <f>allFYsTable[[#This Row],[Actual]]-allFYsTable[[#This Row],[OriginalBudget]]</f>
        <v>-174</v>
      </c>
      <c r="L583" s="11">
        <f>allFYsTable[[#This Row],[DiffAmount]]/allFYsTable[[#This Row],[OriginalBudget]]</f>
        <v>-0.15330396475770924</v>
      </c>
    </row>
    <row r="584" spans="1:12" x14ac:dyDescent="0.45">
      <c r="A584" t="s">
        <v>1035</v>
      </c>
      <c r="B584" t="s">
        <v>11</v>
      </c>
      <c r="C584" t="s">
        <v>858</v>
      </c>
      <c r="D584" t="s">
        <v>490</v>
      </c>
      <c r="E584">
        <v>642</v>
      </c>
      <c r="F584">
        <v>642</v>
      </c>
      <c r="G584">
        <v>624</v>
      </c>
      <c r="H584">
        <v>18</v>
      </c>
      <c r="I584">
        <v>2010</v>
      </c>
      <c r="J584">
        <v>20</v>
      </c>
      <c r="K584">
        <f>allFYsTable[[#This Row],[Actual]]-allFYsTable[[#This Row],[OriginalBudget]]</f>
        <v>-18</v>
      </c>
      <c r="L584" s="11">
        <f>allFYsTable[[#This Row],[DiffAmount]]/allFYsTable[[#This Row],[OriginalBudget]]</f>
        <v>-2.8037383177570093E-2</v>
      </c>
    </row>
    <row r="585" spans="1:12" x14ac:dyDescent="0.45">
      <c r="A585" t="s">
        <v>1035</v>
      </c>
      <c r="B585" t="s">
        <v>11</v>
      </c>
      <c r="C585" t="s">
        <v>721</v>
      </c>
      <c r="D585" t="s">
        <v>491</v>
      </c>
      <c r="E585">
        <v>41027</v>
      </c>
      <c r="F585">
        <v>46134</v>
      </c>
      <c r="G585">
        <v>46089</v>
      </c>
      <c r="H585">
        <v>45</v>
      </c>
      <c r="I585">
        <v>2010</v>
      </c>
      <c r="J585">
        <v>21</v>
      </c>
      <c r="K585">
        <f>allFYsTable[[#This Row],[Actual]]-allFYsTable[[#This Row],[OriginalBudget]]</f>
        <v>5062</v>
      </c>
      <c r="L585" s="11">
        <f>allFYsTable[[#This Row],[DiffAmount]]/allFYsTable[[#This Row],[OriginalBudget]]</f>
        <v>0.12338216296585175</v>
      </c>
    </row>
    <row r="586" spans="1:12" x14ac:dyDescent="0.45">
      <c r="A586" t="s">
        <v>1035</v>
      </c>
      <c r="B586" t="s">
        <v>11</v>
      </c>
      <c r="C586" t="s">
        <v>699</v>
      </c>
      <c r="D586" t="s">
        <v>492</v>
      </c>
      <c r="E586">
        <v>5193</v>
      </c>
      <c r="F586">
        <v>5443</v>
      </c>
      <c r="G586">
        <v>4995</v>
      </c>
      <c r="H586">
        <v>448</v>
      </c>
      <c r="I586">
        <v>2010</v>
      </c>
      <c r="J586">
        <v>22</v>
      </c>
      <c r="K586">
        <f>allFYsTable[[#This Row],[Actual]]-allFYsTable[[#This Row],[OriginalBudget]]</f>
        <v>-198</v>
      </c>
      <c r="L586" s="11">
        <f>allFYsTable[[#This Row],[DiffAmount]]/allFYsTable[[#This Row],[OriginalBudget]]</f>
        <v>-3.8128249566724434E-2</v>
      </c>
    </row>
    <row r="587" spans="1:12" x14ac:dyDescent="0.45">
      <c r="A587" t="s">
        <v>1035</v>
      </c>
      <c r="B587" t="s">
        <v>11</v>
      </c>
      <c r="C587" t="s">
        <v>712</v>
      </c>
      <c r="D587" t="s">
        <v>120</v>
      </c>
      <c r="E587">
        <v>1690</v>
      </c>
      <c r="F587">
        <v>1640</v>
      </c>
      <c r="G587">
        <v>1636</v>
      </c>
      <c r="H587">
        <v>4</v>
      </c>
      <c r="I587">
        <v>2010</v>
      </c>
      <c r="J587">
        <v>23</v>
      </c>
      <c r="K587">
        <f>allFYsTable[[#This Row],[Actual]]-allFYsTable[[#This Row],[OriginalBudget]]</f>
        <v>-54</v>
      </c>
      <c r="L587" s="11">
        <f>allFYsTable[[#This Row],[DiffAmount]]/allFYsTable[[#This Row],[OriginalBudget]]</f>
        <v>-3.1952662721893489E-2</v>
      </c>
    </row>
    <row r="588" spans="1:12" x14ac:dyDescent="0.45">
      <c r="A588" t="s">
        <v>1035</v>
      </c>
      <c r="B588" t="s">
        <v>11</v>
      </c>
      <c r="C588" t="s">
        <v>730</v>
      </c>
      <c r="D588" t="s">
        <v>125</v>
      </c>
      <c r="E588">
        <v>1004</v>
      </c>
      <c r="F588">
        <v>1064</v>
      </c>
      <c r="G588">
        <v>1055</v>
      </c>
      <c r="H588">
        <v>9</v>
      </c>
      <c r="I588">
        <v>2010</v>
      </c>
      <c r="J588">
        <v>24</v>
      </c>
      <c r="K588">
        <f>allFYsTable[[#This Row],[Actual]]-allFYsTable[[#This Row],[OriginalBudget]]</f>
        <v>51</v>
      </c>
      <c r="L588" s="11">
        <f>allFYsTable[[#This Row],[DiffAmount]]/allFYsTable[[#This Row],[OriginalBudget]]</f>
        <v>5.0796812749003988E-2</v>
      </c>
    </row>
    <row r="589" spans="1:12" x14ac:dyDescent="0.45">
      <c r="A589" t="s">
        <v>1035</v>
      </c>
      <c r="B589" t="s">
        <v>11</v>
      </c>
      <c r="C589" t="s">
        <v>715</v>
      </c>
      <c r="D589" t="s">
        <v>1003</v>
      </c>
      <c r="E589">
        <v>1798</v>
      </c>
      <c r="F589">
        <v>1798</v>
      </c>
      <c r="G589">
        <v>1753</v>
      </c>
      <c r="H589">
        <v>45</v>
      </c>
      <c r="I589">
        <v>2010</v>
      </c>
      <c r="J589">
        <v>25</v>
      </c>
      <c r="K589">
        <f>allFYsTable[[#This Row],[Actual]]-allFYsTable[[#This Row],[OriginalBudget]]</f>
        <v>-45</v>
      </c>
      <c r="L589" s="11">
        <f>allFYsTable[[#This Row],[DiffAmount]]/allFYsTable[[#This Row],[OriginalBudget]]</f>
        <v>-2.5027808676307009E-2</v>
      </c>
    </row>
    <row r="590" spans="1:12" x14ac:dyDescent="0.45">
      <c r="A590" t="s">
        <v>1035</v>
      </c>
      <c r="B590" t="s">
        <v>11</v>
      </c>
      <c r="C590" t="s">
        <v>709</v>
      </c>
      <c r="D590" t="s">
        <v>227</v>
      </c>
      <c r="E590">
        <v>396</v>
      </c>
      <c r="F590">
        <v>396</v>
      </c>
      <c r="G590">
        <v>297</v>
      </c>
      <c r="H590">
        <v>99</v>
      </c>
      <c r="I590">
        <v>2010</v>
      </c>
      <c r="J590">
        <v>26</v>
      </c>
      <c r="K590">
        <f>allFYsTable[[#This Row],[Actual]]-allFYsTable[[#This Row],[OriginalBudget]]</f>
        <v>-99</v>
      </c>
      <c r="L590" s="11">
        <f>allFYsTable[[#This Row],[DiffAmount]]/allFYsTable[[#This Row],[OriginalBudget]]</f>
        <v>-0.25</v>
      </c>
    </row>
    <row r="591" spans="1:12" x14ac:dyDescent="0.45">
      <c r="A591" t="s">
        <v>1035</v>
      </c>
      <c r="B591" t="s">
        <v>11</v>
      </c>
      <c r="C591" t="s">
        <v>880</v>
      </c>
      <c r="D591" t="s">
        <v>493</v>
      </c>
      <c r="E591">
        <v>0</v>
      </c>
      <c r="F591">
        <v>26000</v>
      </c>
      <c r="G591">
        <v>26000</v>
      </c>
      <c r="H591">
        <v>0</v>
      </c>
      <c r="I591">
        <v>2010</v>
      </c>
      <c r="J591">
        <v>27</v>
      </c>
      <c r="K591">
        <f>allFYsTable[[#This Row],[Actual]]-allFYsTable[[#This Row],[OriginalBudget]]</f>
        <v>26000</v>
      </c>
      <c r="L591" s="11" t="e">
        <f>allFYsTable[[#This Row],[DiffAmount]]/allFYsTable[[#This Row],[OriginalBudget]]</f>
        <v>#DIV/0!</v>
      </c>
    </row>
    <row r="592" spans="1:12" x14ac:dyDescent="0.45">
      <c r="A592" t="s">
        <v>1035</v>
      </c>
      <c r="B592" t="s">
        <v>129</v>
      </c>
      <c r="C592" t="s">
        <v>743</v>
      </c>
      <c r="D592" t="s">
        <v>315</v>
      </c>
      <c r="E592">
        <v>25184</v>
      </c>
      <c r="F592">
        <v>25177</v>
      </c>
      <c r="G592">
        <v>20993</v>
      </c>
      <c r="H592">
        <v>4184</v>
      </c>
      <c r="I592">
        <v>2010</v>
      </c>
      <c r="J592">
        <v>28</v>
      </c>
      <c r="K592">
        <f>allFYsTable[[#This Row],[Actual]]-allFYsTable[[#This Row],[OriginalBudget]]</f>
        <v>-4191</v>
      </c>
      <c r="L592" s="11">
        <f>allFYsTable[[#This Row],[DiffAmount]]/allFYsTable[[#This Row],[OriginalBudget]]</f>
        <v>-0.16641518424396443</v>
      </c>
    </row>
    <row r="593" spans="1:12" x14ac:dyDescent="0.45">
      <c r="A593" t="s">
        <v>1035</v>
      </c>
      <c r="B593" t="s">
        <v>129</v>
      </c>
      <c r="C593" t="s">
        <v>738</v>
      </c>
      <c r="D593" t="s">
        <v>494</v>
      </c>
      <c r="E593">
        <v>2385</v>
      </c>
      <c r="F593">
        <v>2374</v>
      </c>
      <c r="G593">
        <v>2339</v>
      </c>
      <c r="H593">
        <v>35</v>
      </c>
      <c r="I593">
        <v>2010</v>
      </c>
      <c r="J593">
        <v>29</v>
      </c>
      <c r="K593">
        <f>allFYsTable[[#This Row],[Actual]]-allFYsTable[[#This Row],[OriginalBudget]]</f>
        <v>-46</v>
      </c>
      <c r="L593" s="11">
        <f>allFYsTable[[#This Row],[DiffAmount]]/allFYsTable[[#This Row],[OriginalBudget]]</f>
        <v>-1.9287211740041929E-2</v>
      </c>
    </row>
    <row r="594" spans="1:12" x14ac:dyDescent="0.45">
      <c r="A594" t="s">
        <v>1035</v>
      </c>
      <c r="B594" t="s">
        <v>129</v>
      </c>
      <c r="C594" t="s">
        <v>742</v>
      </c>
      <c r="D594" t="s">
        <v>495</v>
      </c>
      <c r="E594">
        <v>7618</v>
      </c>
      <c r="F594">
        <v>7915</v>
      </c>
      <c r="G594">
        <v>7220</v>
      </c>
      <c r="H594">
        <v>695</v>
      </c>
      <c r="I594">
        <v>2010</v>
      </c>
      <c r="J594">
        <v>30</v>
      </c>
      <c r="K594">
        <f>allFYsTable[[#This Row],[Actual]]-allFYsTable[[#This Row],[OriginalBudget]]</f>
        <v>-398</v>
      </c>
      <c r="L594" s="11">
        <f>allFYsTable[[#This Row],[DiffAmount]]/allFYsTable[[#This Row],[OriginalBudget]]</f>
        <v>-5.2244683644001047E-2</v>
      </c>
    </row>
    <row r="595" spans="1:12" x14ac:dyDescent="0.45">
      <c r="A595" t="s">
        <v>1035</v>
      </c>
      <c r="B595" t="s">
        <v>129</v>
      </c>
      <c r="C595" t="s">
        <v>744</v>
      </c>
      <c r="D595" t="s">
        <v>496</v>
      </c>
      <c r="E595">
        <v>3136</v>
      </c>
      <c r="F595">
        <v>3136</v>
      </c>
      <c r="G595">
        <v>2986</v>
      </c>
      <c r="H595">
        <v>150</v>
      </c>
      <c r="I595">
        <v>2010</v>
      </c>
      <c r="J595">
        <v>31</v>
      </c>
      <c r="K595">
        <f>allFYsTable[[#This Row],[Actual]]-allFYsTable[[#This Row],[OriginalBudget]]</f>
        <v>-150</v>
      </c>
      <c r="L595" s="11">
        <f>allFYsTable[[#This Row],[DiffAmount]]/allFYsTable[[#This Row],[OriginalBudget]]</f>
        <v>-4.7831632653061222E-2</v>
      </c>
    </row>
    <row r="596" spans="1:12" x14ac:dyDescent="0.45">
      <c r="A596" t="s">
        <v>1035</v>
      </c>
      <c r="B596" t="s">
        <v>129</v>
      </c>
      <c r="C596" t="s">
        <v>737</v>
      </c>
      <c r="D596" t="s">
        <v>497</v>
      </c>
      <c r="E596">
        <v>10020</v>
      </c>
      <c r="F596">
        <v>22226</v>
      </c>
      <c r="G596">
        <v>22220</v>
      </c>
      <c r="H596">
        <v>6</v>
      </c>
      <c r="I596">
        <v>2010</v>
      </c>
      <c r="J596">
        <v>32</v>
      </c>
      <c r="K596">
        <f>allFYsTable[[#This Row],[Actual]]-allFYsTable[[#This Row],[OriginalBudget]]</f>
        <v>12200</v>
      </c>
      <c r="L596" s="11">
        <f>allFYsTable[[#This Row],[DiffAmount]]/allFYsTable[[#This Row],[OriginalBudget]]</f>
        <v>1.217564870259481</v>
      </c>
    </row>
    <row r="597" spans="1:12" x14ac:dyDescent="0.45">
      <c r="A597" t="s">
        <v>1035</v>
      </c>
      <c r="B597" t="s">
        <v>129</v>
      </c>
      <c r="C597" t="s">
        <v>741</v>
      </c>
      <c r="D597" t="s">
        <v>498</v>
      </c>
      <c r="E597">
        <v>584</v>
      </c>
      <c r="F597">
        <v>554</v>
      </c>
      <c r="G597">
        <v>518</v>
      </c>
      <c r="H597">
        <v>36</v>
      </c>
      <c r="I597">
        <v>2010</v>
      </c>
      <c r="J597">
        <v>33</v>
      </c>
      <c r="K597">
        <f>allFYsTable[[#This Row],[Actual]]-allFYsTable[[#This Row],[OriginalBudget]]</f>
        <v>-66</v>
      </c>
      <c r="L597" s="11">
        <f>allFYsTable[[#This Row],[DiffAmount]]/allFYsTable[[#This Row],[OriginalBudget]]</f>
        <v>-0.11301369863013698</v>
      </c>
    </row>
    <row r="598" spans="1:12" x14ac:dyDescent="0.45">
      <c r="A598" t="s">
        <v>1035</v>
      </c>
      <c r="B598" t="s">
        <v>129</v>
      </c>
      <c r="C598" t="s">
        <v>769</v>
      </c>
      <c r="D598" t="s">
        <v>499</v>
      </c>
      <c r="E598">
        <v>57215</v>
      </c>
      <c r="F598">
        <v>51459</v>
      </c>
      <c r="G598">
        <v>50980</v>
      </c>
      <c r="H598">
        <v>479</v>
      </c>
      <c r="I598">
        <v>2010</v>
      </c>
      <c r="J598">
        <v>34</v>
      </c>
      <c r="K598">
        <f>allFYsTable[[#This Row],[Actual]]-allFYsTable[[#This Row],[OriginalBudget]]</f>
        <v>-6235</v>
      </c>
      <c r="L598" s="11">
        <f>allFYsTable[[#This Row],[DiffAmount]]/allFYsTable[[#This Row],[OriginalBudget]]</f>
        <v>-0.10897491916455475</v>
      </c>
    </row>
    <row r="599" spans="1:12" x14ac:dyDescent="0.45">
      <c r="A599" t="s">
        <v>1035</v>
      </c>
      <c r="B599" t="s">
        <v>129</v>
      </c>
      <c r="C599" t="s">
        <v>745</v>
      </c>
      <c r="D599" t="s">
        <v>395</v>
      </c>
      <c r="E599">
        <v>698</v>
      </c>
      <c r="F599">
        <v>698</v>
      </c>
      <c r="G599">
        <v>645</v>
      </c>
      <c r="H599">
        <v>53</v>
      </c>
      <c r="I599">
        <v>2010</v>
      </c>
      <c r="J599">
        <v>35</v>
      </c>
      <c r="K599">
        <f>allFYsTable[[#This Row],[Actual]]-allFYsTable[[#This Row],[OriginalBudget]]</f>
        <v>-53</v>
      </c>
      <c r="L599" s="11">
        <f>allFYsTable[[#This Row],[DiffAmount]]/allFYsTable[[#This Row],[OriginalBudget]]</f>
        <v>-7.5931232091690545E-2</v>
      </c>
    </row>
    <row r="600" spans="1:12" x14ac:dyDescent="0.45">
      <c r="A600" t="s">
        <v>1035</v>
      </c>
      <c r="B600" t="s">
        <v>129</v>
      </c>
      <c r="C600" t="s">
        <v>797</v>
      </c>
      <c r="D600" t="s">
        <v>396</v>
      </c>
      <c r="E600">
        <v>13258</v>
      </c>
      <c r="F600">
        <v>15938</v>
      </c>
      <c r="G600">
        <v>15499</v>
      </c>
      <c r="H600">
        <v>439</v>
      </c>
      <c r="I600">
        <v>2010</v>
      </c>
      <c r="J600">
        <v>36</v>
      </c>
      <c r="K600">
        <f>allFYsTable[[#This Row],[Actual]]-allFYsTable[[#This Row],[OriginalBudget]]</f>
        <v>2241</v>
      </c>
      <c r="L600" s="11">
        <f>allFYsTable[[#This Row],[DiffAmount]]/allFYsTable[[#This Row],[OriginalBudget]]</f>
        <v>0.16903001961080102</v>
      </c>
    </row>
    <row r="601" spans="1:12" x14ac:dyDescent="0.45">
      <c r="A601" t="s">
        <v>1035</v>
      </c>
      <c r="B601" t="s">
        <v>129</v>
      </c>
      <c r="C601" t="s">
        <v>795</v>
      </c>
      <c r="D601" t="s">
        <v>500</v>
      </c>
      <c r="E601">
        <v>400</v>
      </c>
      <c r="F601">
        <v>400</v>
      </c>
      <c r="G601">
        <v>400</v>
      </c>
      <c r="H601">
        <v>0</v>
      </c>
      <c r="I601">
        <v>2010</v>
      </c>
      <c r="J601">
        <v>37</v>
      </c>
      <c r="K601">
        <f>allFYsTable[[#This Row],[Actual]]-allFYsTable[[#This Row],[OriginalBudget]]</f>
        <v>0</v>
      </c>
      <c r="L601" s="11">
        <f>allFYsTable[[#This Row],[DiffAmount]]/allFYsTable[[#This Row],[OriginalBudget]]</f>
        <v>0</v>
      </c>
    </row>
    <row r="602" spans="1:12" x14ac:dyDescent="0.45">
      <c r="A602" t="s">
        <v>1035</v>
      </c>
      <c r="B602" t="s">
        <v>129</v>
      </c>
      <c r="C602" t="s">
        <v>741</v>
      </c>
      <c r="D602" t="s">
        <v>1004</v>
      </c>
      <c r="E602">
        <v>0</v>
      </c>
      <c r="F602">
        <v>0</v>
      </c>
      <c r="G602">
        <v>0</v>
      </c>
      <c r="H602">
        <v>0</v>
      </c>
      <c r="I602">
        <v>2010</v>
      </c>
      <c r="J602">
        <v>38</v>
      </c>
      <c r="K602">
        <f>allFYsTable[[#This Row],[Actual]]-allFYsTable[[#This Row],[OriginalBudget]]</f>
        <v>0</v>
      </c>
      <c r="L602" s="11" t="e">
        <f>allFYsTable[[#This Row],[DiffAmount]]/allFYsTable[[#This Row],[OriginalBudget]]</f>
        <v>#DIV/0!</v>
      </c>
    </row>
    <row r="603" spans="1:12" x14ac:dyDescent="0.45">
      <c r="A603" t="s">
        <v>1035</v>
      </c>
      <c r="B603" t="s">
        <v>129</v>
      </c>
      <c r="C603" t="s">
        <v>736</v>
      </c>
      <c r="D603" t="s">
        <v>859</v>
      </c>
      <c r="E603">
        <v>5434</v>
      </c>
      <c r="F603">
        <v>5390</v>
      </c>
      <c r="G603">
        <v>5160</v>
      </c>
      <c r="H603">
        <v>230</v>
      </c>
      <c r="I603">
        <v>2010</v>
      </c>
      <c r="J603">
        <v>39</v>
      </c>
      <c r="K603">
        <f>allFYsTable[[#This Row],[Actual]]-allFYsTable[[#This Row],[OriginalBudget]]</f>
        <v>-274</v>
      </c>
      <c r="L603" s="11">
        <f>allFYsTable[[#This Row],[DiffAmount]]/allFYsTable[[#This Row],[OriginalBudget]]</f>
        <v>-5.0423260949576741E-2</v>
      </c>
    </row>
    <row r="604" spans="1:12" x14ac:dyDescent="0.45">
      <c r="A604" t="s">
        <v>1035</v>
      </c>
      <c r="B604" t="s">
        <v>129</v>
      </c>
      <c r="C604" t="s">
        <v>739</v>
      </c>
      <c r="D604" t="s">
        <v>323</v>
      </c>
      <c r="E604">
        <v>25103</v>
      </c>
      <c r="F604">
        <v>25103</v>
      </c>
      <c r="G604">
        <v>25103</v>
      </c>
      <c r="H604">
        <v>0</v>
      </c>
      <c r="I604">
        <v>2010</v>
      </c>
      <c r="J604">
        <v>40</v>
      </c>
      <c r="K604">
        <f>allFYsTable[[#This Row],[Actual]]-allFYsTable[[#This Row],[OriginalBudget]]</f>
        <v>0</v>
      </c>
      <c r="L604" s="11">
        <f>allFYsTable[[#This Row],[DiffAmount]]/allFYsTable[[#This Row],[OriginalBudget]]</f>
        <v>0</v>
      </c>
    </row>
    <row r="605" spans="1:12" x14ac:dyDescent="0.45">
      <c r="A605" t="s">
        <v>1035</v>
      </c>
      <c r="B605" t="s">
        <v>129</v>
      </c>
      <c r="C605" t="s">
        <v>734</v>
      </c>
      <c r="D605" t="s">
        <v>12</v>
      </c>
      <c r="E605">
        <v>0</v>
      </c>
      <c r="F605">
        <v>0</v>
      </c>
      <c r="G605">
        <v>0</v>
      </c>
      <c r="H605">
        <v>0</v>
      </c>
      <c r="I605">
        <v>2010</v>
      </c>
      <c r="J605">
        <v>41</v>
      </c>
      <c r="K605">
        <f>allFYsTable[[#This Row],[Actual]]-allFYsTable[[#This Row],[OriginalBudget]]</f>
        <v>0</v>
      </c>
      <c r="L605" s="11" t="e">
        <f>allFYsTable[[#This Row],[DiffAmount]]/allFYsTable[[#This Row],[OriginalBudget]]</f>
        <v>#DIV/0!</v>
      </c>
    </row>
    <row r="606" spans="1:12" x14ac:dyDescent="0.45">
      <c r="A606" t="s">
        <v>1035</v>
      </c>
      <c r="B606" t="s">
        <v>129</v>
      </c>
      <c r="C606" t="s">
        <v>740</v>
      </c>
      <c r="D606" t="s">
        <v>501</v>
      </c>
      <c r="E606">
        <v>13039</v>
      </c>
      <c r="F606">
        <v>13039</v>
      </c>
      <c r="G606">
        <v>13039</v>
      </c>
      <c r="H606">
        <v>0</v>
      </c>
      <c r="I606">
        <v>2010</v>
      </c>
      <c r="J606">
        <v>42</v>
      </c>
      <c r="K606">
        <f>allFYsTable[[#This Row],[Actual]]-allFYsTable[[#This Row],[OriginalBudget]]</f>
        <v>0</v>
      </c>
      <c r="L606" s="11">
        <f>allFYsTable[[#This Row],[DiffAmount]]/allFYsTable[[#This Row],[OriginalBudget]]</f>
        <v>0</v>
      </c>
    </row>
    <row r="607" spans="1:12" x14ac:dyDescent="0.45">
      <c r="A607" t="s">
        <v>1035</v>
      </c>
      <c r="B607" t="s">
        <v>129</v>
      </c>
      <c r="C607" t="s">
        <v>839</v>
      </c>
      <c r="D607" t="s">
        <v>502</v>
      </c>
      <c r="E607">
        <v>560</v>
      </c>
      <c r="F607">
        <v>560</v>
      </c>
      <c r="G607">
        <v>539</v>
      </c>
      <c r="H607">
        <v>21</v>
      </c>
      <c r="I607">
        <v>2010</v>
      </c>
      <c r="J607">
        <v>43</v>
      </c>
      <c r="K607">
        <f>allFYsTable[[#This Row],[Actual]]-allFYsTable[[#This Row],[OriginalBudget]]</f>
        <v>-21</v>
      </c>
      <c r="L607" s="11">
        <f>allFYsTable[[#This Row],[DiffAmount]]/allFYsTable[[#This Row],[OriginalBudget]]</f>
        <v>-3.7499999999999999E-2</v>
      </c>
    </row>
    <row r="608" spans="1:12" x14ac:dyDescent="0.45">
      <c r="A608" t="s">
        <v>1035</v>
      </c>
      <c r="B608" t="s">
        <v>129</v>
      </c>
      <c r="C608" t="s">
        <v>806</v>
      </c>
      <c r="D608" t="s">
        <v>82</v>
      </c>
      <c r="E608">
        <v>0</v>
      </c>
      <c r="F608">
        <v>0</v>
      </c>
      <c r="G608">
        <v>0</v>
      </c>
      <c r="H608">
        <v>0</v>
      </c>
      <c r="I608">
        <v>2010</v>
      </c>
      <c r="J608">
        <v>44</v>
      </c>
      <c r="K608">
        <f>allFYsTable[[#This Row],[Actual]]-allFYsTable[[#This Row],[OriginalBudget]]</f>
        <v>0</v>
      </c>
      <c r="L608" s="11" t="e">
        <f>allFYsTable[[#This Row],[DiffAmount]]/allFYsTable[[#This Row],[OriginalBudget]]</f>
        <v>#DIV/0!</v>
      </c>
    </row>
    <row r="609" spans="1:12" x14ac:dyDescent="0.45">
      <c r="A609" t="s">
        <v>1035</v>
      </c>
      <c r="B609" t="s">
        <v>129</v>
      </c>
      <c r="C609" t="s">
        <v>877</v>
      </c>
      <c r="D609" t="s">
        <v>1005</v>
      </c>
      <c r="E609">
        <v>0</v>
      </c>
      <c r="F609">
        <v>0</v>
      </c>
      <c r="G609">
        <v>0</v>
      </c>
      <c r="H609">
        <v>0</v>
      </c>
      <c r="I609">
        <v>2010</v>
      </c>
      <c r="J609">
        <v>45</v>
      </c>
      <c r="K609">
        <f>allFYsTable[[#This Row],[Actual]]-allFYsTable[[#This Row],[OriginalBudget]]</f>
        <v>0</v>
      </c>
      <c r="L609" s="11" t="e">
        <f>allFYsTable[[#This Row],[DiffAmount]]/allFYsTable[[#This Row],[OriginalBudget]]</f>
        <v>#DIV/0!</v>
      </c>
    </row>
    <row r="610" spans="1:12" x14ac:dyDescent="0.45">
      <c r="A610" t="s">
        <v>1035</v>
      </c>
      <c r="B610" t="s">
        <v>129</v>
      </c>
      <c r="C610" t="s">
        <v>805</v>
      </c>
      <c r="D610" t="s">
        <v>503</v>
      </c>
      <c r="E610">
        <v>0</v>
      </c>
      <c r="F610">
        <v>0</v>
      </c>
      <c r="G610">
        <v>0</v>
      </c>
      <c r="H610">
        <v>0</v>
      </c>
      <c r="I610">
        <v>2010</v>
      </c>
      <c r="J610">
        <v>46</v>
      </c>
      <c r="K610">
        <f>allFYsTable[[#This Row],[Actual]]-allFYsTable[[#This Row],[OriginalBudget]]</f>
        <v>0</v>
      </c>
      <c r="L610" s="11" t="e">
        <f>allFYsTable[[#This Row],[DiffAmount]]/allFYsTable[[#This Row],[OriginalBudget]]</f>
        <v>#DIV/0!</v>
      </c>
    </row>
    <row r="611" spans="1:12" x14ac:dyDescent="0.45">
      <c r="A611" t="s">
        <v>1035</v>
      </c>
      <c r="B611" t="s">
        <v>6</v>
      </c>
      <c r="C611" t="s">
        <v>758</v>
      </c>
      <c r="D611" t="s">
        <v>504</v>
      </c>
      <c r="E611">
        <v>446423</v>
      </c>
      <c r="F611">
        <v>437754</v>
      </c>
      <c r="G611">
        <v>437494</v>
      </c>
      <c r="H611">
        <v>260</v>
      </c>
      <c r="I611">
        <v>2010</v>
      </c>
      <c r="J611">
        <v>47</v>
      </c>
      <c r="K611">
        <f>allFYsTable[[#This Row],[Actual]]-allFYsTable[[#This Row],[OriginalBudget]]</f>
        <v>-8929</v>
      </c>
      <c r="L611" s="11">
        <f>allFYsTable[[#This Row],[DiffAmount]]/allFYsTable[[#This Row],[OriginalBudget]]</f>
        <v>-2.0001209615095997E-2</v>
      </c>
    </row>
    <row r="612" spans="1:12" x14ac:dyDescent="0.45">
      <c r="A612" t="s">
        <v>1035</v>
      </c>
      <c r="B612" t="s">
        <v>6</v>
      </c>
      <c r="C612" t="s">
        <v>755</v>
      </c>
      <c r="D612" t="s">
        <v>131</v>
      </c>
      <c r="E612">
        <v>187935</v>
      </c>
      <c r="F612">
        <v>194849</v>
      </c>
      <c r="G612">
        <v>193326</v>
      </c>
      <c r="H612">
        <v>1523</v>
      </c>
      <c r="I612">
        <v>2010</v>
      </c>
      <c r="J612">
        <v>48</v>
      </c>
      <c r="K612">
        <f>allFYsTable[[#This Row],[Actual]]-allFYsTable[[#This Row],[OriginalBudget]]</f>
        <v>5391</v>
      </c>
      <c r="L612" s="11">
        <f>allFYsTable[[#This Row],[DiffAmount]]/allFYsTable[[#This Row],[OriginalBudget]]</f>
        <v>2.8685449756564771E-2</v>
      </c>
    </row>
    <row r="613" spans="1:12" x14ac:dyDescent="0.45">
      <c r="A613" t="s">
        <v>1035</v>
      </c>
      <c r="B613" t="s">
        <v>6</v>
      </c>
      <c r="C613" t="s">
        <v>768</v>
      </c>
      <c r="D613" t="s">
        <v>505</v>
      </c>
      <c r="E613">
        <v>132975</v>
      </c>
      <c r="F613">
        <v>132975</v>
      </c>
      <c r="G613">
        <v>132300</v>
      </c>
      <c r="H613">
        <v>675</v>
      </c>
      <c r="I613">
        <v>2010</v>
      </c>
      <c r="J613">
        <v>49</v>
      </c>
      <c r="K613">
        <f>allFYsTable[[#This Row],[Actual]]-allFYsTable[[#This Row],[OriginalBudget]]</f>
        <v>-675</v>
      </c>
      <c r="L613" s="11">
        <f>allFYsTable[[#This Row],[DiffAmount]]/allFYsTable[[#This Row],[OriginalBudget]]</f>
        <v>-5.076142131979695E-3</v>
      </c>
    </row>
    <row r="614" spans="1:12" x14ac:dyDescent="0.45">
      <c r="A614" t="s">
        <v>1035</v>
      </c>
      <c r="B614" t="s">
        <v>6</v>
      </c>
      <c r="C614" t="s">
        <v>759</v>
      </c>
      <c r="D614" t="s">
        <v>408</v>
      </c>
      <c r="E614">
        <v>7005</v>
      </c>
      <c r="F614">
        <v>7005</v>
      </c>
      <c r="G614">
        <v>7003</v>
      </c>
      <c r="H614">
        <v>2</v>
      </c>
      <c r="I614">
        <v>2010</v>
      </c>
      <c r="J614">
        <v>50</v>
      </c>
      <c r="K614">
        <f>allFYsTable[[#This Row],[Actual]]-allFYsTable[[#This Row],[OriginalBudget]]</f>
        <v>-2</v>
      </c>
      <c r="L614" s="11">
        <f>allFYsTable[[#This Row],[DiffAmount]]/allFYsTable[[#This Row],[OriginalBudget]]</f>
        <v>-2.8551034975017847E-4</v>
      </c>
    </row>
    <row r="615" spans="1:12" x14ac:dyDescent="0.45">
      <c r="A615" t="s">
        <v>1035</v>
      </c>
      <c r="B615" t="s">
        <v>6</v>
      </c>
      <c r="C615" t="s">
        <v>749</v>
      </c>
      <c r="D615" t="s">
        <v>35</v>
      </c>
      <c r="E615">
        <v>298</v>
      </c>
      <c r="F615">
        <v>298</v>
      </c>
      <c r="G615">
        <v>298</v>
      </c>
      <c r="H615">
        <v>0</v>
      </c>
      <c r="I615">
        <v>2010</v>
      </c>
      <c r="J615">
        <v>51</v>
      </c>
      <c r="K615">
        <f>allFYsTable[[#This Row],[Actual]]-allFYsTable[[#This Row],[OriginalBudget]]</f>
        <v>0</v>
      </c>
      <c r="L615" s="11">
        <f>allFYsTable[[#This Row],[DiffAmount]]/allFYsTable[[#This Row],[OriginalBudget]]</f>
        <v>0</v>
      </c>
    </row>
    <row r="616" spans="1:12" x14ac:dyDescent="0.45">
      <c r="A616" t="s">
        <v>1035</v>
      </c>
      <c r="B616" t="s">
        <v>6</v>
      </c>
      <c r="C616" t="s">
        <v>747</v>
      </c>
      <c r="D616" t="s">
        <v>33</v>
      </c>
      <c r="E616">
        <v>25</v>
      </c>
      <c r="F616">
        <v>0</v>
      </c>
      <c r="G616">
        <v>0</v>
      </c>
      <c r="H616">
        <v>0</v>
      </c>
      <c r="I616">
        <v>2010</v>
      </c>
      <c r="J616">
        <v>52</v>
      </c>
      <c r="K616">
        <f>allFYsTable[[#This Row],[Actual]]-allFYsTable[[#This Row],[OriginalBudget]]</f>
        <v>-25</v>
      </c>
      <c r="L616" s="11">
        <f>allFYsTable[[#This Row],[DiffAmount]]/allFYsTable[[#This Row],[OriginalBudget]]</f>
        <v>-1</v>
      </c>
    </row>
    <row r="617" spans="1:12" x14ac:dyDescent="0.45">
      <c r="A617" t="s">
        <v>1035</v>
      </c>
      <c r="B617" t="s">
        <v>6</v>
      </c>
      <c r="C617" t="s">
        <v>750</v>
      </c>
      <c r="D617" t="s">
        <v>506</v>
      </c>
      <c r="E617">
        <v>103887</v>
      </c>
      <c r="F617">
        <v>125301</v>
      </c>
      <c r="G617">
        <v>124778</v>
      </c>
      <c r="H617">
        <v>523</v>
      </c>
      <c r="I617">
        <v>2010</v>
      </c>
      <c r="J617">
        <v>53</v>
      </c>
      <c r="K617">
        <f>allFYsTable[[#This Row],[Actual]]-allFYsTable[[#This Row],[OriginalBudget]]</f>
        <v>20891</v>
      </c>
      <c r="L617" s="11">
        <f>allFYsTable[[#This Row],[DiffAmount]]/allFYsTable[[#This Row],[OriginalBudget]]</f>
        <v>0.20109349581757102</v>
      </c>
    </row>
    <row r="618" spans="1:12" x14ac:dyDescent="0.45">
      <c r="A618" t="s">
        <v>1035</v>
      </c>
      <c r="B618" t="s">
        <v>6</v>
      </c>
      <c r="C618" t="s">
        <v>764</v>
      </c>
      <c r="D618" t="s">
        <v>507</v>
      </c>
      <c r="E618">
        <v>8364</v>
      </c>
      <c r="F618">
        <v>8213</v>
      </c>
      <c r="G618">
        <v>8074</v>
      </c>
      <c r="H618">
        <v>139</v>
      </c>
      <c r="I618">
        <v>2010</v>
      </c>
      <c r="J618">
        <v>54</v>
      </c>
      <c r="K618">
        <f>allFYsTable[[#This Row],[Actual]]-allFYsTable[[#This Row],[OriginalBudget]]</f>
        <v>-290</v>
      </c>
      <c r="L618" s="11">
        <f>allFYsTable[[#This Row],[DiffAmount]]/allFYsTable[[#This Row],[OriginalBudget]]</f>
        <v>-3.4672405547584891E-2</v>
      </c>
    </row>
    <row r="619" spans="1:12" x14ac:dyDescent="0.45">
      <c r="A619" t="s">
        <v>1035</v>
      </c>
      <c r="B619" t="s">
        <v>6</v>
      </c>
      <c r="C619" t="s">
        <v>751</v>
      </c>
      <c r="D619" t="s">
        <v>864</v>
      </c>
      <c r="E619">
        <v>1249</v>
      </c>
      <c r="F619">
        <v>1293</v>
      </c>
      <c r="G619">
        <v>1293</v>
      </c>
      <c r="H619">
        <v>0</v>
      </c>
      <c r="I619">
        <v>2010</v>
      </c>
      <c r="J619">
        <v>55</v>
      </c>
      <c r="K619">
        <f>allFYsTable[[#This Row],[Actual]]-allFYsTable[[#This Row],[OriginalBudget]]</f>
        <v>44</v>
      </c>
      <c r="L619" s="11">
        <f>allFYsTable[[#This Row],[DiffAmount]]/allFYsTable[[#This Row],[OriginalBudget]]</f>
        <v>3.5228182546036831E-2</v>
      </c>
    </row>
    <row r="620" spans="1:12" x14ac:dyDescent="0.45">
      <c r="A620" t="s">
        <v>1035</v>
      </c>
      <c r="B620" t="s">
        <v>6</v>
      </c>
      <c r="C620" t="s">
        <v>753</v>
      </c>
      <c r="D620" t="s">
        <v>332</v>
      </c>
      <c r="E620">
        <v>3365</v>
      </c>
      <c r="F620">
        <v>3442</v>
      </c>
      <c r="G620">
        <v>3317</v>
      </c>
      <c r="H620">
        <v>125</v>
      </c>
      <c r="I620">
        <v>2010</v>
      </c>
      <c r="J620">
        <v>56</v>
      </c>
      <c r="K620">
        <f>allFYsTable[[#This Row],[Actual]]-allFYsTable[[#This Row],[OriginalBudget]]</f>
        <v>-48</v>
      </c>
      <c r="L620" s="11">
        <f>allFYsTable[[#This Row],[DiffAmount]]/allFYsTable[[#This Row],[OriginalBudget]]</f>
        <v>-1.4264487369985141E-2</v>
      </c>
    </row>
    <row r="621" spans="1:12" x14ac:dyDescent="0.45">
      <c r="A621" t="s">
        <v>1035</v>
      </c>
      <c r="B621" t="s">
        <v>6</v>
      </c>
      <c r="C621" t="s">
        <v>756</v>
      </c>
      <c r="D621" t="s">
        <v>508</v>
      </c>
      <c r="E621">
        <v>3277</v>
      </c>
      <c r="F621">
        <v>3572</v>
      </c>
      <c r="G621">
        <v>3561</v>
      </c>
      <c r="H621">
        <v>11</v>
      </c>
      <c r="I621">
        <v>2010</v>
      </c>
      <c r="J621">
        <v>57</v>
      </c>
      <c r="K621">
        <f>allFYsTable[[#This Row],[Actual]]-allFYsTable[[#This Row],[OriginalBudget]]</f>
        <v>284</v>
      </c>
      <c r="L621" s="11">
        <f>allFYsTable[[#This Row],[DiffAmount]]/allFYsTable[[#This Row],[OriginalBudget]]</f>
        <v>8.6664632285627097E-2</v>
      </c>
    </row>
    <row r="622" spans="1:12" x14ac:dyDescent="0.45">
      <c r="A622" t="s">
        <v>1035</v>
      </c>
      <c r="B622" t="s">
        <v>6</v>
      </c>
      <c r="C622" t="s">
        <v>746</v>
      </c>
      <c r="D622" t="s">
        <v>32</v>
      </c>
      <c r="E622">
        <v>0</v>
      </c>
      <c r="F622">
        <v>0</v>
      </c>
      <c r="G622">
        <v>0</v>
      </c>
      <c r="H622">
        <v>0</v>
      </c>
      <c r="I622">
        <v>2010</v>
      </c>
      <c r="J622">
        <v>58</v>
      </c>
      <c r="K622">
        <f>allFYsTable[[#This Row],[Actual]]-allFYsTable[[#This Row],[OriginalBudget]]</f>
        <v>0</v>
      </c>
      <c r="L622" s="11" t="e">
        <f>allFYsTable[[#This Row],[DiffAmount]]/allFYsTable[[#This Row],[OriginalBudget]]</f>
        <v>#DIV/0!</v>
      </c>
    </row>
    <row r="623" spans="1:12" x14ac:dyDescent="0.45">
      <c r="A623" t="s">
        <v>1035</v>
      </c>
      <c r="B623" t="s">
        <v>6</v>
      </c>
      <c r="C623" t="s">
        <v>757</v>
      </c>
      <c r="D623" t="s">
        <v>43</v>
      </c>
      <c r="E623">
        <v>0</v>
      </c>
      <c r="F623">
        <v>0</v>
      </c>
      <c r="G623">
        <v>0</v>
      </c>
      <c r="H623">
        <v>0</v>
      </c>
      <c r="I623">
        <v>2010</v>
      </c>
      <c r="J623">
        <v>59</v>
      </c>
      <c r="K623">
        <f>allFYsTable[[#This Row],[Actual]]-allFYsTable[[#This Row],[OriginalBudget]]</f>
        <v>0</v>
      </c>
      <c r="L623" s="11" t="e">
        <f>allFYsTable[[#This Row],[DiffAmount]]/allFYsTable[[#This Row],[OriginalBudget]]</f>
        <v>#DIV/0!</v>
      </c>
    </row>
    <row r="624" spans="1:12" x14ac:dyDescent="0.45">
      <c r="A624" t="s">
        <v>1035</v>
      </c>
      <c r="B624" t="s">
        <v>6</v>
      </c>
      <c r="C624" t="s">
        <v>762</v>
      </c>
      <c r="D624" t="s">
        <v>357</v>
      </c>
      <c r="E624">
        <v>2618</v>
      </c>
      <c r="F624">
        <v>2618</v>
      </c>
      <c r="G624">
        <v>2587</v>
      </c>
      <c r="H624">
        <v>31</v>
      </c>
      <c r="I624">
        <v>2010</v>
      </c>
      <c r="J624">
        <v>60</v>
      </c>
      <c r="K624">
        <f>allFYsTable[[#This Row],[Actual]]-allFYsTable[[#This Row],[OriginalBudget]]</f>
        <v>-31</v>
      </c>
      <c r="L624" s="11">
        <f>allFYsTable[[#This Row],[DiffAmount]]/allFYsTable[[#This Row],[OriginalBudget]]</f>
        <v>-1.1841100076394193E-2</v>
      </c>
    </row>
    <row r="625" spans="1:12" x14ac:dyDescent="0.45">
      <c r="A625" t="s">
        <v>1035</v>
      </c>
      <c r="B625" t="s">
        <v>6</v>
      </c>
      <c r="C625" t="s">
        <v>766</v>
      </c>
      <c r="D625" t="s">
        <v>509</v>
      </c>
      <c r="E625">
        <v>29873</v>
      </c>
      <c r="F625">
        <v>31161</v>
      </c>
      <c r="G625">
        <v>31003</v>
      </c>
      <c r="H625">
        <v>158</v>
      </c>
      <c r="I625">
        <v>2010</v>
      </c>
      <c r="J625">
        <v>61</v>
      </c>
      <c r="K625">
        <f>allFYsTable[[#This Row],[Actual]]-allFYsTable[[#This Row],[OriginalBudget]]</f>
        <v>1130</v>
      </c>
      <c r="L625" s="11">
        <f>allFYsTable[[#This Row],[DiffAmount]]/allFYsTable[[#This Row],[OriginalBudget]]</f>
        <v>3.7826800120510158E-2</v>
      </c>
    </row>
    <row r="626" spans="1:12" x14ac:dyDescent="0.45">
      <c r="A626" t="s">
        <v>1035</v>
      </c>
      <c r="B626" t="s">
        <v>6</v>
      </c>
      <c r="C626" t="s">
        <v>853</v>
      </c>
      <c r="D626" t="s">
        <v>510</v>
      </c>
      <c r="E626">
        <v>225</v>
      </c>
      <c r="F626">
        <v>0</v>
      </c>
      <c r="G626">
        <v>0</v>
      </c>
      <c r="H626">
        <v>0</v>
      </c>
      <c r="I626">
        <v>2010</v>
      </c>
      <c r="J626">
        <v>62</v>
      </c>
      <c r="K626">
        <f>allFYsTable[[#This Row],[Actual]]-allFYsTable[[#This Row],[OriginalBudget]]</f>
        <v>-225</v>
      </c>
      <c r="L626" s="11">
        <f>allFYsTable[[#This Row],[DiffAmount]]/allFYsTable[[#This Row],[OriginalBudget]]</f>
        <v>-1</v>
      </c>
    </row>
    <row r="627" spans="1:12" x14ac:dyDescent="0.45">
      <c r="A627" t="s">
        <v>1035</v>
      </c>
      <c r="B627" t="s">
        <v>6</v>
      </c>
      <c r="C627" t="s">
        <v>854</v>
      </c>
      <c r="D627" t="s">
        <v>358</v>
      </c>
      <c r="E627">
        <v>3065</v>
      </c>
      <c r="F627">
        <v>3065</v>
      </c>
      <c r="G627">
        <v>3065</v>
      </c>
      <c r="H627">
        <v>0</v>
      </c>
      <c r="I627">
        <v>2010</v>
      </c>
      <c r="J627">
        <v>63</v>
      </c>
      <c r="K627">
        <f>allFYsTable[[#This Row],[Actual]]-allFYsTable[[#This Row],[OriginalBudget]]</f>
        <v>0</v>
      </c>
      <c r="L627" s="11">
        <f>allFYsTable[[#This Row],[DiffAmount]]/allFYsTable[[#This Row],[OriginalBudget]]</f>
        <v>0</v>
      </c>
    </row>
    <row r="628" spans="1:12" x14ac:dyDescent="0.45">
      <c r="A628" t="s">
        <v>1035</v>
      </c>
      <c r="B628" t="s">
        <v>6</v>
      </c>
      <c r="C628" t="s">
        <v>841</v>
      </c>
      <c r="D628" t="s">
        <v>511</v>
      </c>
      <c r="E628">
        <v>395</v>
      </c>
      <c r="F628">
        <v>395</v>
      </c>
      <c r="G628">
        <v>395</v>
      </c>
      <c r="H628">
        <v>0</v>
      </c>
      <c r="I628">
        <v>2010</v>
      </c>
      <c r="J628">
        <v>64</v>
      </c>
      <c r="K628">
        <f>allFYsTable[[#This Row],[Actual]]-allFYsTable[[#This Row],[OriginalBudget]]</f>
        <v>0</v>
      </c>
      <c r="L628" s="11">
        <f>allFYsTable[[#This Row],[DiffAmount]]/allFYsTable[[#This Row],[OriginalBudget]]</f>
        <v>0</v>
      </c>
    </row>
    <row r="629" spans="1:12" x14ac:dyDescent="0.45">
      <c r="A629" t="s">
        <v>1035</v>
      </c>
      <c r="B629" t="s">
        <v>6</v>
      </c>
      <c r="C629" t="s">
        <v>867</v>
      </c>
      <c r="D629" t="s">
        <v>512</v>
      </c>
      <c r="E629">
        <v>0</v>
      </c>
      <c r="F629">
        <v>3000</v>
      </c>
      <c r="G629">
        <v>3000</v>
      </c>
      <c r="H629">
        <v>0</v>
      </c>
      <c r="I629">
        <v>2010</v>
      </c>
      <c r="J629">
        <v>65</v>
      </c>
      <c r="K629">
        <f>allFYsTable[[#This Row],[Actual]]-allFYsTable[[#This Row],[OriginalBudget]]</f>
        <v>3000</v>
      </c>
      <c r="L629" s="11" t="e">
        <f>allFYsTable[[#This Row],[DiffAmount]]/allFYsTable[[#This Row],[OriginalBudget]]</f>
        <v>#DIV/0!</v>
      </c>
    </row>
    <row r="630" spans="1:12" x14ac:dyDescent="0.45">
      <c r="A630" t="s">
        <v>1035</v>
      </c>
      <c r="B630" t="s">
        <v>6</v>
      </c>
      <c r="C630" t="s">
        <v>754</v>
      </c>
      <c r="D630" t="s">
        <v>290</v>
      </c>
      <c r="E630">
        <v>816</v>
      </c>
      <c r="F630">
        <v>816</v>
      </c>
      <c r="G630">
        <v>794</v>
      </c>
      <c r="H630">
        <v>22</v>
      </c>
      <c r="I630">
        <v>2010</v>
      </c>
      <c r="J630">
        <v>66</v>
      </c>
      <c r="K630">
        <f>allFYsTable[[#This Row],[Actual]]-allFYsTable[[#This Row],[OriginalBudget]]</f>
        <v>-22</v>
      </c>
      <c r="L630" s="11">
        <f>allFYsTable[[#This Row],[DiffAmount]]/allFYsTable[[#This Row],[OriginalBudget]]</f>
        <v>-2.6960784313725492E-2</v>
      </c>
    </row>
    <row r="631" spans="1:12" x14ac:dyDescent="0.45">
      <c r="A631" t="s">
        <v>1035</v>
      </c>
      <c r="B631" t="s">
        <v>136</v>
      </c>
      <c r="C631" t="s">
        <v>773</v>
      </c>
      <c r="D631" t="s">
        <v>1006</v>
      </c>
      <c r="E631">
        <v>510881</v>
      </c>
      <c r="F631">
        <v>490557</v>
      </c>
      <c r="G631">
        <v>490556</v>
      </c>
      <c r="H631">
        <v>1</v>
      </c>
      <c r="I631">
        <v>2010</v>
      </c>
      <c r="J631">
        <v>67</v>
      </c>
      <c r="K631">
        <f>allFYsTable[[#This Row],[Actual]]-allFYsTable[[#This Row],[OriginalBudget]]</f>
        <v>-20325</v>
      </c>
      <c r="L631" s="11">
        <f>allFYsTable[[#This Row],[DiffAmount]]/allFYsTable[[#This Row],[OriginalBudget]]</f>
        <v>-3.9784215893720845E-2</v>
      </c>
    </row>
    <row r="632" spans="1:12" x14ac:dyDescent="0.45">
      <c r="A632" t="s">
        <v>1035</v>
      </c>
      <c r="B632" t="s">
        <v>136</v>
      </c>
      <c r="C632" t="s">
        <v>870</v>
      </c>
      <c r="D632" t="s">
        <v>513</v>
      </c>
      <c r="E632">
        <v>0</v>
      </c>
      <c r="F632">
        <v>27118</v>
      </c>
      <c r="G632">
        <v>27118</v>
      </c>
      <c r="H632">
        <v>0</v>
      </c>
      <c r="I632">
        <v>2010</v>
      </c>
      <c r="J632">
        <v>68</v>
      </c>
      <c r="K632">
        <f>allFYsTable[[#This Row],[Actual]]-allFYsTable[[#This Row],[OriginalBudget]]</f>
        <v>27118</v>
      </c>
      <c r="L632" s="11" t="e">
        <f>allFYsTable[[#This Row],[DiffAmount]]/allFYsTable[[#This Row],[OriginalBudget]]</f>
        <v>#DIV/0!</v>
      </c>
    </row>
    <row r="633" spans="1:12" x14ac:dyDescent="0.45">
      <c r="A633" t="s">
        <v>1035</v>
      </c>
      <c r="B633" t="s">
        <v>136</v>
      </c>
      <c r="C633" t="s">
        <v>772</v>
      </c>
      <c r="D633" t="s">
        <v>860</v>
      </c>
      <c r="E633">
        <v>373969</v>
      </c>
      <c r="F633">
        <v>267679</v>
      </c>
      <c r="G633">
        <v>267635</v>
      </c>
      <c r="H633">
        <v>44</v>
      </c>
      <c r="I633">
        <v>2010</v>
      </c>
      <c r="J633">
        <v>69</v>
      </c>
      <c r="K633">
        <f>allFYsTable[[#This Row],[Actual]]-allFYsTable[[#This Row],[OriginalBudget]]</f>
        <v>-106334</v>
      </c>
      <c r="L633" s="11">
        <f>allFYsTable[[#This Row],[DiffAmount]]/allFYsTable[[#This Row],[OriginalBudget]]</f>
        <v>-0.28433907623359156</v>
      </c>
    </row>
    <row r="634" spans="1:12" x14ac:dyDescent="0.45">
      <c r="A634" t="s">
        <v>1035</v>
      </c>
      <c r="B634" t="s">
        <v>136</v>
      </c>
      <c r="C634" t="s">
        <v>869</v>
      </c>
      <c r="D634" t="s">
        <v>514</v>
      </c>
      <c r="E634">
        <v>0</v>
      </c>
      <c r="F634">
        <v>108210</v>
      </c>
      <c r="G634">
        <v>108210</v>
      </c>
      <c r="H634">
        <v>0</v>
      </c>
      <c r="I634">
        <v>2010</v>
      </c>
      <c r="J634">
        <v>70</v>
      </c>
      <c r="K634">
        <f>allFYsTable[[#This Row],[Actual]]-allFYsTable[[#This Row],[OriginalBudget]]</f>
        <v>108210</v>
      </c>
      <c r="L634" s="11" t="e">
        <f>allFYsTable[[#This Row],[DiffAmount]]/allFYsTable[[#This Row],[OriginalBudget]]</f>
        <v>#DIV/0!</v>
      </c>
    </row>
    <row r="635" spans="1:12" x14ac:dyDescent="0.45">
      <c r="A635" t="s">
        <v>1035</v>
      </c>
      <c r="B635" t="s">
        <v>136</v>
      </c>
      <c r="C635" t="s">
        <v>782</v>
      </c>
      <c r="D635" t="s">
        <v>1007</v>
      </c>
      <c r="E635">
        <v>3000</v>
      </c>
      <c r="F635">
        <v>3000</v>
      </c>
      <c r="G635">
        <v>3000</v>
      </c>
      <c r="H635">
        <v>0</v>
      </c>
      <c r="I635">
        <v>2010</v>
      </c>
      <c r="J635">
        <v>71</v>
      </c>
      <c r="K635">
        <f>allFYsTable[[#This Row],[Actual]]-allFYsTable[[#This Row],[OriginalBudget]]</f>
        <v>0</v>
      </c>
      <c r="L635" s="11">
        <f>allFYsTable[[#This Row],[DiffAmount]]/allFYsTable[[#This Row],[OriginalBudget]]</f>
        <v>0</v>
      </c>
    </row>
    <row r="636" spans="1:12" x14ac:dyDescent="0.45">
      <c r="A636" t="s">
        <v>1035</v>
      </c>
      <c r="B636" t="s">
        <v>136</v>
      </c>
      <c r="C636" t="s">
        <v>784</v>
      </c>
      <c r="D636" t="s">
        <v>515</v>
      </c>
      <c r="E636">
        <v>62070</v>
      </c>
      <c r="F636">
        <v>62070</v>
      </c>
      <c r="G636">
        <v>62070</v>
      </c>
      <c r="H636">
        <v>0</v>
      </c>
      <c r="I636">
        <v>2010</v>
      </c>
      <c r="J636">
        <v>72</v>
      </c>
      <c r="K636">
        <f>allFYsTable[[#This Row],[Actual]]-allFYsTable[[#This Row],[OriginalBudget]]</f>
        <v>0</v>
      </c>
      <c r="L636" s="11">
        <f>allFYsTable[[#This Row],[DiffAmount]]/allFYsTable[[#This Row],[OriginalBudget]]</f>
        <v>0</v>
      </c>
    </row>
    <row r="637" spans="1:12" x14ac:dyDescent="0.45">
      <c r="A637" t="s">
        <v>1035</v>
      </c>
      <c r="B637" t="s">
        <v>136</v>
      </c>
      <c r="C637" t="s">
        <v>779</v>
      </c>
      <c r="D637" t="s">
        <v>430</v>
      </c>
      <c r="E637">
        <v>111990</v>
      </c>
      <c r="F637">
        <v>108190</v>
      </c>
      <c r="G637">
        <v>106370</v>
      </c>
      <c r="H637">
        <v>1820</v>
      </c>
      <c r="I637">
        <v>2010</v>
      </c>
      <c r="J637">
        <v>73</v>
      </c>
      <c r="K637">
        <f>allFYsTable[[#This Row],[Actual]]-allFYsTable[[#This Row],[OriginalBudget]]</f>
        <v>-5620</v>
      </c>
      <c r="L637" s="11">
        <f>allFYsTable[[#This Row],[DiffAmount]]/allFYsTable[[#This Row],[OriginalBudget]]</f>
        <v>-5.0183052058219484E-2</v>
      </c>
    </row>
    <row r="638" spans="1:12" x14ac:dyDescent="0.45">
      <c r="A638" t="s">
        <v>1035</v>
      </c>
      <c r="B638" t="s">
        <v>136</v>
      </c>
      <c r="C638" t="s">
        <v>774</v>
      </c>
      <c r="D638" t="s">
        <v>264</v>
      </c>
      <c r="E638">
        <v>39904</v>
      </c>
      <c r="F638">
        <v>39554</v>
      </c>
      <c r="G638">
        <v>39186</v>
      </c>
      <c r="H638">
        <v>368</v>
      </c>
      <c r="I638">
        <v>2010</v>
      </c>
      <c r="J638">
        <v>74</v>
      </c>
      <c r="K638">
        <f>allFYsTable[[#This Row],[Actual]]-allFYsTable[[#This Row],[OriginalBudget]]</f>
        <v>-718</v>
      </c>
      <c r="L638" s="11">
        <f>allFYsTable[[#This Row],[DiffAmount]]/allFYsTable[[#This Row],[OriginalBudget]]</f>
        <v>-1.7993183640737771E-2</v>
      </c>
    </row>
    <row r="639" spans="1:12" x14ac:dyDescent="0.45">
      <c r="A639" t="s">
        <v>1035</v>
      </c>
      <c r="B639" t="s">
        <v>136</v>
      </c>
      <c r="C639" t="s">
        <v>855</v>
      </c>
      <c r="D639" t="s">
        <v>1008</v>
      </c>
      <c r="E639">
        <v>28914</v>
      </c>
      <c r="F639">
        <v>28768</v>
      </c>
      <c r="G639">
        <v>28761</v>
      </c>
      <c r="H639">
        <v>7</v>
      </c>
      <c r="I639">
        <v>2010</v>
      </c>
      <c r="J639">
        <v>75</v>
      </c>
      <c r="K639">
        <f>allFYsTable[[#This Row],[Actual]]-allFYsTable[[#This Row],[OriginalBudget]]</f>
        <v>-153</v>
      </c>
      <c r="L639" s="11">
        <f>allFYsTable[[#This Row],[DiffAmount]]/allFYsTable[[#This Row],[OriginalBudget]]</f>
        <v>-5.2915542643702015E-3</v>
      </c>
    </row>
    <row r="640" spans="1:12" x14ac:dyDescent="0.45">
      <c r="A640" t="s">
        <v>1035</v>
      </c>
      <c r="B640" t="s">
        <v>136</v>
      </c>
      <c r="C640" t="s">
        <v>771</v>
      </c>
      <c r="D640" t="s">
        <v>265</v>
      </c>
      <c r="E640">
        <v>1660</v>
      </c>
      <c r="F640">
        <v>1660</v>
      </c>
      <c r="G640">
        <v>1605</v>
      </c>
      <c r="H640">
        <v>55</v>
      </c>
      <c r="I640">
        <v>2010</v>
      </c>
      <c r="J640">
        <v>76</v>
      </c>
      <c r="K640">
        <f>allFYsTable[[#This Row],[Actual]]-allFYsTable[[#This Row],[OriginalBudget]]</f>
        <v>-55</v>
      </c>
      <c r="L640" s="11">
        <f>allFYsTable[[#This Row],[DiffAmount]]/allFYsTable[[#This Row],[OriginalBudget]]</f>
        <v>-3.313253012048193E-2</v>
      </c>
    </row>
    <row r="641" spans="1:12" x14ac:dyDescent="0.45">
      <c r="A641" t="s">
        <v>1035</v>
      </c>
      <c r="B641" t="s">
        <v>136</v>
      </c>
      <c r="C641" t="s">
        <v>780</v>
      </c>
      <c r="D641" t="s">
        <v>861</v>
      </c>
      <c r="E641">
        <v>77431</v>
      </c>
      <c r="F641">
        <v>93282</v>
      </c>
      <c r="G641">
        <v>93066</v>
      </c>
      <c r="H641">
        <v>216</v>
      </c>
      <c r="I641">
        <v>2010</v>
      </c>
      <c r="J641">
        <v>77</v>
      </c>
      <c r="K641">
        <f>allFYsTable[[#This Row],[Actual]]-allFYsTable[[#This Row],[OriginalBudget]]</f>
        <v>15635</v>
      </c>
      <c r="L641" s="11">
        <f>allFYsTable[[#This Row],[DiffAmount]]/allFYsTable[[#This Row],[OriginalBudget]]</f>
        <v>0.20192171094264572</v>
      </c>
    </row>
    <row r="642" spans="1:12" x14ac:dyDescent="0.45">
      <c r="A642" t="s">
        <v>1035</v>
      </c>
      <c r="B642" t="s">
        <v>136</v>
      </c>
      <c r="C642" t="s">
        <v>1036</v>
      </c>
      <c r="D642" t="s">
        <v>1009</v>
      </c>
      <c r="E642">
        <v>0</v>
      </c>
      <c r="F642">
        <v>315</v>
      </c>
      <c r="G642">
        <v>315</v>
      </c>
      <c r="H642">
        <v>0</v>
      </c>
      <c r="I642">
        <v>2010</v>
      </c>
      <c r="J642">
        <v>78</v>
      </c>
      <c r="K642">
        <f>allFYsTable[[#This Row],[Actual]]-allFYsTable[[#This Row],[OriginalBudget]]</f>
        <v>315</v>
      </c>
      <c r="L642" s="11" t="e">
        <f>allFYsTable[[#This Row],[DiffAmount]]/allFYsTable[[#This Row],[OriginalBudget]]</f>
        <v>#DIV/0!</v>
      </c>
    </row>
    <row r="643" spans="1:12" x14ac:dyDescent="0.45">
      <c r="A643" t="s">
        <v>1035</v>
      </c>
      <c r="B643" t="s">
        <v>136</v>
      </c>
      <c r="C643" t="s">
        <v>777</v>
      </c>
      <c r="D643" t="s">
        <v>64</v>
      </c>
      <c r="E643">
        <v>149100</v>
      </c>
      <c r="F643">
        <v>166655</v>
      </c>
      <c r="G643">
        <v>166568</v>
      </c>
      <c r="H643">
        <v>87</v>
      </c>
      <c r="I643">
        <v>2010</v>
      </c>
      <c r="J643">
        <v>79</v>
      </c>
      <c r="K643">
        <f>allFYsTable[[#This Row],[Actual]]-allFYsTable[[#This Row],[OriginalBudget]]</f>
        <v>17468</v>
      </c>
      <c r="L643" s="11">
        <f>allFYsTable[[#This Row],[DiffAmount]]/allFYsTable[[#This Row],[OriginalBudget]]</f>
        <v>0.11715627095908786</v>
      </c>
    </row>
    <row r="644" spans="1:12" x14ac:dyDescent="0.45">
      <c r="A644" t="s">
        <v>1035</v>
      </c>
      <c r="B644" t="s">
        <v>136</v>
      </c>
      <c r="C644" t="s">
        <v>778</v>
      </c>
      <c r="D644" t="s">
        <v>516</v>
      </c>
      <c r="E644">
        <v>778</v>
      </c>
      <c r="F644">
        <v>828</v>
      </c>
      <c r="G644">
        <v>823</v>
      </c>
      <c r="H644">
        <v>5</v>
      </c>
      <c r="I644">
        <v>2010</v>
      </c>
      <c r="J644">
        <v>80</v>
      </c>
      <c r="K644">
        <f>allFYsTable[[#This Row],[Actual]]-allFYsTable[[#This Row],[OriginalBudget]]</f>
        <v>45</v>
      </c>
      <c r="L644" s="11">
        <f>allFYsTable[[#This Row],[DiffAmount]]/allFYsTable[[#This Row],[OriginalBudget]]</f>
        <v>5.7840616966580979E-2</v>
      </c>
    </row>
    <row r="645" spans="1:12" x14ac:dyDescent="0.45">
      <c r="A645" t="s">
        <v>1035</v>
      </c>
      <c r="B645" t="s">
        <v>14</v>
      </c>
      <c r="C645" t="s">
        <v>790</v>
      </c>
      <c r="D645" t="s">
        <v>517</v>
      </c>
      <c r="E645">
        <v>144388</v>
      </c>
      <c r="F645">
        <v>142170</v>
      </c>
      <c r="G645">
        <v>141095</v>
      </c>
      <c r="H645">
        <v>1075</v>
      </c>
      <c r="I645">
        <v>2010</v>
      </c>
      <c r="J645">
        <v>81</v>
      </c>
      <c r="K645">
        <f>allFYsTable[[#This Row],[Actual]]-allFYsTable[[#This Row],[OriginalBudget]]</f>
        <v>-3293</v>
      </c>
      <c r="L645" s="11">
        <f>allFYsTable[[#This Row],[DiffAmount]]/allFYsTable[[#This Row],[OriginalBudget]]</f>
        <v>-2.280660442696069E-2</v>
      </c>
    </row>
    <row r="646" spans="1:12" x14ac:dyDescent="0.45">
      <c r="A646" t="s">
        <v>1035</v>
      </c>
      <c r="B646" t="s">
        <v>14</v>
      </c>
      <c r="C646" t="s">
        <v>788</v>
      </c>
      <c r="D646" t="s">
        <v>518</v>
      </c>
      <c r="E646">
        <v>78190</v>
      </c>
      <c r="F646">
        <v>73550</v>
      </c>
      <c r="G646">
        <v>72639</v>
      </c>
      <c r="H646">
        <v>911</v>
      </c>
      <c r="I646">
        <v>2010</v>
      </c>
      <c r="J646">
        <v>82</v>
      </c>
      <c r="K646">
        <f>allFYsTable[[#This Row],[Actual]]-allFYsTable[[#This Row],[OriginalBudget]]</f>
        <v>-5551</v>
      </c>
      <c r="L646" s="11">
        <f>allFYsTable[[#This Row],[DiffAmount]]/allFYsTable[[#This Row],[OriginalBudget]]</f>
        <v>-7.0993733213965987E-2</v>
      </c>
    </row>
    <row r="647" spans="1:12" x14ac:dyDescent="0.45">
      <c r="A647" t="s">
        <v>1035</v>
      </c>
      <c r="B647" t="s">
        <v>14</v>
      </c>
      <c r="C647" t="s">
        <v>770</v>
      </c>
      <c r="D647" t="s">
        <v>519</v>
      </c>
      <c r="E647">
        <v>39625</v>
      </c>
      <c r="F647">
        <v>47712</v>
      </c>
      <c r="G647">
        <v>46945</v>
      </c>
      <c r="H647">
        <v>767</v>
      </c>
      <c r="I647">
        <v>2010</v>
      </c>
      <c r="J647">
        <v>83</v>
      </c>
      <c r="K647">
        <f>allFYsTable[[#This Row],[Actual]]-allFYsTable[[#This Row],[OriginalBudget]]</f>
        <v>7320</v>
      </c>
      <c r="L647" s="11">
        <f>allFYsTable[[#This Row],[DiffAmount]]/allFYsTable[[#This Row],[OriginalBudget]]</f>
        <v>0.18473186119873816</v>
      </c>
    </row>
    <row r="648" spans="1:12" x14ac:dyDescent="0.45">
      <c r="A648" t="s">
        <v>1035</v>
      </c>
      <c r="B648" t="s">
        <v>14</v>
      </c>
      <c r="C648" t="s">
        <v>786</v>
      </c>
      <c r="D648" t="s">
        <v>520</v>
      </c>
      <c r="E648">
        <v>16218</v>
      </c>
      <c r="F648">
        <v>17336</v>
      </c>
      <c r="G648">
        <v>16638</v>
      </c>
      <c r="H648">
        <v>698</v>
      </c>
      <c r="I648">
        <v>2010</v>
      </c>
      <c r="J648">
        <v>84</v>
      </c>
      <c r="K648">
        <f>allFYsTable[[#This Row],[Actual]]-allFYsTable[[#This Row],[OriginalBudget]]</f>
        <v>420</v>
      </c>
      <c r="L648" s="11">
        <f>allFYsTable[[#This Row],[DiffAmount]]/allFYsTable[[#This Row],[OriginalBudget]]</f>
        <v>2.5897151313355529E-2</v>
      </c>
    </row>
    <row r="649" spans="1:12" x14ac:dyDescent="0.45">
      <c r="A649" t="s">
        <v>1035</v>
      </c>
      <c r="B649" t="s">
        <v>14</v>
      </c>
      <c r="C649" t="s">
        <v>783</v>
      </c>
      <c r="D649" t="s">
        <v>521</v>
      </c>
      <c r="E649">
        <v>11136</v>
      </c>
      <c r="F649">
        <v>17231</v>
      </c>
      <c r="G649">
        <v>17231</v>
      </c>
      <c r="H649">
        <v>0</v>
      </c>
      <c r="I649">
        <v>2010</v>
      </c>
      <c r="J649">
        <v>85</v>
      </c>
      <c r="K649">
        <f>allFYsTable[[#This Row],[Actual]]-allFYsTable[[#This Row],[OriginalBudget]]</f>
        <v>6095</v>
      </c>
      <c r="L649" s="11">
        <f>allFYsTable[[#This Row],[DiffAmount]]/allFYsTable[[#This Row],[OriginalBudget]]</f>
        <v>0.54732399425287359</v>
      </c>
    </row>
    <row r="650" spans="1:12" x14ac:dyDescent="0.45">
      <c r="A650" t="s">
        <v>1035</v>
      </c>
      <c r="B650" t="s">
        <v>14</v>
      </c>
      <c r="C650" t="s">
        <v>706</v>
      </c>
      <c r="D650" t="s">
        <v>522</v>
      </c>
      <c r="E650">
        <v>25163</v>
      </c>
      <c r="F650">
        <v>38310</v>
      </c>
      <c r="G650">
        <v>38310</v>
      </c>
      <c r="H650">
        <v>0</v>
      </c>
      <c r="I650">
        <v>2010</v>
      </c>
      <c r="J650">
        <v>86</v>
      </c>
      <c r="K650">
        <f>allFYsTable[[#This Row],[Actual]]-allFYsTable[[#This Row],[OriginalBudget]]</f>
        <v>13147</v>
      </c>
      <c r="L650" s="11">
        <f>allFYsTable[[#This Row],[DiffAmount]]/allFYsTable[[#This Row],[OriginalBudget]]</f>
        <v>0.52247347295632474</v>
      </c>
    </row>
    <row r="651" spans="1:12" x14ac:dyDescent="0.45">
      <c r="A651" t="s">
        <v>1035</v>
      </c>
      <c r="B651" t="s">
        <v>14</v>
      </c>
      <c r="C651" t="s">
        <v>760</v>
      </c>
      <c r="D651" t="s">
        <v>523</v>
      </c>
      <c r="E651">
        <v>2617</v>
      </c>
      <c r="F651">
        <v>2306</v>
      </c>
      <c r="G651">
        <v>2222</v>
      </c>
      <c r="H651">
        <v>84</v>
      </c>
      <c r="I651">
        <v>2010</v>
      </c>
      <c r="J651">
        <v>87</v>
      </c>
      <c r="K651">
        <f>allFYsTable[[#This Row],[Actual]]-allFYsTable[[#This Row],[OriginalBudget]]</f>
        <v>-395</v>
      </c>
      <c r="L651" s="11">
        <f>allFYsTable[[#This Row],[DiffAmount]]/allFYsTable[[#This Row],[OriginalBudget]]</f>
        <v>-0.15093618647306076</v>
      </c>
    </row>
    <row r="652" spans="1:12" x14ac:dyDescent="0.45">
      <c r="A652" t="s">
        <v>1035</v>
      </c>
      <c r="B652" t="s">
        <v>14</v>
      </c>
      <c r="C652" t="s">
        <v>729</v>
      </c>
      <c r="D652" t="s">
        <v>524</v>
      </c>
      <c r="E652">
        <v>3821</v>
      </c>
      <c r="F652">
        <v>3777</v>
      </c>
      <c r="G652">
        <v>3712</v>
      </c>
      <c r="H652">
        <v>65</v>
      </c>
      <c r="I652">
        <v>2010</v>
      </c>
      <c r="J652">
        <v>88</v>
      </c>
      <c r="K652">
        <f>allFYsTable[[#This Row],[Actual]]-allFYsTable[[#This Row],[OriginalBudget]]</f>
        <v>-109</v>
      </c>
      <c r="L652" s="11">
        <f>allFYsTable[[#This Row],[DiffAmount]]/allFYsTable[[#This Row],[OriginalBudget]]</f>
        <v>-2.8526563726773094E-2</v>
      </c>
    </row>
    <row r="653" spans="1:12" x14ac:dyDescent="0.45">
      <c r="A653" t="s">
        <v>1035</v>
      </c>
      <c r="B653" t="s">
        <v>14</v>
      </c>
      <c r="C653" t="s">
        <v>828</v>
      </c>
      <c r="D653" t="s">
        <v>525</v>
      </c>
      <c r="E653">
        <v>10602</v>
      </c>
      <c r="F653">
        <v>10602</v>
      </c>
      <c r="G653">
        <v>10602</v>
      </c>
      <c r="H653">
        <v>0</v>
      </c>
      <c r="I653">
        <v>2010</v>
      </c>
      <c r="J653">
        <v>89</v>
      </c>
      <c r="K653">
        <f>allFYsTable[[#This Row],[Actual]]-allFYsTable[[#This Row],[OriginalBudget]]</f>
        <v>0</v>
      </c>
      <c r="L653" s="11">
        <f>allFYsTable[[#This Row],[DiffAmount]]/allFYsTable[[#This Row],[OriginalBudget]]</f>
        <v>0</v>
      </c>
    </row>
    <row r="654" spans="1:12" x14ac:dyDescent="0.45">
      <c r="A654" t="s">
        <v>1035</v>
      </c>
      <c r="B654" t="s">
        <v>14</v>
      </c>
      <c r="C654" t="s">
        <v>785</v>
      </c>
      <c r="D654" t="s">
        <v>526</v>
      </c>
      <c r="E654">
        <v>194161</v>
      </c>
      <c r="F654">
        <v>207690</v>
      </c>
      <c r="G654">
        <v>206400</v>
      </c>
      <c r="H654">
        <v>1290</v>
      </c>
      <c r="I654">
        <v>2010</v>
      </c>
      <c r="J654">
        <v>90</v>
      </c>
      <c r="K654">
        <f>allFYsTable[[#This Row],[Actual]]-allFYsTable[[#This Row],[OriginalBudget]]</f>
        <v>12239</v>
      </c>
      <c r="L654" s="11">
        <f>allFYsTable[[#This Row],[DiffAmount]]/allFYsTable[[#This Row],[OriginalBudget]]</f>
        <v>6.3035316052142298E-2</v>
      </c>
    </row>
    <row r="655" spans="1:12" x14ac:dyDescent="0.45">
      <c r="A655" t="s">
        <v>1035</v>
      </c>
      <c r="B655" t="s">
        <v>14</v>
      </c>
      <c r="C655" t="s">
        <v>787</v>
      </c>
      <c r="D655" t="s">
        <v>448</v>
      </c>
      <c r="E655">
        <v>191390</v>
      </c>
      <c r="F655">
        <v>188528</v>
      </c>
      <c r="G655">
        <v>187898</v>
      </c>
      <c r="H655">
        <v>630</v>
      </c>
      <c r="I655">
        <v>2010</v>
      </c>
      <c r="J655">
        <v>91</v>
      </c>
      <c r="K655">
        <f>allFYsTable[[#This Row],[Actual]]-allFYsTable[[#This Row],[OriginalBudget]]</f>
        <v>-3492</v>
      </c>
      <c r="L655" s="11">
        <f>allFYsTable[[#This Row],[DiffAmount]]/allFYsTable[[#This Row],[OriginalBudget]]</f>
        <v>-1.8245467370291028E-2</v>
      </c>
    </row>
    <row r="656" spans="1:12" x14ac:dyDescent="0.45">
      <c r="A656" t="s">
        <v>1035</v>
      </c>
      <c r="B656" t="s">
        <v>14</v>
      </c>
      <c r="C656" t="s">
        <v>728</v>
      </c>
      <c r="D656" t="s">
        <v>527</v>
      </c>
      <c r="E656">
        <v>965</v>
      </c>
      <c r="F656">
        <v>875</v>
      </c>
      <c r="G656">
        <v>869</v>
      </c>
      <c r="H656">
        <v>6</v>
      </c>
      <c r="I656">
        <v>2010</v>
      </c>
      <c r="J656">
        <v>92</v>
      </c>
      <c r="K656">
        <f>allFYsTable[[#This Row],[Actual]]-allFYsTable[[#This Row],[OriginalBudget]]</f>
        <v>-96</v>
      </c>
      <c r="L656" s="11">
        <f>allFYsTable[[#This Row],[DiffAmount]]/allFYsTable[[#This Row],[OriginalBudget]]</f>
        <v>-9.9481865284974089E-2</v>
      </c>
    </row>
    <row r="657" spans="1:12" x14ac:dyDescent="0.45">
      <c r="A657" t="s">
        <v>1035</v>
      </c>
      <c r="B657" t="s">
        <v>14</v>
      </c>
      <c r="C657" t="s">
        <v>727</v>
      </c>
      <c r="D657" t="s">
        <v>450</v>
      </c>
      <c r="E657">
        <v>463</v>
      </c>
      <c r="F657">
        <v>463</v>
      </c>
      <c r="G657">
        <v>423</v>
      </c>
      <c r="H657">
        <v>40</v>
      </c>
      <c r="I657">
        <v>2010</v>
      </c>
      <c r="J657">
        <v>93</v>
      </c>
      <c r="K657">
        <f>allFYsTable[[#This Row],[Actual]]-allFYsTable[[#This Row],[OriginalBudget]]</f>
        <v>-40</v>
      </c>
      <c r="L657" s="11">
        <f>allFYsTable[[#This Row],[DiffAmount]]/allFYsTable[[#This Row],[OriginalBudget]]</f>
        <v>-8.6393088552915762E-2</v>
      </c>
    </row>
    <row r="658" spans="1:12" x14ac:dyDescent="0.45">
      <c r="A658" t="s">
        <v>1035</v>
      </c>
      <c r="B658" t="s">
        <v>14</v>
      </c>
      <c r="C658" t="s">
        <v>752</v>
      </c>
      <c r="D658" t="s">
        <v>528</v>
      </c>
      <c r="E658">
        <v>85016</v>
      </c>
      <c r="F658">
        <v>97860</v>
      </c>
      <c r="G658">
        <v>97016</v>
      </c>
      <c r="H658">
        <v>844</v>
      </c>
      <c r="I658">
        <v>2010</v>
      </c>
      <c r="J658">
        <v>94</v>
      </c>
      <c r="K658">
        <f>allFYsTable[[#This Row],[Actual]]-allFYsTable[[#This Row],[OriginalBudget]]</f>
        <v>12000</v>
      </c>
      <c r="L658" s="11">
        <f>allFYsTable[[#This Row],[DiffAmount]]/allFYsTable[[#This Row],[OriginalBudget]]</f>
        <v>0.14114990119506918</v>
      </c>
    </row>
    <row r="659" spans="1:12" x14ac:dyDescent="0.45">
      <c r="A659" t="s">
        <v>1035</v>
      </c>
      <c r="B659" t="s">
        <v>14</v>
      </c>
      <c r="C659" t="s">
        <v>791</v>
      </c>
      <c r="D659" t="s">
        <v>529</v>
      </c>
      <c r="E659">
        <v>62007</v>
      </c>
      <c r="F659">
        <v>61643</v>
      </c>
      <c r="G659">
        <v>59465</v>
      </c>
      <c r="H659">
        <v>2178</v>
      </c>
      <c r="I659">
        <v>2010</v>
      </c>
      <c r="J659">
        <v>95</v>
      </c>
      <c r="K659">
        <f>allFYsTable[[#This Row],[Actual]]-allFYsTable[[#This Row],[OriginalBudget]]</f>
        <v>-2542</v>
      </c>
      <c r="L659" s="11">
        <f>allFYsTable[[#This Row],[DiffAmount]]/allFYsTable[[#This Row],[OriginalBudget]]</f>
        <v>-4.099537149031561E-2</v>
      </c>
    </row>
    <row r="660" spans="1:12" x14ac:dyDescent="0.45">
      <c r="A660" t="s">
        <v>1035</v>
      </c>
      <c r="B660" t="s">
        <v>14</v>
      </c>
      <c r="C660" t="s">
        <v>789</v>
      </c>
      <c r="D660" t="s">
        <v>150</v>
      </c>
      <c r="E660">
        <v>512455</v>
      </c>
      <c r="F660">
        <v>531507</v>
      </c>
      <c r="G660">
        <v>527878</v>
      </c>
      <c r="H660">
        <v>3629</v>
      </c>
      <c r="I660">
        <v>2010</v>
      </c>
      <c r="J660">
        <v>96</v>
      </c>
      <c r="K660">
        <f>allFYsTable[[#This Row],[Actual]]-allFYsTable[[#This Row],[OriginalBudget]]</f>
        <v>15423</v>
      </c>
      <c r="L660" s="11">
        <f>allFYsTable[[#This Row],[DiffAmount]]/allFYsTable[[#This Row],[OriginalBudget]]</f>
        <v>3.0096301138636563E-2</v>
      </c>
    </row>
    <row r="661" spans="1:12" x14ac:dyDescent="0.45">
      <c r="A661" t="s">
        <v>1035</v>
      </c>
      <c r="B661" t="s">
        <v>530</v>
      </c>
      <c r="C661" t="s">
        <v>802</v>
      </c>
      <c r="D661" t="s">
        <v>531</v>
      </c>
      <c r="E661">
        <v>116021</v>
      </c>
      <c r="F661">
        <v>119285</v>
      </c>
      <c r="G661">
        <v>119211</v>
      </c>
      <c r="H661">
        <v>74</v>
      </c>
      <c r="I661">
        <v>2010</v>
      </c>
      <c r="J661">
        <v>97</v>
      </c>
      <c r="K661">
        <f>allFYsTable[[#This Row],[Actual]]-allFYsTable[[#This Row],[OriginalBudget]]</f>
        <v>3190</v>
      </c>
      <c r="L661" s="11">
        <f>allFYsTable[[#This Row],[DiffAmount]]/allFYsTable[[#This Row],[OriginalBudget]]</f>
        <v>2.7495022452831815E-2</v>
      </c>
    </row>
    <row r="662" spans="1:12" x14ac:dyDescent="0.45">
      <c r="A662" t="s">
        <v>1035</v>
      </c>
      <c r="B662" t="s">
        <v>530</v>
      </c>
      <c r="C662" t="s">
        <v>803</v>
      </c>
      <c r="D662" t="s">
        <v>532</v>
      </c>
      <c r="E662">
        <v>13043</v>
      </c>
      <c r="F662">
        <v>18410</v>
      </c>
      <c r="G662">
        <v>18409</v>
      </c>
      <c r="H662">
        <v>1</v>
      </c>
      <c r="I662">
        <v>2010</v>
      </c>
      <c r="J662">
        <v>98</v>
      </c>
      <c r="K662">
        <f>allFYsTable[[#This Row],[Actual]]-allFYsTable[[#This Row],[OriginalBudget]]</f>
        <v>5366</v>
      </c>
      <c r="L662" s="11">
        <f>allFYsTable[[#This Row],[DiffAmount]]/allFYsTable[[#This Row],[OriginalBudget]]</f>
        <v>0.41140841830867131</v>
      </c>
    </row>
    <row r="663" spans="1:12" x14ac:dyDescent="0.45">
      <c r="A663" t="s">
        <v>1035</v>
      </c>
      <c r="B663" t="s">
        <v>530</v>
      </c>
      <c r="C663" t="s">
        <v>799</v>
      </c>
      <c r="D663" t="s">
        <v>206</v>
      </c>
      <c r="E663">
        <v>1213</v>
      </c>
      <c r="F663">
        <v>1114</v>
      </c>
      <c r="G663">
        <v>1077</v>
      </c>
      <c r="H663">
        <v>37</v>
      </c>
      <c r="I663">
        <v>2010</v>
      </c>
      <c r="J663">
        <v>99</v>
      </c>
      <c r="K663">
        <f>allFYsTable[[#This Row],[Actual]]-allFYsTable[[#This Row],[OriginalBudget]]</f>
        <v>-136</v>
      </c>
      <c r="L663" s="11">
        <f>allFYsTable[[#This Row],[DiffAmount]]/allFYsTable[[#This Row],[OriginalBudget]]</f>
        <v>-0.11211871393239901</v>
      </c>
    </row>
    <row r="664" spans="1:12" x14ac:dyDescent="0.45">
      <c r="A664" t="s">
        <v>1035</v>
      </c>
      <c r="B664" t="s">
        <v>530</v>
      </c>
      <c r="C664" t="s">
        <v>801</v>
      </c>
      <c r="D664" t="s">
        <v>533</v>
      </c>
      <c r="E664">
        <v>26524</v>
      </c>
      <c r="F664">
        <v>26958</v>
      </c>
      <c r="G664">
        <v>26630</v>
      </c>
      <c r="H664">
        <v>328</v>
      </c>
      <c r="I664">
        <v>2010</v>
      </c>
      <c r="J664">
        <v>100</v>
      </c>
      <c r="K664">
        <f>allFYsTable[[#This Row],[Actual]]-allFYsTable[[#This Row],[OriginalBudget]]</f>
        <v>106</v>
      </c>
      <c r="L664" s="11">
        <f>allFYsTable[[#This Row],[DiffAmount]]/allFYsTable[[#This Row],[OriginalBudget]]</f>
        <v>3.9963806364047656E-3</v>
      </c>
    </row>
    <row r="665" spans="1:12" x14ac:dyDescent="0.45">
      <c r="A665" t="s">
        <v>1035</v>
      </c>
      <c r="B665" t="s">
        <v>530</v>
      </c>
      <c r="C665" t="s">
        <v>808</v>
      </c>
      <c r="D665" t="s">
        <v>534</v>
      </c>
      <c r="E665">
        <v>123</v>
      </c>
      <c r="F665">
        <v>123</v>
      </c>
      <c r="G665">
        <v>123</v>
      </c>
      <c r="H665">
        <v>0</v>
      </c>
      <c r="I665">
        <v>2010</v>
      </c>
      <c r="J665">
        <v>101</v>
      </c>
      <c r="K665">
        <f>allFYsTable[[#This Row],[Actual]]-allFYsTable[[#This Row],[OriginalBudget]]</f>
        <v>0</v>
      </c>
      <c r="L665" s="11">
        <f>allFYsTable[[#This Row],[DiffAmount]]/allFYsTable[[#This Row],[OriginalBudget]]</f>
        <v>0</v>
      </c>
    </row>
    <row r="666" spans="1:12" x14ac:dyDescent="0.45">
      <c r="A666" t="s">
        <v>1035</v>
      </c>
      <c r="B666" t="s">
        <v>530</v>
      </c>
      <c r="C666" t="s">
        <v>807</v>
      </c>
      <c r="D666" t="s">
        <v>157</v>
      </c>
      <c r="E666">
        <v>231668</v>
      </c>
      <c r="F666">
        <v>231668</v>
      </c>
      <c r="G666">
        <v>231668</v>
      </c>
      <c r="H666">
        <v>0</v>
      </c>
      <c r="I666">
        <v>2010</v>
      </c>
      <c r="J666">
        <v>102</v>
      </c>
      <c r="K666">
        <f>allFYsTable[[#This Row],[Actual]]-allFYsTable[[#This Row],[OriginalBudget]]</f>
        <v>0</v>
      </c>
      <c r="L666" s="11">
        <f>allFYsTable[[#This Row],[DiffAmount]]/allFYsTable[[#This Row],[OriginalBudget]]</f>
        <v>0</v>
      </c>
    </row>
    <row r="667" spans="1:12" x14ac:dyDescent="0.45">
      <c r="A667" t="s">
        <v>1035</v>
      </c>
      <c r="B667" t="s">
        <v>530</v>
      </c>
      <c r="C667" t="s">
        <v>798</v>
      </c>
      <c r="D667" t="s">
        <v>535</v>
      </c>
      <c r="E667">
        <v>17343</v>
      </c>
      <c r="F667">
        <v>17083</v>
      </c>
      <c r="G667">
        <v>16314</v>
      </c>
      <c r="H667">
        <v>769</v>
      </c>
      <c r="I667">
        <v>2010</v>
      </c>
      <c r="J667">
        <v>103</v>
      </c>
      <c r="K667">
        <f>allFYsTable[[#This Row],[Actual]]-allFYsTable[[#This Row],[OriginalBudget]]</f>
        <v>-1029</v>
      </c>
      <c r="L667" s="11">
        <f>allFYsTable[[#This Row],[DiffAmount]]/allFYsTable[[#This Row],[OriginalBudget]]</f>
        <v>-5.9332295450614081E-2</v>
      </c>
    </row>
    <row r="668" spans="1:12" x14ac:dyDescent="0.45">
      <c r="A668" t="s">
        <v>1035</v>
      </c>
      <c r="B668" t="s">
        <v>530</v>
      </c>
      <c r="C668" s="12" t="s">
        <v>807</v>
      </c>
      <c r="D668" t="s">
        <v>862</v>
      </c>
      <c r="E668">
        <v>7668</v>
      </c>
      <c r="F668">
        <v>6333</v>
      </c>
      <c r="G668">
        <v>6326</v>
      </c>
      <c r="H668">
        <v>7</v>
      </c>
      <c r="I668">
        <v>2010</v>
      </c>
      <c r="J668">
        <v>104</v>
      </c>
      <c r="K668">
        <f>allFYsTable[[#This Row],[Actual]]-allFYsTable[[#This Row],[OriginalBudget]]</f>
        <v>-1342</v>
      </c>
      <c r="L668" s="11">
        <f>allFYsTable[[#This Row],[DiffAmount]]/allFYsTable[[#This Row],[OriginalBudget]]</f>
        <v>-0.17501304121022432</v>
      </c>
    </row>
    <row r="669" spans="1:12" x14ac:dyDescent="0.45">
      <c r="A669" t="s">
        <v>1035</v>
      </c>
      <c r="B669" t="s">
        <v>10</v>
      </c>
      <c r="C669" t="s">
        <v>775</v>
      </c>
      <c r="D669" t="s">
        <v>536</v>
      </c>
      <c r="E669">
        <v>468596</v>
      </c>
      <c r="F669">
        <v>367330</v>
      </c>
      <c r="G669">
        <v>348351</v>
      </c>
      <c r="H669">
        <v>18979</v>
      </c>
      <c r="I669">
        <v>2010</v>
      </c>
      <c r="J669">
        <v>105</v>
      </c>
      <c r="K669">
        <f>allFYsTable[[#This Row],[Actual]]-allFYsTable[[#This Row],[OriginalBudget]]</f>
        <v>-120245</v>
      </c>
      <c r="L669" s="11">
        <f>allFYsTable[[#This Row],[DiffAmount]]/allFYsTable[[#This Row],[OriginalBudget]]</f>
        <v>-0.25660697061007776</v>
      </c>
    </row>
    <row r="670" spans="1:12" x14ac:dyDescent="0.45">
      <c r="A670" t="s">
        <v>1035</v>
      </c>
      <c r="B670" t="s">
        <v>10</v>
      </c>
      <c r="C670" t="s">
        <v>817</v>
      </c>
      <c r="D670" t="s">
        <v>537</v>
      </c>
      <c r="E670">
        <v>15000</v>
      </c>
      <c r="F670">
        <v>15000</v>
      </c>
      <c r="G670">
        <v>6514</v>
      </c>
      <c r="H670">
        <v>8486</v>
      </c>
      <c r="I670">
        <v>2010</v>
      </c>
      <c r="J670">
        <v>106</v>
      </c>
      <c r="K670">
        <f>allFYsTable[[#This Row],[Actual]]-allFYsTable[[#This Row],[OriginalBudget]]</f>
        <v>-8486</v>
      </c>
      <c r="L670" s="11">
        <f>allFYsTable[[#This Row],[DiffAmount]]/allFYsTable[[#This Row],[OriginalBudget]]</f>
        <v>-0.56573333333333331</v>
      </c>
    </row>
    <row r="671" spans="1:12" x14ac:dyDescent="0.45">
      <c r="A671" t="s">
        <v>1035</v>
      </c>
      <c r="B671" t="s">
        <v>10</v>
      </c>
      <c r="C671" t="s">
        <v>830</v>
      </c>
      <c r="D671" t="s">
        <v>538</v>
      </c>
      <c r="E671">
        <v>9000</v>
      </c>
      <c r="F671">
        <v>3000</v>
      </c>
      <c r="G671">
        <v>2373</v>
      </c>
      <c r="H671">
        <v>627</v>
      </c>
      <c r="I671">
        <v>2010</v>
      </c>
      <c r="J671">
        <v>107</v>
      </c>
      <c r="K671">
        <f>allFYsTable[[#This Row],[Actual]]-allFYsTable[[#This Row],[OriginalBudget]]</f>
        <v>-6627</v>
      </c>
      <c r="L671" s="11">
        <f>allFYsTable[[#This Row],[DiffAmount]]/allFYsTable[[#This Row],[OriginalBudget]]</f>
        <v>-0.73633333333333328</v>
      </c>
    </row>
    <row r="672" spans="1:12" x14ac:dyDescent="0.45">
      <c r="A672" t="s">
        <v>1035</v>
      </c>
      <c r="B672" t="s">
        <v>10</v>
      </c>
      <c r="C672" t="s">
        <v>819</v>
      </c>
      <c r="D672" t="s">
        <v>278</v>
      </c>
      <c r="E672">
        <v>21477</v>
      </c>
      <c r="F672">
        <v>21477</v>
      </c>
      <c r="G672">
        <v>21470</v>
      </c>
      <c r="H672">
        <v>7</v>
      </c>
      <c r="I672">
        <v>2010</v>
      </c>
      <c r="J672">
        <v>108</v>
      </c>
      <c r="K672">
        <f>allFYsTable[[#This Row],[Actual]]-allFYsTable[[#This Row],[OriginalBudget]]</f>
        <v>-7</v>
      </c>
      <c r="L672" s="11">
        <f>allFYsTable[[#This Row],[DiffAmount]]/allFYsTable[[#This Row],[OriginalBudget]]</f>
        <v>-3.2593006472039857E-4</v>
      </c>
    </row>
    <row r="673" spans="1:12" x14ac:dyDescent="0.45">
      <c r="A673" t="s">
        <v>1035</v>
      </c>
      <c r="B673" t="s">
        <v>10</v>
      </c>
      <c r="C673" t="s">
        <v>822</v>
      </c>
      <c r="D673" t="s">
        <v>344</v>
      </c>
      <c r="E673">
        <v>0</v>
      </c>
      <c r="F673">
        <v>0</v>
      </c>
      <c r="G673">
        <v>0</v>
      </c>
      <c r="H673">
        <v>0</v>
      </c>
      <c r="I673">
        <v>2010</v>
      </c>
      <c r="J673">
        <v>109</v>
      </c>
      <c r="K673">
        <f>allFYsTable[[#This Row],[Actual]]-allFYsTable[[#This Row],[OriginalBudget]]</f>
        <v>0</v>
      </c>
      <c r="L673" s="11" t="e">
        <f>allFYsTable[[#This Row],[DiffAmount]]/allFYsTable[[#This Row],[OriginalBudget]]</f>
        <v>#DIV/0!</v>
      </c>
    </row>
    <row r="674" spans="1:12" x14ac:dyDescent="0.45">
      <c r="A674" t="s">
        <v>1035</v>
      </c>
      <c r="B674" t="s">
        <v>10</v>
      </c>
      <c r="C674" t="s">
        <v>814</v>
      </c>
      <c r="D674" t="s">
        <v>464</v>
      </c>
      <c r="E674">
        <v>3625</v>
      </c>
      <c r="F674">
        <v>3242</v>
      </c>
      <c r="G674">
        <v>3226</v>
      </c>
      <c r="H674">
        <v>16</v>
      </c>
      <c r="I674">
        <v>2010</v>
      </c>
      <c r="J674">
        <v>110</v>
      </c>
      <c r="K674">
        <f>allFYsTable[[#This Row],[Actual]]-allFYsTable[[#This Row],[OriginalBudget]]</f>
        <v>-399</v>
      </c>
      <c r="L674" s="11">
        <f>allFYsTable[[#This Row],[DiffAmount]]/allFYsTable[[#This Row],[OriginalBudget]]</f>
        <v>-0.11006896551724138</v>
      </c>
    </row>
    <row r="675" spans="1:12" x14ac:dyDescent="0.45">
      <c r="A675" t="s">
        <v>1035</v>
      </c>
      <c r="B675" t="s">
        <v>10</v>
      </c>
      <c r="C675" t="s">
        <v>833</v>
      </c>
      <c r="D675" t="s">
        <v>539</v>
      </c>
      <c r="E675">
        <v>8612</v>
      </c>
      <c r="F675">
        <v>8612</v>
      </c>
      <c r="G675">
        <v>8612</v>
      </c>
      <c r="H675">
        <v>0</v>
      </c>
      <c r="I675">
        <v>2010</v>
      </c>
      <c r="J675">
        <v>111</v>
      </c>
      <c r="K675">
        <f>allFYsTable[[#This Row],[Actual]]-allFYsTable[[#This Row],[OriginalBudget]]</f>
        <v>0</v>
      </c>
      <c r="L675" s="11">
        <f>allFYsTable[[#This Row],[DiffAmount]]/allFYsTable[[#This Row],[OriginalBudget]]</f>
        <v>0</v>
      </c>
    </row>
    <row r="676" spans="1:12" x14ac:dyDescent="0.45">
      <c r="A676" t="s">
        <v>1035</v>
      </c>
      <c r="B676" t="s">
        <v>10</v>
      </c>
      <c r="C676" t="s">
        <v>811</v>
      </c>
      <c r="D676" t="s">
        <v>540</v>
      </c>
      <c r="E676">
        <v>90700</v>
      </c>
      <c r="F676">
        <v>90700</v>
      </c>
      <c r="G676">
        <v>90700</v>
      </c>
      <c r="H676">
        <v>0</v>
      </c>
      <c r="I676">
        <v>2010</v>
      </c>
      <c r="J676">
        <v>112</v>
      </c>
      <c r="K676">
        <f>allFYsTable[[#This Row],[Actual]]-allFYsTable[[#This Row],[OriginalBudget]]</f>
        <v>0</v>
      </c>
      <c r="L676" s="11">
        <f>allFYsTable[[#This Row],[DiffAmount]]/allFYsTable[[#This Row],[OriginalBudget]]</f>
        <v>0</v>
      </c>
    </row>
    <row r="677" spans="1:12" x14ac:dyDescent="0.45">
      <c r="A677" t="s">
        <v>1035</v>
      </c>
      <c r="B677" t="s">
        <v>10</v>
      </c>
      <c r="C677" t="s">
        <v>829</v>
      </c>
      <c r="D677" t="s">
        <v>541</v>
      </c>
      <c r="E677">
        <v>4861</v>
      </c>
      <c r="F677">
        <v>4861</v>
      </c>
      <c r="G677">
        <v>2149</v>
      </c>
      <c r="H677">
        <v>2712</v>
      </c>
      <c r="I677">
        <v>2010</v>
      </c>
      <c r="J677">
        <v>113</v>
      </c>
      <c r="K677">
        <f>allFYsTable[[#This Row],[Actual]]-allFYsTable[[#This Row],[OriginalBudget]]</f>
        <v>-2712</v>
      </c>
      <c r="L677" s="11">
        <f>allFYsTable[[#This Row],[DiffAmount]]/allFYsTable[[#This Row],[OriginalBudget]]</f>
        <v>-0.55790989508331623</v>
      </c>
    </row>
    <row r="678" spans="1:12" x14ac:dyDescent="0.45">
      <c r="A678" t="s">
        <v>1035</v>
      </c>
      <c r="B678" t="s">
        <v>10</v>
      </c>
      <c r="C678" t="s">
        <v>831</v>
      </c>
      <c r="D678" t="s">
        <v>542</v>
      </c>
      <c r="E678">
        <v>32285</v>
      </c>
      <c r="F678">
        <v>32285</v>
      </c>
      <c r="G678">
        <v>32257</v>
      </c>
      <c r="H678">
        <v>28</v>
      </c>
      <c r="I678">
        <v>2010</v>
      </c>
      <c r="J678">
        <v>114</v>
      </c>
      <c r="K678">
        <f>allFYsTable[[#This Row],[Actual]]-allFYsTable[[#This Row],[OriginalBudget]]</f>
        <v>-28</v>
      </c>
      <c r="L678" s="11">
        <f>allFYsTable[[#This Row],[DiffAmount]]/allFYsTable[[#This Row],[OriginalBudget]]</f>
        <v>-8.6727582468638681E-4</v>
      </c>
    </row>
    <row r="679" spans="1:12" x14ac:dyDescent="0.45">
      <c r="A679" t="s">
        <v>1035</v>
      </c>
      <c r="B679" t="s">
        <v>10</v>
      </c>
      <c r="C679" t="s">
        <v>810</v>
      </c>
      <c r="D679" t="s">
        <v>296</v>
      </c>
      <c r="E679">
        <v>93054</v>
      </c>
      <c r="F679">
        <v>93054</v>
      </c>
      <c r="G679">
        <v>93054</v>
      </c>
      <c r="H679">
        <v>0</v>
      </c>
      <c r="I679">
        <v>2010</v>
      </c>
      <c r="J679">
        <v>115</v>
      </c>
      <c r="K679">
        <f>allFYsTable[[#This Row],[Actual]]-allFYsTable[[#This Row],[OriginalBudget]]</f>
        <v>0</v>
      </c>
      <c r="L679" s="11">
        <f>allFYsTable[[#This Row],[DiffAmount]]/allFYsTable[[#This Row],[OriginalBudget]]</f>
        <v>0</v>
      </c>
    </row>
    <row r="680" spans="1:12" x14ac:dyDescent="0.45">
      <c r="A680" t="s">
        <v>1035</v>
      </c>
      <c r="B680" t="s">
        <v>10</v>
      </c>
      <c r="C680" t="s">
        <v>813</v>
      </c>
      <c r="D680" t="s">
        <v>297</v>
      </c>
      <c r="E680">
        <v>29762</v>
      </c>
      <c r="F680">
        <v>29762</v>
      </c>
      <c r="G680">
        <v>24889</v>
      </c>
      <c r="H680">
        <v>4873</v>
      </c>
      <c r="I680">
        <v>2010</v>
      </c>
      <c r="J680">
        <v>116</v>
      </c>
      <c r="K680">
        <f>allFYsTable[[#This Row],[Actual]]-allFYsTable[[#This Row],[OriginalBudget]]</f>
        <v>-4873</v>
      </c>
      <c r="L680" s="11">
        <f>allFYsTable[[#This Row],[DiffAmount]]/allFYsTable[[#This Row],[OriginalBudget]]</f>
        <v>-0.16373227605671661</v>
      </c>
    </row>
    <row r="681" spans="1:12" x14ac:dyDescent="0.45">
      <c r="A681" t="s">
        <v>1035</v>
      </c>
      <c r="B681" t="s">
        <v>10</v>
      </c>
      <c r="C681" t="s">
        <v>850</v>
      </c>
      <c r="D681" t="s">
        <v>543</v>
      </c>
      <c r="E681">
        <v>32081</v>
      </c>
      <c r="F681">
        <v>32081</v>
      </c>
      <c r="G681">
        <v>32081</v>
      </c>
      <c r="H681">
        <v>0</v>
      </c>
      <c r="I681">
        <v>2010</v>
      </c>
      <c r="J681">
        <v>117</v>
      </c>
      <c r="K681">
        <f>allFYsTable[[#This Row],[Actual]]-allFYsTable[[#This Row],[OriginalBudget]]</f>
        <v>0</v>
      </c>
      <c r="L681" s="11">
        <f>allFYsTable[[#This Row],[DiffAmount]]/allFYsTable[[#This Row],[OriginalBudget]]</f>
        <v>0</v>
      </c>
    </row>
    <row r="682" spans="1:12" x14ac:dyDescent="0.45">
      <c r="A682" t="s">
        <v>1035</v>
      </c>
      <c r="B682" t="s">
        <v>10</v>
      </c>
      <c r="C682" t="s">
        <v>844</v>
      </c>
      <c r="D682" t="s">
        <v>1052</v>
      </c>
      <c r="E682">
        <v>45992</v>
      </c>
      <c r="F682">
        <v>45992</v>
      </c>
      <c r="G682">
        <v>34140</v>
      </c>
      <c r="H682">
        <v>11852</v>
      </c>
      <c r="I682">
        <v>2010</v>
      </c>
      <c r="J682">
        <v>118</v>
      </c>
      <c r="K682">
        <f>allFYsTable[[#This Row],[Actual]]-allFYsTable[[#This Row],[OriginalBudget]]</f>
        <v>-11852</v>
      </c>
      <c r="L682" s="11">
        <f>allFYsTable[[#This Row],[DiffAmount]]/allFYsTable[[#This Row],[OriginalBudget]]</f>
        <v>-0.25769699078100539</v>
      </c>
    </row>
    <row r="683" spans="1:12" x14ac:dyDescent="0.45">
      <c r="A683" t="s">
        <v>1035</v>
      </c>
      <c r="B683" t="s">
        <v>10</v>
      </c>
      <c r="C683" t="s">
        <v>812</v>
      </c>
      <c r="D683" t="s">
        <v>544</v>
      </c>
      <c r="E683">
        <v>0</v>
      </c>
      <c r="F683">
        <v>0</v>
      </c>
      <c r="G683">
        <v>0</v>
      </c>
      <c r="H683">
        <v>0</v>
      </c>
      <c r="I683">
        <v>2010</v>
      </c>
      <c r="J683">
        <v>119</v>
      </c>
      <c r="K683">
        <f>allFYsTable[[#This Row],[Actual]]-allFYsTable[[#This Row],[OriginalBudget]]</f>
        <v>0</v>
      </c>
      <c r="L683" s="11" t="e">
        <f>allFYsTable[[#This Row],[DiffAmount]]/allFYsTable[[#This Row],[OriginalBudget]]</f>
        <v>#DIV/0!</v>
      </c>
    </row>
    <row r="684" spans="1:12" x14ac:dyDescent="0.45">
      <c r="A684" t="s">
        <v>1035</v>
      </c>
      <c r="B684" t="s">
        <v>10</v>
      </c>
      <c r="C684" t="s">
        <v>834</v>
      </c>
      <c r="D684" t="s">
        <v>545</v>
      </c>
      <c r="E684">
        <v>0</v>
      </c>
      <c r="F684">
        <v>53</v>
      </c>
      <c r="G684">
        <v>0</v>
      </c>
      <c r="H684">
        <v>53</v>
      </c>
      <c r="I684">
        <v>2010</v>
      </c>
      <c r="J684">
        <v>120</v>
      </c>
      <c r="K684">
        <f>allFYsTable[[#This Row],[Actual]]-allFYsTable[[#This Row],[OriginalBudget]]</f>
        <v>0</v>
      </c>
      <c r="L684" s="11" t="e">
        <f>allFYsTable[[#This Row],[DiffAmount]]/allFYsTable[[#This Row],[OriginalBudget]]</f>
        <v>#DIV/0!</v>
      </c>
    </row>
    <row r="685" spans="1:12" x14ac:dyDescent="0.45">
      <c r="A685" t="s">
        <v>1035</v>
      </c>
      <c r="B685" t="s">
        <v>10</v>
      </c>
      <c r="C685" t="s">
        <v>832</v>
      </c>
      <c r="D685" t="s">
        <v>546</v>
      </c>
      <c r="E685">
        <v>46157</v>
      </c>
      <c r="F685">
        <v>44320</v>
      </c>
      <c r="G685">
        <v>43863</v>
      </c>
      <c r="H685">
        <v>457</v>
      </c>
      <c r="I685">
        <v>2010</v>
      </c>
      <c r="J685">
        <v>121</v>
      </c>
      <c r="K685">
        <f>allFYsTable[[#This Row],[Actual]]-allFYsTable[[#This Row],[OriginalBudget]]</f>
        <v>-2294</v>
      </c>
      <c r="L685" s="11">
        <f>allFYsTable[[#This Row],[DiffAmount]]/allFYsTable[[#This Row],[OriginalBudget]]</f>
        <v>-4.9699937170959982E-2</v>
      </c>
    </row>
    <row r="686" spans="1:12" x14ac:dyDescent="0.45">
      <c r="A686" t="s">
        <v>1035</v>
      </c>
      <c r="B686" t="s">
        <v>10</v>
      </c>
      <c r="C686" t="s">
        <v>847</v>
      </c>
      <c r="D686" t="s">
        <v>547</v>
      </c>
      <c r="E686">
        <v>0</v>
      </c>
      <c r="F686">
        <v>47480</v>
      </c>
      <c r="G686">
        <v>0</v>
      </c>
      <c r="H686">
        <v>47480</v>
      </c>
      <c r="I686">
        <v>2010</v>
      </c>
      <c r="J686">
        <v>122</v>
      </c>
      <c r="K686">
        <f>allFYsTable[[#This Row],[Actual]]-allFYsTable[[#This Row],[OriginalBudget]]</f>
        <v>0</v>
      </c>
      <c r="L686" s="11" t="e">
        <f>allFYsTable[[#This Row],[DiffAmount]]/allFYsTable[[#This Row],[OriginalBudget]]</f>
        <v>#DIV/0!</v>
      </c>
    </row>
    <row r="687" spans="1:12" x14ac:dyDescent="0.45">
      <c r="A687" t="s">
        <v>1035</v>
      </c>
      <c r="B687" t="s">
        <v>10</v>
      </c>
      <c r="C687" t="s">
        <v>816</v>
      </c>
      <c r="D687" t="s">
        <v>362</v>
      </c>
      <c r="E687">
        <v>0</v>
      </c>
      <c r="F687">
        <v>499</v>
      </c>
      <c r="G687">
        <v>499</v>
      </c>
      <c r="H687">
        <v>0</v>
      </c>
      <c r="I687">
        <v>2010</v>
      </c>
      <c r="J687">
        <v>123</v>
      </c>
      <c r="K687">
        <f>allFYsTable[[#This Row],[Actual]]-allFYsTable[[#This Row],[OriginalBudget]]</f>
        <v>499</v>
      </c>
      <c r="L687" s="11" t="e">
        <f>allFYsTable[[#This Row],[DiffAmount]]/allFYsTable[[#This Row],[OriginalBudget]]</f>
        <v>#DIV/0!</v>
      </c>
    </row>
    <row r="688" spans="1:12" x14ac:dyDescent="0.45">
      <c r="A688" t="s">
        <v>1035</v>
      </c>
      <c r="B688" t="s">
        <v>10</v>
      </c>
      <c r="C688" t="s">
        <v>815</v>
      </c>
      <c r="D688" t="s">
        <v>95</v>
      </c>
      <c r="E688">
        <v>3603</v>
      </c>
      <c r="F688">
        <v>2761</v>
      </c>
      <c r="G688">
        <v>2410</v>
      </c>
      <c r="H688">
        <v>351</v>
      </c>
      <c r="I688">
        <v>2010</v>
      </c>
      <c r="J688">
        <v>124</v>
      </c>
      <c r="K688">
        <f>allFYsTable[[#This Row],[Actual]]-allFYsTable[[#This Row],[OriginalBudget]]</f>
        <v>-1193</v>
      </c>
      <c r="L688" s="11">
        <f>allFYsTable[[#This Row],[DiffAmount]]/allFYsTable[[#This Row],[OriginalBudget]]</f>
        <v>-0.33111296142103802</v>
      </c>
    </row>
    <row r="689" spans="1:12" x14ac:dyDescent="0.45">
      <c r="A689" t="s">
        <v>1035</v>
      </c>
      <c r="B689" t="s">
        <v>10</v>
      </c>
      <c r="C689" t="s">
        <v>825</v>
      </c>
      <c r="D689" t="s">
        <v>548</v>
      </c>
      <c r="E689">
        <v>0</v>
      </c>
      <c r="F689">
        <v>0</v>
      </c>
      <c r="G689">
        <v>0</v>
      </c>
      <c r="H689">
        <v>0</v>
      </c>
      <c r="I689">
        <v>2010</v>
      </c>
      <c r="J689">
        <v>125</v>
      </c>
      <c r="K689">
        <f>allFYsTable[[#This Row],[Actual]]-allFYsTable[[#This Row],[OriginalBudget]]</f>
        <v>0</v>
      </c>
      <c r="L689" s="11" t="e">
        <f>allFYsTable[[#This Row],[DiffAmount]]/allFYsTable[[#This Row],[OriginalBudget]]</f>
        <v>#DIV/0!</v>
      </c>
    </row>
    <row r="690" spans="1:12" x14ac:dyDescent="0.45">
      <c r="A690" t="s">
        <v>1035</v>
      </c>
      <c r="B690" t="s">
        <v>10</v>
      </c>
      <c r="C690" t="s">
        <v>824</v>
      </c>
      <c r="D690" t="s">
        <v>299</v>
      </c>
      <c r="E690">
        <v>0</v>
      </c>
      <c r="F690">
        <v>0</v>
      </c>
      <c r="G690">
        <v>0</v>
      </c>
      <c r="H690">
        <v>0</v>
      </c>
      <c r="I690">
        <v>2010</v>
      </c>
      <c r="J690">
        <v>126</v>
      </c>
      <c r="K690">
        <f>allFYsTable[[#This Row],[Actual]]-allFYsTable[[#This Row],[OriginalBudget]]</f>
        <v>0</v>
      </c>
      <c r="L690" s="11" t="e">
        <f>allFYsTable[[#This Row],[DiffAmount]]/allFYsTable[[#This Row],[OriginalBudget]]</f>
        <v>#DIV/0!</v>
      </c>
    </row>
    <row r="691" spans="1:12" ht="28.5" x14ac:dyDescent="0.45">
      <c r="A691" t="s">
        <v>1034</v>
      </c>
      <c r="B691" t="s">
        <v>347</v>
      </c>
      <c r="C691" t="s">
        <v>703</v>
      </c>
      <c r="D691" s="1" t="s">
        <v>997</v>
      </c>
      <c r="E691">
        <v>19225</v>
      </c>
      <c r="F691">
        <v>18265</v>
      </c>
      <c r="G691">
        <v>18265</v>
      </c>
      <c r="H691">
        <v>0</v>
      </c>
      <c r="I691">
        <v>2011</v>
      </c>
      <c r="J691">
        <v>1</v>
      </c>
      <c r="K691">
        <f>allFYsTable[[#This Row],[Actual]]-allFYsTable[[#This Row],[OriginalBudget]]</f>
        <v>-960</v>
      </c>
      <c r="L691" s="11">
        <f>allFYsTable[[#This Row],[DiffAmount]]/allFYsTable[[#This Row],[OriginalBudget]]</f>
        <v>-4.9934980494148247E-2</v>
      </c>
    </row>
    <row r="692" spans="1:12" x14ac:dyDescent="0.45">
      <c r="A692" t="s">
        <v>1034</v>
      </c>
      <c r="B692" t="s">
        <v>347</v>
      </c>
      <c r="C692" t="s">
        <v>723</v>
      </c>
      <c r="D692" t="s">
        <v>363</v>
      </c>
      <c r="E692">
        <v>3840</v>
      </c>
      <c r="F692">
        <v>3840</v>
      </c>
      <c r="G692">
        <v>3436</v>
      </c>
      <c r="H692">
        <v>404</v>
      </c>
      <c r="I692">
        <v>2011</v>
      </c>
      <c r="J692">
        <v>2</v>
      </c>
      <c r="K692">
        <f>allFYsTable[[#This Row],[Actual]]-allFYsTable[[#This Row],[OriginalBudget]]</f>
        <v>-404</v>
      </c>
      <c r="L692" s="11">
        <f>allFYsTable[[#This Row],[DiffAmount]]/allFYsTable[[#This Row],[OriginalBudget]]</f>
        <v>-0.10520833333333333</v>
      </c>
    </row>
    <row r="693" spans="1:12" x14ac:dyDescent="0.45">
      <c r="A693" t="s">
        <v>1034</v>
      </c>
      <c r="B693" t="s">
        <v>347</v>
      </c>
      <c r="C693" t="s">
        <v>711</v>
      </c>
      <c r="D693" t="s">
        <v>364</v>
      </c>
      <c r="E693">
        <v>889</v>
      </c>
      <c r="F693">
        <v>889</v>
      </c>
      <c r="G693">
        <v>833</v>
      </c>
      <c r="H693">
        <v>56</v>
      </c>
      <c r="I693">
        <v>2011</v>
      </c>
      <c r="J693">
        <v>3</v>
      </c>
      <c r="K693">
        <f>allFYsTable[[#This Row],[Actual]]-allFYsTable[[#This Row],[OriginalBudget]]</f>
        <v>-56</v>
      </c>
      <c r="L693" s="11">
        <f>allFYsTable[[#This Row],[DiffAmount]]/allFYsTable[[#This Row],[OriginalBudget]]</f>
        <v>-6.2992125984251968E-2</v>
      </c>
    </row>
    <row r="694" spans="1:12" x14ac:dyDescent="0.45">
      <c r="A694" t="s">
        <v>1034</v>
      </c>
      <c r="B694" t="s">
        <v>347</v>
      </c>
      <c r="C694" t="s">
        <v>707</v>
      </c>
      <c r="D694" t="s">
        <v>365</v>
      </c>
      <c r="E694">
        <v>8681</v>
      </c>
      <c r="F694">
        <v>8359</v>
      </c>
      <c r="G694">
        <v>8010</v>
      </c>
      <c r="H694">
        <v>349</v>
      </c>
      <c r="I694">
        <v>2011</v>
      </c>
      <c r="J694">
        <v>4</v>
      </c>
      <c r="K694">
        <f>allFYsTable[[#This Row],[Actual]]-allFYsTable[[#This Row],[OriginalBudget]]</f>
        <v>-671</v>
      </c>
      <c r="L694" s="11">
        <f>allFYsTable[[#This Row],[DiffAmount]]/allFYsTable[[#This Row],[OriginalBudget]]</f>
        <v>-7.7295242483584839E-2</v>
      </c>
    </row>
    <row r="695" spans="1:12" x14ac:dyDescent="0.45">
      <c r="A695" t="s">
        <v>1034</v>
      </c>
      <c r="B695" t="s">
        <v>347</v>
      </c>
      <c r="C695" t="s">
        <v>725</v>
      </c>
      <c r="D695" t="s">
        <v>366</v>
      </c>
      <c r="E695">
        <v>2034</v>
      </c>
      <c r="F695">
        <v>2047</v>
      </c>
      <c r="G695">
        <v>2013</v>
      </c>
      <c r="H695">
        <v>34</v>
      </c>
      <c r="I695">
        <v>2011</v>
      </c>
      <c r="J695">
        <v>5</v>
      </c>
      <c r="K695">
        <f>allFYsTable[[#This Row],[Actual]]-allFYsTable[[#This Row],[OriginalBudget]]</f>
        <v>-21</v>
      </c>
      <c r="L695" s="11">
        <f>allFYsTable[[#This Row],[DiffAmount]]/allFYsTable[[#This Row],[OriginalBudget]]</f>
        <v>-1.0324483775811209E-2</v>
      </c>
    </row>
    <row r="696" spans="1:12" x14ac:dyDescent="0.45">
      <c r="A696" t="s">
        <v>1034</v>
      </c>
      <c r="B696" t="s">
        <v>347</v>
      </c>
      <c r="C696" t="s">
        <v>724</v>
      </c>
      <c r="D696" t="s">
        <v>367</v>
      </c>
      <c r="E696">
        <v>13329</v>
      </c>
      <c r="F696">
        <v>13329</v>
      </c>
      <c r="G696">
        <v>12401</v>
      </c>
      <c r="H696">
        <v>928</v>
      </c>
      <c r="I696">
        <v>2011</v>
      </c>
      <c r="J696">
        <v>6</v>
      </c>
      <c r="K696">
        <f>allFYsTable[[#This Row],[Actual]]-allFYsTable[[#This Row],[OriginalBudget]]</f>
        <v>-928</v>
      </c>
      <c r="L696" s="11">
        <f>allFYsTable[[#This Row],[DiffAmount]]/allFYsTable[[#This Row],[OriginalBudget]]</f>
        <v>-6.9622627353890021E-2</v>
      </c>
    </row>
    <row r="697" spans="1:12" x14ac:dyDescent="0.45">
      <c r="A697" t="s">
        <v>1034</v>
      </c>
      <c r="B697" t="s">
        <v>347</v>
      </c>
      <c r="C697" t="s">
        <v>701</v>
      </c>
      <c r="D697" t="s">
        <v>368</v>
      </c>
      <c r="E697">
        <v>2500</v>
      </c>
      <c r="F697">
        <v>2500</v>
      </c>
      <c r="G697">
        <v>196</v>
      </c>
      <c r="H697">
        <v>2304</v>
      </c>
      <c r="I697">
        <v>2011</v>
      </c>
      <c r="J697">
        <v>7</v>
      </c>
      <c r="K697">
        <f>allFYsTable[[#This Row],[Actual]]-allFYsTable[[#This Row],[OriginalBudget]]</f>
        <v>-2304</v>
      </c>
      <c r="L697" s="11">
        <f>allFYsTable[[#This Row],[DiffAmount]]/allFYsTable[[#This Row],[OriginalBudget]]</f>
        <v>-0.92159999999999997</v>
      </c>
    </row>
    <row r="698" spans="1:12" x14ac:dyDescent="0.45">
      <c r="A698" t="s">
        <v>1034</v>
      </c>
      <c r="B698" t="s">
        <v>347</v>
      </c>
      <c r="C698" t="s">
        <v>722</v>
      </c>
      <c r="D698" t="s">
        <v>369</v>
      </c>
      <c r="E698">
        <v>3436</v>
      </c>
      <c r="F698">
        <v>4126</v>
      </c>
      <c r="G698">
        <v>4012</v>
      </c>
      <c r="H698">
        <v>114</v>
      </c>
      <c r="I698">
        <v>2011</v>
      </c>
      <c r="J698">
        <v>8</v>
      </c>
      <c r="K698">
        <f>allFYsTable[[#This Row],[Actual]]-allFYsTable[[#This Row],[OriginalBudget]]</f>
        <v>576</v>
      </c>
      <c r="L698" s="11">
        <f>allFYsTable[[#This Row],[DiffAmount]]/allFYsTable[[#This Row],[OriginalBudget]]</f>
        <v>0.16763678696158324</v>
      </c>
    </row>
    <row r="699" spans="1:12" x14ac:dyDescent="0.45">
      <c r="A699" t="s">
        <v>1034</v>
      </c>
      <c r="B699" t="s">
        <v>347</v>
      </c>
      <c r="C699" t="s">
        <v>704</v>
      </c>
      <c r="D699" t="s">
        <v>370</v>
      </c>
      <c r="E699">
        <v>7865</v>
      </c>
      <c r="F699">
        <v>8301</v>
      </c>
      <c r="G699">
        <v>8135</v>
      </c>
      <c r="H699">
        <v>166</v>
      </c>
      <c r="I699">
        <v>2011</v>
      </c>
      <c r="J699">
        <v>9</v>
      </c>
      <c r="K699">
        <f>allFYsTable[[#This Row],[Actual]]-allFYsTable[[#This Row],[OriginalBudget]]</f>
        <v>270</v>
      </c>
      <c r="L699" s="11">
        <f>allFYsTable[[#This Row],[DiffAmount]]/allFYsTable[[#This Row],[OriginalBudget]]</f>
        <v>3.4329307056579786E-2</v>
      </c>
    </row>
    <row r="700" spans="1:12" x14ac:dyDescent="0.45">
      <c r="A700" t="s">
        <v>1034</v>
      </c>
      <c r="B700" t="s">
        <v>347</v>
      </c>
      <c r="C700" t="s">
        <v>716</v>
      </c>
      <c r="D700" t="s">
        <v>371</v>
      </c>
      <c r="E700">
        <v>18357</v>
      </c>
      <c r="F700">
        <v>18357</v>
      </c>
      <c r="G700">
        <v>17874</v>
      </c>
      <c r="H700">
        <v>483</v>
      </c>
      <c r="I700">
        <v>2011</v>
      </c>
      <c r="J700">
        <v>10</v>
      </c>
      <c r="K700">
        <f>allFYsTable[[#This Row],[Actual]]-allFYsTable[[#This Row],[OriginalBudget]]</f>
        <v>-483</v>
      </c>
      <c r="L700" s="11">
        <f>allFYsTable[[#This Row],[DiffAmount]]/allFYsTable[[#This Row],[OriginalBudget]]</f>
        <v>-2.6311488805360352E-2</v>
      </c>
    </row>
    <row r="701" spans="1:12" x14ac:dyDescent="0.45">
      <c r="A701" t="s">
        <v>1034</v>
      </c>
      <c r="B701" t="s">
        <v>347</v>
      </c>
      <c r="C701" t="s">
        <v>705</v>
      </c>
      <c r="D701" t="s">
        <v>372</v>
      </c>
      <c r="E701">
        <v>8819</v>
      </c>
      <c r="F701">
        <v>7735</v>
      </c>
      <c r="G701">
        <v>7136</v>
      </c>
      <c r="H701">
        <v>599</v>
      </c>
      <c r="I701">
        <v>2011</v>
      </c>
      <c r="J701">
        <v>11</v>
      </c>
      <c r="K701">
        <f>allFYsTable[[#This Row],[Actual]]-allFYsTable[[#This Row],[OriginalBudget]]</f>
        <v>-1683</v>
      </c>
      <c r="L701" s="11">
        <f>allFYsTable[[#This Row],[DiffAmount]]/allFYsTable[[#This Row],[OriginalBudget]]</f>
        <v>-0.19083796348792381</v>
      </c>
    </row>
    <row r="702" spans="1:12" x14ac:dyDescent="0.45">
      <c r="A702" t="s">
        <v>1034</v>
      </c>
      <c r="B702" t="s">
        <v>347</v>
      </c>
      <c r="C702" t="s">
        <v>713</v>
      </c>
      <c r="D702" t="s">
        <v>373</v>
      </c>
      <c r="E702">
        <v>8753</v>
      </c>
      <c r="F702">
        <v>8753</v>
      </c>
      <c r="G702">
        <v>8294</v>
      </c>
      <c r="H702">
        <v>459</v>
      </c>
      <c r="I702">
        <v>2011</v>
      </c>
      <c r="J702">
        <v>12</v>
      </c>
      <c r="K702">
        <f>allFYsTable[[#This Row],[Actual]]-allFYsTable[[#This Row],[OriginalBudget]]</f>
        <v>-459</v>
      </c>
      <c r="L702" s="11">
        <f>allFYsTable[[#This Row],[DiffAmount]]/allFYsTable[[#This Row],[OriginalBudget]]</f>
        <v>-5.243916371529761E-2</v>
      </c>
    </row>
    <row r="703" spans="1:12" x14ac:dyDescent="0.45">
      <c r="A703" t="s">
        <v>1034</v>
      </c>
      <c r="B703" t="s">
        <v>347</v>
      </c>
      <c r="C703" t="s">
        <v>702</v>
      </c>
      <c r="D703" t="s">
        <v>374</v>
      </c>
      <c r="E703">
        <v>774</v>
      </c>
      <c r="F703">
        <v>774</v>
      </c>
      <c r="G703">
        <v>765</v>
      </c>
      <c r="H703">
        <v>9</v>
      </c>
      <c r="I703">
        <v>2011</v>
      </c>
      <c r="J703">
        <v>13</v>
      </c>
      <c r="K703">
        <f>allFYsTable[[#This Row],[Actual]]-allFYsTable[[#This Row],[OriginalBudget]]</f>
        <v>-9</v>
      </c>
      <c r="L703" s="11">
        <f>allFYsTable[[#This Row],[DiffAmount]]/allFYsTable[[#This Row],[OriginalBudget]]</f>
        <v>-1.1627906976744186E-2</v>
      </c>
    </row>
    <row r="704" spans="1:12" x14ac:dyDescent="0.45">
      <c r="A704" t="s">
        <v>1034</v>
      </c>
      <c r="B704" t="s">
        <v>347</v>
      </c>
      <c r="C704" t="s">
        <v>720</v>
      </c>
      <c r="D704" t="s">
        <v>375</v>
      </c>
      <c r="E704">
        <v>87825</v>
      </c>
      <c r="F704">
        <v>87825</v>
      </c>
      <c r="G704">
        <v>87779</v>
      </c>
      <c r="H704">
        <v>46</v>
      </c>
      <c r="I704">
        <v>2011</v>
      </c>
      <c r="J704">
        <v>14</v>
      </c>
      <c r="K704">
        <f>allFYsTable[[#This Row],[Actual]]-allFYsTable[[#This Row],[OriginalBudget]]</f>
        <v>-46</v>
      </c>
      <c r="L704" s="11">
        <f>allFYsTable[[#This Row],[DiffAmount]]/allFYsTable[[#This Row],[OriginalBudget]]</f>
        <v>-5.2376885852547682E-4</v>
      </c>
    </row>
    <row r="705" spans="1:12" x14ac:dyDescent="0.45">
      <c r="A705" t="s">
        <v>1034</v>
      </c>
      <c r="B705" t="s">
        <v>347</v>
      </c>
      <c r="C705" t="s">
        <v>719</v>
      </c>
      <c r="D705" t="s">
        <v>376</v>
      </c>
      <c r="E705">
        <v>50220</v>
      </c>
      <c r="F705">
        <v>50220</v>
      </c>
      <c r="G705">
        <v>48936</v>
      </c>
      <c r="H705">
        <v>1284</v>
      </c>
      <c r="I705">
        <v>2011</v>
      </c>
      <c r="J705">
        <v>15</v>
      </c>
      <c r="K705">
        <f>allFYsTable[[#This Row],[Actual]]-allFYsTable[[#This Row],[OriginalBudget]]</f>
        <v>-1284</v>
      </c>
      <c r="L705" s="11">
        <f>allFYsTable[[#This Row],[DiffAmount]]/allFYsTable[[#This Row],[OriginalBudget]]</f>
        <v>-2.5567502986857827E-2</v>
      </c>
    </row>
    <row r="706" spans="1:12" x14ac:dyDescent="0.45">
      <c r="A706" t="s">
        <v>1034</v>
      </c>
      <c r="B706" t="s">
        <v>347</v>
      </c>
      <c r="C706" t="s">
        <v>718</v>
      </c>
      <c r="D706" t="s">
        <v>377</v>
      </c>
      <c r="E706">
        <v>771</v>
      </c>
      <c r="F706">
        <v>807</v>
      </c>
      <c r="G706">
        <v>722</v>
      </c>
      <c r="H706">
        <v>85</v>
      </c>
      <c r="I706">
        <v>2011</v>
      </c>
      <c r="J706">
        <v>16</v>
      </c>
      <c r="K706">
        <f>allFYsTable[[#This Row],[Actual]]-allFYsTable[[#This Row],[OriginalBudget]]</f>
        <v>-49</v>
      </c>
      <c r="L706" s="11">
        <f>allFYsTable[[#This Row],[DiffAmount]]/allFYsTable[[#This Row],[OriginalBudget]]</f>
        <v>-6.3553826199740593E-2</v>
      </c>
    </row>
    <row r="707" spans="1:12" x14ac:dyDescent="0.45">
      <c r="A707" t="s">
        <v>1034</v>
      </c>
      <c r="B707" t="s">
        <v>347</v>
      </c>
      <c r="C707" t="s">
        <v>714</v>
      </c>
      <c r="D707" t="s">
        <v>378</v>
      </c>
      <c r="E707">
        <v>906</v>
      </c>
      <c r="F707">
        <v>906</v>
      </c>
      <c r="G707">
        <v>819</v>
      </c>
      <c r="H707">
        <v>87</v>
      </c>
      <c r="I707">
        <v>2011</v>
      </c>
      <c r="J707">
        <v>17</v>
      </c>
      <c r="K707">
        <f>allFYsTable[[#This Row],[Actual]]-allFYsTable[[#This Row],[OriginalBudget]]</f>
        <v>-87</v>
      </c>
      <c r="L707" s="11">
        <f>allFYsTable[[#This Row],[DiffAmount]]/allFYsTable[[#This Row],[OriginalBudget]]</f>
        <v>-9.602649006622517E-2</v>
      </c>
    </row>
    <row r="708" spans="1:12" x14ac:dyDescent="0.45">
      <c r="A708" t="s">
        <v>1034</v>
      </c>
      <c r="B708" t="s">
        <v>347</v>
      </c>
      <c r="C708" t="s">
        <v>721</v>
      </c>
      <c r="D708" t="s">
        <v>379</v>
      </c>
      <c r="E708">
        <v>30128</v>
      </c>
      <c r="F708">
        <v>30128</v>
      </c>
      <c r="G708">
        <v>29757</v>
      </c>
      <c r="H708">
        <v>371</v>
      </c>
      <c r="I708">
        <v>2011</v>
      </c>
      <c r="J708">
        <v>18</v>
      </c>
      <c r="K708">
        <f>allFYsTable[[#This Row],[Actual]]-allFYsTable[[#This Row],[OriginalBudget]]</f>
        <v>-371</v>
      </c>
      <c r="L708" s="11">
        <f>allFYsTable[[#This Row],[DiffAmount]]/allFYsTable[[#This Row],[OriginalBudget]]</f>
        <v>-1.2314126394052044E-2</v>
      </c>
    </row>
    <row r="709" spans="1:12" x14ac:dyDescent="0.45">
      <c r="A709" t="s">
        <v>1034</v>
      </c>
      <c r="B709" t="s">
        <v>347</v>
      </c>
      <c r="C709" t="s">
        <v>699</v>
      </c>
      <c r="D709" t="s">
        <v>380</v>
      </c>
      <c r="E709">
        <v>4085</v>
      </c>
      <c r="F709">
        <v>4774</v>
      </c>
      <c r="G709">
        <v>4536</v>
      </c>
      <c r="H709">
        <v>238</v>
      </c>
      <c r="I709">
        <v>2011</v>
      </c>
      <c r="J709">
        <v>19</v>
      </c>
      <c r="K709">
        <f>allFYsTable[[#This Row],[Actual]]-allFYsTable[[#This Row],[OriginalBudget]]</f>
        <v>451</v>
      </c>
      <c r="L709" s="11">
        <f>allFYsTable[[#This Row],[DiffAmount]]/allFYsTable[[#This Row],[OriginalBudget]]</f>
        <v>0.11040391676866584</v>
      </c>
    </row>
    <row r="710" spans="1:12" x14ac:dyDescent="0.45">
      <c r="A710" t="s">
        <v>1034</v>
      </c>
      <c r="B710" t="s">
        <v>347</v>
      </c>
      <c r="C710" t="s">
        <v>712</v>
      </c>
      <c r="D710" t="s">
        <v>381</v>
      </c>
      <c r="E710">
        <v>1325</v>
      </c>
      <c r="F710">
        <v>1325</v>
      </c>
      <c r="G710">
        <v>1325</v>
      </c>
      <c r="H710">
        <v>0</v>
      </c>
      <c r="I710">
        <v>2011</v>
      </c>
      <c r="J710">
        <v>20</v>
      </c>
      <c r="K710">
        <f>allFYsTable[[#This Row],[Actual]]-allFYsTable[[#This Row],[OriginalBudget]]</f>
        <v>0</v>
      </c>
      <c r="L710" s="11">
        <f>allFYsTable[[#This Row],[DiffAmount]]/allFYsTable[[#This Row],[OriginalBudget]]</f>
        <v>0</v>
      </c>
    </row>
    <row r="711" spans="1:12" x14ac:dyDescent="0.45">
      <c r="A711" t="s">
        <v>1034</v>
      </c>
      <c r="B711" t="s">
        <v>347</v>
      </c>
      <c r="C711" t="s">
        <v>730</v>
      </c>
      <c r="D711" t="s">
        <v>382</v>
      </c>
      <c r="E711">
        <v>869</v>
      </c>
      <c r="F711">
        <v>829</v>
      </c>
      <c r="G711">
        <v>733</v>
      </c>
      <c r="H711">
        <v>96</v>
      </c>
      <c r="I711">
        <v>2011</v>
      </c>
      <c r="J711">
        <v>21</v>
      </c>
      <c r="K711">
        <f>allFYsTable[[#This Row],[Actual]]-allFYsTable[[#This Row],[OriginalBudget]]</f>
        <v>-136</v>
      </c>
      <c r="L711" s="11">
        <f>allFYsTable[[#This Row],[DiffAmount]]/allFYsTable[[#This Row],[OriginalBudget]]</f>
        <v>-0.1565017261219793</v>
      </c>
    </row>
    <row r="712" spans="1:12" x14ac:dyDescent="0.45">
      <c r="A712" t="s">
        <v>1034</v>
      </c>
      <c r="B712" t="s">
        <v>347</v>
      </c>
      <c r="C712" t="s">
        <v>715</v>
      </c>
      <c r="D712" t="s">
        <v>383</v>
      </c>
      <c r="E712">
        <v>1287</v>
      </c>
      <c r="F712">
        <v>1212</v>
      </c>
      <c r="G712">
        <v>1116</v>
      </c>
      <c r="H712">
        <v>96</v>
      </c>
      <c r="I712">
        <v>2011</v>
      </c>
      <c r="J712">
        <v>22</v>
      </c>
      <c r="K712">
        <f>allFYsTable[[#This Row],[Actual]]-allFYsTable[[#This Row],[OriginalBudget]]</f>
        <v>-171</v>
      </c>
      <c r="L712" s="11">
        <f>allFYsTable[[#This Row],[DiffAmount]]/allFYsTable[[#This Row],[OriginalBudget]]</f>
        <v>-0.13286713286713286</v>
      </c>
    </row>
    <row r="713" spans="1:12" x14ac:dyDescent="0.45">
      <c r="A713" t="s">
        <v>1034</v>
      </c>
      <c r="B713" t="s">
        <v>347</v>
      </c>
      <c r="C713" t="s">
        <v>709</v>
      </c>
      <c r="D713" t="s">
        <v>384</v>
      </c>
      <c r="E713">
        <v>396</v>
      </c>
      <c r="F713">
        <v>495</v>
      </c>
      <c r="G713">
        <v>495</v>
      </c>
      <c r="H713">
        <v>0</v>
      </c>
      <c r="I713">
        <v>2011</v>
      </c>
      <c r="J713">
        <v>23</v>
      </c>
      <c r="K713">
        <f>allFYsTable[[#This Row],[Actual]]-allFYsTable[[#This Row],[OriginalBudget]]</f>
        <v>99</v>
      </c>
      <c r="L713" s="11">
        <f>allFYsTable[[#This Row],[DiffAmount]]/allFYsTable[[#This Row],[OriginalBudget]]</f>
        <v>0.25</v>
      </c>
    </row>
    <row r="714" spans="1:12" x14ac:dyDescent="0.45">
      <c r="A714" t="s">
        <v>1034</v>
      </c>
      <c r="B714" t="s">
        <v>347</v>
      </c>
      <c r="C714" t="s">
        <v>851</v>
      </c>
      <c r="D714" t="s">
        <v>385</v>
      </c>
      <c r="E714">
        <v>120439</v>
      </c>
      <c r="F714">
        <v>123657</v>
      </c>
      <c r="G714">
        <v>122657</v>
      </c>
      <c r="H714">
        <v>1000</v>
      </c>
      <c r="I714">
        <v>2011</v>
      </c>
      <c r="J714">
        <v>24</v>
      </c>
      <c r="K714">
        <f>allFYsTable[[#This Row],[Actual]]-allFYsTable[[#This Row],[OriginalBudget]]</f>
        <v>2218</v>
      </c>
      <c r="L714" s="11">
        <f>allFYsTable[[#This Row],[DiffAmount]]/allFYsTable[[#This Row],[OriginalBudget]]</f>
        <v>1.8415961607120616E-2</v>
      </c>
    </row>
    <row r="715" spans="1:12" x14ac:dyDescent="0.45">
      <c r="A715" t="s">
        <v>1034</v>
      </c>
      <c r="B715" t="s">
        <v>347</v>
      </c>
      <c r="C715" t="s">
        <v>852</v>
      </c>
      <c r="D715" t="s">
        <v>386</v>
      </c>
      <c r="E715">
        <v>2951</v>
      </c>
      <c r="F715">
        <v>2951</v>
      </c>
      <c r="G715">
        <v>2951</v>
      </c>
      <c r="H715">
        <v>0</v>
      </c>
      <c r="I715">
        <v>2011</v>
      </c>
      <c r="J715">
        <v>25</v>
      </c>
      <c r="K715">
        <f>allFYsTable[[#This Row],[Actual]]-allFYsTable[[#This Row],[OriginalBudget]]</f>
        <v>0</v>
      </c>
      <c r="L715" s="11">
        <f>allFYsTable[[#This Row],[DiffAmount]]/allFYsTable[[#This Row],[OriginalBudget]]</f>
        <v>0</v>
      </c>
    </row>
    <row r="716" spans="1:12" x14ac:dyDescent="0.45">
      <c r="A716" t="s">
        <v>1034</v>
      </c>
      <c r="B716" t="s">
        <v>347</v>
      </c>
      <c r="C716" t="s">
        <v>700</v>
      </c>
      <c r="D716" t="s">
        <v>387</v>
      </c>
      <c r="E716">
        <v>263</v>
      </c>
      <c r="F716">
        <v>0</v>
      </c>
      <c r="G716">
        <v>0</v>
      </c>
      <c r="H716">
        <v>0</v>
      </c>
      <c r="I716">
        <v>2011</v>
      </c>
      <c r="J716">
        <v>26</v>
      </c>
      <c r="K716">
        <f>allFYsTable[[#This Row],[Actual]]-allFYsTable[[#This Row],[OriginalBudget]]</f>
        <v>-263</v>
      </c>
      <c r="L716" s="11">
        <f>allFYsTable[[#This Row],[DiffAmount]]/allFYsTable[[#This Row],[OriginalBudget]]</f>
        <v>-1</v>
      </c>
    </row>
    <row r="717" spans="1:12" x14ac:dyDescent="0.45">
      <c r="A717" t="s">
        <v>1034</v>
      </c>
      <c r="B717" t="s">
        <v>347</v>
      </c>
      <c r="C717" t="s">
        <v>865</v>
      </c>
      <c r="D717" t="s">
        <v>388</v>
      </c>
      <c r="E717">
        <v>0</v>
      </c>
      <c r="F717">
        <v>783</v>
      </c>
      <c r="G717">
        <v>783</v>
      </c>
      <c r="H717">
        <v>0</v>
      </c>
      <c r="I717">
        <v>2011</v>
      </c>
      <c r="J717">
        <v>27</v>
      </c>
      <c r="K717">
        <f>allFYsTable[[#This Row],[Actual]]-allFYsTable[[#This Row],[OriginalBudget]]</f>
        <v>783</v>
      </c>
      <c r="L717" s="11" t="e">
        <f>allFYsTable[[#This Row],[DiffAmount]]/allFYsTable[[#This Row],[OriginalBudget]]</f>
        <v>#DIV/0!</v>
      </c>
    </row>
    <row r="718" spans="1:12" x14ac:dyDescent="0.45">
      <c r="A718" t="s">
        <v>1034</v>
      </c>
      <c r="B718" t="s">
        <v>129</v>
      </c>
      <c r="C718" t="s">
        <v>743</v>
      </c>
      <c r="D718" t="s">
        <v>998</v>
      </c>
      <c r="E718">
        <v>7849</v>
      </c>
      <c r="F718">
        <v>10439</v>
      </c>
      <c r="G718">
        <v>7658</v>
      </c>
      <c r="H718">
        <v>2781</v>
      </c>
      <c r="I718">
        <v>2011</v>
      </c>
      <c r="J718">
        <v>28</v>
      </c>
      <c r="K718">
        <f>allFYsTable[[#This Row],[Actual]]-allFYsTable[[#This Row],[OriginalBudget]]</f>
        <v>-191</v>
      </c>
      <c r="L718" s="11">
        <f>allFYsTable[[#This Row],[DiffAmount]]/allFYsTable[[#This Row],[OriginalBudget]]</f>
        <v>-2.4334310103197858E-2</v>
      </c>
    </row>
    <row r="719" spans="1:12" x14ac:dyDescent="0.45">
      <c r="A719" t="s">
        <v>1034</v>
      </c>
      <c r="B719" t="s">
        <v>129</v>
      </c>
      <c r="C719" t="s">
        <v>738</v>
      </c>
      <c r="D719" t="s">
        <v>389</v>
      </c>
      <c r="E719">
        <v>4653</v>
      </c>
      <c r="F719">
        <v>7676</v>
      </c>
      <c r="G719">
        <v>7536</v>
      </c>
      <c r="H719">
        <v>140</v>
      </c>
      <c r="I719">
        <v>2011</v>
      </c>
      <c r="J719">
        <v>29</v>
      </c>
      <c r="K719">
        <f>allFYsTable[[#This Row],[Actual]]-allFYsTable[[#This Row],[OriginalBudget]]</f>
        <v>2883</v>
      </c>
      <c r="L719" s="11">
        <f>allFYsTable[[#This Row],[DiffAmount]]/allFYsTable[[#This Row],[OriginalBudget]]</f>
        <v>0.61960025789813022</v>
      </c>
    </row>
    <row r="720" spans="1:12" x14ac:dyDescent="0.45">
      <c r="A720" t="s">
        <v>1034</v>
      </c>
      <c r="B720" t="s">
        <v>129</v>
      </c>
      <c r="C720" t="s">
        <v>742</v>
      </c>
      <c r="D720" t="s">
        <v>390</v>
      </c>
      <c r="E720">
        <v>5956</v>
      </c>
      <c r="F720">
        <v>5831</v>
      </c>
      <c r="G720">
        <v>5480</v>
      </c>
      <c r="H720">
        <v>351</v>
      </c>
      <c r="I720">
        <v>2011</v>
      </c>
      <c r="J720">
        <v>30</v>
      </c>
      <c r="K720">
        <f>allFYsTable[[#This Row],[Actual]]-allFYsTable[[#This Row],[OriginalBudget]]</f>
        <v>-476</v>
      </c>
      <c r="L720" s="11">
        <f>allFYsTable[[#This Row],[DiffAmount]]/allFYsTable[[#This Row],[OriginalBudget]]</f>
        <v>-7.9919408999328409E-2</v>
      </c>
    </row>
    <row r="721" spans="1:12" x14ac:dyDescent="0.45">
      <c r="A721" t="s">
        <v>1034</v>
      </c>
      <c r="B721" t="s">
        <v>129</v>
      </c>
      <c r="C721" t="s">
        <v>744</v>
      </c>
      <c r="D721" t="s">
        <v>391</v>
      </c>
      <c r="E721">
        <v>2553</v>
      </c>
      <c r="F721">
        <v>2553</v>
      </c>
      <c r="G721">
        <v>2466</v>
      </c>
      <c r="H721">
        <v>87</v>
      </c>
      <c r="I721">
        <v>2011</v>
      </c>
      <c r="J721">
        <v>31</v>
      </c>
      <c r="K721">
        <f>allFYsTable[[#This Row],[Actual]]-allFYsTable[[#This Row],[OriginalBudget]]</f>
        <v>-87</v>
      </c>
      <c r="L721" s="11">
        <f>allFYsTable[[#This Row],[DiffAmount]]/allFYsTable[[#This Row],[OriginalBudget]]</f>
        <v>-3.4077555816686249E-2</v>
      </c>
    </row>
    <row r="722" spans="1:12" x14ac:dyDescent="0.45">
      <c r="A722" t="s">
        <v>1034</v>
      </c>
      <c r="B722" t="s">
        <v>129</v>
      </c>
      <c r="C722" t="s">
        <v>737</v>
      </c>
      <c r="D722" t="s">
        <v>392</v>
      </c>
      <c r="E722">
        <v>10538</v>
      </c>
      <c r="F722">
        <v>10772</v>
      </c>
      <c r="G722">
        <v>10772</v>
      </c>
      <c r="H722">
        <v>0</v>
      </c>
      <c r="I722">
        <v>2011</v>
      </c>
      <c r="J722">
        <v>32</v>
      </c>
      <c r="K722">
        <f>allFYsTable[[#This Row],[Actual]]-allFYsTable[[#This Row],[OriginalBudget]]</f>
        <v>234</v>
      </c>
      <c r="L722" s="11">
        <f>allFYsTable[[#This Row],[DiffAmount]]/allFYsTable[[#This Row],[OriginalBudget]]</f>
        <v>2.2205352059214273E-2</v>
      </c>
    </row>
    <row r="723" spans="1:12" x14ac:dyDescent="0.45">
      <c r="A723" t="s">
        <v>1034</v>
      </c>
      <c r="B723" t="s">
        <v>129</v>
      </c>
      <c r="C723" t="s">
        <v>741</v>
      </c>
      <c r="D723" t="s">
        <v>393</v>
      </c>
      <c r="E723">
        <v>547</v>
      </c>
      <c r="F723">
        <v>670</v>
      </c>
      <c r="G723">
        <v>571</v>
      </c>
      <c r="H723">
        <v>99</v>
      </c>
      <c r="I723">
        <v>2011</v>
      </c>
      <c r="J723">
        <v>33</v>
      </c>
      <c r="K723">
        <f>allFYsTable[[#This Row],[Actual]]-allFYsTable[[#This Row],[OriginalBudget]]</f>
        <v>24</v>
      </c>
      <c r="L723" s="11">
        <f>allFYsTable[[#This Row],[DiffAmount]]/allFYsTable[[#This Row],[OriginalBudget]]</f>
        <v>4.3875685557586835E-2</v>
      </c>
    </row>
    <row r="724" spans="1:12" x14ac:dyDescent="0.45">
      <c r="A724" t="s">
        <v>1034</v>
      </c>
      <c r="B724" t="s">
        <v>129</v>
      </c>
      <c r="C724" t="s">
        <v>769</v>
      </c>
      <c r="D724" t="s">
        <v>394</v>
      </c>
      <c r="E724">
        <v>38159</v>
      </c>
      <c r="F724">
        <v>38860</v>
      </c>
      <c r="G724">
        <v>38148</v>
      </c>
      <c r="H724">
        <v>712</v>
      </c>
      <c r="I724">
        <v>2011</v>
      </c>
      <c r="J724">
        <v>34</v>
      </c>
      <c r="K724">
        <f>allFYsTable[[#This Row],[Actual]]-allFYsTable[[#This Row],[OriginalBudget]]</f>
        <v>-11</v>
      </c>
      <c r="L724" s="11">
        <f>allFYsTable[[#This Row],[DiffAmount]]/allFYsTable[[#This Row],[OriginalBudget]]</f>
        <v>-2.8826751225136929E-4</v>
      </c>
    </row>
    <row r="725" spans="1:12" x14ac:dyDescent="0.45">
      <c r="A725" t="s">
        <v>1034</v>
      </c>
      <c r="B725" t="s">
        <v>129</v>
      </c>
      <c r="C725" t="s">
        <v>745</v>
      </c>
      <c r="D725" t="s">
        <v>395</v>
      </c>
      <c r="E725">
        <v>1254</v>
      </c>
      <c r="F725">
        <v>1254</v>
      </c>
      <c r="G725">
        <v>1063</v>
      </c>
      <c r="H725">
        <v>191</v>
      </c>
      <c r="I725">
        <v>2011</v>
      </c>
      <c r="J725">
        <v>35</v>
      </c>
      <c r="K725">
        <f>allFYsTable[[#This Row],[Actual]]-allFYsTable[[#This Row],[OriginalBudget]]</f>
        <v>-191</v>
      </c>
      <c r="L725" s="11">
        <f>allFYsTable[[#This Row],[DiffAmount]]/allFYsTable[[#This Row],[OriginalBudget]]</f>
        <v>-0.15231259968102073</v>
      </c>
    </row>
    <row r="726" spans="1:12" x14ac:dyDescent="0.45">
      <c r="A726" t="s">
        <v>1034</v>
      </c>
      <c r="B726" t="s">
        <v>129</v>
      </c>
      <c r="C726" t="s">
        <v>797</v>
      </c>
      <c r="D726" t="s">
        <v>396</v>
      </c>
      <c r="E726">
        <v>7871</v>
      </c>
      <c r="F726">
        <v>7871</v>
      </c>
      <c r="G726">
        <v>7624</v>
      </c>
      <c r="H726">
        <v>247</v>
      </c>
      <c r="I726">
        <v>2011</v>
      </c>
      <c r="J726">
        <v>36</v>
      </c>
      <c r="K726">
        <f>allFYsTable[[#This Row],[Actual]]-allFYsTable[[#This Row],[OriginalBudget]]</f>
        <v>-247</v>
      </c>
      <c r="L726" s="11">
        <f>allFYsTable[[#This Row],[DiffAmount]]/allFYsTable[[#This Row],[OriginalBudget]]</f>
        <v>-3.1381018930250283E-2</v>
      </c>
    </row>
    <row r="727" spans="1:12" x14ac:dyDescent="0.45">
      <c r="A727" t="s">
        <v>1034</v>
      </c>
      <c r="B727" t="s">
        <v>129</v>
      </c>
      <c r="C727" t="s">
        <v>795</v>
      </c>
      <c r="D727" t="s">
        <v>397</v>
      </c>
      <c r="E727">
        <v>0</v>
      </c>
      <c r="F727">
        <v>0</v>
      </c>
      <c r="G727">
        <v>0</v>
      </c>
      <c r="H727">
        <v>0</v>
      </c>
      <c r="I727">
        <v>2011</v>
      </c>
      <c r="J727">
        <v>37</v>
      </c>
      <c r="K727">
        <f>allFYsTable[[#This Row],[Actual]]-allFYsTable[[#This Row],[OriginalBudget]]</f>
        <v>0</v>
      </c>
      <c r="L727" s="11" t="e">
        <f>allFYsTable[[#This Row],[DiffAmount]]/allFYsTable[[#This Row],[OriginalBudget]]</f>
        <v>#DIV/0!</v>
      </c>
    </row>
    <row r="728" spans="1:12" x14ac:dyDescent="0.45">
      <c r="A728" t="s">
        <v>1034</v>
      </c>
      <c r="B728" t="s">
        <v>129</v>
      </c>
      <c r="C728" t="s">
        <v>741</v>
      </c>
      <c r="D728" t="s">
        <v>398</v>
      </c>
      <c r="E728">
        <v>0</v>
      </c>
      <c r="F728">
        <v>0</v>
      </c>
      <c r="G728">
        <v>0</v>
      </c>
      <c r="H728">
        <v>0</v>
      </c>
      <c r="I728">
        <v>2011</v>
      </c>
      <c r="J728">
        <v>38</v>
      </c>
      <c r="K728">
        <f>allFYsTable[[#This Row],[Actual]]-allFYsTable[[#This Row],[OriginalBudget]]</f>
        <v>0</v>
      </c>
      <c r="L728" s="11" t="e">
        <f>allFYsTable[[#This Row],[DiffAmount]]/allFYsTable[[#This Row],[OriginalBudget]]</f>
        <v>#DIV/0!</v>
      </c>
    </row>
    <row r="729" spans="1:12" x14ac:dyDescent="0.45">
      <c r="A729" t="s">
        <v>1034</v>
      </c>
      <c r="B729" t="s">
        <v>129</v>
      </c>
      <c r="C729" t="s">
        <v>736</v>
      </c>
      <c r="D729" t="s">
        <v>399</v>
      </c>
      <c r="E729">
        <v>4362</v>
      </c>
      <c r="F729">
        <v>4362</v>
      </c>
      <c r="G729">
        <v>4182</v>
      </c>
      <c r="H729">
        <v>180</v>
      </c>
      <c r="I729">
        <v>2011</v>
      </c>
      <c r="J729">
        <v>39</v>
      </c>
      <c r="K729">
        <f>allFYsTable[[#This Row],[Actual]]-allFYsTable[[#This Row],[OriginalBudget]]</f>
        <v>-180</v>
      </c>
      <c r="L729" s="11">
        <f>allFYsTable[[#This Row],[DiffAmount]]/allFYsTable[[#This Row],[OriginalBudget]]</f>
        <v>-4.1265474552957357E-2</v>
      </c>
    </row>
    <row r="730" spans="1:12" x14ac:dyDescent="0.45">
      <c r="A730" t="s">
        <v>1034</v>
      </c>
      <c r="B730" t="s">
        <v>129</v>
      </c>
      <c r="C730" t="s">
        <v>739</v>
      </c>
      <c r="D730" t="s">
        <v>400</v>
      </c>
      <c r="E730">
        <v>22823</v>
      </c>
      <c r="F730">
        <v>22823</v>
      </c>
      <c r="G730">
        <v>22823</v>
      </c>
      <c r="H730">
        <v>0</v>
      </c>
      <c r="I730">
        <v>2011</v>
      </c>
      <c r="J730">
        <v>40</v>
      </c>
      <c r="K730">
        <f>allFYsTable[[#This Row],[Actual]]-allFYsTable[[#This Row],[OriginalBudget]]</f>
        <v>0</v>
      </c>
      <c r="L730" s="11">
        <f>allFYsTable[[#This Row],[DiffAmount]]/allFYsTable[[#This Row],[OriginalBudget]]</f>
        <v>0</v>
      </c>
    </row>
    <row r="731" spans="1:12" x14ac:dyDescent="0.45">
      <c r="A731" t="s">
        <v>1034</v>
      </c>
      <c r="B731" t="s">
        <v>129</v>
      </c>
      <c r="C731" t="s">
        <v>734</v>
      </c>
      <c r="D731" t="s">
        <v>401</v>
      </c>
      <c r="E731">
        <v>0</v>
      </c>
      <c r="F731">
        <v>0</v>
      </c>
      <c r="G731">
        <v>0</v>
      </c>
      <c r="H731">
        <v>0</v>
      </c>
      <c r="I731">
        <v>2011</v>
      </c>
      <c r="J731">
        <v>41</v>
      </c>
      <c r="K731">
        <f>allFYsTable[[#This Row],[Actual]]-allFYsTable[[#This Row],[OriginalBudget]]</f>
        <v>0</v>
      </c>
      <c r="L731" s="11" t="e">
        <f>allFYsTable[[#This Row],[DiffAmount]]/allFYsTable[[#This Row],[OriginalBudget]]</f>
        <v>#DIV/0!</v>
      </c>
    </row>
    <row r="732" spans="1:12" x14ac:dyDescent="0.45">
      <c r="A732" t="s">
        <v>1034</v>
      </c>
      <c r="B732" t="s">
        <v>129</v>
      </c>
      <c r="C732" t="s">
        <v>740</v>
      </c>
      <c r="D732" t="s">
        <v>402</v>
      </c>
      <c r="E732">
        <v>14384</v>
      </c>
      <c r="F732">
        <v>34018</v>
      </c>
      <c r="G732">
        <v>34018</v>
      </c>
      <c r="H732">
        <v>0</v>
      </c>
      <c r="I732">
        <v>2011</v>
      </c>
      <c r="J732">
        <v>42</v>
      </c>
      <c r="K732">
        <f>allFYsTable[[#This Row],[Actual]]-allFYsTable[[#This Row],[OriginalBudget]]</f>
        <v>19634</v>
      </c>
      <c r="L732" s="11">
        <f>allFYsTable[[#This Row],[DiffAmount]]/allFYsTable[[#This Row],[OriginalBudget]]</f>
        <v>1.3649888765294771</v>
      </c>
    </row>
    <row r="733" spans="1:12" x14ac:dyDescent="0.45">
      <c r="A733" t="s">
        <v>1034</v>
      </c>
      <c r="B733" t="s">
        <v>129</v>
      </c>
      <c r="C733" t="s">
        <v>806</v>
      </c>
      <c r="D733" t="s">
        <v>82</v>
      </c>
      <c r="E733">
        <v>0</v>
      </c>
      <c r="F733">
        <v>0</v>
      </c>
      <c r="G733">
        <v>0</v>
      </c>
      <c r="H733">
        <v>0</v>
      </c>
      <c r="I733">
        <v>2011</v>
      </c>
      <c r="J733">
        <v>43</v>
      </c>
      <c r="K733">
        <f>allFYsTable[[#This Row],[Actual]]-allFYsTable[[#This Row],[OriginalBudget]]</f>
        <v>0</v>
      </c>
      <c r="L733" s="11" t="e">
        <f>allFYsTable[[#This Row],[DiffAmount]]/allFYsTable[[#This Row],[OriginalBudget]]</f>
        <v>#DIV/0!</v>
      </c>
    </row>
    <row r="734" spans="1:12" x14ac:dyDescent="0.45">
      <c r="A734" t="s">
        <v>1034</v>
      </c>
      <c r="B734" t="s">
        <v>129</v>
      </c>
      <c r="C734" t="s">
        <v>839</v>
      </c>
      <c r="D734" t="s">
        <v>999</v>
      </c>
      <c r="E734">
        <v>645</v>
      </c>
      <c r="F734">
        <v>645</v>
      </c>
      <c r="G734">
        <v>560</v>
      </c>
      <c r="H734">
        <v>85</v>
      </c>
      <c r="I734">
        <v>2011</v>
      </c>
      <c r="J734">
        <v>44</v>
      </c>
      <c r="K734">
        <f>allFYsTable[[#This Row],[Actual]]-allFYsTable[[#This Row],[OriginalBudget]]</f>
        <v>-85</v>
      </c>
      <c r="L734" s="11">
        <f>allFYsTable[[#This Row],[DiffAmount]]/allFYsTable[[#This Row],[OriginalBudget]]</f>
        <v>-0.13178294573643412</v>
      </c>
    </row>
    <row r="735" spans="1:12" x14ac:dyDescent="0.45">
      <c r="A735" t="s">
        <v>1034</v>
      </c>
      <c r="B735" t="s">
        <v>129</v>
      </c>
      <c r="C735" t="s">
        <v>877</v>
      </c>
      <c r="D735" t="s">
        <v>403</v>
      </c>
      <c r="E735">
        <v>0</v>
      </c>
      <c r="F735">
        <v>0</v>
      </c>
      <c r="G735">
        <v>0</v>
      </c>
      <c r="H735">
        <v>0</v>
      </c>
      <c r="I735">
        <v>2011</v>
      </c>
      <c r="J735">
        <v>45</v>
      </c>
      <c r="K735">
        <f>allFYsTable[[#This Row],[Actual]]-allFYsTable[[#This Row],[OriginalBudget]]</f>
        <v>0</v>
      </c>
      <c r="L735" s="11" t="e">
        <f>allFYsTable[[#This Row],[DiffAmount]]/allFYsTable[[#This Row],[OriginalBudget]]</f>
        <v>#DIV/0!</v>
      </c>
    </row>
    <row r="736" spans="1:12" x14ac:dyDescent="0.45">
      <c r="A736" t="s">
        <v>1034</v>
      </c>
      <c r="B736" t="s">
        <v>129</v>
      </c>
      <c r="C736" t="s">
        <v>805</v>
      </c>
      <c r="D736" t="s">
        <v>404</v>
      </c>
      <c r="E736">
        <v>0</v>
      </c>
      <c r="F736">
        <v>0</v>
      </c>
      <c r="G736">
        <v>0</v>
      </c>
      <c r="H736">
        <v>0</v>
      </c>
      <c r="I736">
        <v>2011</v>
      </c>
      <c r="J736">
        <v>46</v>
      </c>
      <c r="K736">
        <f>allFYsTable[[#This Row],[Actual]]-allFYsTable[[#This Row],[OriginalBudget]]</f>
        <v>0</v>
      </c>
      <c r="L736" s="11" t="e">
        <f>allFYsTable[[#This Row],[DiffAmount]]/allFYsTable[[#This Row],[OriginalBudget]]</f>
        <v>#DIV/0!</v>
      </c>
    </row>
    <row r="737" spans="1:12" x14ac:dyDescent="0.45">
      <c r="A737" t="s">
        <v>1034</v>
      </c>
      <c r="B737" t="s">
        <v>6</v>
      </c>
      <c r="C737" t="s">
        <v>758</v>
      </c>
      <c r="D737" t="s">
        <v>405</v>
      </c>
      <c r="E737">
        <v>407416</v>
      </c>
      <c r="F737">
        <v>415116</v>
      </c>
      <c r="G737">
        <v>415020</v>
      </c>
      <c r="H737">
        <v>96</v>
      </c>
      <c r="I737">
        <v>2011</v>
      </c>
      <c r="J737">
        <v>47</v>
      </c>
      <c r="K737">
        <f>allFYsTable[[#This Row],[Actual]]-allFYsTable[[#This Row],[OriginalBudget]]</f>
        <v>7604</v>
      </c>
      <c r="L737" s="11">
        <f>allFYsTable[[#This Row],[DiffAmount]]/allFYsTable[[#This Row],[OriginalBudget]]</f>
        <v>1.866396999626917E-2</v>
      </c>
    </row>
    <row r="738" spans="1:12" x14ac:dyDescent="0.45">
      <c r="A738" t="s">
        <v>1034</v>
      </c>
      <c r="B738" t="s">
        <v>6</v>
      </c>
      <c r="C738" t="s">
        <v>755</v>
      </c>
      <c r="D738" t="s">
        <v>406</v>
      </c>
      <c r="E738">
        <v>195095</v>
      </c>
      <c r="F738">
        <v>192295</v>
      </c>
      <c r="G738">
        <v>191932</v>
      </c>
      <c r="H738">
        <v>363</v>
      </c>
      <c r="I738">
        <v>2011</v>
      </c>
      <c r="J738">
        <v>48</v>
      </c>
      <c r="K738">
        <f>allFYsTable[[#This Row],[Actual]]-allFYsTable[[#This Row],[OriginalBudget]]</f>
        <v>-3163</v>
      </c>
      <c r="L738" s="11">
        <f>allFYsTable[[#This Row],[DiffAmount]]/allFYsTable[[#This Row],[OriginalBudget]]</f>
        <v>-1.621261436735949E-2</v>
      </c>
    </row>
    <row r="739" spans="1:12" x14ac:dyDescent="0.45">
      <c r="A739" t="s">
        <v>1034</v>
      </c>
      <c r="B739" t="s">
        <v>6</v>
      </c>
      <c r="C739" t="s">
        <v>768</v>
      </c>
      <c r="D739" t="s">
        <v>407</v>
      </c>
      <c r="E739">
        <v>127200</v>
      </c>
      <c r="F739">
        <v>127200</v>
      </c>
      <c r="G739">
        <v>127200</v>
      </c>
      <c r="H739">
        <v>0</v>
      </c>
      <c r="I739">
        <v>2011</v>
      </c>
      <c r="J739">
        <v>49</v>
      </c>
      <c r="K739">
        <f>allFYsTable[[#This Row],[Actual]]-allFYsTable[[#This Row],[OriginalBudget]]</f>
        <v>0</v>
      </c>
      <c r="L739" s="11">
        <f>allFYsTable[[#This Row],[DiffAmount]]/allFYsTable[[#This Row],[OriginalBudget]]</f>
        <v>0</v>
      </c>
    </row>
    <row r="740" spans="1:12" x14ac:dyDescent="0.45">
      <c r="A740" t="s">
        <v>1034</v>
      </c>
      <c r="B740" t="s">
        <v>6</v>
      </c>
      <c r="C740" t="s">
        <v>759</v>
      </c>
      <c r="D740" t="s">
        <v>408</v>
      </c>
      <c r="E740">
        <v>6920</v>
      </c>
      <c r="F740">
        <v>6920</v>
      </c>
      <c r="G740">
        <v>6706</v>
      </c>
      <c r="H740">
        <v>214</v>
      </c>
      <c r="I740">
        <v>2011</v>
      </c>
      <c r="J740">
        <v>50</v>
      </c>
      <c r="K740">
        <f>allFYsTable[[#This Row],[Actual]]-allFYsTable[[#This Row],[OriginalBudget]]</f>
        <v>-214</v>
      </c>
      <c r="L740" s="11">
        <f>allFYsTable[[#This Row],[DiffAmount]]/allFYsTable[[#This Row],[OriginalBudget]]</f>
        <v>-3.0924855491329478E-2</v>
      </c>
    </row>
    <row r="741" spans="1:12" x14ac:dyDescent="0.45">
      <c r="A741" t="s">
        <v>1034</v>
      </c>
      <c r="B741" t="s">
        <v>6</v>
      </c>
      <c r="C741" t="s">
        <v>749</v>
      </c>
      <c r="D741" t="s">
        <v>409</v>
      </c>
      <c r="E741">
        <v>195</v>
      </c>
      <c r="F741">
        <v>195</v>
      </c>
      <c r="G741">
        <v>173</v>
      </c>
      <c r="H741">
        <v>22</v>
      </c>
      <c r="I741">
        <v>2011</v>
      </c>
      <c r="J741">
        <v>51</v>
      </c>
      <c r="K741">
        <f>allFYsTable[[#This Row],[Actual]]-allFYsTable[[#This Row],[OriginalBudget]]</f>
        <v>-22</v>
      </c>
      <c r="L741" s="11">
        <f>allFYsTable[[#This Row],[DiffAmount]]/allFYsTable[[#This Row],[OriginalBudget]]</f>
        <v>-0.11282051282051282</v>
      </c>
    </row>
    <row r="742" spans="1:12" x14ac:dyDescent="0.45">
      <c r="A742" t="s">
        <v>1034</v>
      </c>
      <c r="B742" t="s">
        <v>6</v>
      </c>
      <c r="C742" t="s">
        <v>747</v>
      </c>
      <c r="D742" t="s">
        <v>33</v>
      </c>
      <c r="E742">
        <v>130</v>
      </c>
      <c r="F742">
        <v>130</v>
      </c>
      <c r="G742">
        <v>0</v>
      </c>
      <c r="H742">
        <v>130</v>
      </c>
      <c r="I742">
        <v>2011</v>
      </c>
      <c r="J742">
        <v>52</v>
      </c>
      <c r="K742">
        <f>allFYsTable[[#This Row],[Actual]]-allFYsTable[[#This Row],[OriginalBudget]]</f>
        <v>-130</v>
      </c>
      <c r="L742" s="11">
        <f>allFYsTable[[#This Row],[DiffAmount]]/allFYsTable[[#This Row],[OriginalBudget]]</f>
        <v>-1</v>
      </c>
    </row>
    <row r="743" spans="1:12" x14ac:dyDescent="0.45">
      <c r="A743" t="s">
        <v>1034</v>
      </c>
      <c r="B743" t="s">
        <v>6</v>
      </c>
      <c r="C743" t="s">
        <v>750</v>
      </c>
      <c r="D743" t="s">
        <v>410</v>
      </c>
      <c r="E743">
        <v>108534</v>
      </c>
      <c r="F743">
        <v>119026</v>
      </c>
      <c r="G743">
        <v>117369</v>
      </c>
      <c r="H743">
        <v>1657</v>
      </c>
      <c r="I743">
        <v>2011</v>
      </c>
      <c r="J743">
        <v>53</v>
      </c>
      <c r="K743">
        <f>allFYsTable[[#This Row],[Actual]]-allFYsTable[[#This Row],[OriginalBudget]]</f>
        <v>8835</v>
      </c>
      <c r="L743" s="11">
        <f>allFYsTable[[#This Row],[DiffAmount]]/allFYsTable[[#This Row],[OriginalBudget]]</f>
        <v>8.1403062634750403E-2</v>
      </c>
    </row>
    <row r="744" spans="1:12" x14ac:dyDescent="0.45">
      <c r="A744" t="s">
        <v>1034</v>
      </c>
      <c r="B744" t="s">
        <v>6</v>
      </c>
      <c r="C744" t="s">
        <v>764</v>
      </c>
      <c r="D744" t="s">
        <v>411</v>
      </c>
      <c r="E744">
        <v>7113</v>
      </c>
      <c r="F744">
        <v>7113</v>
      </c>
      <c r="G744">
        <v>6923</v>
      </c>
      <c r="H744">
        <v>190</v>
      </c>
      <c r="I744">
        <v>2011</v>
      </c>
      <c r="J744">
        <v>54</v>
      </c>
      <c r="K744">
        <f>allFYsTable[[#This Row],[Actual]]-allFYsTable[[#This Row],[OriginalBudget]]</f>
        <v>-190</v>
      </c>
      <c r="L744" s="11">
        <f>allFYsTable[[#This Row],[DiffAmount]]/allFYsTable[[#This Row],[OriginalBudget]]</f>
        <v>-2.6711654716715872E-2</v>
      </c>
    </row>
    <row r="745" spans="1:12" x14ac:dyDescent="0.45">
      <c r="A745" t="s">
        <v>1034</v>
      </c>
      <c r="B745" t="s">
        <v>6</v>
      </c>
      <c r="C745" t="s">
        <v>751</v>
      </c>
      <c r="D745" t="s">
        <v>412</v>
      </c>
      <c r="E745">
        <v>1601</v>
      </c>
      <c r="F745">
        <v>1601</v>
      </c>
      <c r="G745">
        <v>1191</v>
      </c>
      <c r="H745">
        <v>410</v>
      </c>
      <c r="I745">
        <v>2011</v>
      </c>
      <c r="J745">
        <v>55</v>
      </c>
      <c r="K745">
        <f>allFYsTable[[#This Row],[Actual]]-allFYsTable[[#This Row],[OriginalBudget]]</f>
        <v>-410</v>
      </c>
      <c r="L745" s="11">
        <f>allFYsTable[[#This Row],[DiffAmount]]/allFYsTable[[#This Row],[OriginalBudget]]</f>
        <v>-0.25608994378513428</v>
      </c>
    </row>
    <row r="746" spans="1:12" x14ac:dyDescent="0.45">
      <c r="A746" t="s">
        <v>1034</v>
      </c>
      <c r="B746" t="s">
        <v>6</v>
      </c>
      <c r="C746" t="s">
        <v>753</v>
      </c>
      <c r="D746" t="s">
        <v>413</v>
      </c>
      <c r="E746">
        <v>2278</v>
      </c>
      <c r="F746">
        <v>2278</v>
      </c>
      <c r="G746">
        <v>2204</v>
      </c>
      <c r="H746">
        <v>74</v>
      </c>
      <c r="I746">
        <v>2011</v>
      </c>
      <c r="J746">
        <v>56</v>
      </c>
      <c r="K746">
        <f>allFYsTable[[#This Row],[Actual]]-allFYsTable[[#This Row],[OriginalBudget]]</f>
        <v>-74</v>
      </c>
      <c r="L746" s="11">
        <f>allFYsTable[[#This Row],[DiffAmount]]/allFYsTable[[#This Row],[OriginalBudget]]</f>
        <v>-3.2484635645302899E-2</v>
      </c>
    </row>
    <row r="747" spans="1:12" x14ac:dyDescent="0.45">
      <c r="A747" t="s">
        <v>1034</v>
      </c>
      <c r="B747" t="s">
        <v>6</v>
      </c>
      <c r="C747" t="s">
        <v>756</v>
      </c>
      <c r="D747" t="s">
        <v>414</v>
      </c>
      <c r="E747">
        <v>1932</v>
      </c>
      <c r="F747">
        <v>1932</v>
      </c>
      <c r="G747">
        <v>1839</v>
      </c>
      <c r="H747">
        <v>93</v>
      </c>
      <c r="I747">
        <v>2011</v>
      </c>
      <c r="J747">
        <v>57</v>
      </c>
      <c r="K747">
        <f>allFYsTable[[#This Row],[Actual]]-allFYsTable[[#This Row],[OriginalBudget]]</f>
        <v>-93</v>
      </c>
      <c r="L747" s="11">
        <f>allFYsTable[[#This Row],[DiffAmount]]/allFYsTable[[#This Row],[OriginalBudget]]</f>
        <v>-4.813664596273292E-2</v>
      </c>
    </row>
    <row r="748" spans="1:12" x14ac:dyDescent="0.45">
      <c r="A748" t="s">
        <v>1034</v>
      </c>
      <c r="B748" t="s">
        <v>6</v>
      </c>
      <c r="C748" t="s">
        <v>746</v>
      </c>
      <c r="D748" t="s">
        <v>415</v>
      </c>
      <c r="E748">
        <v>0</v>
      </c>
      <c r="F748">
        <v>0</v>
      </c>
      <c r="G748">
        <v>0</v>
      </c>
      <c r="H748">
        <v>0</v>
      </c>
      <c r="I748">
        <v>2011</v>
      </c>
      <c r="J748">
        <v>58</v>
      </c>
      <c r="K748">
        <f>allFYsTable[[#This Row],[Actual]]-allFYsTable[[#This Row],[OriginalBudget]]</f>
        <v>0</v>
      </c>
      <c r="L748" s="11" t="e">
        <f>allFYsTable[[#This Row],[DiffAmount]]/allFYsTable[[#This Row],[OriginalBudget]]</f>
        <v>#DIV/0!</v>
      </c>
    </row>
    <row r="749" spans="1:12" x14ac:dyDescent="0.45">
      <c r="A749" t="s">
        <v>1034</v>
      </c>
      <c r="B749" t="s">
        <v>6</v>
      </c>
      <c r="C749" t="s">
        <v>757</v>
      </c>
      <c r="D749" t="s">
        <v>416</v>
      </c>
      <c r="E749">
        <v>0</v>
      </c>
      <c r="F749">
        <v>0</v>
      </c>
      <c r="G749">
        <v>0</v>
      </c>
      <c r="H749">
        <v>0</v>
      </c>
      <c r="I749">
        <v>2011</v>
      </c>
      <c r="J749">
        <v>59</v>
      </c>
      <c r="K749">
        <f>allFYsTable[[#This Row],[Actual]]-allFYsTable[[#This Row],[OriginalBudget]]</f>
        <v>0</v>
      </c>
      <c r="L749" s="11" t="e">
        <f>allFYsTable[[#This Row],[DiffAmount]]/allFYsTable[[#This Row],[OriginalBudget]]</f>
        <v>#DIV/0!</v>
      </c>
    </row>
    <row r="750" spans="1:12" x14ac:dyDescent="0.45">
      <c r="A750" t="s">
        <v>1034</v>
      </c>
      <c r="B750" t="s">
        <v>6</v>
      </c>
      <c r="C750" t="s">
        <v>762</v>
      </c>
      <c r="D750" t="s">
        <v>417</v>
      </c>
      <c r="E750">
        <v>2058</v>
      </c>
      <c r="F750">
        <v>2058</v>
      </c>
      <c r="G750">
        <v>1770</v>
      </c>
      <c r="H750">
        <v>288</v>
      </c>
      <c r="I750">
        <v>2011</v>
      </c>
      <c r="J750">
        <v>60</v>
      </c>
      <c r="K750">
        <f>allFYsTable[[#This Row],[Actual]]-allFYsTable[[#This Row],[OriginalBudget]]</f>
        <v>-288</v>
      </c>
      <c r="L750" s="11">
        <f>allFYsTable[[#This Row],[DiffAmount]]/allFYsTable[[#This Row],[OriginalBudget]]</f>
        <v>-0.13994169096209913</v>
      </c>
    </row>
    <row r="751" spans="1:12" x14ac:dyDescent="0.45">
      <c r="A751" t="s">
        <v>1034</v>
      </c>
      <c r="B751" t="s">
        <v>6</v>
      </c>
      <c r="C751" t="s">
        <v>766</v>
      </c>
      <c r="D751" t="s">
        <v>418</v>
      </c>
      <c r="E751">
        <v>26686</v>
      </c>
      <c r="F751">
        <v>26686</v>
      </c>
      <c r="G751">
        <v>26685</v>
      </c>
      <c r="H751">
        <v>1</v>
      </c>
      <c r="I751">
        <v>2011</v>
      </c>
      <c r="J751">
        <v>61</v>
      </c>
      <c r="K751">
        <f>allFYsTable[[#This Row],[Actual]]-allFYsTable[[#This Row],[OriginalBudget]]</f>
        <v>-1</v>
      </c>
      <c r="L751" s="11">
        <f>allFYsTable[[#This Row],[DiffAmount]]/allFYsTable[[#This Row],[OriginalBudget]]</f>
        <v>-3.747283219665742E-5</v>
      </c>
    </row>
    <row r="752" spans="1:12" x14ac:dyDescent="0.45">
      <c r="A752" t="s">
        <v>1034</v>
      </c>
      <c r="B752" t="s">
        <v>6</v>
      </c>
      <c r="C752" t="s">
        <v>853</v>
      </c>
      <c r="D752" t="s">
        <v>419</v>
      </c>
      <c r="E752">
        <v>0</v>
      </c>
      <c r="F752">
        <v>0</v>
      </c>
      <c r="G752">
        <v>0</v>
      </c>
      <c r="H752">
        <v>0</v>
      </c>
      <c r="I752">
        <v>2011</v>
      </c>
      <c r="J752">
        <v>62</v>
      </c>
      <c r="K752">
        <f>allFYsTable[[#This Row],[Actual]]-allFYsTable[[#This Row],[OriginalBudget]]</f>
        <v>0</v>
      </c>
      <c r="L752" s="11" t="e">
        <f>allFYsTable[[#This Row],[DiffAmount]]/allFYsTable[[#This Row],[OriginalBudget]]</f>
        <v>#DIV/0!</v>
      </c>
    </row>
    <row r="753" spans="1:12" x14ac:dyDescent="0.45">
      <c r="A753" t="s">
        <v>1034</v>
      </c>
      <c r="B753" t="s">
        <v>6</v>
      </c>
      <c r="C753" t="s">
        <v>854</v>
      </c>
      <c r="D753" t="s">
        <v>420</v>
      </c>
      <c r="E753">
        <v>2377</v>
      </c>
      <c r="F753">
        <v>2427</v>
      </c>
      <c r="G753">
        <v>2402</v>
      </c>
      <c r="H753">
        <v>25</v>
      </c>
      <c r="I753">
        <v>2011</v>
      </c>
      <c r="J753">
        <v>63</v>
      </c>
      <c r="K753">
        <f>allFYsTable[[#This Row],[Actual]]-allFYsTable[[#This Row],[OriginalBudget]]</f>
        <v>25</v>
      </c>
      <c r="L753" s="11">
        <f>allFYsTable[[#This Row],[DiffAmount]]/allFYsTable[[#This Row],[OriginalBudget]]</f>
        <v>1.051745898190997E-2</v>
      </c>
    </row>
    <row r="754" spans="1:12" x14ac:dyDescent="0.45">
      <c r="A754" t="s">
        <v>1034</v>
      </c>
      <c r="B754" t="s">
        <v>6</v>
      </c>
      <c r="C754" t="s">
        <v>841</v>
      </c>
      <c r="D754" t="s">
        <v>421</v>
      </c>
      <c r="E754">
        <v>70</v>
      </c>
      <c r="F754">
        <v>320</v>
      </c>
      <c r="G754">
        <v>49</v>
      </c>
      <c r="H754">
        <v>271</v>
      </c>
      <c r="I754">
        <v>2011</v>
      </c>
      <c r="J754">
        <v>64</v>
      </c>
      <c r="K754">
        <f>allFYsTable[[#This Row],[Actual]]-allFYsTable[[#This Row],[OriginalBudget]]</f>
        <v>-21</v>
      </c>
      <c r="L754" s="11">
        <f>allFYsTable[[#This Row],[DiffAmount]]/allFYsTable[[#This Row],[OriginalBudget]]</f>
        <v>-0.3</v>
      </c>
    </row>
    <row r="755" spans="1:12" x14ac:dyDescent="0.45">
      <c r="A755" t="s">
        <v>1034</v>
      </c>
      <c r="B755" t="s">
        <v>6</v>
      </c>
      <c r="C755" t="s">
        <v>867</v>
      </c>
      <c r="D755" t="s">
        <v>422</v>
      </c>
      <c r="E755">
        <v>0</v>
      </c>
      <c r="F755">
        <v>20445</v>
      </c>
      <c r="G755">
        <v>20445</v>
      </c>
      <c r="H755">
        <v>0</v>
      </c>
      <c r="I755">
        <v>2011</v>
      </c>
      <c r="J755">
        <v>65</v>
      </c>
      <c r="K755">
        <f>allFYsTable[[#This Row],[Actual]]-allFYsTable[[#This Row],[OriginalBudget]]</f>
        <v>20445</v>
      </c>
      <c r="L755" s="11" t="e">
        <f>allFYsTable[[#This Row],[DiffAmount]]/allFYsTable[[#This Row],[OriginalBudget]]</f>
        <v>#DIV/0!</v>
      </c>
    </row>
    <row r="756" spans="1:12" x14ac:dyDescent="0.45">
      <c r="A756" t="s">
        <v>1034</v>
      </c>
      <c r="B756" t="s">
        <v>6</v>
      </c>
      <c r="C756" t="s">
        <v>754</v>
      </c>
      <c r="D756" t="s">
        <v>290</v>
      </c>
      <c r="E756">
        <v>768</v>
      </c>
      <c r="F756">
        <v>768</v>
      </c>
      <c r="G756">
        <v>630</v>
      </c>
      <c r="H756">
        <v>138</v>
      </c>
      <c r="I756">
        <v>2011</v>
      </c>
      <c r="J756">
        <v>66</v>
      </c>
      <c r="K756">
        <f>allFYsTable[[#This Row],[Actual]]-allFYsTable[[#This Row],[OriginalBudget]]</f>
        <v>-138</v>
      </c>
      <c r="L756" s="11">
        <f>allFYsTable[[#This Row],[DiffAmount]]/allFYsTable[[#This Row],[OriginalBudget]]</f>
        <v>-0.1796875</v>
      </c>
    </row>
    <row r="757" spans="1:12" x14ac:dyDescent="0.45">
      <c r="A757" t="s">
        <v>1034</v>
      </c>
      <c r="B757" t="s">
        <v>6</v>
      </c>
      <c r="C757" t="s">
        <v>765</v>
      </c>
      <c r="D757" t="s">
        <v>423</v>
      </c>
      <c r="E757">
        <v>375</v>
      </c>
      <c r="F757">
        <v>375</v>
      </c>
      <c r="G757">
        <v>296</v>
      </c>
      <c r="H757">
        <v>79</v>
      </c>
      <c r="I757">
        <v>2011</v>
      </c>
      <c r="J757">
        <v>67</v>
      </c>
      <c r="K757">
        <f>allFYsTable[[#This Row],[Actual]]-allFYsTable[[#This Row],[OriginalBudget]]</f>
        <v>-79</v>
      </c>
      <c r="L757" s="11">
        <f>allFYsTable[[#This Row],[DiffAmount]]/allFYsTable[[#This Row],[OriginalBudget]]</f>
        <v>-0.21066666666666667</v>
      </c>
    </row>
    <row r="758" spans="1:12" x14ac:dyDescent="0.45">
      <c r="A758" t="s">
        <v>1034</v>
      </c>
      <c r="B758" t="s">
        <v>136</v>
      </c>
      <c r="C758" t="s">
        <v>773</v>
      </c>
      <c r="D758" t="s">
        <v>424</v>
      </c>
      <c r="E758">
        <v>544819</v>
      </c>
      <c r="F758">
        <v>580176</v>
      </c>
      <c r="G758">
        <v>580176</v>
      </c>
      <c r="H758">
        <v>0</v>
      </c>
      <c r="I758">
        <v>2011</v>
      </c>
      <c r="J758">
        <v>68</v>
      </c>
      <c r="K758">
        <f>allFYsTable[[#This Row],[Actual]]-allFYsTable[[#This Row],[OriginalBudget]]</f>
        <v>35357</v>
      </c>
      <c r="L758" s="11">
        <f>allFYsTable[[#This Row],[DiffAmount]]/allFYsTable[[#This Row],[OriginalBudget]]</f>
        <v>6.4896782234099767E-2</v>
      </c>
    </row>
    <row r="759" spans="1:12" x14ac:dyDescent="0.45">
      <c r="A759" t="s">
        <v>1034</v>
      </c>
      <c r="B759" t="s">
        <v>136</v>
      </c>
      <c r="C759" t="s">
        <v>870</v>
      </c>
      <c r="D759" t="s">
        <v>425</v>
      </c>
      <c r="E759">
        <v>0</v>
      </c>
      <c r="F759">
        <v>5664</v>
      </c>
      <c r="G759">
        <v>5664</v>
      </c>
      <c r="H759">
        <v>0</v>
      </c>
      <c r="I759">
        <v>2011</v>
      </c>
      <c r="J759">
        <v>69</v>
      </c>
      <c r="K759">
        <f>allFYsTable[[#This Row],[Actual]]-allFYsTable[[#This Row],[OriginalBudget]]</f>
        <v>5664</v>
      </c>
      <c r="L759" s="11" t="e">
        <f>allFYsTable[[#This Row],[DiffAmount]]/allFYsTable[[#This Row],[OriginalBudget]]</f>
        <v>#DIV/0!</v>
      </c>
    </row>
    <row r="760" spans="1:12" x14ac:dyDescent="0.45">
      <c r="A760" t="s">
        <v>1034</v>
      </c>
      <c r="B760" t="s">
        <v>136</v>
      </c>
      <c r="C760" t="s">
        <v>772</v>
      </c>
      <c r="D760" t="s">
        <v>426</v>
      </c>
      <c r="E760">
        <v>427839</v>
      </c>
      <c r="F760">
        <v>319629</v>
      </c>
      <c r="G760">
        <v>319472</v>
      </c>
      <c r="H760">
        <v>157</v>
      </c>
      <c r="I760">
        <v>2011</v>
      </c>
      <c r="J760">
        <v>70</v>
      </c>
      <c r="K760">
        <f>allFYsTable[[#This Row],[Actual]]-allFYsTable[[#This Row],[OriginalBudget]]</f>
        <v>-108367</v>
      </c>
      <c r="L760" s="11">
        <f>allFYsTable[[#This Row],[DiffAmount]]/allFYsTable[[#This Row],[OriginalBudget]]</f>
        <v>-0.25328920458396731</v>
      </c>
    </row>
    <row r="761" spans="1:12" x14ac:dyDescent="0.45">
      <c r="A761" t="s">
        <v>1034</v>
      </c>
      <c r="B761" t="s">
        <v>136</v>
      </c>
      <c r="C761" t="s">
        <v>869</v>
      </c>
      <c r="D761" t="s">
        <v>427</v>
      </c>
      <c r="E761">
        <v>0</v>
      </c>
      <c r="F761">
        <v>120896</v>
      </c>
      <c r="G761">
        <v>120896</v>
      </c>
      <c r="H761">
        <v>0</v>
      </c>
      <c r="I761">
        <v>2011</v>
      </c>
      <c r="J761">
        <v>71</v>
      </c>
      <c r="K761">
        <f>allFYsTable[[#This Row],[Actual]]-allFYsTable[[#This Row],[OriginalBudget]]</f>
        <v>120896</v>
      </c>
      <c r="L761" s="11" t="e">
        <f>allFYsTable[[#This Row],[DiffAmount]]/allFYsTable[[#This Row],[OriginalBudget]]</f>
        <v>#DIV/0!</v>
      </c>
    </row>
    <row r="762" spans="1:12" x14ac:dyDescent="0.45">
      <c r="A762" t="s">
        <v>1034</v>
      </c>
      <c r="B762" t="s">
        <v>136</v>
      </c>
      <c r="C762" t="s">
        <v>782</v>
      </c>
      <c r="D762" t="s">
        <v>428</v>
      </c>
      <c r="E762">
        <v>3000</v>
      </c>
      <c r="F762">
        <v>3000</v>
      </c>
      <c r="G762">
        <v>3000</v>
      </c>
      <c r="H762">
        <v>0</v>
      </c>
      <c r="I762">
        <v>2011</v>
      </c>
      <c r="J762">
        <v>72</v>
      </c>
      <c r="K762">
        <f>allFYsTable[[#This Row],[Actual]]-allFYsTable[[#This Row],[OriginalBudget]]</f>
        <v>0</v>
      </c>
      <c r="L762" s="11">
        <f>allFYsTable[[#This Row],[DiffAmount]]/allFYsTable[[#This Row],[OriginalBudget]]</f>
        <v>0</v>
      </c>
    </row>
    <row r="763" spans="1:12" x14ac:dyDescent="0.45">
      <c r="A763" t="s">
        <v>1034</v>
      </c>
      <c r="B763" t="s">
        <v>136</v>
      </c>
      <c r="C763" t="s">
        <v>784</v>
      </c>
      <c r="D763" t="s">
        <v>429</v>
      </c>
      <c r="E763">
        <v>62920</v>
      </c>
      <c r="F763">
        <v>66420</v>
      </c>
      <c r="G763">
        <v>66420</v>
      </c>
      <c r="H763">
        <v>0</v>
      </c>
      <c r="I763">
        <v>2011</v>
      </c>
      <c r="J763">
        <v>73</v>
      </c>
      <c r="K763">
        <f>allFYsTable[[#This Row],[Actual]]-allFYsTable[[#This Row],[OriginalBudget]]</f>
        <v>3500</v>
      </c>
      <c r="L763" s="11">
        <f>allFYsTable[[#This Row],[DiffAmount]]/allFYsTable[[#This Row],[OriginalBudget]]</f>
        <v>5.5626191989828357E-2</v>
      </c>
    </row>
    <row r="764" spans="1:12" x14ac:dyDescent="0.45">
      <c r="A764" t="s">
        <v>1034</v>
      </c>
      <c r="B764" t="s">
        <v>136</v>
      </c>
      <c r="C764" t="s">
        <v>779</v>
      </c>
      <c r="D764" t="s">
        <v>430</v>
      </c>
      <c r="E764">
        <v>112374</v>
      </c>
      <c r="F764">
        <v>106605</v>
      </c>
      <c r="G764">
        <v>100916</v>
      </c>
      <c r="H764">
        <v>5689</v>
      </c>
      <c r="I764">
        <v>2011</v>
      </c>
      <c r="J764">
        <v>74</v>
      </c>
      <c r="K764">
        <f>allFYsTable[[#This Row],[Actual]]-allFYsTable[[#This Row],[OriginalBudget]]</f>
        <v>-11458</v>
      </c>
      <c r="L764" s="11">
        <f>allFYsTable[[#This Row],[DiffAmount]]/allFYsTable[[#This Row],[OriginalBudget]]</f>
        <v>-0.10196308754694146</v>
      </c>
    </row>
    <row r="765" spans="1:12" x14ac:dyDescent="0.45">
      <c r="A765" t="s">
        <v>1034</v>
      </c>
      <c r="B765" t="s">
        <v>136</v>
      </c>
      <c r="C765" t="s">
        <v>774</v>
      </c>
      <c r="D765" t="s">
        <v>431</v>
      </c>
      <c r="E765">
        <v>35166</v>
      </c>
      <c r="F765">
        <v>35166</v>
      </c>
      <c r="G765">
        <v>35089</v>
      </c>
      <c r="H765">
        <v>77</v>
      </c>
      <c r="I765">
        <v>2011</v>
      </c>
      <c r="J765">
        <v>75</v>
      </c>
      <c r="K765">
        <f>allFYsTable[[#This Row],[Actual]]-allFYsTable[[#This Row],[OriginalBudget]]</f>
        <v>-77</v>
      </c>
      <c r="L765" s="11">
        <f>allFYsTable[[#This Row],[DiffAmount]]/allFYsTable[[#This Row],[OriginalBudget]]</f>
        <v>-2.1896149690041515E-3</v>
      </c>
    </row>
    <row r="766" spans="1:12" x14ac:dyDescent="0.45">
      <c r="A766" t="s">
        <v>1034</v>
      </c>
      <c r="B766" t="s">
        <v>136</v>
      </c>
      <c r="C766" t="s">
        <v>855</v>
      </c>
      <c r="D766" t="s">
        <v>432</v>
      </c>
      <c r="E766">
        <v>26203</v>
      </c>
      <c r="F766">
        <v>26454</v>
      </c>
      <c r="G766">
        <v>25543</v>
      </c>
      <c r="H766">
        <v>911</v>
      </c>
      <c r="I766">
        <v>2011</v>
      </c>
      <c r="J766">
        <v>76</v>
      </c>
      <c r="K766">
        <f>allFYsTable[[#This Row],[Actual]]-allFYsTable[[#This Row],[OriginalBudget]]</f>
        <v>-660</v>
      </c>
      <c r="L766" s="11">
        <f>allFYsTable[[#This Row],[DiffAmount]]/allFYsTable[[#This Row],[OriginalBudget]]</f>
        <v>-2.5187955577605618E-2</v>
      </c>
    </row>
    <row r="767" spans="1:12" x14ac:dyDescent="0.45">
      <c r="A767" t="s">
        <v>1034</v>
      </c>
      <c r="B767" t="s">
        <v>136</v>
      </c>
      <c r="C767" t="s">
        <v>771</v>
      </c>
      <c r="D767" t="s">
        <v>433</v>
      </c>
      <c r="E767">
        <v>1321</v>
      </c>
      <c r="F767">
        <v>1321</v>
      </c>
      <c r="G767">
        <v>1304</v>
      </c>
      <c r="H767">
        <v>17</v>
      </c>
      <c r="I767">
        <v>2011</v>
      </c>
      <c r="J767">
        <v>77</v>
      </c>
      <c r="K767">
        <f>allFYsTable[[#This Row],[Actual]]-allFYsTable[[#This Row],[OriginalBudget]]</f>
        <v>-17</v>
      </c>
      <c r="L767" s="11">
        <f>allFYsTable[[#This Row],[DiffAmount]]/allFYsTable[[#This Row],[OriginalBudget]]</f>
        <v>-1.2869038607115822E-2</v>
      </c>
    </row>
    <row r="768" spans="1:12" x14ac:dyDescent="0.45">
      <c r="A768" t="s">
        <v>1034</v>
      </c>
      <c r="B768" t="s">
        <v>136</v>
      </c>
      <c r="C768" t="s">
        <v>874</v>
      </c>
      <c r="D768" t="s">
        <v>434</v>
      </c>
      <c r="E768">
        <v>0</v>
      </c>
      <c r="F768">
        <v>1380</v>
      </c>
      <c r="G768">
        <v>1380</v>
      </c>
      <c r="H768">
        <v>0</v>
      </c>
      <c r="I768">
        <v>2011</v>
      </c>
      <c r="J768">
        <v>78</v>
      </c>
      <c r="K768">
        <f>allFYsTable[[#This Row],[Actual]]-allFYsTable[[#This Row],[OriginalBudget]]</f>
        <v>1380</v>
      </c>
      <c r="L768" s="11" t="e">
        <f>allFYsTable[[#This Row],[DiffAmount]]/allFYsTable[[#This Row],[OriginalBudget]]</f>
        <v>#DIV/0!</v>
      </c>
    </row>
    <row r="769" spans="1:12" x14ac:dyDescent="0.45">
      <c r="A769" t="s">
        <v>1034</v>
      </c>
      <c r="B769" t="s">
        <v>136</v>
      </c>
      <c r="C769" t="s">
        <v>780</v>
      </c>
      <c r="D769" t="s">
        <v>435</v>
      </c>
      <c r="E769">
        <v>93604</v>
      </c>
      <c r="F769">
        <v>96779</v>
      </c>
      <c r="G769">
        <v>95973</v>
      </c>
      <c r="H769">
        <v>806</v>
      </c>
      <c r="I769">
        <v>2011</v>
      </c>
      <c r="J769">
        <v>79</v>
      </c>
      <c r="K769">
        <f>allFYsTable[[#This Row],[Actual]]-allFYsTable[[#This Row],[OriginalBudget]]</f>
        <v>2369</v>
      </c>
      <c r="L769" s="11">
        <f>allFYsTable[[#This Row],[DiffAmount]]/allFYsTable[[#This Row],[OriginalBudget]]</f>
        <v>2.5308747489423529E-2</v>
      </c>
    </row>
    <row r="770" spans="1:12" x14ac:dyDescent="0.45">
      <c r="A770" t="s">
        <v>1034</v>
      </c>
      <c r="B770" t="s">
        <v>136</v>
      </c>
      <c r="C770" t="s">
        <v>777</v>
      </c>
      <c r="D770" t="s">
        <v>436</v>
      </c>
      <c r="E770">
        <v>158017</v>
      </c>
      <c r="F770">
        <v>145819</v>
      </c>
      <c r="G770">
        <v>135240</v>
      </c>
      <c r="H770">
        <v>10579</v>
      </c>
      <c r="I770">
        <v>2011</v>
      </c>
      <c r="J770">
        <v>80</v>
      </c>
      <c r="K770">
        <f>allFYsTable[[#This Row],[Actual]]-allFYsTable[[#This Row],[OriginalBudget]]</f>
        <v>-22777</v>
      </c>
      <c r="L770" s="11">
        <f>allFYsTable[[#This Row],[DiffAmount]]/allFYsTable[[#This Row],[OriginalBudget]]</f>
        <v>-0.14414271882139262</v>
      </c>
    </row>
    <row r="771" spans="1:12" x14ac:dyDescent="0.45">
      <c r="A771" t="s">
        <v>1034</v>
      </c>
      <c r="B771" t="s">
        <v>136</v>
      </c>
      <c r="C771" t="s">
        <v>778</v>
      </c>
      <c r="D771" t="s">
        <v>947</v>
      </c>
      <c r="E771">
        <v>1227</v>
      </c>
      <c r="F771">
        <v>1293</v>
      </c>
      <c r="G771">
        <v>1214</v>
      </c>
      <c r="H771">
        <v>79</v>
      </c>
      <c r="I771">
        <v>2011</v>
      </c>
      <c r="J771">
        <v>81</v>
      </c>
      <c r="K771">
        <f>allFYsTable[[#This Row],[Actual]]-allFYsTable[[#This Row],[OriginalBudget]]</f>
        <v>-13</v>
      </c>
      <c r="L771" s="11">
        <f>allFYsTable[[#This Row],[DiffAmount]]/allFYsTable[[#This Row],[OriginalBudget]]</f>
        <v>-1.0594947025264874E-2</v>
      </c>
    </row>
    <row r="772" spans="1:12" x14ac:dyDescent="0.45">
      <c r="A772" t="s">
        <v>1034</v>
      </c>
      <c r="B772" t="s">
        <v>437</v>
      </c>
      <c r="C772" t="s">
        <v>790</v>
      </c>
      <c r="D772" t="s">
        <v>438</v>
      </c>
      <c r="E772">
        <v>140175</v>
      </c>
      <c r="F772">
        <v>140175</v>
      </c>
      <c r="G772">
        <v>136000</v>
      </c>
      <c r="H772">
        <v>4175</v>
      </c>
      <c r="I772">
        <v>2011</v>
      </c>
      <c r="J772">
        <v>82</v>
      </c>
      <c r="K772">
        <f>allFYsTable[[#This Row],[Actual]]-allFYsTable[[#This Row],[OriginalBudget]]</f>
        <v>-4175</v>
      </c>
      <c r="L772" s="11">
        <f>allFYsTable[[#This Row],[DiffAmount]]/allFYsTable[[#This Row],[OriginalBudget]]</f>
        <v>-2.9784198323524167E-2</v>
      </c>
    </row>
    <row r="773" spans="1:12" x14ac:dyDescent="0.45">
      <c r="A773" t="s">
        <v>1034</v>
      </c>
      <c r="B773" t="s">
        <v>437</v>
      </c>
      <c r="C773" t="s">
        <v>788</v>
      </c>
      <c r="D773" t="s">
        <v>439</v>
      </c>
      <c r="E773">
        <v>72223</v>
      </c>
      <c r="F773">
        <v>74018</v>
      </c>
      <c r="G773">
        <v>72815</v>
      </c>
      <c r="H773">
        <v>1203</v>
      </c>
      <c r="I773">
        <v>2011</v>
      </c>
      <c r="J773">
        <v>83</v>
      </c>
      <c r="K773">
        <f>allFYsTable[[#This Row],[Actual]]-allFYsTable[[#This Row],[OriginalBudget]]</f>
        <v>592</v>
      </c>
      <c r="L773" s="11">
        <f>allFYsTable[[#This Row],[DiffAmount]]/allFYsTable[[#This Row],[OriginalBudget]]</f>
        <v>8.1968348033175029E-3</v>
      </c>
    </row>
    <row r="774" spans="1:12" x14ac:dyDescent="0.45">
      <c r="A774" t="s">
        <v>1034</v>
      </c>
      <c r="B774" t="s">
        <v>437</v>
      </c>
      <c r="C774" t="s">
        <v>770</v>
      </c>
      <c r="D774" t="s">
        <v>440</v>
      </c>
      <c r="E774">
        <v>37577</v>
      </c>
      <c r="F774">
        <v>38567</v>
      </c>
      <c r="G774">
        <v>37326</v>
      </c>
      <c r="H774">
        <v>1241</v>
      </c>
      <c r="I774">
        <v>2011</v>
      </c>
      <c r="J774">
        <v>84</v>
      </c>
      <c r="K774">
        <f>allFYsTable[[#This Row],[Actual]]-allFYsTable[[#This Row],[OriginalBudget]]</f>
        <v>-251</v>
      </c>
      <c r="L774" s="11">
        <f>allFYsTable[[#This Row],[DiffAmount]]/allFYsTable[[#This Row],[OriginalBudget]]</f>
        <v>-6.6796178513452379E-3</v>
      </c>
    </row>
    <row r="775" spans="1:12" x14ac:dyDescent="0.45">
      <c r="A775" t="s">
        <v>1034</v>
      </c>
      <c r="B775" t="s">
        <v>437</v>
      </c>
      <c r="C775" t="s">
        <v>786</v>
      </c>
      <c r="D775" t="s">
        <v>441</v>
      </c>
      <c r="E775">
        <v>16165</v>
      </c>
      <c r="F775">
        <v>16679</v>
      </c>
      <c r="G775">
        <v>16623</v>
      </c>
      <c r="H775">
        <v>56</v>
      </c>
      <c r="I775">
        <v>2011</v>
      </c>
      <c r="J775">
        <v>85</v>
      </c>
      <c r="K775">
        <f>allFYsTable[[#This Row],[Actual]]-allFYsTable[[#This Row],[OriginalBudget]]</f>
        <v>458</v>
      </c>
      <c r="L775" s="11">
        <f>allFYsTable[[#This Row],[DiffAmount]]/allFYsTable[[#This Row],[OriginalBudget]]</f>
        <v>2.8332817816269718E-2</v>
      </c>
    </row>
    <row r="776" spans="1:12" x14ac:dyDescent="0.45">
      <c r="A776" t="s">
        <v>1034</v>
      </c>
      <c r="B776" t="s">
        <v>437</v>
      </c>
      <c r="C776" t="s">
        <v>783</v>
      </c>
      <c r="D776" t="s">
        <v>442</v>
      </c>
      <c r="E776">
        <v>18512</v>
      </c>
      <c r="F776">
        <v>18512</v>
      </c>
      <c r="G776">
        <v>16325</v>
      </c>
      <c r="H776">
        <v>2187</v>
      </c>
      <c r="I776">
        <v>2011</v>
      </c>
      <c r="J776">
        <v>86</v>
      </c>
      <c r="K776">
        <f>allFYsTable[[#This Row],[Actual]]-allFYsTable[[#This Row],[OriginalBudget]]</f>
        <v>-2187</v>
      </c>
      <c r="L776" s="11">
        <f>allFYsTable[[#This Row],[DiffAmount]]/allFYsTable[[#This Row],[OriginalBudget]]</f>
        <v>-0.11813958513396716</v>
      </c>
    </row>
    <row r="777" spans="1:12" x14ac:dyDescent="0.45">
      <c r="A777" t="s">
        <v>1034</v>
      </c>
      <c r="B777" t="s">
        <v>437</v>
      </c>
      <c r="C777" t="s">
        <v>706</v>
      </c>
      <c r="D777" t="s">
        <v>443</v>
      </c>
      <c r="E777">
        <v>38169</v>
      </c>
      <c r="F777">
        <v>29301</v>
      </c>
      <c r="G777">
        <v>29301</v>
      </c>
      <c r="H777">
        <v>0</v>
      </c>
      <c r="I777">
        <v>2011</v>
      </c>
      <c r="J777">
        <v>87</v>
      </c>
      <c r="K777">
        <f>allFYsTable[[#This Row],[Actual]]-allFYsTable[[#This Row],[OriginalBudget]]</f>
        <v>-8868</v>
      </c>
      <c r="L777" s="11">
        <f>allFYsTable[[#This Row],[DiffAmount]]/allFYsTable[[#This Row],[OriginalBudget]]</f>
        <v>-0.2323351410830779</v>
      </c>
    </row>
    <row r="778" spans="1:12" x14ac:dyDescent="0.45">
      <c r="A778" t="s">
        <v>1034</v>
      </c>
      <c r="B778" t="s">
        <v>437</v>
      </c>
      <c r="C778" t="s">
        <v>760</v>
      </c>
      <c r="D778" t="s">
        <v>444</v>
      </c>
      <c r="E778">
        <v>2166</v>
      </c>
      <c r="F778">
        <v>2166</v>
      </c>
      <c r="G778">
        <v>2150</v>
      </c>
      <c r="H778">
        <v>16</v>
      </c>
      <c r="I778">
        <v>2011</v>
      </c>
      <c r="J778">
        <v>88</v>
      </c>
      <c r="K778">
        <f>allFYsTable[[#This Row],[Actual]]-allFYsTable[[#This Row],[OriginalBudget]]</f>
        <v>-16</v>
      </c>
      <c r="L778" s="11">
        <f>allFYsTable[[#This Row],[DiffAmount]]/allFYsTable[[#This Row],[OriginalBudget]]</f>
        <v>-7.3868882733148658E-3</v>
      </c>
    </row>
    <row r="779" spans="1:12" x14ac:dyDescent="0.45">
      <c r="A779" t="s">
        <v>1034</v>
      </c>
      <c r="B779" t="s">
        <v>437</v>
      </c>
      <c r="C779" t="s">
        <v>729</v>
      </c>
      <c r="D779" t="s">
        <v>445</v>
      </c>
      <c r="E779">
        <v>2664</v>
      </c>
      <c r="F779">
        <v>2604</v>
      </c>
      <c r="G779">
        <v>2531</v>
      </c>
      <c r="H779">
        <v>73</v>
      </c>
      <c r="I779">
        <v>2011</v>
      </c>
      <c r="J779">
        <v>89</v>
      </c>
      <c r="K779">
        <f>allFYsTable[[#This Row],[Actual]]-allFYsTable[[#This Row],[OriginalBudget]]</f>
        <v>-133</v>
      </c>
      <c r="L779" s="11">
        <f>allFYsTable[[#This Row],[DiffAmount]]/allFYsTable[[#This Row],[OriginalBudget]]</f>
        <v>-4.9924924924924924E-2</v>
      </c>
    </row>
    <row r="780" spans="1:12" x14ac:dyDescent="0.45">
      <c r="A780" t="s">
        <v>1034</v>
      </c>
      <c r="B780" t="s">
        <v>437</v>
      </c>
      <c r="C780" t="s">
        <v>828</v>
      </c>
      <c r="D780" t="s">
        <v>446</v>
      </c>
      <c r="E780">
        <v>4625</v>
      </c>
      <c r="F780">
        <v>5120</v>
      </c>
      <c r="G780">
        <v>5120</v>
      </c>
      <c r="H780">
        <v>0</v>
      </c>
      <c r="I780">
        <v>2011</v>
      </c>
      <c r="J780">
        <v>90</v>
      </c>
      <c r="K780">
        <f>allFYsTable[[#This Row],[Actual]]-allFYsTable[[#This Row],[OriginalBudget]]</f>
        <v>495</v>
      </c>
      <c r="L780" s="11">
        <f>allFYsTable[[#This Row],[DiffAmount]]/allFYsTable[[#This Row],[OriginalBudget]]</f>
        <v>0.10702702702702703</v>
      </c>
    </row>
    <row r="781" spans="1:12" x14ac:dyDescent="0.45">
      <c r="A781" t="s">
        <v>1034</v>
      </c>
      <c r="B781" t="s">
        <v>437</v>
      </c>
      <c r="C781" t="s">
        <v>785</v>
      </c>
      <c r="D781" t="s">
        <v>447</v>
      </c>
      <c r="E781">
        <v>191596</v>
      </c>
      <c r="F781">
        <v>191596</v>
      </c>
      <c r="G781">
        <v>188388</v>
      </c>
      <c r="H781">
        <v>3208</v>
      </c>
      <c r="I781">
        <v>2011</v>
      </c>
      <c r="J781">
        <v>91</v>
      </c>
      <c r="K781">
        <f>allFYsTable[[#This Row],[Actual]]-allFYsTable[[#This Row],[OriginalBudget]]</f>
        <v>-3208</v>
      </c>
      <c r="L781" s="11">
        <f>allFYsTable[[#This Row],[DiffAmount]]/allFYsTable[[#This Row],[OriginalBudget]]</f>
        <v>-1.6743564583811772E-2</v>
      </c>
    </row>
    <row r="782" spans="1:12" x14ac:dyDescent="0.45">
      <c r="A782" t="s">
        <v>1034</v>
      </c>
      <c r="B782" t="s">
        <v>437</v>
      </c>
      <c r="C782" t="s">
        <v>875</v>
      </c>
      <c r="D782" t="s">
        <v>388</v>
      </c>
      <c r="E782">
        <v>0</v>
      </c>
      <c r="F782">
        <v>11200</v>
      </c>
      <c r="G782">
        <v>11200</v>
      </c>
      <c r="H782">
        <v>0</v>
      </c>
      <c r="I782">
        <v>2011</v>
      </c>
      <c r="J782">
        <v>92</v>
      </c>
      <c r="K782">
        <f>allFYsTable[[#This Row],[Actual]]-allFYsTable[[#This Row],[OriginalBudget]]</f>
        <v>11200</v>
      </c>
      <c r="L782" s="11" t="e">
        <f>allFYsTable[[#This Row],[DiffAmount]]/allFYsTable[[#This Row],[OriginalBudget]]</f>
        <v>#DIV/0!</v>
      </c>
    </row>
    <row r="783" spans="1:12" x14ac:dyDescent="0.45">
      <c r="A783" t="s">
        <v>1034</v>
      </c>
      <c r="B783" t="s">
        <v>437</v>
      </c>
      <c r="C783" t="s">
        <v>787</v>
      </c>
      <c r="D783" t="s">
        <v>448</v>
      </c>
      <c r="E783">
        <v>162687</v>
      </c>
      <c r="F783">
        <v>162687</v>
      </c>
      <c r="G783">
        <v>160971</v>
      </c>
      <c r="H783">
        <v>1716</v>
      </c>
      <c r="I783">
        <v>2011</v>
      </c>
      <c r="J783">
        <v>93</v>
      </c>
      <c r="K783">
        <f>allFYsTable[[#This Row],[Actual]]-allFYsTable[[#This Row],[OriginalBudget]]</f>
        <v>-1716</v>
      </c>
      <c r="L783" s="11">
        <f>allFYsTable[[#This Row],[DiffAmount]]/allFYsTable[[#This Row],[OriginalBudget]]</f>
        <v>-1.054786184513821E-2</v>
      </c>
    </row>
    <row r="784" spans="1:12" x14ac:dyDescent="0.45">
      <c r="A784" t="s">
        <v>1034</v>
      </c>
      <c r="B784" t="s">
        <v>437</v>
      </c>
      <c r="C784" t="s">
        <v>728</v>
      </c>
      <c r="D784" t="s">
        <v>449</v>
      </c>
      <c r="E784">
        <v>776</v>
      </c>
      <c r="F784">
        <v>785</v>
      </c>
      <c r="G784">
        <v>782</v>
      </c>
      <c r="H784">
        <v>3</v>
      </c>
      <c r="I784">
        <v>2011</v>
      </c>
      <c r="J784">
        <v>94</v>
      </c>
      <c r="K784">
        <f>allFYsTable[[#This Row],[Actual]]-allFYsTable[[#This Row],[OriginalBudget]]</f>
        <v>6</v>
      </c>
      <c r="L784" s="11">
        <f>allFYsTable[[#This Row],[DiffAmount]]/allFYsTable[[#This Row],[OriginalBudget]]</f>
        <v>7.7319587628865982E-3</v>
      </c>
    </row>
    <row r="785" spans="1:12" x14ac:dyDescent="0.45">
      <c r="A785" t="s">
        <v>1034</v>
      </c>
      <c r="B785" t="s">
        <v>437</v>
      </c>
      <c r="C785" t="s">
        <v>727</v>
      </c>
      <c r="D785" t="s">
        <v>450</v>
      </c>
      <c r="E785">
        <v>379</v>
      </c>
      <c r="F785">
        <v>379</v>
      </c>
      <c r="G785">
        <v>366</v>
      </c>
      <c r="H785">
        <v>13</v>
      </c>
      <c r="I785">
        <v>2011</v>
      </c>
      <c r="J785">
        <v>95</v>
      </c>
      <c r="K785">
        <f>allFYsTable[[#This Row],[Actual]]-allFYsTable[[#This Row],[OriginalBudget]]</f>
        <v>-13</v>
      </c>
      <c r="L785" s="11">
        <f>allFYsTable[[#This Row],[DiffAmount]]/allFYsTable[[#This Row],[OriginalBudget]]</f>
        <v>-3.430079155672823E-2</v>
      </c>
    </row>
    <row r="786" spans="1:12" x14ac:dyDescent="0.45">
      <c r="A786" t="s">
        <v>1034</v>
      </c>
      <c r="B786" t="s">
        <v>437</v>
      </c>
      <c r="C786" t="s">
        <v>752</v>
      </c>
      <c r="D786" t="s">
        <v>451</v>
      </c>
      <c r="E786">
        <v>90311</v>
      </c>
      <c r="F786">
        <v>98711</v>
      </c>
      <c r="G786">
        <v>97064</v>
      </c>
      <c r="H786">
        <v>1647</v>
      </c>
      <c r="I786">
        <v>2011</v>
      </c>
      <c r="J786">
        <v>96</v>
      </c>
      <c r="K786">
        <f>allFYsTable[[#This Row],[Actual]]-allFYsTable[[#This Row],[OriginalBudget]]</f>
        <v>6753</v>
      </c>
      <c r="L786" s="11">
        <f>allFYsTable[[#This Row],[DiffAmount]]/allFYsTable[[#This Row],[OriginalBudget]]</f>
        <v>7.4774944358937445E-2</v>
      </c>
    </row>
    <row r="787" spans="1:12" x14ac:dyDescent="0.45">
      <c r="A787" t="s">
        <v>1034</v>
      </c>
      <c r="B787" t="s">
        <v>437</v>
      </c>
      <c r="C787" t="s">
        <v>791</v>
      </c>
      <c r="D787" t="s">
        <v>452</v>
      </c>
      <c r="E787">
        <v>53344</v>
      </c>
      <c r="F787">
        <v>53344</v>
      </c>
      <c r="G787">
        <v>53084</v>
      </c>
      <c r="H787">
        <v>260</v>
      </c>
      <c r="I787">
        <v>2011</v>
      </c>
      <c r="J787">
        <v>97</v>
      </c>
      <c r="K787">
        <f>allFYsTable[[#This Row],[Actual]]-allFYsTable[[#This Row],[OriginalBudget]]</f>
        <v>-260</v>
      </c>
      <c r="L787" s="11">
        <f>allFYsTable[[#This Row],[DiffAmount]]/allFYsTable[[#This Row],[OriginalBudget]]</f>
        <v>-4.874025194961008E-3</v>
      </c>
    </row>
    <row r="788" spans="1:12" x14ac:dyDescent="0.45">
      <c r="A788" t="s">
        <v>1034</v>
      </c>
      <c r="B788" t="s">
        <v>437</v>
      </c>
      <c r="C788" t="s">
        <v>789</v>
      </c>
      <c r="D788" t="s">
        <v>453</v>
      </c>
      <c r="E788">
        <v>589782</v>
      </c>
      <c r="F788">
        <v>616179</v>
      </c>
      <c r="G788">
        <v>607816</v>
      </c>
      <c r="H788">
        <v>8363</v>
      </c>
      <c r="I788">
        <v>2011</v>
      </c>
      <c r="J788">
        <v>98</v>
      </c>
      <c r="K788">
        <f>allFYsTable[[#This Row],[Actual]]-allFYsTable[[#This Row],[OriginalBudget]]</f>
        <v>18034</v>
      </c>
      <c r="L788" s="11">
        <f>allFYsTable[[#This Row],[DiffAmount]]/allFYsTable[[#This Row],[OriginalBudget]]</f>
        <v>3.0577399785005305E-2</v>
      </c>
    </row>
    <row r="789" spans="1:12" x14ac:dyDescent="0.45">
      <c r="A789" t="s">
        <v>1034</v>
      </c>
      <c r="B789" t="s">
        <v>182</v>
      </c>
      <c r="C789" t="s">
        <v>802</v>
      </c>
      <c r="D789" t="s">
        <v>454</v>
      </c>
      <c r="E789">
        <v>96441</v>
      </c>
      <c r="F789">
        <v>96441</v>
      </c>
      <c r="G789">
        <v>96441</v>
      </c>
      <c r="H789">
        <v>0</v>
      </c>
      <c r="I789">
        <v>2011</v>
      </c>
      <c r="J789">
        <v>99</v>
      </c>
      <c r="K789">
        <f>allFYsTable[[#This Row],[Actual]]-allFYsTable[[#This Row],[OriginalBudget]]</f>
        <v>0</v>
      </c>
      <c r="L789" s="11">
        <f>allFYsTable[[#This Row],[DiffAmount]]/allFYsTable[[#This Row],[OriginalBudget]]</f>
        <v>0</v>
      </c>
    </row>
    <row r="790" spans="1:12" x14ac:dyDescent="0.45">
      <c r="A790" t="s">
        <v>1034</v>
      </c>
      <c r="B790" t="s">
        <v>182</v>
      </c>
      <c r="C790" t="s">
        <v>803</v>
      </c>
      <c r="D790" t="s">
        <v>455</v>
      </c>
      <c r="E790">
        <v>17940</v>
      </c>
      <c r="F790">
        <v>17940</v>
      </c>
      <c r="G790">
        <v>17937</v>
      </c>
      <c r="H790">
        <v>3</v>
      </c>
      <c r="I790">
        <v>2011</v>
      </c>
      <c r="J790">
        <v>100</v>
      </c>
      <c r="K790">
        <f>allFYsTable[[#This Row],[Actual]]-allFYsTable[[#This Row],[OriginalBudget]]</f>
        <v>-3</v>
      </c>
      <c r="L790" s="11">
        <f>allFYsTable[[#This Row],[DiffAmount]]/allFYsTable[[#This Row],[OriginalBudget]]</f>
        <v>-1.6722408026755852E-4</v>
      </c>
    </row>
    <row r="791" spans="1:12" x14ac:dyDescent="0.45">
      <c r="A791" t="s">
        <v>1034</v>
      </c>
      <c r="B791" t="s">
        <v>182</v>
      </c>
      <c r="C791" t="s">
        <v>799</v>
      </c>
      <c r="D791" t="s">
        <v>206</v>
      </c>
      <c r="E791">
        <v>1078</v>
      </c>
      <c r="F791">
        <v>1078</v>
      </c>
      <c r="G791">
        <v>1049</v>
      </c>
      <c r="H791">
        <v>29</v>
      </c>
      <c r="I791">
        <v>2011</v>
      </c>
      <c r="J791">
        <v>101</v>
      </c>
      <c r="K791">
        <f>allFYsTable[[#This Row],[Actual]]-allFYsTable[[#This Row],[OriginalBudget]]</f>
        <v>-29</v>
      </c>
      <c r="L791" s="11">
        <f>allFYsTable[[#This Row],[DiffAmount]]/allFYsTable[[#This Row],[OriginalBudget]]</f>
        <v>-2.6901669758812616E-2</v>
      </c>
    </row>
    <row r="792" spans="1:12" x14ac:dyDescent="0.45">
      <c r="A792" t="s">
        <v>1034</v>
      </c>
      <c r="B792" t="s">
        <v>182</v>
      </c>
      <c r="C792" t="s">
        <v>801</v>
      </c>
      <c r="D792" t="s">
        <v>456</v>
      </c>
      <c r="E792">
        <v>23868</v>
      </c>
      <c r="F792">
        <v>25802</v>
      </c>
      <c r="G792">
        <v>23831</v>
      </c>
      <c r="H792">
        <v>1971</v>
      </c>
      <c r="I792">
        <v>2011</v>
      </c>
      <c r="J792">
        <v>102</v>
      </c>
      <c r="K792">
        <f>allFYsTable[[#This Row],[Actual]]-allFYsTable[[#This Row],[OriginalBudget]]</f>
        <v>-37</v>
      </c>
      <c r="L792" s="11">
        <f>allFYsTable[[#This Row],[DiffAmount]]/allFYsTable[[#This Row],[OriginalBudget]]</f>
        <v>-1.550192726663315E-3</v>
      </c>
    </row>
    <row r="793" spans="1:12" x14ac:dyDescent="0.45">
      <c r="A793" t="s">
        <v>1034</v>
      </c>
      <c r="B793" t="s">
        <v>182</v>
      </c>
      <c r="C793" t="s">
        <v>808</v>
      </c>
      <c r="D793" t="s">
        <v>457</v>
      </c>
      <c r="E793">
        <v>123</v>
      </c>
      <c r="F793">
        <v>123</v>
      </c>
      <c r="G793">
        <v>123</v>
      </c>
      <c r="H793">
        <v>0</v>
      </c>
      <c r="I793">
        <v>2011</v>
      </c>
      <c r="J793">
        <v>103</v>
      </c>
      <c r="K793">
        <f>allFYsTable[[#This Row],[Actual]]-allFYsTable[[#This Row],[OriginalBudget]]</f>
        <v>0</v>
      </c>
      <c r="L793" s="11">
        <f>allFYsTable[[#This Row],[DiffAmount]]/allFYsTable[[#This Row],[OriginalBudget]]</f>
        <v>0</v>
      </c>
    </row>
    <row r="794" spans="1:12" x14ac:dyDescent="0.45">
      <c r="A794" t="s">
        <v>1034</v>
      </c>
      <c r="B794" t="s">
        <v>182</v>
      </c>
      <c r="C794" t="s">
        <v>807</v>
      </c>
      <c r="D794" t="s">
        <v>458</v>
      </c>
      <c r="E794">
        <v>245703</v>
      </c>
      <c r="F794">
        <v>245703</v>
      </c>
      <c r="G794">
        <v>245703</v>
      </c>
      <c r="H794">
        <v>0</v>
      </c>
      <c r="I794">
        <v>2011</v>
      </c>
      <c r="J794">
        <v>104</v>
      </c>
      <c r="K794">
        <f>allFYsTable[[#This Row],[Actual]]-allFYsTable[[#This Row],[OriginalBudget]]</f>
        <v>0</v>
      </c>
      <c r="L794" s="11">
        <f>allFYsTable[[#This Row],[DiffAmount]]/allFYsTable[[#This Row],[OriginalBudget]]</f>
        <v>0</v>
      </c>
    </row>
    <row r="795" spans="1:12" x14ac:dyDescent="0.45">
      <c r="A795" t="s">
        <v>1034</v>
      </c>
      <c r="B795" t="s">
        <v>182</v>
      </c>
      <c r="C795" t="s">
        <v>798</v>
      </c>
      <c r="D795" t="s">
        <v>459</v>
      </c>
      <c r="E795">
        <v>12611</v>
      </c>
      <c r="F795">
        <v>12611</v>
      </c>
      <c r="G795">
        <v>12321</v>
      </c>
      <c r="H795">
        <v>290</v>
      </c>
      <c r="I795">
        <v>2011</v>
      </c>
      <c r="J795">
        <v>105</v>
      </c>
      <c r="K795">
        <f>allFYsTable[[#This Row],[Actual]]-allFYsTable[[#This Row],[OriginalBudget]]</f>
        <v>-290</v>
      </c>
      <c r="L795" s="11">
        <f>allFYsTable[[#This Row],[DiffAmount]]/allFYsTable[[#This Row],[OriginalBudget]]</f>
        <v>-2.2995797319800174E-2</v>
      </c>
    </row>
    <row r="796" spans="1:12" x14ac:dyDescent="0.45">
      <c r="A796" t="s">
        <v>1034</v>
      </c>
      <c r="B796" t="s">
        <v>182</v>
      </c>
      <c r="C796" s="12" t="s">
        <v>807</v>
      </c>
      <c r="D796" t="s">
        <v>862</v>
      </c>
      <c r="E796">
        <v>6058</v>
      </c>
      <c r="F796">
        <v>6058</v>
      </c>
      <c r="G796">
        <v>6007</v>
      </c>
      <c r="H796">
        <v>51</v>
      </c>
      <c r="I796">
        <v>2011</v>
      </c>
      <c r="J796">
        <v>106</v>
      </c>
      <c r="K796">
        <f>allFYsTable[[#This Row],[Actual]]-allFYsTable[[#This Row],[OriginalBudget]]</f>
        <v>-51</v>
      </c>
      <c r="L796" s="11">
        <f>allFYsTable[[#This Row],[DiffAmount]]/allFYsTable[[#This Row],[OriginalBudget]]</f>
        <v>-8.4186200066028397E-3</v>
      </c>
    </row>
    <row r="797" spans="1:12" x14ac:dyDescent="0.45">
      <c r="A797" t="s">
        <v>1034</v>
      </c>
      <c r="B797" t="s">
        <v>10</v>
      </c>
      <c r="C797" t="s">
        <v>775</v>
      </c>
      <c r="D797" t="s">
        <v>460</v>
      </c>
      <c r="E797">
        <v>406705</v>
      </c>
      <c r="F797">
        <v>401863</v>
      </c>
      <c r="G797">
        <v>400564</v>
      </c>
      <c r="H797">
        <v>1299</v>
      </c>
      <c r="I797">
        <v>2011</v>
      </c>
      <c r="J797">
        <v>107</v>
      </c>
      <c r="K797">
        <f>allFYsTable[[#This Row],[Actual]]-allFYsTable[[#This Row],[OriginalBudget]]</f>
        <v>-6141</v>
      </c>
      <c r="L797" s="11">
        <f>allFYsTable[[#This Row],[DiffAmount]]/allFYsTable[[#This Row],[OriginalBudget]]</f>
        <v>-1.5099396368375113E-2</v>
      </c>
    </row>
    <row r="798" spans="1:12" x14ac:dyDescent="0.45">
      <c r="A798" t="s">
        <v>1034</v>
      </c>
      <c r="B798" t="s">
        <v>10</v>
      </c>
      <c r="C798" t="s">
        <v>817</v>
      </c>
      <c r="D798" t="s">
        <v>461</v>
      </c>
      <c r="E798">
        <v>15000</v>
      </c>
      <c r="F798">
        <v>15000</v>
      </c>
      <c r="G798">
        <v>5885</v>
      </c>
      <c r="H798">
        <v>9115</v>
      </c>
      <c r="I798">
        <v>2011</v>
      </c>
      <c r="J798">
        <v>108</v>
      </c>
      <c r="K798">
        <f>allFYsTable[[#This Row],[Actual]]-allFYsTable[[#This Row],[OriginalBudget]]</f>
        <v>-9115</v>
      </c>
      <c r="L798" s="11">
        <f>allFYsTable[[#This Row],[DiffAmount]]/allFYsTable[[#This Row],[OriginalBudget]]</f>
        <v>-0.60766666666666669</v>
      </c>
    </row>
    <row r="799" spans="1:12" x14ac:dyDescent="0.45">
      <c r="A799" t="s">
        <v>1034</v>
      </c>
      <c r="B799" t="s">
        <v>10</v>
      </c>
      <c r="C799" t="s">
        <v>830</v>
      </c>
      <c r="D799" t="s">
        <v>462</v>
      </c>
      <c r="E799">
        <v>3000</v>
      </c>
      <c r="F799">
        <v>3000</v>
      </c>
      <c r="G799">
        <v>2841</v>
      </c>
      <c r="H799">
        <v>159</v>
      </c>
      <c r="I799">
        <v>2011</v>
      </c>
      <c r="J799">
        <v>109</v>
      </c>
      <c r="K799">
        <f>allFYsTable[[#This Row],[Actual]]-allFYsTable[[#This Row],[OriginalBudget]]</f>
        <v>-159</v>
      </c>
      <c r="L799" s="11">
        <f>allFYsTable[[#This Row],[DiffAmount]]/allFYsTable[[#This Row],[OriginalBudget]]</f>
        <v>-5.2999999999999999E-2</v>
      </c>
    </row>
    <row r="800" spans="1:12" x14ac:dyDescent="0.45">
      <c r="A800" t="s">
        <v>1034</v>
      </c>
      <c r="B800" t="s">
        <v>10</v>
      </c>
      <c r="C800" t="s">
        <v>819</v>
      </c>
      <c r="D800" t="s">
        <v>463</v>
      </c>
      <c r="E800">
        <v>21477</v>
      </c>
      <c r="F800">
        <v>21477</v>
      </c>
      <c r="G800">
        <v>21477</v>
      </c>
      <c r="H800">
        <v>0</v>
      </c>
      <c r="I800">
        <v>2011</v>
      </c>
      <c r="J800">
        <v>110</v>
      </c>
      <c r="K800">
        <f>allFYsTable[[#This Row],[Actual]]-allFYsTable[[#This Row],[OriginalBudget]]</f>
        <v>0</v>
      </c>
      <c r="L800" s="11">
        <f>allFYsTable[[#This Row],[DiffAmount]]/allFYsTable[[#This Row],[OriginalBudget]]</f>
        <v>0</v>
      </c>
    </row>
    <row r="801" spans="1:12" x14ac:dyDescent="0.45">
      <c r="A801" t="s">
        <v>1034</v>
      </c>
      <c r="B801" t="s">
        <v>10</v>
      </c>
      <c r="C801" t="s">
        <v>814</v>
      </c>
      <c r="D801" t="s">
        <v>464</v>
      </c>
      <c r="E801">
        <v>3598</v>
      </c>
      <c r="F801">
        <v>3598</v>
      </c>
      <c r="G801">
        <v>3566</v>
      </c>
      <c r="H801">
        <v>32</v>
      </c>
      <c r="I801">
        <v>2011</v>
      </c>
      <c r="J801">
        <v>111</v>
      </c>
      <c r="K801">
        <f>allFYsTable[[#This Row],[Actual]]-allFYsTable[[#This Row],[OriginalBudget]]</f>
        <v>-32</v>
      </c>
      <c r="L801" s="11">
        <f>allFYsTable[[#This Row],[DiffAmount]]/allFYsTable[[#This Row],[OriginalBudget]]</f>
        <v>-8.8938299055030569E-3</v>
      </c>
    </row>
    <row r="802" spans="1:12" x14ac:dyDescent="0.45">
      <c r="A802" t="s">
        <v>1034</v>
      </c>
      <c r="B802" t="s">
        <v>10</v>
      </c>
      <c r="C802" t="s">
        <v>833</v>
      </c>
      <c r="D802" t="s">
        <v>465</v>
      </c>
      <c r="E802">
        <v>8613</v>
      </c>
      <c r="F802">
        <v>8613</v>
      </c>
      <c r="G802">
        <v>8613</v>
      </c>
      <c r="H802">
        <v>0</v>
      </c>
      <c r="I802">
        <v>2011</v>
      </c>
      <c r="J802">
        <v>112</v>
      </c>
      <c r="K802">
        <f>allFYsTable[[#This Row],[Actual]]-allFYsTable[[#This Row],[OriginalBudget]]</f>
        <v>0</v>
      </c>
      <c r="L802" s="11">
        <f>allFYsTable[[#This Row],[DiffAmount]]/allFYsTable[[#This Row],[OriginalBudget]]</f>
        <v>0</v>
      </c>
    </row>
    <row r="803" spans="1:12" x14ac:dyDescent="0.45">
      <c r="A803" t="s">
        <v>1034</v>
      </c>
      <c r="B803" t="s">
        <v>10</v>
      </c>
      <c r="C803" t="s">
        <v>811</v>
      </c>
      <c r="D803" t="s">
        <v>466</v>
      </c>
      <c r="E803">
        <v>98700</v>
      </c>
      <c r="F803">
        <v>98700</v>
      </c>
      <c r="G803">
        <v>94200</v>
      </c>
      <c r="H803">
        <v>4500</v>
      </c>
      <c r="I803">
        <v>2011</v>
      </c>
      <c r="J803">
        <v>113</v>
      </c>
      <c r="K803">
        <f>allFYsTable[[#This Row],[Actual]]-allFYsTable[[#This Row],[OriginalBudget]]</f>
        <v>-4500</v>
      </c>
      <c r="L803" s="11">
        <f>allFYsTable[[#This Row],[DiffAmount]]/allFYsTable[[#This Row],[OriginalBudget]]</f>
        <v>-4.5592705167173252E-2</v>
      </c>
    </row>
    <row r="804" spans="1:12" x14ac:dyDescent="0.45">
      <c r="A804" t="s">
        <v>1034</v>
      </c>
      <c r="B804" t="s">
        <v>10</v>
      </c>
      <c r="C804" t="s">
        <v>829</v>
      </c>
      <c r="D804" t="s">
        <v>467</v>
      </c>
      <c r="E804">
        <v>7574</v>
      </c>
      <c r="F804">
        <v>7574</v>
      </c>
      <c r="G804">
        <v>4782</v>
      </c>
      <c r="H804">
        <v>2792</v>
      </c>
      <c r="I804">
        <v>2011</v>
      </c>
      <c r="J804">
        <v>114</v>
      </c>
      <c r="K804">
        <f>allFYsTable[[#This Row],[Actual]]-allFYsTable[[#This Row],[OriginalBudget]]</f>
        <v>-2792</v>
      </c>
      <c r="L804" s="11">
        <f>allFYsTable[[#This Row],[DiffAmount]]/allFYsTable[[#This Row],[OriginalBudget]]</f>
        <v>-0.36862952204911542</v>
      </c>
    </row>
    <row r="805" spans="1:12" x14ac:dyDescent="0.45">
      <c r="A805" t="s">
        <v>1034</v>
      </c>
      <c r="B805" t="s">
        <v>10</v>
      </c>
      <c r="C805" t="s">
        <v>831</v>
      </c>
      <c r="D805" t="s">
        <v>468</v>
      </c>
      <c r="E805">
        <v>33045</v>
      </c>
      <c r="F805">
        <v>33045</v>
      </c>
      <c r="G805">
        <v>32244</v>
      </c>
      <c r="H805">
        <v>801</v>
      </c>
      <c r="I805">
        <v>2011</v>
      </c>
      <c r="J805">
        <v>115</v>
      </c>
      <c r="K805">
        <f>allFYsTable[[#This Row],[Actual]]-allFYsTable[[#This Row],[OriginalBudget]]</f>
        <v>-801</v>
      </c>
      <c r="L805" s="11">
        <f>allFYsTable[[#This Row],[DiffAmount]]/allFYsTable[[#This Row],[OriginalBudget]]</f>
        <v>-2.4239673172945984E-2</v>
      </c>
    </row>
    <row r="806" spans="1:12" x14ac:dyDescent="0.45">
      <c r="A806" t="s">
        <v>1034</v>
      </c>
      <c r="B806" t="s">
        <v>10</v>
      </c>
      <c r="C806" t="s">
        <v>810</v>
      </c>
      <c r="D806" t="s">
        <v>469</v>
      </c>
      <c r="E806">
        <v>101696</v>
      </c>
      <c r="F806">
        <v>96844</v>
      </c>
      <c r="G806">
        <v>96844</v>
      </c>
      <c r="H806">
        <v>0</v>
      </c>
      <c r="I806">
        <v>2011</v>
      </c>
      <c r="J806">
        <v>116</v>
      </c>
      <c r="K806">
        <f>allFYsTable[[#This Row],[Actual]]-allFYsTable[[#This Row],[OriginalBudget]]</f>
        <v>-4852</v>
      </c>
      <c r="L806" s="11">
        <f>allFYsTable[[#This Row],[DiffAmount]]/allFYsTable[[#This Row],[OriginalBudget]]</f>
        <v>-4.7710824417872874E-2</v>
      </c>
    </row>
    <row r="807" spans="1:12" x14ac:dyDescent="0.45">
      <c r="A807" t="s">
        <v>1034</v>
      </c>
      <c r="B807" t="s">
        <v>10</v>
      </c>
      <c r="C807" t="s">
        <v>813</v>
      </c>
      <c r="D807" t="s">
        <v>470</v>
      </c>
      <c r="E807">
        <v>37678</v>
      </c>
      <c r="F807">
        <v>31273</v>
      </c>
      <c r="G807">
        <v>30001</v>
      </c>
      <c r="H807">
        <v>1272</v>
      </c>
      <c r="I807">
        <v>2011</v>
      </c>
      <c r="J807">
        <v>117</v>
      </c>
      <c r="K807">
        <f>allFYsTable[[#This Row],[Actual]]-allFYsTable[[#This Row],[OriginalBudget]]</f>
        <v>-7677</v>
      </c>
      <c r="L807" s="11">
        <f>allFYsTable[[#This Row],[DiffAmount]]/allFYsTable[[#This Row],[OriginalBudget]]</f>
        <v>-0.20375285312383884</v>
      </c>
    </row>
    <row r="808" spans="1:12" x14ac:dyDescent="0.45">
      <c r="A808" t="s">
        <v>1034</v>
      </c>
      <c r="B808" t="s">
        <v>10</v>
      </c>
      <c r="C808" t="s">
        <v>850</v>
      </c>
      <c r="D808" t="s">
        <v>471</v>
      </c>
      <c r="E808">
        <v>29582</v>
      </c>
      <c r="F808">
        <v>30336</v>
      </c>
      <c r="G808">
        <v>30336</v>
      </c>
      <c r="H808">
        <v>0</v>
      </c>
      <c r="I808">
        <v>2011</v>
      </c>
      <c r="J808">
        <v>118</v>
      </c>
      <c r="K808">
        <f>allFYsTable[[#This Row],[Actual]]-allFYsTable[[#This Row],[OriginalBudget]]</f>
        <v>754</v>
      </c>
      <c r="L808" s="11">
        <f>allFYsTable[[#This Row],[DiffAmount]]/allFYsTable[[#This Row],[OriginalBudget]]</f>
        <v>2.5488472719897234E-2</v>
      </c>
    </row>
    <row r="809" spans="1:12" ht="28.5" x14ac:dyDescent="0.45">
      <c r="A809" t="s">
        <v>1034</v>
      </c>
      <c r="B809" t="s">
        <v>10</v>
      </c>
      <c r="C809" t="s">
        <v>844</v>
      </c>
      <c r="D809" s="1" t="s">
        <v>1000</v>
      </c>
      <c r="E809">
        <v>61304</v>
      </c>
      <c r="F809">
        <v>58254</v>
      </c>
      <c r="G809">
        <v>58254</v>
      </c>
      <c r="H809">
        <v>0</v>
      </c>
      <c r="I809">
        <v>2011</v>
      </c>
      <c r="J809">
        <v>119</v>
      </c>
      <c r="K809">
        <f>allFYsTable[[#This Row],[Actual]]-allFYsTable[[#This Row],[OriginalBudget]]</f>
        <v>-3050</v>
      </c>
      <c r="L809" s="11">
        <f>allFYsTable[[#This Row],[DiffAmount]]/allFYsTable[[#This Row],[OriginalBudget]]</f>
        <v>-4.9752055330810389E-2</v>
      </c>
    </row>
    <row r="810" spans="1:12" x14ac:dyDescent="0.45">
      <c r="A810" t="s">
        <v>1034</v>
      </c>
      <c r="B810" t="s">
        <v>10</v>
      </c>
      <c r="C810" t="s">
        <v>812</v>
      </c>
      <c r="D810" t="s">
        <v>848</v>
      </c>
      <c r="E810">
        <v>0</v>
      </c>
      <c r="F810">
        <v>0</v>
      </c>
      <c r="G810">
        <v>0</v>
      </c>
      <c r="H810">
        <v>0</v>
      </c>
      <c r="I810">
        <v>2011</v>
      </c>
      <c r="J810">
        <v>120</v>
      </c>
      <c r="K810">
        <f>allFYsTable[[#This Row],[Actual]]-allFYsTable[[#This Row],[OriginalBudget]]</f>
        <v>0</v>
      </c>
      <c r="L810" s="11" t="e">
        <f>allFYsTable[[#This Row],[DiffAmount]]/allFYsTable[[#This Row],[OriginalBudget]]</f>
        <v>#DIV/0!</v>
      </c>
    </row>
    <row r="811" spans="1:12" x14ac:dyDescent="0.45">
      <c r="A811" t="s">
        <v>1034</v>
      </c>
      <c r="B811" t="s">
        <v>10</v>
      </c>
      <c r="C811" t="s">
        <v>879</v>
      </c>
      <c r="D811" t="s">
        <v>472</v>
      </c>
      <c r="E811">
        <v>40000</v>
      </c>
      <c r="F811">
        <v>161</v>
      </c>
      <c r="G811">
        <v>0</v>
      </c>
      <c r="H811">
        <v>161</v>
      </c>
      <c r="I811">
        <v>2011</v>
      </c>
      <c r="J811">
        <v>121</v>
      </c>
      <c r="K811">
        <f>allFYsTable[[#This Row],[Actual]]-allFYsTable[[#This Row],[OriginalBudget]]</f>
        <v>-40000</v>
      </c>
      <c r="L811" s="11">
        <f>allFYsTable[[#This Row],[DiffAmount]]/allFYsTable[[#This Row],[OriginalBudget]]</f>
        <v>-1</v>
      </c>
    </row>
    <row r="812" spans="1:12" x14ac:dyDescent="0.45">
      <c r="A812" t="s">
        <v>1034</v>
      </c>
      <c r="B812" t="s">
        <v>10</v>
      </c>
      <c r="C812" t="s">
        <v>832</v>
      </c>
      <c r="D812" t="s">
        <v>473</v>
      </c>
      <c r="E812">
        <v>49804</v>
      </c>
      <c r="F812">
        <v>48819</v>
      </c>
      <c r="G812">
        <v>48247</v>
      </c>
      <c r="H812">
        <v>572</v>
      </c>
      <c r="I812">
        <v>2011</v>
      </c>
      <c r="J812">
        <v>122</v>
      </c>
      <c r="K812">
        <f>allFYsTable[[#This Row],[Actual]]-allFYsTable[[#This Row],[OriginalBudget]]</f>
        <v>-1557</v>
      </c>
      <c r="L812" s="11">
        <f>allFYsTable[[#This Row],[DiffAmount]]/allFYsTable[[#This Row],[OriginalBudget]]</f>
        <v>-3.1262549192835914E-2</v>
      </c>
    </row>
    <row r="813" spans="1:12" x14ac:dyDescent="0.45">
      <c r="A813" t="s">
        <v>1034</v>
      </c>
      <c r="B813" t="s">
        <v>10</v>
      </c>
      <c r="C813" t="s">
        <v>847</v>
      </c>
      <c r="D813" t="s">
        <v>474</v>
      </c>
      <c r="E813">
        <v>3000</v>
      </c>
      <c r="F813">
        <v>3000</v>
      </c>
      <c r="G813">
        <v>0</v>
      </c>
      <c r="H813">
        <v>3000</v>
      </c>
      <c r="I813">
        <v>2011</v>
      </c>
      <c r="J813">
        <v>123</v>
      </c>
      <c r="K813">
        <f>allFYsTable[[#This Row],[Actual]]-allFYsTable[[#This Row],[OriginalBudget]]</f>
        <v>-3000</v>
      </c>
      <c r="L813" s="11">
        <f>allFYsTable[[#This Row],[DiffAmount]]/allFYsTable[[#This Row],[OriginalBudget]]</f>
        <v>-1</v>
      </c>
    </row>
    <row r="814" spans="1:12" x14ac:dyDescent="0.45">
      <c r="A814" t="s">
        <v>1034</v>
      </c>
      <c r="B814" t="s">
        <v>10</v>
      </c>
      <c r="C814" t="s">
        <v>816</v>
      </c>
      <c r="D814" t="s">
        <v>1001</v>
      </c>
      <c r="E814">
        <v>0</v>
      </c>
      <c r="F814">
        <v>18683</v>
      </c>
      <c r="G814">
        <v>18683</v>
      </c>
      <c r="H814">
        <v>0</v>
      </c>
      <c r="I814">
        <v>2011</v>
      </c>
      <c r="J814">
        <v>124</v>
      </c>
      <c r="K814">
        <f>allFYsTable[[#This Row],[Actual]]-allFYsTable[[#This Row],[OriginalBudget]]</f>
        <v>18683</v>
      </c>
      <c r="L814" s="11" t="e">
        <f>allFYsTable[[#This Row],[DiffAmount]]/allFYsTable[[#This Row],[OriginalBudget]]</f>
        <v>#DIV/0!</v>
      </c>
    </row>
    <row r="815" spans="1:12" x14ac:dyDescent="0.45">
      <c r="A815" t="s">
        <v>1034</v>
      </c>
      <c r="B815" t="s">
        <v>10</v>
      </c>
      <c r="C815" t="s">
        <v>815</v>
      </c>
      <c r="D815" t="s">
        <v>95</v>
      </c>
      <c r="E815">
        <v>0</v>
      </c>
      <c r="F815">
        <v>0</v>
      </c>
      <c r="G815">
        <v>0</v>
      </c>
      <c r="H815">
        <v>0</v>
      </c>
      <c r="I815">
        <v>2011</v>
      </c>
      <c r="J815">
        <v>125</v>
      </c>
      <c r="K815">
        <f>allFYsTable[[#This Row],[Actual]]-allFYsTable[[#This Row],[OriginalBudget]]</f>
        <v>0</v>
      </c>
      <c r="L815" s="11" t="e">
        <f>allFYsTable[[#This Row],[DiffAmount]]/allFYsTable[[#This Row],[OriginalBudget]]</f>
        <v>#DIV/0!</v>
      </c>
    </row>
    <row r="816" spans="1:12" x14ac:dyDescent="0.45">
      <c r="A816" t="s">
        <v>1034</v>
      </c>
      <c r="B816" t="s">
        <v>10</v>
      </c>
      <c r="C816" t="s">
        <v>825</v>
      </c>
      <c r="D816" t="s">
        <v>475</v>
      </c>
      <c r="E816">
        <v>0</v>
      </c>
      <c r="F816">
        <v>0</v>
      </c>
      <c r="G816">
        <v>0</v>
      </c>
      <c r="H816">
        <v>0</v>
      </c>
      <c r="I816">
        <v>2011</v>
      </c>
      <c r="J816">
        <v>126</v>
      </c>
      <c r="K816">
        <f>allFYsTable[[#This Row],[Actual]]-allFYsTable[[#This Row],[OriginalBudget]]</f>
        <v>0</v>
      </c>
      <c r="L816" s="11" t="e">
        <f>allFYsTable[[#This Row],[DiffAmount]]/allFYsTable[[#This Row],[OriginalBudget]]</f>
        <v>#DIV/0!</v>
      </c>
    </row>
    <row r="817" spans="1:12" x14ac:dyDescent="0.45">
      <c r="A817" t="s">
        <v>1034</v>
      </c>
      <c r="B817" t="s">
        <v>10</v>
      </c>
      <c r="C817" t="s">
        <v>824</v>
      </c>
      <c r="D817" t="s">
        <v>476</v>
      </c>
      <c r="E817">
        <v>0</v>
      </c>
      <c r="F817">
        <v>0</v>
      </c>
      <c r="G817">
        <v>0</v>
      </c>
      <c r="H817">
        <v>0</v>
      </c>
      <c r="I817">
        <v>2011</v>
      </c>
      <c r="J817">
        <v>127</v>
      </c>
      <c r="K817">
        <f>allFYsTable[[#This Row],[Actual]]-allFYsTable[[#This Row],[OriginalBudget]]</f>
        <v>0</v>
      </c>
      <c r="L817" s="11" t="e">
        <f>allFYsTable[[#This Row],[DiffAmount]]/allFYsTable[[#This Row],[OriginalBudget]]</f>
        <v>#DIV/0!</v>
      </c>
    </row>
    <row r="818" spans="1:12" x14ac:dyDescent="0.45">
      <c r="A818" t="s">
        <v>1033</v>
      </c>
      <c r="B818" t="s">
        <v>347</v>
      </c>
      <c r="C818" t="s">
        <v>703</v>
      </c>
      <c r="D818" t="s">
        <v>968</v>
      </c>
      <c r="E818">
        <v>19026</v>
      </c>
      <c r="F818">
        <v>18542</v>
      </c>
      <c r="G818">
        <v>18542</v>
      </c>
      <c r="H818">
        <v>0</v>
      </c>
      <c r="I818">
        <v>2012</v>
      </c>
      <c r="J818">
        <v>1</v>
      </c>
      <c r="K818">
        <f>allFYsTable[[#This Row],[Actual]]-allFYsTable[[#This Row],[OriginalBudget]]</f>
        <v>-484</v>
      </c>
      <c r="L818" s="11">
        <f>allFYsTable[[#This Row],[DiffAmount]]/allFYsTable[[#This Row],[OriginalBudget]]</f>
        <v>-2.5438873120992328E-2</v>
      </c>
    </row>
    <row r="819" spans="1:12" x14ac:dyDescent="0.45">
      <c r="A819" t="s">
        <v>1033</v>
      </c>
      <c r="B819" t="s">
        <v>347</v>
      </c>
      <c r="C819" t="s">
        <v>723</v>
      </c>
      <c r="D819" t="s">
        <v>300</v>
      </c>
      <c r="E819">
        <v>3686</v>
      </c>
      <c r="F819">
        <v>3686</v>
      </c>
      <c r="G819">
        <v>3361</v>
      </c>
      <c r="H819">
        <v>325</v>
      </c>
      <c r="I819">
        <v>2012</v>
      </c>
      <c r="J819">
        <v>2</v>
      </c>
      <c r="K819">
        <f>allFYsTable[[#This Row],[Actual]]-allFYsTable[[#This Row],[OriginalBudget]]</f>
        <v>-325</v>
      </c>
      <c r="L819" s="11">
        <f>allFYsTable[[#This Row],[DiffAmount]]/allFYsTable[[#This Row],[OriginalBudget]]</f>
        <v>-8.8171459576776995E-2</v>
      </c>
    </row>
    <row r="820" spans="1:12" x14ac:dyDescent="0.45">
      <c r="A820" t="s">
        <v>1033</v>
      </c>
      <c r="B820" t="s">
        <v>347</v>
      </c>
      <c r="C820" t="s">
        <v>711</v>
      </c>
      <c r="D820" t="s">
        <v>301</v>
      </c>
      <c r="E820">
        <v>889</v>
      </c>
      <c r="F820">
        <v>889</v>
      </c>
      <c r="G820">
        <v>744</v>
      </c>
      <c r="H820">
        <v>145</v>
      </c>
      <c r="I820">
        <v>2012</v>
      </c>
      <c r="J820">
        <v>3</v>
      </c>
      <c r="K820">
        <f>allFYsTable[[#This Row],[Actual]]-allFYsTable[[#This Row],[OriginalBudget]]</f>
        <v>-145</v>
      </c>
      <c r="L820" s="11">
        <f>allFYsTable[[#This Row],[DiffAmount]]/allFYsTable[[#This Row],[OriginalBudget]]</f>
        <v>-0.16310461192350956</v>
      </c>
    </row>
    <row r="821" spans="1:12" x14ac:dyDescent="0.45">
      <c r="A821" t="s">
        <v>1033</v>
      </c>
      <c r="B821" t="s">
        <v>347</v>
      </c>
      <c r="C821" t="s">
        <v>707</v>
      </c>
      <c r="D821" t="s">
        <v>163</v>
      </c>
      <c r="E821">
        <v>8259</v>
      </c>
      <c r="F821">
        <v>8170</v>
      </c>
      <c r="G821">
        <v>7998</v>
      </c>
      <c r="H821">
        <v>172</v>
      </c>
      <c r="I821">
        <v>2012</v>
      </c>
      <c r="J821">
        <v>4</v>
      </c>
      <c r="K821">
        <f>allFYsTable[[#This Row],[Actual]]-allFYsTable[[#This Row],[OriginalBudget]]</f>
        <v>-261</v>
      </c>
      <c r="L821" s="11">
        <f>allFYsTable[[#This Row],[DiffAmount]]/allFYsTable[[#This Row],[OriginalBudget]]</f>
        <v>-3.1601888848528881E-2</v>
      </c>
    </row>
    <row r="822" spans="1:12" x14ac:dyDescent="0.45">
      <c r="A822" t="s">
        <v>1033</v>
      </c>
      <c r="B822" t="s">
        <v>347</v>
      </c>
      <c r="C822" t="s">
        <v>725</v>
      </c>
      <c r="D822" t="s">
        <v>104</v>
      </c>
      <c r="E822">
        <v>2206</v>
      </c>
      <c r="F822">
        <v>2890</v>
      </c>
      <c r="G822">
        <v>2890</v>
      </c>
      <c r="H822">
        <v>0</v>
      </c>
      <c r="I822">
        <v>2012</v>
      </c>
      <c r="J822">
        <v>5</v>
      </c>
      <c r="K822">
        <f>allFYsTable[[#This Row],[Actual]]-allFYsTable[[#This Row],[OriginalBudget]]</f>
        <v>684</v>
      </c>
      <c r="L822" s="11">
        <f>allFYsTable[[#This Row],[DiffAmount]]/allFYsTable[[#This Row],[OriginalBudget]]</f>
        <v>0.31006346328195827</v>
      </c>
    </row>
    <row r="823" spans="1:12" x14ac:dyDescent="0.45">
      <c r="A823" t="s">
        <v>1033</v>
      </c>
      <c r="B823" t="s">
        <v>347</v>
      </c>
      <c r="C823" t="s">
        <v>724</v>
      </c>
      <c r="D823" t="s">
        <v>105</v>
      </c>
      <c r="E823">
        <v>13048</v>
      </c>
      <c r="F823">
        <v>13048</v>
      </c>
      <c r="G823">
        <v>11932</v>
      </c>
      <c r="H823">
        <v>1116</v>
      </c>
      <c r="I823">
        <v>2012</v>
      </c>
      <c r="J823">
        <v>6</v>
      </c>
      <c r="K823">
        <f>allFYsTable[[#This Row],[Actual]]-allFYsTable[[#This Row],[OriginalBudget]]</f>
        <v>-1116</v>
      </c>
      <c r="L823" s="11">
        <f>allFYsTable[[#This Row],[DiffAmount]]/allFYsTable[[#This Row],[OriginalBudget]]</f>
        <v>-8.5530349478847328E-2</v>
      </c>
    </row>
    <row r="824" spans="1:12" x14ac:dyDescent="0.45">
      <c r="A824" t="s">
        <v>1033</v>
      </c>
      <c r="B824" t="s">
        <v>347</v>
      </c>
      <c r="C824" t="s">
        <v>701</v>
      </c>
      <c r="D824" t="s">
        <v>302</v>
      </c>
      <c r="E824">
        <v>2584</v>
      </c>
      <c r="F824">
        <v>177</v>
      </c>
      <c r="G824">
        <v>177</v>
      </c>
      <c r="H824">
        <v>0</v>
      </c>
      <c r="I824">
        <v>2012</v>
      </c>
      <c r="J824">
        <v>7</v>
      </c>
      <c r="K824">
        <f>allFYsTable[[#This Row],[Actual]]-allFYsTable[[#This Row],[OriginalBudget]]</f>
        <v>-2407</v>
      </c>
      <c r="L824" s="11">
        <f>allFYsTable[[#This Row],[DiffAmount]]/allFYsTable[[#This Row],[OriginalBudget]]</f>
        <v>-0.93150154798761609</v>
      </c>
    </row>
    <row r="825" spans="1:12" x14ac:dyDescent="0.45">
      <c r="A825" t="s">
        <v>1033</v>
      </c>
      <c r="B825" t="s">
        <v>347</v>
      </c>
      <c r="C825" t="s">
        <v>722</v>
      </c>
      <c r="D825" t="s">
        <v>969</v>
      </c>
      <c r="E825">
        <v>3283</v>
      </c>
      <c r="F825">
        <v>3058</v>
      </c>
      <c r="G825">
        <v>2847</v>
      </c>
      <c r="H825">
        <v>211</v>
      </c>
      <c r="I825">
        <v>2012</v>
      </c>
      <c r="J825">
        <v>8</v>
      </c>
      <c r="K825">
        <f>allFYsTable[[#This Row],[Actual]]-allFYsTable[[#This Row],[OriginalBudget]]</f>
        <v>-436</v>
      </c>
      <c r="L825" s="11">
        <f>allFYsTable[[#This Row],[DiffAmount]]/allFYsTable[[#This Row],[OriginalBudget]]</f>
        <v>-0.13280536095035028</v>
      </c>
    </row>
    <row r="826" spans="1:12" x14ac:dyDescent="0.45">
      <c r="A826" t="s">
        <v>1033</v>
      </c>
      <c r="B826" t="s">
        <v>347</v>
      </c>
      <c r="C826" t="s">
        <v>704</v>
      </c>
      <c r="D826" t="s">
        <v>482</v>
      </c>
      <c r="E826">
        <v>7270</v>
      </c>
      <c r="F826">
        <v>8554</v>
      </c>
      <c r="G826">
        <v>8392</v>
      </c>
      <c r="H826">
        <v>162</v>
      </c>
      <c r="I826">
        <v>2012</v>
      </c>
      <c r="J826">
        <v>9</v>
      </c>
      <c r="K826">
        <f>allFYsTable[[#This Row],[Actual]]-allFYsTable[[#This Row],[OriginalBudget]]</f>
        <v>1122</v>
      </c>
      <c r="L826" s="11">
        <f>allFYsTable[[#This Row],[DiffAmount]]/allFYsTable[[#This Row],[OriginalBudget]]</f>
        <v>0.15433287482806052</v>
      </c>
    </row>
    <row r="827" spans="1:12" x14ac:dyDescent="0.45">
      <c r="A827" t="s">
        <v>1033</v>
      </c>
      <c r="B827" t="s">
        <v>347</v>
      </c>
      <c r="C827" t="s">
        <v>716</v>
      </c>
      <c r="D827" t="s">
        <v>284</v>
      </c>
      <c r="E827">
        <v>19068</v>
      </c>
      <c r="F827">
        <v>19068</v>
      </c>
      <c r="G827">
        <v>16536</v>
      </c>
      <c r="H827">
        <v>2532</v>
      </c>
      <c r="I827">
        <v>2012</v>
      </c>
      <c r="J827">
        <v>10</v>
      </c>
      <c r="K827">
        <f>allFYsTable[[#This Row],[Actual]]-allFYsTable[[#This Row],[OriginalBudget]]</f>
        <v>-2532</v>
      </c>
      <c r="L827" s="11">
        <f>allFYsTable[[#This Row],[DiffAmount]]/allFYsTable[[#This Row],[OriginalBudget]]</f>
        <v>-0.13278791692888608</v>
      </c>
    </row>
    <row r="828" spans="1:12" x14ac:dyDescent="0.45">
      <c r="A828" t="s">
        <v>1033</v>
      </c>
      <c r="B828" t="s">
        <v>347</v>
      </c>
      <c r="C828" t="s">
        <v>705</v>
      </c>
      <c r="D828" t="s">
        <v>304</v>
      </c>
      <c r="E828">
        <v>205426</v>
      </c>
      <c r="F828">
        <v>210566</v>
      </c>
      <c r="G828">
        <v>208936</v>
      </c>
      <c r="H828">
        <v>1630</v>
      </c>
      <c r="I828">
        <v>2012</v>
      </c>
      <c r="J828">
        <v>11</v>
      </c>
      <c r="K828">
        <f>allFYsTable[[#This Row],[Actual]]-allFYsTable[[#This Row],[OriginalBudget]]</f>
        <v>3510</v>
      </c>
      <c r="L828" s="11">
        <f>allFYsTable[[#This Row],[DiffAmount]]/allFYsTable[[#This Row],[OriginalBudget]]</f>
        <v>1.7086444753828631E-2</v>
      </c>
    </row>
    <row r="829" spans="1:12" x14ac:dyDescent="0.45">
      <c r="A829" t="s">
        <v>1033</v>
      </c>
      <c r="B829" t="s">
        <v>347</v>
      </c>
      <c r="C829" t="s">
        <v>713</v>
      </c>
      <c r="D829" t="s">
        <v>305</v>
      </c>
      <c r="E829">
        <v>8698</v>
      </c>
      <c r="F829">
        <v>11541</v>
      </c>
      <c r="G829">
        <v>11222</v>
      </c>
      <c r="H829">
        <v>319</v>
      </c>
      <c r="I829">
        <v>2012</v>
      </c>
      <c r="J829">
        <v>12</v>
      </c>
      <c r="K829">
        <f>allFYsTable[[#This Row],[Actual]]-allFYsTable[[#This Row],[OriginalBudget]]</f>
        <v>2524</v>
      </c>
      <c r="L829" s="11">
        <f>allFYsTable[[#This Row],[DiffAmount]]/allFYsTable[[#This Row],[OriginalBudget]]</f>
        <v>0.29018165095424236</v>
      </c>
    </row>
    <row r="830" spans="1:12" x14ac:dyDescent="0.45">
      <c r="A830" t="s">
        <v>1033</v>
      </c>
      <c r="B830" t="s">
        <v>347</v>
      </c>
      <c r="C830" t="s">
        <v>702</v>
      </c>
      <c r="D830" t="s">
        <v>306</v>
      </c>
      <c r="E830">
        <v>796</v>
      </c>
      <c r="F830">
        <v>846</v>
      </c>
      <c r="G830">
        <v>835</v>
      </c>
      <c r="H830">
        <v>11</v>
      </c>
      <c r="I830">
        <v>2012</v>
      </c>
      <c r="J830">
        <v>13</v>
      </c>
      <c r="K830">
        <f>allFYsTable[[#This Row],[Actual]]-allFYsTable[[#This Row],[OriginalBudget]]</f>
        <v>39</v>
      </c>
      <c r="L830" s="11">
        <f>allFYsTable[[#This Row],[DiffAmount]]/allFYsTable[[#This Row],[OriginalBudget]]</f>
        <v>4.8994974874371856E-2</v>
      </c>
    </row>
    <row r="831" spans="1:12" x14ac:dyDescent="0.45">
      <c r="A831" t="s">
        <v>1033</v>
      </c>
      <c r="B831" t="s">
        <v>347</v>
      </c>
      <c r="C831" t="s">
        <v>720</v>
      </c>
      <c r="D831" t="s">
        <v>113</v>
      </c>
      <c r="E831">
        <v>94642</v>
      </c>
      <c r="F831">
        <v>95053</v>
      </c>
      <c r="G831">
        <v>95011</v>
      </c>
      <c r="H831">
        <v>42</v>
      </c>
      <c r="I831">
        <v>2012</v>
      </c>
      <c r="J831">
        <v>14</v>
      </c>
      <c r="K831">
        <f>allFYsTable[[#This Row],[Actual]]-allFYsTable[[#This Row],[OriginalBudget]]</f>
        <v>369</v>
      </c>
      <c r="L831" s="11">
        <f>allFYsTable[[#This Row],[DiffAmount]]/allFYsTable[[#This Row],[OriginalBudget]]</f>
        <v>3.8989032353500559E-3</v>
      </c>
    </row>
    <row r="832" spans="1:12" x14ac:dyDescent="0.45">
      <c r="A832" t="s">
        <v>1033</v>
      </c>
      <c r="B832" t="s">
        <v>347</v>
      </c>
      <c r="C832" t="s">
        <v>719</v>
      </c>
      <c r="D832" t="s">
        <v>970</v>
      </c>
      <c r="E832">
        <v>56661</v>
      </c>
      <c r="F832">
        <v>56531</v>
      </c>
      <c r="G832">
        <v>54970</v>
      </c>
      <c r="H832">
        <v>1561</v>
      </c>
      <c r="I832">
        <v>2012</v>
      </c>
      <c r="J832">
        <v>15</v>
      </c>
      <c r="K832">
        <f>allFYsTable[[#This Row],[Actual]]-allFYsTable[[#This Row],[OriginalBudget]]</f>
        <v>-1691</v>
      </c>
      <c r="L832" s="11">
        <f>allFYsTable[[#This Row],[DiffAmount]]/allFYsTable[[#This Row],[OriginalBudget]]</f>
        <v>-2.9844160886676904E-2</v>
      </c>
    </row>
    <row r="833" spans="1:12" x14ac:dyDescent="0.45">
      <c r="A833" t="s">
        <v>1033</v>
      </c>
      <c r="B833" t="s">
        <v>347</v>
      </c>
      <c r="C833" t="s">
        <v>718</v>
      </c>
      <c r="D833" t="s">
        <v>115</v>
      </c>
      <c r="E833">
        <v>2728</v>
      </c>
      <c r="F833">
        <v>2378</v>
      </c>
      <c r="G833">
        <v>2196</v>
      </c>
      <c r="H833">
        <v>182</v>
      </c>
      <c r="I833">
        <v>2012</v>
      </c>
      <c r="J833">
        <v>16</v>
      </c>
      <c r="K833">
        <f>allFYsTable[[#This Row],[Actual]]-allFYsTable[[#This Row],[OriginalBudget]]</f>
        <v>-532</v>
      </c>
      <c r="L833" s="11">
        <f>allFYsTable[[#This Row],[DiffAmount]]/allFYsTable[[#This Row],[OriginalBudget]]</f>
        <v>-0.19501466275659823</v>
      </c>
    </row>
    <row r="834" spans="1:12" x14ac:dyDescent="0.45">
      <c r="A834" t="s">
        <v>1033</v>
      </c>
      <c r="B834" t="s">
        <v>347</v>
      </c>
      <c r="C834" t="s">
        <v>714</v>
      </c>
      <c r="D834" t="s">
        <v>308</v>
      </c>
      <c r="E834">
        <v>952</v>
      </c>
      <c r="F834">
        <v>952</v>
      </c>
      <c r="G834">
        <v>924</v>
      </c>
      <c r="H834">
        <v>28</v>
      </c>
      <c r="I834">
        <v>2012</v>
      </c>
      <c r="J834">
        <v>17</v>
      </c>
      <c r="K834">
        <f>allFYsTable[[#This Row],[Actual]]-allFYsTable[[#This Row],[OriginalBudget]]</f>
        <v>-28</v>
      </c>
      <c r="L834" s="11">
        <f>allFYsTable[[#This Row],[DiffAmount]]/allFYsTable[[#This Row],[OriginalBudget]]</f>
        <v>-2.9411764705882353E-2</v>
      </c>
    </row>
    <row r="835" spans="1:12" x14ac:dyDescent="0.45">
      <c r="A835" t="s">
        <v>1033</v>
      </c>
      <c r="B835" t="s">
        <v>347</v>
      </c>
      <c r="C835" t="s">
        <v>721</v>
      </c>
      <c r="D835" t="s">
        <v>491</v>
      </c>
      <c r="E835">
        <v>34249</v>
      </c>
      <c r="F835">
        <v>35913</v>
      </c>
      <c r="G835">
        <v>35799</v>
      </c>
      <c r="H835">
        <v>114</v>
      </c>
      <c r="I835">
        <v>2012</v>
      </c>
      <c r="J835">
        <v>18</v>
      </c>
      <c r="K835">
        <f>allFYsTable[[#This Row],[Actual]]-allFYsTable[[#This Row],[OriginalBudget]]</f>
        <v>1550</v>
      </c>
      <c r="L835" s="11">
        <f>allFYsTable[[#This Row],[DiffAmount]]/allFYsTable[[#This Row],[OriginalBudget]]</f>
        <v>4.5256795818856027E-2</v>
      </c>
    </row>
    <row r="836" spans="1:12" x14ac:dyDescent="0.45">
      <c r="A836" t="s">
        <v>1033</v>
      </c>
      <c r="B836" t="s">
        <v>347</v>
      </c>
      <c r="C836" t="s">
        <v>699</v>
      </c>
      <c r="D836" t="s">
        <v>310</v>
      </c>
      <c r="E836">
        <v>4268</v>
      </c>
      <c r="F836">
        <v>5591</v>
      </c>
      <c r="G836">
        <v>5278</v>
      </c>
      <c r="H836">
        <v>313</v>
      </c>
      <c r="I836">
        <v>2012</v>
      </c>
      <c r="J836">
        <v>19</v>
      </c>
      <c r="K836">
        <f>allFYsTable[[#This Row],[Actual]]-allFYsTable[[#This Row],[OriginalBudget]]</f>
        <v>1010</v>
      </c>
      <c r="L836" s="11">
        <f>allFYsTable[[#This Row],[DiffAmount]]/allFYsTable[[#This Row],[OriginalBudget]]</f>
        <v>0.2366447985004686</v>
      </c>
    </row>
    <row r="837" spans="1:12" x14ac:dyDescent="0.45">
      <c r="A837" t="s">
        <v>1033</v>
      </c>
      <c r="B837" t="s">
        <v>347</v>
      </c>
      <c r="C837" t="s">
        <v>712</v>
      </c>
      <c r="D837" t="s">
        <v>971</v>
      </c>
      <c r="E837">
        <v>1313</v>
      </c>
      <c r="F837">
        <v>1329</v>
      </c>
      <c r="G837">
        <v>1301</v>
      </c>
      <c r="H837">
        <v>28</v>
      </c>
      <c r="I837">
        <v>2012</v>
      </c>
      <c r="J837">
        <v>20</v>
      </c>
      <c r="K837">
        <f>allFYsTable[[#This Row],[Actual]]-allFYsTable[[#This Row],[OriginalBudget]]</f>
        <v>-12</v>
      </c>
      <c r="L837" s="11">
        <f>allFYsTable[[#This Row],[DiffAmount]]/allFYsTable[[#This Row],[OriginalBudget]]</f>
        <v>-9.13937547600914E-3</v>
      </c>
    </row>
    <row r="838" spans="1:12" x14ac:dyDescent="0.45">
      <c r="A838" t="s">
        <v>1033</v>
      </c>
      <c r="B838" t="s">
        <v>347</v>
      </c>
      <c r="C838" t="s">
        <v>730</v>
      </c>
      <c r="D838" t="s">
        <v>311</v>
      </c>
      <c r="E838">
        <v>951</v>
      </c>
      <c r="F838">
        <v>1151</v>
      </c>
      <c r="G838">
        <v>1114</v>
      </c>
      <c r="H838">
        <v>37</v>
      </c>
      <c r="I838">
        <v>2012</v>
      </c>
      <c r="J838">
        <v>21</v>
      </c>
      <c r="K838">
        <f>allFYsTable[[#This Row],[Actual]]-allFYsTable[[#This Row],[OriginalBudget]]</f>
        <v>163</v>
      </c>
      <c r="L838" s="11">
        <f>allFYsTable[[#This Row],[DiffAmount]]/allFYsTable[[#This Row],[OriginalBudget]]</f>
        <v>0.17139852786540483</v>
      </c>
    </row>
    <row r="839" spans="1:12" x14ac:dyDescent="0.45">
      <c r="A839" t="s">
        <v>1033</v>
      </c>
      <c r="B839" t="s">
        <v>347</v>
      </c>
      <c r="C839" t="s">
        <v>715</v>
      </c>
      <c r="D839" t="s">
        <v>126</v>
      </c>
      <c r="E839">
        <v>1360</v>
      </c>
      <c r="F839">
        <v>1368</v>
      </c>
      <c r="G839">
        <v>1343</v>
      </c>
      <c r="H839">
        <v>25</v>
      </c>
      <c r="I839">
        <v>2012</v>
      </c>
      <c r="J839">
        <v>22</v>
      </c>
      <c r="K839">
        <f>allFYsTable[[#This Row],[Actual]]-allFYsTable[[#This Row],[OriginalBudget]]</f>
        <v>-17</v>
      </c>
      <c r="L839" s="11">
        <f>allFYsTable[[#This Row],[DiffAmount]]/allFYsTable[[#This Row],[OriginalBudget]]</f>
        <v>-1.2500000000000001E-2</v>
      </c>
    </row>
    <row r="840" spans="1:12" x14ac:dyDescent="0.45">
      <c r="A840" t="s">
        <v>1033</v>
      </c>
      <c r="B840" t="s">
        <v>347</v>
      </c>
      <c r="C840" t="s">
        <v>709</v>
      </c>
      <c r="D840" t="s">
        <v>972</v>
      </c>
      <c r="E840">
        <v>396</v>
      </c>
      <c r="F840">
        <v>396</v>
      </c>
      <c r="G840">
        <v>396</v>
      </c>
      <c r="H840">
        <v>0</v>
      </c>
      <c r="I840">
        <v>2012</v>
      </c>
      <c r="J840">
        <v>23</v>
      </c>
      <c r="K840">
        <f>allFYsTable[[#This Row],[Actual]]-allFYsTable[[#This Row],[OriginalBudget]]</f>
        <v>0</v>
      </c>
      <c r="L840" s="11">
        <f>allFYsTable[[#This Row],[DiffAmount]]/allFYsTable[[#This Row],[OriginalBudget]]</f>
        <v>0</v>
      </c>
    </row>
    <row r="841" spans="1:12" x14ac:dyDescent="0.45">
      <c r="A841" t="s">
        <v>1033</v>
      </c>
      <c r="B841" t="s">
        <v>347</v>
      </c>
      <c r="C841" t="s">
        <v>700</v>
      </c>
      <c r="D841" t="s">
        <v>973</v>
      </c>
      <c r="E841">
        <v>350</v>
      </c>
      <c r="F841">
        <v>200</v>
      </c>
      <c r="G841">
        <v>87</v>
      </c>
      <c r="H841">
        <v>113</v>
      </c>
      <c r="I841">
        <v>2012</v>
      </c>
      <c r="J841">
        <v>24</v>
      </c>
      <c r="K841">
        <f>allFYsTable[[#This Row],[Actual]]-allFYsTable[[#This Row],[OriginalBudget]]</f>
        <v>-263</v>
      </c>
      <c r="L841" s="11">
        <f>allFYsTable[[#This Row],[DiffAmount]]/allFYsTable[[#This Row],[OriginalBudget]]</f>
        <v>-0.75142857142857145</v>
      </c>
    </row>
    <row r="842" spans="1:12" x14ac:dyDescent="0.45">
      <c r="A842" t="s">
        <v>1033</v>
      </c>
      <c r="B842" t="s">
        <v>347</v>
      </c>
      <c r="C842" t="s">
        <v>865</v>
      </c>
      <c r="D842" t="s">
        <v>348</v>
      </c>
      <c r="E842">
        <v>0</v>
      </c>
      <c r="F842">
        <v>4896</v>
      </c>
      <c r="G842">
        <v>4896</v>
      </c>
      <c r="H842">
        <v>0</v>
      </c>
      <c r="I842">
        <v>2012</v>
      </c>
      <c r="J842">
        <v>25</v>
      </c>
      <c r="K842">
        <f>allFYsTable[[#This Row],[Actual]]-allFYsTable[[#This Row],[OriginalBudget]]</f>
        <v>4896</v>
      </c>
      <c r="L842" s="11" t="e">
        <f>allFYsTable[[#This Row],[DiffAmount]]/allFYsTable[[#This Row],[OriginalBudget]]</f>
        <v>#DIV/0!</v>
      </c>
    </row>
    <row r="843" spans="1:12" x14ac:dyDescent="0.45">
      <c r="A843" t="s">
        <v>1033</v>
      </c>
      <c r="B843" t="s">
        <v>129</v>
      </c>
      <c r="C843" t="s">
        <v>743</v>
      </c>
      <c r="D843" t="s">
        <v>315</v>
      </c>
      <c r="E843">
        <v>8239</v>
      </c>
      <c r="F843">
        <v>9711</v>
      </c>
      <c r="G843">
        <v>9687</v>
      </c>
      <c r="H843">
        <v>24</v>
      </c>
      <c r="I843">
        <v>2012</v>
      </c>
      <c r="J843">
        <v>26</v>
      </c>
      <c r="K843">
        <f>allFYsTable[[#This Row],[Actual]]-allFYsTable[[#This Row],[OriginalBudget]]</f>
        <v>1448</v>
      </c>
      <c r="L843" s="11">
        <f>allFYsTable[[#This Row],[DiffAmount]]/allFYsTable[[#This Row],[OriginalBudget]]</f>
        <v>0.1757494841606991</v>
      </c>
    </row>
    <row r="844" spans="1:12" x14ac:dyDescent="0.45">
      <c r="A844" t="s">
        <v>1033</v>
      </c>
      <c r="B844" t="s">
        <v>129</v>
      </c>
      <c r="C844" t="s">
        <v>738</v>
      </c>
      <c r="D844" t="s">
        <v>974</v>
      </c>
      <c r="E844">
        <v>4852</v>
      </c>
      <c r="F844">
        <v>4919</v>
      </c>
      <c r="G844">
        <v>4792</v>
      </c>
      <c r="H844">
        <v>127</v>
      </c>
      <c r="I844">
        <v>2012</v>
      </c>
      <c r="J844">
        <v>27</v>
      </c>
      <c r="K844">
        <f>allFYsTable[[#This Row],[Actual]]-allFYsTable[[#This Row],[OriginalBudget]]</f>
        <v>-60</v>
      </c>
      <c r="L844" s="11">
        <f>allFYsTable[[#This Row],[DiffAmount]]/allFYsTable[[#This Row],[OriginalBudget]]</f>
        <v>-1.236603462489695E-2</v>
      </c>
    </row>
    <row r="845" spans="1:12" x14ac:dyDescent="0.45">
      <c r="A845" t="s">
        <v>1033</v>
      </c>
      <c r="B845" t="s">
        <v>129</v>
      </c>
      <c r="C845" t="s">
        <v>742</v>
      </c>
      <c r="D845" t="s">
        <v>975</v>
      </c>
      <c r="E845">
        <v>6246</v>
      </c>
      <c r="F845">
        <v>6730</v>
      </c>
      <c r="G845">
        <v>6111</v>
      </c>
      <c r="H845">
        <v>619</v>
      </c>
      <c r="I845">
        <v>2012</v>
      </c>
      <c r="J845">
        <v>28</v>
      </c>
      <c r="K845">
        <f>allFYsTable[[#This Row],[Actual]]-allFYsTable[[#This Row],[OriginalBudget]]</f>
        <v>-135</v>
      </c>
      <c r="L845" s="11">
        <f>allFYsTable[[#This Row],[DiffAmount]]/allFYsTable[[#This Row],[OriginalBudget]]</f>
        <v>-2.1613832853025938E-2</v>
      </c>
    </row>
    <row r="846" spans="1:12" x14ac:dyDescent="0.45">
      <c r="A846" t="s">
        <v>1033</v>
      </c>
      <c r="B846" t="s">
        <v>129</v>
      </c>
      <c r="C846" t="s">
        <v>744</v>
      </c>
      <c r="D846" t="s">
        <v>29</v>
      </c>
      <c r="E846">
        <v>2544</v>
      </c>
      <c r="F846">
        <v>2544</v>
      </c>
      <c r="G846">
        <v>2521</v>
      </c>
      <c r="H846">
        <v>23</v>
      </c>
      <c r="I846">
        <v>2012</v>
      </c>
      <c r="J846">
        <v>29</v>
      </c>
      <c r="K846">
        <f>allFYsTable[[#This Row],[Actual]]-allFYsTable[[#This Row],[OriginalBudget]]</f>
        <v>-23</v>
      </c>
      <c r="L846" s="11">
        <f>allFYsTable[[#This Row],[DiffAmount]]/allFYsTable[[#This Row],[OriginalBudget]]</f>
        <v>-9.0408805031446538E-3</v>
      </c>
    </row>
    <row r="847" spans="1:12" x14ac:dyDescent="0.45">
      <c r="A847" t="s">
        <v>1033</v>
      </c>
      <c r="B847" t="s">
        <v>129</v>
      </c>
      <c r="C847" t="s">
        <v>737</v>
      </c>
      <c r="D847" t="s">
        <v>318</v>
      </c>
      <c r="E847">
        <v>12221</v>
      </c>
      <c r="F847">
        <v>12363</v>
      </c>
      <c r="G847">
        <v>8153</v>
      </c>
      <c r="H847">
        <v>4210</v>
      </c>
      <c r="I847">
        <v>2012</v>
      </c>
      <c r="J847">
        <v>30</v>
      </c>
      <c r="K847">
        <f>allFYsTable[[#This Row],[Actual]]-allFYsTable[[#This Row],[OriginalBudget]]</f>
        <v>-4068</v>
      </c>
      <c r="L847" s="11">
        <f>allFYsTable[[#This Row],[DiffAmount]]/allFYsTable[[#This Row],[OriginalBudget]]</f>
        <v>-0.33286965060142376</v>
      </c>
    </row>
    <row r="848" spans="1:12" x14ac:dyDescent="0.45">
      <c r="A848" t="s">
        <v>1033</v>
      </c>
      <c r="B848" t="s">
        <v>129</v>
      </c>
      <c r="C848" t="s">
        <v>741</v>
      </c>
      <c r="D848" t="s">
        <v>921</v>
      </c>
      <c r="E848">
        <v>671</v>
      </c>
      <c r="F848">
        <v>671</v>
      </c>
      <c r="G848">
        <v>637</v>
      </c>
      <c r="H848">
        <v>34</v>
      </c>
      <c r="I848">
        <v>2012</v>
      </c>
      <c r="J848">
        <v>31</v>
      </c>
      <c r="K848">
        <f>allFYsTable[[#This Row],[Actual]]-allFYsTable[[#This Row],[OriginalBudget]]</f>
        <v>-34</v>
      </c>
      <c r="L848" s="11">
        <f>allFYsTable[[#This Row],[DiffAmount]]/allFYsTable[[#This Row],[OriginalBudget]]</f>
        <v>-5.0670640834575259E-2</v>
      </c>
    </row>
    <row r="849" spans="1:12" x14ac:dyDescent="0.45">
      <c r="A849" t="s">
        <v>1033</v>
      </c>
      <c r="B849" t="s">
        <v>129</v>
      </c>
      <c r="C849" t="s">
        <v>769</v>
      </c>
      <c r="D849" t="s">
        <v>499</v>
      </c>
      <c r="E849">
        <v>40654</v>
      </c>
      <c r="F849">
        <v>31953</v>
      </c>
      <c r="G849">
        <v>31387</v>
      </c>
      <c r="H849">
        <v>566</v>
      </c>
      <c r="I849">
        <v>2012</v>
      </c>
      <c r="J849">
        <v>32</v>
      </c>
      <c r="K849">
        <f>allFYsTable[[#This Row],[Actual]]-allFYsTable[[#This Row],[OriginalBudget]]</f>
        <v>-9267</v>
      </c>
      <c r="L849" s="11">
        <f>allFYsTable[[#This Row],[DiffAmount]]/allFYsTable[[#This Row],[OriginalBudget]]</f>
        <v>-0.22794804939243371</v>
      </c>
    </row>
    <row r="850" spans="1:12" x14ac:dyDescent="0.45">
      <c r="A850" t="s">
        <v>1033</v>
      </c>
      <c r="B850" t="s">
        <v>129</v>
      </c>
      <c r="C850" t="s">
        <v>745</v>
      </c>
      <c r="D850" t="s">
        <v>976</v>
      </c>
      <c r="E850">
        <v>1631</v>
      </c>
      <c r="F850">
        <v>1132</v>
      </c>
      <c r="G850">
        <v>887</v>
      </c>
      <c r="H850">
        <v>245</v>
      </c>
      <c r="I850">
        <v>2012</v>
      </c>
      <c r="J850">
        <v>33</v>
      </c>
      <c r="K850">
        <f>allFYsTable[[#This Row],[Actual]]-allFYsTable[[#This Row],[OriginalBudget]]</f>
        <v>-744</v>
      </c>
      <c r="L850" s="11">
        <f>allFYsTable[[#This Row],[DiffAmount]]/allFYsTable[[#This Row],[OriginalBudget]]</f>
        <v>-0.45616186388718577</v>
      </c>
    </row>
    <row r="851" spans="1:12" x14ac:dyDescent="0.45">
      <c r="A851" t="s">
        <v>1033</v>
      </c>
      <c r="B851" t="s">
        <v>129</v>
      </c>
      <c r="C851" t="s">
        <v>797</v>
      </c>
      <c r="D851" t="s">
        <v>977</v>
      </c>
      <c r="E851">
        <v>10041</v>
      </c>
      <c r="F851">
        <v>9969</v>
      </c>
      <c r="G851">
        <v>9935</v>
      </c>
      <c r="H851">
        <v>34</v>
      </c>
      <c r="I851">
        <v>2012</v>
      </c>
      <c r="J851">
        <v>34</v>
      </c>
      <c r="K851">
        <f>allFYsTable[[#This Row],[Actual]]-allFYsTable[[#This Row],[OriginalBudget]]</f>
        <v>-106</v>
      </c>
      <c r="L851" s="11">
        <f>allFYsTable[[#This Row],[DiffAmount]]/allFYsTable[[#This Row],[OriginalBudget]]</f>
        <v>-1.0556717458420475E-2</v>
      </c>
    </row>
    <row r="852" spans="1:12" x14ac:dyDescent="0.45">
      <c r="A852" t="s">
        <v>1033</v>
      </c>
      <c r="B852" t="s">
        <v>129</v>
      </c>
      <c r="C852" t="s">
        <v>795</v>
      </c>
      <c r="D852" t="s">
        <v>500</v>
      </c>
      <c r="E852">
        <v>739</v>
      </c>
      <c r="F852">
        <v>773</v>
      </c>
      <c r="G852">
        <v>761</v>
      </c>
      <c r="H852">
        <v>12</v>
      </c>
      <c r="I852">
        <v>2012</v>
      </c>
      <c r="J852">
        <v>35</v>
      </c>
      <c r="K852">
        <f>allFYsTable[[#This Row],[Actual]]-allFYsTable[[#This Row],[OriginalBudget]]</f>
        <v>22</v>
      </c>
      <c r="L852" s="11">
        <f>allFYsTable[[#This Row],[DiffAmount]]/allFYsTable[[#This Row],[OriginalBudget]]</f>
        <v>2.9769959404600813E-2</v>
      </c>
    </row>
    <row r="853" spans="1:12" x14ac:dyDescent="0.45">
      <c r="A853" t="s">
        <v>1033</v>
      </c>
      <c r="B853" t="s">
        <v>129</v>
      </c>
      <c r="C853" t="s">
        <v>741</v>
      </c>
      <c r="D853" t="s">
        <v>1004</v>
      </c>
      <c r="E853">
        <v>0</v>
      </c>
      <c r="F853">
        <v>0</v>
      </c>
      <c r="G853">
        <v>0</v>
      </c>
      <c r="H853">
        <v>0</v>
      </c>
      <c r="I853">
        <v>2012</v>
      </c>
      <c r="J853">
        <v>36</v>
      </c>
      <c r="K853">
        <f>allFYsTable[[#This Row],[Actual]]-allFYsTable[[#This Row],[OriginalBudget]]</f>
        <v>0</v>
      </c>
      <c r="L853" s="11" t="e">
        <f>allFYsTable[[#This Row],[DiffAmount]]/allFYsTable[[#This Row],[OriginalBudget]]</f>
        <v>#DIV/0!</v>
      </c>
    </row>
    <row r="854" spans="1:12" x14ac:dyDescent="0.45">
      <c r="A854" t="s">
        <v>1033</v>
      </c>
      <c r="B854" t="s">
        <v>129</v>
      </c>
      <c r="C854" t="s">
        <v>736</v>
      </c>
      <c r="D854" t="s">
        <v>190</v>
      </c>
      <c r="E854">
        <v>3920</v>
      </c>
      <c r="F854">
        <v>4020</v>
      </c>
      <c r="G854">
        <v>3927</v>
      </c>
      <c r="H854">
        <v>93</v>
      </c>
      <c r="I854">
        <v>2012</v>
      </c>
      <c r="J854">
        <v>37</v>
      </c>
      <c r="K854">
        <f>allFYsTable[[#This Row],[Actual]]-allFYsTable[[#This Row],[OriginalBudget]]</f>
        <v>7</v>
      </c>
      <c r="L854" s="11">
        <f>allFYsTable[[#This Row],[DiffAmount]]/allFYsTable[[#This Row],[OriginalBudget]]</f>
        <v>1.7857142857142857E-3</v>
      </c>
    </row>
    <row r="855" spans="1:12" x14ac:dyDescent="0.45">
      <c r="A855" t="s">
        <v>1033</v>
      </c>
      <c r="B855" t="s">
        <v>129</v>
      </c>
      <c r="C855" t="s">
        <v>739</v>
      </c>
      <c r="D855" t="s">
        <v>978</v>
      </c>
      <c r="E855">
        <v>4000</v>
      </c>
      <c r="F855">
        <v>4000</v>
      </c>
      <c r="G855">
        <v>4000</v>
      </c>
      <c r="H855">
        <v>0</v>
      </c>
      <c r="I855">
        <v>2012</v>
      </c>
      <c r="J855">
        <v>38</v>
      </c>
      <c r="K855">
        <f>allFYsTable[[#This Row],[Actual]]-allFYsTable[[#This Row],[OriginalBudget]]</f>
        <v>0</v>
      </c>
      <c r="L855" s="11">
        <f>allFYsTable[[#This Row],[DiffAmount]]/allFYsTable[[#This Row],[OriginalBudget]]</f>
        <v>0</v>
      </c>
    </row>
    <row r="856" spans="1:12" x14ac:dyDescent="0.45">
      <c r="A856" t="s">
        <v>1033</v>
      </c>
      <c r="B856" t="s">
        <v>129</v>
      </c>
      <c r="C856" t="s">
        <v>734</v>
      </c>
      <c r="D856" t="s">
        <v>349</v>
      </c>
      <c r="E856">
        <v>0</v>
      </c>
      <c r="F856">
        <v>0</v>
      </c>
      <c r="G856">
        <v>0</v>
      </c>
      <c r="H856">
        <v>0</v>
      </c>
      <c r="I856">
        <v>2012</v>
      </c>
      <c r="J856">
        <v>39</v>
      </c>
      <c r="K856">
        <f>allFYsTable[[#This Row],[Actual]]-allFYsTable[[#This Row],[OriginalBudget]]</f>
        <v>0</v>
      </c>
      <c r="L856" s="11" t="e">
        <f>allFYsTable[[#This Row],[DiffAmount]]/allFYsTable[[#This Row],[OriginalBudget]]</f>
        <v>#DIV/0!</v>
      </c>
    </row>
    <row r="857" spans="1:12" x14ac:dyDescent="0.45">
      <c r="A857" t="s">
        <v>1033</v>
      </c>
      <c r="B857" t="s">
        <v>129</v>
      </c>
      <c r="C857" t="s">
        <v>740</v>
      </c>
      <c r="D857" t="s">
        <v>845</v>
      </c>
      <c r="E857">
        <v>35109</v>
      </c>
      <c r="F857">
        <v>39012</v>
      </c>
      <c r="G857">
        <v>39012</v>
      </c>
      <c r="H857">
        <v>0</v>
      </c>
      <c r="I857">
        <v>2012</v>
      </c>
      <c r="J857">
        <v>40</v>
      </c>
      <c r="K857">
        <f>allFYsTable[[#This Row],[Actual]]-allFYsTable[[#This Row],[OriginalBudget]]</f>
        <v>3903</v>
      </c>
      <c r="L857" s="11">
        <f>allFYsTable[[#This Row],[DiffAmount]]/allFYsTable[[#This Row],[OriginalBudget]]</f>
        <v>0.11116807656156541</v>
      </c>
    </row>
    <row r="858" spans="1:12" x14ac:dyDescent="0.45">
      <c r="A858" t="s">
        <v>1033</v>
      </c>
      <c r="B858" t="s">
        <v>129</v>
      </c>
      <c r="C858" t="s">
        <v>839</v>
      </c>
      <c r="D858" t="s">
        <v>287</v>
      </c>
      <c r="E858">
        <v>1924</v>
      </c>
      <c r="F858">
        <v>2112</v>
      </c>
      <c r="G858">
        <v>1949</v>
      </c>
      <c r="H858">
        <v>163</v>
      </c>
      <c r="I858">
        <v>2012</v>
      </c>
      <c r="J858">
        <v>41</v>
      </c>
      <c r="K858">
        <f>allFYsTable[[#This Row],[Actual]]-allFYsTable[[#This Row],[OriginalBudget]]</f>
        <v>25</v>
      </c>
      <c r="L858" s="11">
        <f>allFYsTable[[#This Row],[DiffAmount]]/allFYsTable[[#This Row],[OriginalBudget]]</f>
        <v>1.2993762993762994E-2</v>
      </c>
    </row>
    <row r="859" spans="1:12" x14ac:dyDescent="0.45">
      <c r="A859" t="s">
        <v>1033</v>
      </c>
      <c r="B859" t="s">
        <v>129</v>
      </c>
      <c r="C859" t="s">
        <v>806</v>
      </c>
      <c r="D859" t="s">
        <v>82</v>
      </c>
      <c r="E859">
        <v>0</v>
      </c>
      <c r="F859">
        <v>0</v>
      </c>
      <c r="G859">
        <v>0</v>
      </c>
      <c r="H859">
        <v>0</v>
      </c>
      <c r="I859">
        <v>2012</v>
      </c>
      <c r="J859">
        <v>42</v>
      </c>
      <c r="K859">
        <f>allFYsTable[[#This Row],[Actual]]-allFYsTable[[#This Row],[OriginalBudget]]</f>
        <v>0</v>
      </c>
      <c r="L859" s="11" t="e">
        <f>allFYsTable[[#This Row],[DiffAmount]]/allFYsTable[[#This Row],[OriginalBudget]]</f>
        <v>#DIV/0!</v>
      </c>
    </row>
    <row r="860" spans="1:12" x14ac:dyDescent="0.45">
      <c r="A860" t="s">
        <v>1033</v>
      </c>
      <c r="B860" t="s">
        <v>129</v>
      </c>
      <c r="C860" t="s">
        <v>877</v>
      </c>
      <c r="D860" t="s">
        <v>324</v>
      </c>
      <c r="E860">
        <v>0</v>
      </c>
      <c r="F860">
        <v>0</v>
      </c>
      <c r="G860">
        <v>0</v>
      </c>
      <c r="H860">
        <v>0</v>
      </c>
      <c r="I860">
        <v>2012</v>
      </c>
      <c r="J860">
        <v>43</v>
      </c>
      <c r="K860">
        <f>allFYsTable[[#This Row],[Actual]]-allFYsTable[[#This Row],[OriginalBudget]]</f>
        <v>0</v>
      </c>
      <c r="L860" s="11" t="e">
        <f>allFYsTable[[#This Row],[DiffAmount]]/allFYsTable[[#This Row],[OriginalBudget]]</f>
        <v>#DIV/0!</v>
      </c>
    </row>
    <row r="861" spans="1:12" x14ac:dyDescent="0.45">
      <c r="A861" t="s">
        <v>1033</v>
      </c>
      <c r="B861" t="s">
        <v>129</v>
      </c>
      <c r="C861" t="s">
        <v>805</v>
      </c>
      <c r="D861" t="s">
        <v>979</v>
      </c>
      <c r="E861">
        <v>0</v>
      </c>
      <c r="F861">
        <v>0</v>
      </c>
      <c r="G861">
        <v>0</v>
      </c>
      <c r="H861">
        <v>0</v>
      </c>
      <c r="I861">
        <v>2012</v>
      </c>
      <c r="J861">
        <v>44</v>
      </c>
      <c r="K861">
        <f>allFYsTable[[#This Row],[Actual]]-allFYsTable[[#This Row],[OriginalBudget]]</f>
        <v>0</v>
      </c>
      <c r="L861" s="11" t="e">
        <f>allFYsTable[[#This Row],[DiffAmount]]/allFYsTable[[#This Row],[OriginalBudget]]</f>
        <v>#DIV/0!</v>
      </c>
    </row>
    <row r="862" spans="1:12" x14ac:dyDescent="0.45">
      <c r="A862" t="s">
        <v>1033</v>
      </c>
      <c r="B862" t="s">
        <v>255</v>
      </c>
      <c r="C862" t="s">
        <v>758</v>
      </c>
      <c r="D862" t="s">
        <v>326</v>
      </c>
      <c r="E862">
        <v>442071</v>
      </c>
      <c r="F862">
        <v>443421</v>
      </c>
      <c r="G862">
        <v>443372</v>
      </c>
      <c r="H862">
        <v>49</v>
      </c>
      <c r="I862">
        <v>2012</v>
      </c>
      <c r="J862">
        <v>45</v>
      </c>
      <c r="K862">
        <f>allFYsTable[[#This Row],[Actual]]-allFYsTable[[#This Row],[OriginalBudget]]</f>
        <v>1301</v>
      </c>
      <c r="L862" s="11">
        <f>allFYsTable[[#This Row],[DiffAmount]]/allFYsTable[[#This Row],[OriginalBudget]]</f>
        <v>2.9429661751166668E-3</v>
      </c>
    </row>
    <row r="863" spans="1:12" x14ac:dyDescent="0.45">
      <c r="A863" t="s">
        <v>1033</v>
      </c>
      <c r="B863" t="s">
        <v>255</v>
      </c>
      <c r="C863" t="s">
        <v>755</v>
      </c>
      <c r="D863" t="s">
        <v>350</v>
      </c>
      <c r="E863">
        <v>193902</v>
      </c>
      <c r="F863">
        <v>189377</v>
      </c>
      <c r="G863">
        <v>188903</v>
      </c>
      <c r="H863">
        <v>474</v>
      </c>
      <c r="I863">
        <v>2012</v>
      </c>
      <c r="J863">
        <v>46</v>
      </c>
      <c r="K863">
        <f>allFYsTable[[#This Row],[Actual]]-allFYsTable[[#This Row],[OriginalBudget]]</f>
        <v>-4999</v>
      </c>
      <c r="L863" s="11">
        <f>allFYsTable[[#This Row],[DiffAmount]]/allFYsTable[[#This Row],[OriginalBudget]]</f>
        <v>-2.5781064661530052E-2</v>
      </c>
    </row>
    <row r="864" spans="1:12" x14ac:dyDescent="0.45">
      <c r="A864" t="s">
        <v>1033</v>
      </c>
      <c r="B864" t="s">
        <v>255</v>
      </c>
      <c r="C864" t="s">
        <v>768</v>
      </c>
      <c r="D864" t="s">
        <v>351</v>
      </c>
      <c r="E864">
        <v>116700</v>
      </c>
      <c r="F864">
        <v>116700</v>
      </c>
      <c r="G864">
        <v>116700</v>
      </c>
      <c r="H864">
        <v>0</v>
      </c>
      <c r="I864">
        <v>2012</v>
      </c>
      <c r="J864">
        <v>47</v>
      </c>
      <c r="K864">
        <f>allFYsTable[[#This Row],[Actual]]-allFYsTable[[#This Row],[OriginalBudget]]</f>
        <v>0</v>
      </c>
      <c r="L864" s="11">
        <f>allFYsTable[[#This Row],[DiffAmount]]/allFYsTable[[#This Row],[OriginalBudget]]</f>
        <v>0</v>
      </c>
    </row>
    <row r="865" spans="1:12" x14ac:dyDescent="0.45">
      <c r="A865" t="s">
        <v>1033</v>
      </c>
      <c r="B865" t="s">
        <v>255</v>
      </c>
      <c r="C865" t="s">
        <v>759</v>
      </c>
      <c r="D865" t="s">
        <v>133</v>
      </c>
      <c r="E865">
        <v>7637</v>
      </c>
      <c r="F865">
        <v>7562</v>
      </c>
      <c r="G865">
        <v>7148</v>
      </c>
      <c r="H865">
        <v>414</v>
      </c>
      <c r="I865">
        <v>2012</v>
      </c>
      <c r="J865">
        <v>48</v>
      </c>
      <c r="K865">
        <f>allFYsTable[[#This Row],[Actual]]-allFYsTable[[#This Row],[OriginalBudget]]</f>
        <v>-489</v>
      </c>
      <c r="L865" s="11">
        <f>allFYsTable[[#This Row],[DiffAmount]]/allFYsTable[[#This Row],[OriginalBudget]]</f>
        <v>-6.4030378420845885E-2</v>
      </c>
    </row>
    <row r="866" spans="1:12" x14ac:dyDescent="0.45">
      <c r="A866" t="s">
        <v>1033</v>
      </c>
      <c r="B866" t="s">
        <v>255</v>
      </c>
      <c r="C866" t="s">
        <v>749</v>
      </c>
      <c r="D866" t="s">
        <v>352</v>
      </c>
      <c r="E866">
        <v>195</v>
      </c>
      <c r="F866">
        <v>195</v>
      </c>
      <c r="G866">
        <v>187</v>
      </c>
      <c r="H866">
        <v>8</v>
      </c>
      <c r="I866">
        <v>2012</v>
      </c>
      <c r="J866">
        <v>49</v>
      </c>
      <c r="K866">
        <f>allFYsTable[[#This Row],[Actual]]-allFYsTable[[#This Row],[OriginalBudget]]</f>
        <v>-8</v>
      </c>
      <c r="L866" s="11">
        <f>allFYsTable[[#This Row],[DiffAmount]]/allFYsTable[[#This Row],[OriginalBudget]]</f>
        <v>-4.1025641025641026E-2</v>
      </c>
    </row>
    <row r="867" spans="1:12" x14ac:dyDescent="0.45">
      <c r="A867" t="s">
        <v>1033</v>
      </c>
      <c r="B867" t="s">
        <v>255</v>
      </c>
      <c r="C867" t="s">
        <v>750</v>
      </c>
      <c r="D867" t="s">
        <v>36</v>
      </c>
      <c r="E867">
        <v>115294</v>
      </c>
      <c r="F867">
        <v>108819</v>
      </c>
      <c r="G867">
        <v>108219</v>
      </c>
      <c r="H867">
        <v>600</v>
      </c>
      <c r="I867">
        <v>2012</v>
      </c>
      <c r="J867">
        <v>50</v>
      </c>
      <c r="K867">
        <f>allFYsTable[[#This Row],[Actual]]-allFYsTable[[#This Row],[OriginalBudget]]</f>
        <v>-7075</v>
      </c>
      <c r="L867" s="11">
        <f>allFYsTable[[#This Row],[DiffAmount]]/allFYsTable[[#This Row],[OriginalBudget]]</f>
        <v>-6.1364858535569937E-2</v>
      </c>
    </row>
    <row r="868" spans="1:12" x14ac:dyDescent="0.45">
      <c r="A868" t="s">
        <v>1033</v>
      </c>
      <c r="B868" t="s">
        <v>255</v>
      </c>
      <c r="C868" t="s">
        <v>764</v>
      </c>
      <c r="D868" t="s">
        <v>353</v>
      </c>
      <c r="E868">
        <v>7569</v>
      </c>
      <c r="F868">
        <v>7419</v>
      </c>
      <c r="G868">
        <v>7348</v>
      </c>
      <c r="H868">
        <v>71</v>
      </c>
      <c r="I868">
        <v>2012</v>
      </c>
      <c r="J868">
        <v>51</v>
      </c>
      <c r="K868">
        <f>allFYsTable[[#This Row],[Actual]]-allFYsTable[[#This Row],[OriginalBudget]]</f>
        <v>-221</v>
      </c>
      <c r="L868" s="11">
        <f>allFYsTable[[#This Row],[DiffAmount]]/allFYsTable[[#This Row],[OriginalBudget]]</f>
        <v>-2.9198044655833002E-2</v>
      </c>
    </row>
    <row r="869" spans="1:12" x14ac:dyDescent="0.45">
      <c r="A869" t="s">
        <v>1033</v>
      </c>
      <c r="B869" t="s">
        <v>255</v>
      </c>
      <c r="C869" t="s">
        <v>751</v>
      </c>
      <c r="D869" t="s">
        <v>354</v>
      </c>
      <c r="E869">
        <v>1551</v>
      </c>
      <c r="F869">
        <v>1401</v>
      </c>
      <c r="G869">
        <v>1400</v>
      </c>
      <c r="H869">
        <v>1</v>
      </c>
      <c r="I869">
        <v>2012</v>
      </c>
      <c r="J869">
        <v>52</v>
      </c>
      <c r="K869">
        <f>allFYsTable[[#This Row],[Actual]]-allFYsTable[[#This Row],[OriginalBudget]]</f>
        <v>-151</v>
      </c>
      <c r="L869" s="11">
        <f>allFYsTable[[#This Row],[DiffAmount]]/allFYsTable[[#This Row],[OriginalBudget]]</f>
        <v>-9.7356544165054806E-2</v>
      </c>
    </row>
    <row r="870" spans="1:12" x14ac:dyDescent="0.45">
      <c r="A870" t="s">
        <v>1033</v>
      </c>
      <c r="B870" t="s">
        <v>255</v>
      </c>
      <c r="C870" t="s">
        <v>753</v>
      </c>
      <c r="D870" t="s">
        <v>355</v>
      </c>
      <c r="E870">
        <v>2270</v>
      </c>
      <c r="F870">
        <v>2299</v>
      </c>
      <c r="G870">
        <v>2286</v>
      </c>
      <c r="H870">
        <v>13</v>
      </c>
      <c r="I870">
        <v>2012</v>
      </c>
      <c r="J870">
        <v>53</v>
      </c>
      <c r="K870">
        <f>allFYsTable[[#This Row],[Actual]]-allFYsTable[[#This Row],[OriginalBudget]]</f>
        <v>16</v>
      </c>
      <c r="L870" s="11">
        <f>allFYsTable[[#This Row],[DiffAmount]]/allFYsTable[[#This Row],[OriginalBudget]]</f>
        <v>7.048458149779736E-3</v>
      </c>
    </row>
    <row r="871" spans="1:12" x14ac:dyDescent="0.45">
      <c r="A871" t="s">
        <v>1033</v>
      </c>
      <c r="B871" t="s">
        <v>255</v>
      </c>
      <c r="C871" t="s">
        <v>756</v>
      </c>
      <c r="D871" t="s">
        <v>333</v>
      </c>
      <c r="E871">
        <v>1829</v>
      </c>
      <c r="F871">
        <v>1848</v>
      </c>
      <c r="G871">
        <v>1846</v>
      </c>
      <c r="H871">
        <v>2</v>
      </c>
      <c r="I871">
        <v>2012</v>
      </c>
      <c r="J871">
        <v>54</v>
      </c>
      <c r="K871">
        <f>allFYsTable[[#This Row],[Actual]]-allFYsTable[[#This Row],[OriginalBudget]]</f>
        <v>17</v>
      </c>
      <c r="L871" s="11">
        <f>allFYsTable[[#This Row],[DiffAmount]]/allFYsTable[[#This Row],[OriginalBudget]]</f>
        <v>9.2946965554948063E-3</v>
      </c>
    </row>
    <row r="872" spans="1:12" x14ac:dyDescent="0.45">
      <c r="A872" t="s">
        <v>1033</v>
      </c>
      <c r="B872" t="s">
        <v>255</v>
      </c>
      <c r="C872" t="s">
        <v>746</v>
      </c>
      <c r="D872" t="s">
        <v>356</v>
      </c>
      <c r="E872">
        <v>0</v>
      </c>
      <c r="F872">
        <v>0</v>
      </c>
      <c r="G872">
        <v>0</v>
      </c>
      <c r="H872">
        <v>0</v>
      </c>
      <c r="I872">
        <v>2012</v>
      </c>
      <c r="J872">
        <v>55</v>
      </c>
      <c r="K872">
        <f>allFYsTable[[#This Row],[Actual]]-allFYsTable[[#This Row],[OriginalBudget]]</f>
        <v>0</v>
      </c>
      <c r="L872" s="11" t="e">
        <f>allFYsTable[[#This Row],[DiffAmount]]/allFYsTable[[#This Row],[OriginalBudget]]</f>
        <v>#DIV/0!</v>
      </c>
    </row>
    <row r="873" spans="1:12" x14ac:dyDescent="0.45">
      <c r="A873" t="s">
        <v>1033</v>
      </c>
      <c r="B873" t="s">
        <v>255</v>
      </c>
      <c r="C873" t="s">
        <v>757</v>
      </c>
      <c r="D873" t="s">
        <v>335</v>
      </c>
      <c r="E873">
        <v>0</v>
      </c>
      <c r="F873">
        <v>0</v>
      </c>
      <c r="G873">
        <v>0</v>
      </c>
      <c r="H873">
        <v>0</v>
      </c>
      <c r="I873">
        <v>2012</v>
      </c>
      <c r="J873">
        <v>56</v>
      </c>
      <c r="K873">
        <f>allFYsTable[[#This Row],[Actual]]-allFYsTable[[#This Row],[OriginalBudget]]</f>
        <v>0</v>
      </c>
      <c r="L873" s="11" t="e">
        <f>allFYsTable[[#This Row],[DiffAmount]]/allFYsTable[[#This Row],[OriginalBudget]]</f>
        <v>#DIV/0!</v>
      </c>
    </row>
    <row r="874" spans="1:12" x14ac:dyDescent="0.45">
      <c r="A874" t="s">
        <v>1033</v>
      </c>
      <c r="B874" t="s">
        <v>255</v>
      </c>
      <c r="C874" t="s">
        <v>762</v>
      </c>
      <c r="D874" t="s">
        <v>357</v>
      </c>
      <c r="E874">
        <v>2051</v>
      </c>
      <c r="F874">
        <v>1926</v>
      </c>
      <c r="G874">
        <v>1909</v>
      </c>
      <c r="H874">
        <v>17</v>
      </c>
      <c r="I874">
        <v>2012</v>
      </c>
      <c r="J874">
        <v>57</v>
      </c>
      <c r="K874">
        <f>allFYsTable[[#This Row],[Actual]]-allFYsTable[[#This Row],[OriginalBudget]]</f>
        <v>-142</v>
      </c>
      <c r="L874" s="11">
        <f>allFYsTable[[#This Row],[DiffAmount]]/allFYsTable[[#This Row],[OriginalBudget]]</f>
        <v>-6.9234519746465134E-2</v>
      </c>
    </row>
    <row r="875" spans="1:12" x14ac:dyDescent="0.45">
      <c r="A875" t="s">
        <v>1033</v>
      </c>
      <c r="B875" t="s">
        <v>255</v>
      </c>
      <c r="C875" t="s">
        <v>766</v>
      </c>
      <c r="D875" t="s">
        <v>52</v>
      </c>
      <c r="E875">
        <v>26536</v>
      </c>
      <c r="F875">
        <v>26586</v>
      </c>
      <c r="G875">
        <v>26195</v>
      </c>
      <c r="H875">
        <v>391</v>
      </c>
      <c r="I875">
        <v>2012</v>
      </c>
      <c r="J875">
        <v>58</v>
      </c>
      <c r="K875">
        <f>allFYsTable[[#This Row],[Actual]]-allFYsTable[[#This Row],[OriginalBudget]]</f>
        <v>-341</v>
      </c>
      <c r="L875" s="11">
        <f>allFYsTable[[#This Row],[DiffAmount]]/allFYsTable[[#This Row],[OriginalBudget]]</f>
        <v>-1.2850467289719626E-2</v>
      </c>
    </row>
    <row r="876" spans="1:12" x14ac:dyDescent="0.45">
      <c r="A876" t="s">
        <v>1033</v>
      </c>
      <c r="B876" t="s">
        <v>255</v>
      </c>
      <c r="C876" t="s">
        <v>854</v>
      </c>
      <c r="D876" t="s">
        <v>358</v>
      </c>
      <c r="E876">
        <v>0</v>
      </c>
      <c r="F876">
        <v>0</v>
      </c>
      <c r="G876">
        <v>0</v>
      </c>
      <c r="H876">
        <v>0</v>
      </c>
      <c r="I876">
        <v>2012</v>
      </c>
      <c r="J876">
        <v>59</v>
      </c>
      <c r="K876">
        <f>allFYsTable[[#This Row],[Actual]]-allFYsTable[[#This Row],[OriginalBudget]]</f>
        <v>0</v>
      </c>
      <c r="L876" s="11" t="e">
        <f>allFYsTable[[#This Row],[DiffAmount]]/allFYsTable[[#This Row],[OriginalBudget]]</f>
        <v>#DIV/0!</v>
      </c>
    </row>
    <row r="877" spans="1:12" x14ac:dyDescent="0.45">
      <c r="A877" t="s">
        <v>1033</v>
      </c>
      <c r="B877" t="s">
        <v>255</v>
      </c>
      <c r="C877" t="s">
        <v>841</v>
      </c>
      <c r="D877" t="s">
        <v>194</v>
      </c>
      <c r="E877">
        <v>0</v>
      </c>
      <c r="F877">
        <v>0</v>
      </c>
      <c r="G877">
        <v>0</v>
      </c>
      <c r="H877">
        <v>0</v>
      </c>
      <c r="I877">
        <v>2012</v>
      </c>
      <c r="J877">
        <v>60</v>
      </c>
      <c r="K877">
        <f>allFYsTable[[#This Row],[Actual]]-allFYsTable[[#This Row],[OriginalBudget]]</f>
        <v>0</v>
      </c>
      <c r="L877" s="11" t="e">
        <f>allFYsTable[[#This Row],[DiffAmount]]/allFYsTable[[#This Row],[OriginalBudget]]</f>
        <v>#DIV/0!</v>
      </c>
    </row>
    <row r="878" spans="1:12" x14ac:dyDescent="0.45">
      <c r="A878" t="s">
        <v>1033</v>
      </c>
      <c r="B878" t="s">
        <v>255</v>
      </c>
      <c r="C878" t="s">
        <v>754</v>
      </c>
      <c r="D878" t="s">
        <v>339</v>
      </c>
      <c r="E878">
        <v>888</v>
      </c>
      <c r="F878">
        <v>888</v>
      </c>
      <c r="G878">
        <v>888</v>
      </c>
      <c r="H878">
        <v>0</v>
      </c>
      <c r="I878">
        <v>2012</v>
      </c>
      <c r="J878">
        <v>61</v>
      </c>
      <c r="K878">
        <f>allFYsTable[[#This Row],[Actual]]-allFYsTable[[#This Row],[OriginalBudget]]</f>
        <v>0</v>
      </c>
      <c r="L878" s="11">
        <f>allFYsTable[[#This Row],[DiffAmount]]/allFYsTable[[#This Row],[OriginalBudget]]</f>
        <v>0</v>
      </c>
    </row>
    <row r="879" spans="1:12" x14ac:dyDescent="0.45">
      <c r="A879" t="s">
        <v>1033</v>
      </c>
      <c r="B879" t="s">
        <v>255</v>
      </c>
      <c r="C879" t="s">
        <v>765</v>
      </c>
      <c r="D879" t="s">
        <v>980</v>
      </c>
      <c r="E879">
        <v>8161</v>
      </c>
      <c r="F879">
        <v>8656</v>
      </c>
      <c r="G879">
        <v>7720</v>
      </c>
      <c r="H879">
        <v>936</v>
      </c>
      <c r="I879">
        <v>2012</v>
      </c>
      <c r="J879">
        <v>62</v>
      </c>
      <c r="K879">
        <f>allFYsTable[[#This Row],[Actual]]-allFYsTable[[#This Row],[OriginalBudget]]</f>
        <v>-441</v>
      </c>
      <c r="L879" s="11">
        <f>allFYsTable[[#This Row],[DiffAmount]]/allFYsTable[[#This Row],[OriginalBudget]]</f>
        <v>-5.4037495404974878E-2</v>
      </c>
    </row>
    <row r="880" spans="1:12" x14ac:dyDescent="0.45">
      <c r="A880" t="s">
        <v>1033</v>
      </c>
      <c r="B880" t="s">
        <v>136</v>
      </c>
      <c r="C880" t="s">
        <v>773</v>
      </c>
      <c r="D880" t="s">
        <v>981</v>
      </c>
      <c r="E880">
        <v>611817</v>
      </c>
      <c r="F880">
        <v>634821</v>
      </c>
      <c r="G880">
        <v>634445</v>
      </c>
      <c r="H880">
        <v>376</v>
      </c>
      <c r="I880">
        <v>2012</v>
      </c>
      <c r="J880">
        <v>63</v>
      </c>
      <c r="K880">
        <f>allFYsTable[[#This Row],[Actual]]-allFYsTable[[#This Row],[OriginalBudget]]</f>
        <v>22628</v>
      </c>
      <c r="L880" s="11">
        <f>allFYsTable[[#This Row],[DiffAmount]]/allFYsTable[[#This Row],[OriginalBudget]]</f>
        <v>3.698491542405654E-2</v>
      </c>
    </row>
    <row r="881" spans="1:12" x14ac:dyDescent="0.45">
      <c r="A881" t="s">
        <v>1033</v>
      </c>
      <c r="B881" t="s">
        <v>136</v>
      </c>
      <c r="C881" t="s">
        <v>870</v>
      </c>
      <c r="D881" t="s">
        <v>359</v>
      </c>
      <c r="E881">
        <v>0</v>
      </c>
      <c r="F881">
        <v>4434</v>
      </c>
      <c r="G881">
        <v>4434</v>
      </c>
      <c r="H881">
        <v>0</v>
      </c>
      <c r="I881">
        <v>2012</v>
      </c>
      <c r="J881">
        <v>64</v>
      </c>
      <c r="K881">
        <f>allFYsTable[[#This Row],[Actual]]-allFYsTable[[#This Row],[OriginalBudget]]</f>
        <v>4434</v>
      </c>
      <c r="L881" s="11" t="e">
        <f>allFYsTable[[#This Row],[DiffAmount]]/allFYsTable[[#This Row],[OriginalBudget]]</f>
        <v>#DIV/0!</v>
      </c>
    </row>
    <row r="882" spans="1:12" x14ac:dyDescent="0.45">
      <c r="A882" t="s">
        <v>1033</v>
      </c>
      <c r="B882" t="s">
        <v>136</v>
      </c>
      <c r="C882" t="s">
        <v>772</v>
      </c>
      <c r="D882" t="s">
        <v>173</v>
      </c>
      <c r="E882">
        <v>483667</v>
      </c>
      <c r="F882">
        <v>374805</v>
      </c>
      <c r="G882">
        <v>374804</v>
      </c>
      <c r="H882">
        <v>1</v>
      </c>
      <c r="I882">
        <v>2012</v>
      </c>
      <c r="J882">
        <v>65</v>
      </c>
      <c r="K882">
        <f>allFYsTable[[#This Row],[Actual]]-allFYsTable[[#This Row],[OriginalBudget]]</f>
        <v>-108863</v>
      </c>
      <c r="L882" s="11">
        <f>allFYsTable[[#This Row],[DiffAmount]]/allFYsTable[[#This Row],[OriginalBudget]]</f>
        <v>-0.22507841138634638</v>
      </c>
    </row>
    <row r="883" spans="1:12" x14ac:dyDescent="0.45">
      <c r="A883" t="s">
        <v>1033</v>
      </c>
      <c r="B883" t="s">
        <v>136</v>
      </c>
      <c r="C883" t="s">
        <v>869</v>
      </c>
      <c r="D883" t="s">
        <v>360</v>
      </c>
      <c r="E883">
        <v>0</v>
      </c>
      <c r="F883">
        <v>133309</v>
      </c>
      <c r="G883">
        <v>133309</v>
      </c>
      <c r="H883">
        <v>0</v>
      </c>
      <c r="I883">
        <v>2012</v>
      </c>
      <c r="J883">
        <v>66</v>
      </c>
      <c r="K883">
        <f>allFYsTable[[#This Row],[Actual]]-allFYsTable[[#This Row],[OriginalBudget]]</f>
        <v>133309</v>
      </c>
      <c r="L883" s="11" t="e">
        <f>allFYsTable[[#This Row],[DiffAmount]]/allFYsTable[[#This Row],[OriginalBudget]]</f>
        <v>#DIV/0!</v>
      </c>
    </row>
    <row r="884" spans="1:12" x14ac:dyDescent="0.45">
      <c r="A884" t="s">
        <v>1033</v>
      </c>
      <c r="B884" t="s">
        <v>136</v>
      </c>
      <c r="C884" t="s">
        <v>782</v>
      </c>
      <c r="D884" t="s">
        <v>982</v>
      </c>
      <c r="E884">
        <v>3000</v>
      </c>
      <c r="F884">
        <v>3000</v>
      </c>
      <c r="G884">
        <v>3000</v>
      </c>
      <c r="H884">
        <v>0</v>
      </c>
      <c r="I884">
        <v>2012</v>
      </c>
      <c r="J884">
        <v>67</v>
      </c>
      <c r="K884">
        <f>allFYsTable[[#This Row],[Actual]]-allFYsTable[[#This Row],[OriginalBudget]]</f>
        <v>0</v>
      </c>
      <c r="L884" s="11">
        <f>allFYsTable[[#This Row],[DiffAmount]]/allFYsTable[[#This Row],[OriginalBudget]]</f>
        <v>0</v>
      </c>
    </row>
    <row r="885" spans="1:12" x14ac:dyDescent="0.45">
      <c r="A885" t="s">
        <v>1033</v>
      </c>
      <c r="B885" t="s">
        <v>136</v>
      </c>
      <c r="C885" t="s">
        <v>784</v>
      </c>
      <c r="D885" t="s">
        <v>943</v>
      </c>
      <c r="E885">
        <v>64181</v>
      </c>
      <c r="F885">
        <v>67362</v>
      </c>
      <c r="G885">
        <v>67362</v>
      </c>
      <c r="H885">
        <v>0</v>
      </c>
      <c r="I885">
        <v>2012</v>
      </c>
      <c r="J885">
        <v>68</v>
      </c>
      <c r="K885">
        <f>allFYsTable[[#This Row],[Actual]]-allFYsTable[[#This Row],[OriginalBudget]]</f>
        <v>3181</v>
      </c>
      <c r="L885" s="11">
        <f>allFYsTable[[#This Row],[DiffAmount]]/allFYsTable[[#This Row],[OriginalBudget]]</f>
        <v>4.9562954768545206E-2</v>
      </c>
    </row>
    <row r="886" spans="1:12" x14ac:dyDescent="0.45">
      <c r="A886" t="s">
        <v>1033</v>
      </c>
      <c r="B886" t="s">
        <v>136</v>
      </c>
      <c r="C886" t="s">
        <v>779</v>
      </c>
      <c r="D886" t="s">
        <v>430</v>
      </c>
      <c r="E886">
        <v>95122</v>
      </c>
      <c r="F886">
        <v>101293</v>
      </c>
      <c r="G886">
        <v>97263</v>
      </c>
      <c r="H886">
        <v>4030</v>
      </c>
      <c r="I886">
        <v>2012</v>
      </c>
      <c r="J886">
        <v>69</v>
      </c>
      <c r="K886">
        <f>allFYsTable[[#This Row],[Actual]]-allFYsTable[[#This Row],[OriginalBudget]]</f>
        <v>2141</v>
      </c>
      <c r="L886" s="11">
        <f>allFYsTable[[#This Row],[DiffAmount]]/allFYsTable[[#This Row],[OriginalBudget]]</f>
        <v>2.2507937175416833E-2</v>
      </c>
    </row>
    <row r="887" spans="1:12" x14ac:dyDescent="0.45">
      <c r="A887" t="s">
        <v>1033</v>
      </c>
      <c r="B887" t="s">
        <v>136</v>
      </c>
      <c r="C887" t="s">
        <v>774</v>
      </c>
      <c r="D887" t="s">
        <v>264</v>
      </c>
      <c r="E887">
        <v>34465</v>
      </c>
      <c r="F887">
        <v>35348</v>
      </c>
      <c r="G887">
        <v>35309</v>
      </c>
      <c r="H887">
        <v>39</v>
      </c>
      <c r="I887">
        <v>2012</v>
      </c>
      <c r="J887">
        <v>70</v>
      </c>
      <c r="K887">
        <f>allFYsTable[[#This Row],[Actual]]-allFYsTable[[#This Row],[OriginalBudget]]</f>
        <v>844</v>
      </c>
      <c r="L887" s="11">
        <f>allFYsTable[[#This Row],[DiffAmount]]/allFYsTable[[#This Row],[OriginalBudget]]</f>
        <v>2.4488611634992021E-2</v>
      </c>
    </row>
    <row r="888" spans="1:12" x14ac:dyDescent="0.45">
      <c r="A888" t="s">
        <v>1033</v>
      </c>
      <c r="B888" t="s">
        <v>136</v>
      </c>
      <c r="C888" t="s">
        <v>771</v>
      </c>
      <c r="D888" t="s">
        <v>945</v>
      </c>
      <c r="E888">
        <v>1076</v>
      </c>
      <c r="F888">
        <v>1076</v>
      </c>
      <c r="G888">
        <v>1065</v>
      </c>
      <c r="H888">
        <v>11</v>
      </c>
      <c r="I888">
        <v>2012</v>
      </c>
      <c r="J888">
        <v>71</v>
      </c>
      <c r="K888">
        <f>allFYsTable[[#This Row],[Actual]]-allFYsTable[[#This Row],[OriginalBudget]]</f>
        <v>-11</v>
      </c>
      <c r="L888" s="11">
        <f>allFYsTable[[#This Row],[DiffAmount]]/allFYsTable[[#This Row],[OriginalBudget]]</f>
        <v>-1.0223048327137546E-2</v>
      </c>
    </row>
    <row r="889" spans="1:12" x14ac:dyDescent="0.45">
      <c r="A889" t="s">
        <v>1033</v>
      </c>
      <c r="B889" t="s">
        <v>136</v>
      </c>
      <c r="C889" t="s">
        <v>780</v>
      </c>
      <c r="D889" t="s">
        <v>946</v>
      </c>
      <c r="E889">
        <v>88760</v>
      </c>
      <c r="F889">
        <v>93067</v>
      </c>
      <c r="G889">
        <v>93059</v>
      </c>
      <c r="H889">
        <v>8</v>
      </c>
      <c r="I889">
        <v>2012</v>
      </c>
      <c r="J889">
        <v>72</v>
      </c>
      <c r="K889">
        <f>allFYsTable[[#This Row],[Actual]]-allFYsTable[[#This Row],[OriginalBudget]]</f>
        <v>4299</v>
      </c>
      <c r="L889" s="11">
        <f>allFYsTable[[#This Row],[DiffAmount]]/allFYsTable[[#This Row],[OriginalBudget]]</f>
        <v>4.8433979269941418E-2</v>
      </c>
    </row>
    <row r="890" spans="1:12" x14ac:dyDescent="0.45">
      <c r="A890" t="s">
        <v>1033</v>
      </c>
      <c r="B890" t="s">
        <v>136</v>
      </c>
      <c r="C890" t="s">
        <v>777</v>
      </c>
      <c r="D890" t="s">
        <v>983</v>
      </c>
      <c r="E890">
        <v>150237</v>
      </c>
      <c r="F890">
        <v>120303</v>
      </c>
      <c r="G890">
        <v>119622</v>
      </c>
      <c r="H890">
        <v>681</v>
      </c>
      <c r="I890">
        <v>2012</v>
      </c>
      <c r="J890">
        <v>73</v>
      </c>
      <c r="K890">
        <f>allFYsTable[[#This Row],[Actual]]-allFYsTable[[#This Row],[OriginalBudget]]</f>
        <v>-30615</v>
      </c>
      <c r="L890" s="11">
        <f>allFYsTable[[#This Row],[DiffAmount]]/allFYsTable[[#This Row],[OriginalBudget]]</f>
        <v>-0.20377803071147588</v>
      </c>
    </row>
    <row r="891" spans="1:12" x14ac:dyDescent="0.45">
      <c r="A891" t="s">
        <v>1033</v>
      </c>
      <c r="B891" t="s">
        <v>136</v>
      </c>
      <c r="C891" t="s">
        <v>778</v>
      </c>
      <c r="D891" t="s">
        <v>947</v>
      </c>
      <c r="E891">
        <v>1912</v>
      </c>
      <c r="F891">
        <v>1857</v>
      </c>
      <c r="G891">
        <v>1677</v>
      </c>
      <c r="H891">
        <v>180</v>
      </c>
      <c r="I891">
        <v>2012</v>
      </c>
      <c r="J891">
        <v>74</v>
      </c>
      <c r="K891">
        <f>allFYsTable[[#This Row],[Actual]]-allFYsTable[[#This Row],[OriginalBudget]]</f>
        <v>-235</v>
      </c>
      <c r="L891" s="11">
        <f>allFYsTable[[#This Row],[DiffAmount]]/allFYsTable[[#This Row],[OriginalBudget]]</f>
        <v>-0.12290794979079497</v>
      </c>
    </row>
    <row r="892" spans="1:12" x14ac:dyDescent="0.45">
      <c r="A892" t="s">
        <v>1033</v>
      </c>
      <c r="B892" t="s">
        <v>14</v>
      </c>
      <c r="C892" t="s">
        <v>790</v>
      </c>
      <c r="D892" t="s">
        <v>144</v>
      </c>
      <c r="E892">
        <v>164426</v>
      </c>
      <c r="F892">
        <v>182255</v>
      </c>
      <c r="G892">
        <v>178404</v>
      </c>
      <c r="H892">
        <v>3851</v>
      </c>
      <c r="I892">
        <v>2012</v>
      </c>
      <c r="J892">
        <v>75</v>
      </c>
      <c r="K892">
        <f>allFYsTable[[#This Row],[Actual]]-allFYsTable[[#This Row],[OriginalBudget]]</f>
        <v>13978</v>
      </c>
      <c r="L892" s="11">
        <f>allFYsTable[[#This Row],[DiffAmount]]/allFYsTable[[#This Row],[OriginalBudget]]</f>
        <v>8.5010886356172377E-2</v>
      </c>
    </row>
    <row r="893" spans="1:12" x14ac:dyDescent="0.45">
      <c r="A893" t="s">
        <v>1033</v>
      </c>
      <c r="B893" t="s">
        <v>14</v>
      </c>
      <c r="C893" t="s">
        <v>788</v>
      </c>
      <c r="D893" t="s">
        <v>984</v>
      </c>
      <c r="E893">
        <v>90672</v>
      </c>
      <c r="F893">
        <v>91736</v>
      </c>
      <c r="G893">
        <v>89864</v>
      </c>
      <c r="H893">
        <v>1872</v>
      </c>
      <c r="I893">
        <v>2012</v>
      </c>
      <c r="J893">
        <v>76</v>
      </c>
      <c r="K893">
        <f>allFYsTable[[#This Row],[Actual]]-allFYsTable[[#This Row],[OriginalBudget]]</f>
        <v>-808</v>
      </c>
      <c r="L893" s="11">
        <f>allFYsTable[[#This Row],[DiffAmount]]/allFYsTable[[#This Row],[OriginalBudget]]</f>
        <v>-8.9112405152638081E-3</v>
      </c>
    </row>
    <row r="894" spans="1:12" x14ac:dyDescent="0.45">
      <c r="A894" t="s">
        <v>1033</v>
      </c>
      <c r="B894" t="s">
        <v>14</v>
      </c>
      <c r="C894" t="s">
        <v>770</v>
      </c>
      <c r="D894" t="s">
        <v>56</v>
      </c>
      <c r="E894">
        <v>32174</v>
      </c>
      <c r="F894">
        <v>32231</v>
      </c>
      <c r="G894">
        <v>31739</v>
      </c>
      <c r="H894">
        <v>492</v>
      </c>
      <c r="I894">
        <v>2012</v>
      </c>
      <c r="J894">
        <v>77</v>
      </c>
      <c r="K894">
        <f>allFYsTable[[#This Row],[Actual]]-allFYsTable[[#This Row],[OriginalBudget]]</f>
        <v>-435</v>
      </c>
      <c r="L894" s="11">
        <f>allFYsTable[[#This Row],[DiffAmount]]/allFYsTable[[#This Row],[OriginalBudget]]</f>
        <v>-1.352023372909803E-2</v>
      </c>
    </row>
    <row r="895" spans="1:12" x14ac:dyDescent="0.45">
      <c r="A895" t="s">
        <v>1033</v>
      </c>
      <c r="B895" t="s">
        <v>14</v>
      </c>
      <c r="C895" t="s">
        <v>786</v>
      </c>
      <c r="D895" t="s">
        <v>951</v>
      </c>
      <c r="E895">
        <v>16068</v>
      </c>
      <c r="F895">
        <v>17228</v>
      </c>
      <c r="G895">
        <v>16719</v>
      </c>
      <c r="H895">
        <v>509</v>
      </c>
      <c r="I895">
        <v>2012</v>
      </c>
      <c r="J895">
        <v>78</v>
      </c>
      <c r="K895">
        <f>allFYsTable[[#This Row],[Actual]]-allFYsTable[[#This Row],[OriginalBudget]]</f>
        <v>651</v>
      </c>
      <c r="L895" s="11">
        <f>allFYsTable[[#This Row],[DiffAmount]]/allFYsTable[[#This Row],[OriginalBudget]]</f>
        <v>4.0515309932785661E-2</v>
      </c>
    </row>
    <row r="896" spans="1:12" x14ac:dyDescent="0.45">
      <c r="A896" t="s">
        <v>1033</v>
      </c>
      <c r="B896" t="s">
        <v>14</v>
      </c>
      <c r="C896" t="s">
        <v>783</v>
      </c>
      <c r="D896" t="s">
        <v>521</v>
      </c>
      <c r="E896">
        <v>6512</v>
      </c>
      <c r="F896">
        <v>12212</v>
      </c>
      <c r="G896">
        <v>12203</v>
      </c>
      <c r="H896">
        <v>9</v>
      </c>
      <c r="I896">
        <v>2012</v>
      </c>
      <c r="J896">
        <v>79</v>
      </c>
      <c r="K896">
        <f>allFYsTable[[#This Row],[Actual]]-allFYsTable[[#This Row],[OriginalBudget]]</f>
        <v>5691</v>
      </c>
      <c r="L896" s="11">
        <f>allFYsTable[[#This Row],[DiffAmount]]/allFYsTable[[#This Row],[OriginalBudget]]</f>
        <v>0.87392506142506143</v>
      </c>
    </row>
    <row r="897" spans="1:12" x14ac:dyDescent="0.45">
      <c r="A897" t="s">
        <v>1033</v>
      </c>
      <c r="B897" t="s">
        <v>14</v>
      </c>
      <c r="C897" t="s">
        <v>706</v>
      </c>
      <c r="D897" t="s">
        <v>952</v>
      </c>
      <c r="E897">
        <v>19658</v>
      </c>
      <c r="F897">
        <v>27988</v>
      </c>
      <c r="G897">
        <v>27988</v>
      </c>
      <c r="H897">
        <v>0</v>
      </c>
      <c r="I897">
        <v>2012</v>
      </c>
      <c r="J897">
        <v>80</v>
      </c>
      <c r="K897">
        <f>allFYsTable[[#This Row],[Actual]]-allFYsTable[[#This Row],[OriginalBudget]]</f>
        <v>8330</v>
      </c>
      <c r="L897" s="11">
        <f>allFYsTable[[#This Row],[DiffAmount]]/allFYsTable[[#This Row],[OriginalBudget]]</f>
        <v>0.42374605758469835</v>
      </c>
    </row>
    <row r="898" spans="1:12" x14ac:dyDescent="0.45">
      <c r="A898" t="s">
        <v>1033</v>
      </c>
      <c r="B898" t="s">
        <v>14</v>
      </c>
      <c r="C898" t="s">
        <v>760</v>
      </c>
      <c r="D898" t="s">
        <v>985</v>
      </c>
      <c r="E898">
        <v>2148</v>
      </c>
      <c r="F898">
        <v>2172</v>
      </c>
      <c r="G898">
        <v>2169</v>
      </c>
      <c r="H898">
        <v>3</v>
      </c>
      <c r="I898">
        <v>2012</v>
      </c>
      <c r="J898">
        <v>81</v>
      </c>
      <c r="K898">
        <f>allFYsTable[[#This Row],[Actual]]-allFYsTable[[#This Row],[OriginalBudget]]</f>
        <v>21</v>
      </c>
      <c r="L898" s="11">
        <f>allFYsTable[[#This Row],[DiffAmount]]/allFYsTable[[#This Row],[OriginalBudget]]</f>
        <v>9.7765363128491621E-3</v>
      </c>
    </row>
    <row r="899" spans="1:12" x14ac:dyDescent="0.45">
      <c r="A899" t="s">
        <v>1033</v>
      </c>
      <c r="B899" t="s">
        <v>14</v>
      </c>
      <c r="C899" t="s">
        <v>729</v>
      </c>
      <c r="D899" t="s">
        <v>123</v>
      </c>
      <c r="E899">
        <v>2666</v>
      </c>
      <c r="F899">
        <v>2666</v>
      </c>
      <c r="G899">
        <v>2643</v>
      </c>
      <c r="H899">
        <v>23</v>
      </c>
      <c r="I899">
        <v>2012</v>
      </c>
      <c r="J899">
        <v>82</v>
      </c>
      <c r="K899">
        <f>allFYsTable[[#This Row],[Actual]]-allFYsTable[[#This Row],[OriginalBudget]]</f>
        <v>-23</v>
      </c>
      <c r="L899" s="11">
        <f>allFYsTable[[#This Row],[DiffAmount]]/allFYsTable[[#This Row],[OriginalBudget]]</f>
        <v>-8.6271567891972999E-3</v>
      </c>
    </row>
    <row r="900" spans="1:12" x14ac:dyDescent="0.45">
      <c r="A900" t="s">
        <v>1033</v>
      </c>
      <c r="B900" t="s">
        <v>14</v>
      </c>
      <c r="C900" t="s">
        <v>828</v>
      </c>
      <c r="D900" t="s">
        <v>953</v>
      </c>
      <c r="E900">
        <v>3000</v>
      </c>
      <c r="F900">
        <v>3989</v>
      </c>
      <c r="G900">
        <v>3989</v>
      </c>
      <c r="H900">
        <v>0</v>
      </c>
      <c r="I900">
        <v>2012</v>
      </c>
      <c r="J900">
        <v>83</v>
      </c>
      <c r="K900">
        <f>allFYsTable[[#This Row],[Actual]]-allFYsTable[[#This Row],[OriginalBudget]]</f>
        <v>989</v>
      </c>
      <c r="L900" s="11">
        <f>allFYsTable[[#This Row],[DiffAmount]]/allFYsTable[[#This Row],[OriginalBudget]]</f>
        <v>0.32966666666666666</v>
      </c>
    </row>
    <row r="901" spans="1:12" x14ac:dyDescent="0.45">
      <c r="A901" t="s">
        <v>1033</v>
      </c>
      <c r="B901" t="s">
        <v>14</v>
      </c>
      <c r="C901" t="s">
        <v>785</v>
      </c>
      <c r="D901" t="s">
        <v>607</v>
      </c>
      <c r="E901">
        <v>191596</v>
      </c>
      <c r="F901">
        <v>177783</v>
      </c>
      <c r="G901">
        <v>174538</v>
      </c>
      <c r="H901">
        <v>3245</v>
      </c>
      <c r="I901">
        <v>2012</v>
      </c>
      <c r="J901">
        <v>84</v>
      </c>
      <c r="K901">
        <f>allFYsTable[[#This Row],[Actual]]-allFYsTable[[#This Row],[OriginalBudget]]</f>
        <v>-17058</v>
      </c>
      <c r="L901" s="11">
        <f>allFYsTable[[#This Row],[DiffAmount]]/allFYsTable[[#This Row],[OriginalBudget]]</f>
        <v>-8.9031086243971685E-2</v>
      </c>
    </row>
    <row r="902" spans="1:12" x14ac:dyDescent="0.45">
      <c r="A902" t="s">
        <v>1033</v>
      </c>
      <c r="B902" t="s">
        <v>14</v>
      </c>
      <c r="C902" t="s">
        <v>787</v>
      </c>
      <c r="D902" t="s">
        <v>609</v>
      </c>
      <c r="E902">
        <v>157512</v>
      </c>
      <c r="F902">
        <v>159048</v>
      </c>
      <c r="G902">
        <v>158714</v>
      </c>
      <c r="H902">
        <v>334</v>
      </c>
      <c r="I902">
        <v>2012</v>
      </c>
      <c r="J902">
        <v>85</v>
      </c>
      <c r="K902">
        <f>allFYsTable[[#This Row],[Actual]]-allFYsTable[[#This Row],[OriginalBudget]]</f>
        <v>1202</v>
      </c>
      <c r="L902" s="11">
        <f>allFYsTable[[#This Row],[DiffAmount]]/allFYsTable[[#This Row],[OriginalBudget]]</f>
        <v>7.6311646096805319E-3</v>
      </c>
    </row>
    <row r="903" spans="1:12" x14ac:dyDescent="0.45">
      <c r="A903" t="s">
        <v>1033</v>
      </c>
      <c r="B903" t="s">
        <v>14</v>
      </c>
      <c r="C903" t="s">
        <v>728</v>
      </c>
      <c r="D903" t="s">
        <v>617</v>
      </c>
      <c r="E903">
        <v>768</v>
      </c>
      <c r="F903">
        <v>768</v>
      </c>
      <c r="G903">
        <v>762</v>
      </c>
      <c r="H903">
        <v>6</v>
      </c>
      <c r="I903">
        <v>2012</v>
      </c>
      <c r="J903">
        <v>86</v>
      </c>
      <c r="K903">
        <f>allFYsTable[[#This Row],[Actual]]-allFYsTable[[#This Row],[OriginalBudget]]</f>
        <v>-6</v>
      </c>
      <c r="L903" s="11">
        <f>allFYsTable[[#This Row],[DiffAmount]]/allFYsTable[[#This Row],[OriginalBudget]]</f>
        <v>-7.8125E-3</v>
      </c>
    </row>
    <row r="904" spans="1:12" x14ac:dyDescent="0.45">
      <c r="A904" t="s">
        <v>1033</v>
      </c>
      <c r="B904" t="s">
        <v>14</v>
      </c>
      <c r="C904" t="s">
        <v>727</v>
      </c>
      <c r="D904" t="s">
        <v>954</v>
      </c>
      <c r="E904">
        <v>373</v>
      </c>
      <c r="F904">
        <v>373</v>
      </c>
      <c r="G904">
        <v>347</v>
      </c>
      <c r="H904">
        <v>26</v>
      </c>
      <c r="I904">
        <v>2012</v>
      </c>
      <c r="J904">
        <v>87</v>
      </c>
      <c r="K904">
        <f>allFYsTable[[#This Row],[Actual]]-allFYsTable[[#This Row],[OriginalBudget]]</f>
        <v>-26</v>
      </c>
      <c r="L904" s="11">
        <f>allFYsTable[[#This Row],[DiffAmount]]/allFYsTable[[#This Row],[OriginalBudget]]</f>
        <v>-6.9705093833780166E-2</v>
      </c>
    </row>
    <row r="905" spans="1:12" x14ac:dyDescent="0.45">
      <c r="A905" t="s">
        <v>1033</v>
      </c>
      <c r="B905" t="s">
        <v>14</v>
      </c>
      <c r="C905" t="s">
        <v>752</v>
      </c>
      <c r="D905" t="s">
        <v>986</v>
      </c>
      <c r="E905">
        <v>106899</v>
      </c>
      <c r="F905">
        <v>106069</v>
      </c>
      <c r="G905">
        <v>105431</v>
      </c>
      <c r="H905">
        <v>638</v>
      </c>
      <c r="I905">
        <v>2012</v>
      </c>
      <c r="J905">
        <v>88</v>
      </c>
      <c r="K905">
        <f>allFYsTable[[#This Row],[Actual]]-allFYsTable[[#This Row],[OriginalBudget]]</f>
        <v>-1468</v>
      </c>
      <c r="L905" s="11">
        <f>allFYsTable[[#This Row],[DiffAmount]]/allFYsTable[[#This Row],[OriginalBudget]]</f>
        <v>-1.3732588705226428E-2</v>
      </c>
    </row>
    <row r="906" spans="1:12" x14ac:dyDescent="0.45">
      <c r="A906" t="s">
        <v>1033</v>
      </c>
      <c r="B906" t="s">
        <v>14</v>
      </c>
      <c r="C906" t="s">
        <v>791</v>
      </c>
      <c r="D906" t="s">
        <v>956</v>
      </c>
      <c r="E906">
        <v>53344</v>
      </c>
      <c r="F906">
        <v>55434</v>
      </c>
      <c r="G906">
        <v>55099</v>
      </c>
      <c r="H906">
        <v>335</v>
      </c>
      <c r="I906">
        <v>2012</v>
      </c>
      <c r="J906">
        <v>89</v>
      </c>
      <c r="K906">
        <f>allFYsTable[[#This Row],[Actual]]-allFYsTable[[#This Row],[OriginalBudget]]</f>
        <v>1755</v>
      </c>
      <c r="L906" s="11">
        <f>allFYsTable[[#This Row],[DiffAmount]]/allFYsTable[[#This Row],[OriginalBudget]]</f>
        <v>3.2899670065986805E-2</v>
      </c>
    </row>
    <row r="907" spans="1:12" x14ac:dyDescent="0.45">
      <c r="A907" t="s">
        <v>1033</v>
      </c>
      <c r="B907" t="s">
        <v>14</v>
      </c>
      <c r="C907" t="s">
        <v>789</v>
      </c>
      <c r="D907" t="s">
        <v>621</v>
      </c>
      <c r="E907">
        <v>704636</v>
      </c>
      <c r="F907">
        <v>725518</v>
      </c>
      <c r="G907">
        <v>719699</v>
      </c>
      <c r="H907">
        <v>5819</v>
      </c>
      <c r="I907">
        <v>2012</v>
      </c>
      <c r="J907">
        <v>90</v>
      </c>
      <c r="K907">
        <f>allFYsTable[[#This Row],[Actual]]-allFYsTable[[#This Row],[OriginalBudget]]</f>
        <v>15063</v>
      </c>
      <c r="L907" s="11">
        <f>allFYsTable[[#This Row],[DiffAmount]]/allFYsTable[[#This Row],[OriginalBudget]]</f>
        <v>2.137699464688151E-2</v>
      </c>
    </row>
    <row r="908" spans="1:12" x14ac:dyDescent="0.45">
      <c r="A908" t="s">
        <v>1033</v>
      </c>
      <c r="B908" t="s">
        <v>14</v>
      </c>
      <c r="C908" t="s">
        <v>793</v>
      </c>
      <c r="D908" t="s">
        <v>987</v>
      </c>
      <c r="E908">
        <v>698</v>
      </c>
      <c r="F908">
        <v>628</v>
      </c>
      <c r="G908">
        <v>622</v>
      </c>
      <c r="H908">
        <v>6</v>
      </c>
      <c r="I908">
        <v>2012</v>
      </c>
      <c r="J908">
        <v>91</v>
      </c>
      <c r="K908">
        <f>allFYsTable[[#This Row],[Actual]]-allFYsTable[[#This Row],[OriginalBudget]]</f>
        <v>-76</v>
      </c>
      <c r="L908" s="11">
        <f>allFYsTable[[#This Row],[DiffAmount]]/allFYsTable[[#This Row],[OriginalBudget]]</f>
        <v>-0.10888252148997135</v>
      </c>
    </row>
    <row r="909" spans="1:12" x14ac:dyDescent="0.45">
      <c r="A909" t="s">
        <v>1033</v>
      </c>
      <c r="B909" t="s">
        <v>14</v>
      </c>
      <c r="C909" t="s">
        <v>792</v>
      </c>
      <c r="D909" t="s">
        <v>361</v>
      </c>
      <c r="E909">
        <v>0</v>
      </c>
      <c r="F909">
        <v>7700</v>
      </c>
      <c r="G909">
        <v>7700</v>
      </c>
      <c r="H909">
        <v>0</v>
      </c>
      <c r="I909">
        <v>2012</v>
      </c>
      <c r="J909">
        <v>92</v>
      </c>
      <c r="K909">
        <f>allFYsTable[[#This Row],[Actual]]-allFYsTable[[#This Row],[OriginalBudget]]</f>
        <v>7700</v>
      </c>
      <c r="L909" s="11" t="e">
        <f>allFYsTable[[#This Row],[DiffAmount]]/allFYsTable[[#This Row],[OriginalBudget]]</f>
        <v>#DIV/0!</v>
      </c>
    </row>
    <row r="910" spans="1:12" x14ac:dyDescent="0.45">
      <c r="A910" t="s">
        <v>1033</v>
      </c>
      <c r="B910" t="s">
        <v>182</v>
      </c>
      <c r="C910" t="s">
        <v>802</v>
      </c>
      <c r="D910" t="s">
        <v>988</v>
      </c>
      <c r="E910">
        <v>97219</v>
      </c>
      <c r="F910">
        <v>101640</v>
      </c>
      <c r="G910">
        <v>101638</v>
      </c>
      <c r="H910">
        <v>2</v>
      </c>
      <c r="I910">
        <v>2012</v>
      </c>
      <c r="J910">
        <v>93</v>
      </c>
      <c r="K910">
        <f>allFYsTable[[#This Row],[Actual]]-allFYsTable[[#This Row],[OriginalBudget]]</f>
        <v>4419</v>
      </c>
      <c r="L910" s="11">
        <f>allFYsTable[[#This Row],[DiffAmount]]/allFYsTable[[#This Row],[OriginalBudget]]</f>
        <v>4.5454077906582048E-2</v>
      </c>
    </row>
    <row r="911" spans="1:12" x14ac:dyDescent="0.45">
      <c r="A911" t="s">
        <v>1033</v>
      </c>
      <c r="B911" t="s">
        <v>182</v>
      </c>
      <c r="C911" t="s">
        <v>803</v>
      </c>
      <c r="D911" t="s">
        <v>155</v>
      </c>
      <c r="E911">
        <v>119379</v>
      </c>
      <c r="F911">
        <v>119657</v>
      </c>
      <c r="G911">
        <v>119485</v>
      </c>
      <c r="H911">
        <v>172</v>
      </c>
      <c r="I911">
        <v>2012</v>
      </c>
      <c r="J911">
        <v>94</v>
      </c>
      <c r="K911">
        <f>allFYsTable[[#This Row],[Actual]]-allFYsTable[[#This Row],[OriginalBudget]]</f>
        <v>106</v>
      </c>
      <c r="L911" s="11">
        <f>allFYsTable[[#This Row],[DiffAmount]]/allFYsTable[[#This Row],[OriginalBudget]]</f>
        <v>8.8792836260983925E-4</v>
      </c>
    </row>
    <row r="912" spans="1:12" x14ac:dyDescent="0.45">
      <c r="A912" t="s">
        <v>1033</v>
      </c>
      <c r="B912" t="s">
        <v>182</v>
      </c>
      <c r="C912" t="s">
        <v>799</v>
      </c>
      <c r="D912" t="s">
        <v>206</v>
      </c>
      <c r="E912">
        <v>1069</v>
      </c>
      <c r="F912">
        <v>2065</v>
      </c>
      <c r="G912">
        <v>2038</v>
      </c>
      <c r="H912">
        <v>27</v>
      </c>
      <c r="I912">
        <v>2012</v>
      </c>
      <c r="J912">
        <v>95</v>
      </c>
      <c r="K912">
        <f>allFYsTable[[#This Row],[Actual]]-allFYsTable[[#This Row],[OriginalBudget]]</f>
        <v>969</v>
      </c>
      <c r="L912" s="11">
        <f>allFYsTable[[#This Row],[DiffAmount]]/allFYsTable[[#This Row],[OriginalBudget]]</f>
        <v>0.90645463049579045</v>
      </c>
    </row>
    <row r="913" spans="1:12" x14ac:dyDescent="0.45">
      <c r="A913" t="s">
        <v>1033</v>
      </c>
      <c r="B913" t="s">
        <v>182</v>
      </c>
      <c r="C913" t="s">
        <v>801</v>
      </c>
      <c r="D913" t="s">
        <v>989</v>
      </c>
      <c r="E913">
        <v>24786</v>
      </c>
      <c r="F913">
        <v>28632</v>
      </c>
      <c r="G913">
        <v>28522</v>
      </c>
      <c r="H913">
        <v>110</v>
      </c>
      <c r="I913">
        <v>2012</v>
      </c>
      <c r="J913">
        <v>96</v>
      </c>
      <c r="K913">
        <f>allFYsTable[[#This Row],[Actual]]-allFYsTable[[#This Row],[OriginalBudget]]</f>
        <v>3736</v>
      </c>
      <c r="L913" s="11">
        <f>allFYsTable[[#This Row],[DiffAmount]]/allFYsTable[[#This Row],[OriginalBudget]]</f>
        <v>0.15073025094811587</v>
      </c>
    </row>
    <row r="914" spans="1:12" x14ac:dyDescent="0.45">
      <c r="A914" t="s">
        <v>1033</v>
      </c>
      <c r="B914" t="s">
        <v>182</v>
      </c>
      <c r="C914" t="s">
        <v>808</v>
      </c>
      <c r="D914" t="s">
        <v>156</v>
      </c>
      <c r="E914">
        <v>126</v>
      </c>
      <c r="F914">
        <v>126</v>
      </c>
      <c r="G914">
        <v>126</v>
      </c>
      <c r="H914">
        <v>0</v>
      </c>
      <c r="I914">
        <v>2012</v>
      </c>
      <c r="J914">
        <v>97</v>
      </c>
      <c r="K914">
        <f>allFYsTable[[#This Row],[Actual]]-allFYsTable[[#This Row],[OriginalBudget]]</f>
        <v>0</v>
      </c>
      <c r="L914" s="11">
        <f>allFYsTable[[#This Row],[DiffAmount]]/allFYsTable[[#This Row],[OriginalBudget]]</f>
        <v>0</v>
      </c>
    </row>
    <row r="915" spans="1:12" x14ac:dyDescent="0.45">
      <c r="A915" t="s">
        <v>1033</v>
      </c>
      <c r="B915" t="s">
        <v>182</v>
      </c>
      <c r="C915" t="s">
        <v>807</v>
      </c>
      <c r="D915" t="s">
        <v>157</v>
      </c>
      <c r="E915">
        <v>193459</v>
      </c>
      <c r="F915">
        <v>194541</v>
      </c>
      <c r="G915">
        <v>190254</v>
      </c>
      <c r="H915">
        <v>4287</v>
      </c>
      <c r="I915">
        <v>2012</v>
      </c>
      <c r="J915">
        <v>98</v>
      </c>
      <c r="K915">
        <f>allFYsTable[[#This Row],[Actual]]-allFYsTable[[#This Row],[OriginalBudget]]</f>
        <v>-3205</v>
      </c>
      <c r="L915" s="11">
        <f>allFYsTable[[#This Row],[DiffAmount]]/allFYsTable[[#This Row],[OriginalBudget]]</f>
        <v>-1.6566817775342579E-2</v>
      </c>
    </row>
    <row r="916" spans="1:12" x14ac:dyDescent="0.45">
      <c r="A916" t="s">
        <v>1033</v>
      </c>
      <c r="B916" t="s">
        <v>182</v>
      </c>
      <c r="C916" t="s">
        <v>798</v>
      </c>
      <c r="D916" t="s">
        <v>990</v>
      </c>
      <c r="E916">
        <v>16157</v>
      </c>
      <c r="F916">
        <v>16416</v>
      </c>
      <c r="G916">
        <v>16414</v>
      </c>
      <c r="H916">
        <v>2</v>
      </c>
      <c r="I916">
        <v>2012</v>
      </c>
      <c r="J916">
        <v>99</v>
      </c>
      <c r="K916">
        <f>allFYsTable[[#This Row],[Actual]]-allFYsTable[[#This Row],[OriginalBudget]]</f>
        <v>257</v>
      </c>
      <c r="L916" s="11">
        <f>allFYsTable[[#This Row],[DiffAmount]]/allFYsTable[[#This Row],[OriginalBudget]]</f>
        <v>1.5906418270718575E-2</v>
      </c>
    </row>
    <row r="917" spans="1:12" ht="28.5" x14ac:dyDescent="0.45">
      <c r="A917" t="s">
        <v>1033</v>
      </c>
      <c r="B917" t="s">
        <v>10</v>
      </c>
      <c r="C917" t="s">
        <v>775</v>
      </c>
      <c r="D917" s="1" t="s">
        <v>958</v>
      </c>
      <c r="E917">
        <v>438072</v>
      </c>
      <c r="F917">
        <v>410253</v>
      </c>
      <c r="G917">
        <v>409855</v>
      </c>
      <c r="H917">
        <v>398</v>
      </c>
      <c r="I917">
        <v>2012</v>
      </c>
      <c r="J917">
        <v>100</v>
      </c>
      <c r="K917">
        <f>allFYsTable[[#This Row],[Actual]]-allFYsTable[[#This Row],[OriginalBudget]]</f>
        <v>-28217</v>
      </c>
      <c r="L917" s="11">
        <f>allFYsTable[[#This Row],[DiffAmount]]/allFYsTable[[#This Row],[OriginalBudget]]</f>
        <v>-6.4411786190397932E-2</v>
      </c>
    </row>
    <row r="918" spans="1:12" x14ac:dyDescent="0.45">
      <c r="A918" t="s">
        <v>1033</v>
      </c>
      <c r="B918" t="s">
        <v>10</v>
      </c>
      <c r="C918" t="s">
        <v>817</v>
      </c>
      <c r="D918" t="s">
        <v>294</v>
      </c>
      <c r="E918">
        <v>6000</v>
      </c>
      <c r="F918">
        <v>6000</v>
      </c>
      <c r="G918">
        <v>4348</v>
      </c>
      <c r="H918">
        <v>1652</v>
      </c>
      <c r="I918">
        <v>2012</v>
      </c>
      <c r="J918">
        <v>101</v>
      </c>
      <c r="K918">
        <f>allFYsTable[[#This Row],[Actual]]-allFYsTable[[#This Row],[OriginalBudget]]</f>
        <v>-1652</v>
      </c>
      <c r="L918" s="11">
        <f>allFYsTable[[#This Row],[DiffAmount]]/allFYsTable[[#This Row],[OriginalBudget]]</f>
        <v>-0.27533333333333332</v>
      </c>
    </row>
    <row r="919" spans="1:12" x14ac:dyDescent="0.45">
      <c r="A919" t="s">
        <v>1033</v>
      </c>
      <c r="B919" t="s">
        <v>10</v>
      </c>
      <c r="C919" t="s">
        <v>830</v>
      </c>
      <c r="D919" t="s">
        <v>991</v>
      </c>
      <c r="E919">
        <v>4500</v>
      </c>
      <c r="F919">
        <v>2572</v>
      </c>
      <c r="G919">
        <v>2572</v>
      </c>
      <c r="H919">
        <v>0</v>
      </c>
      <c r="I919">
        <v>2012</v>
      </c>
      <c r="J919">
        <v>102</v>
      </c>
      <c r="K919">
        <f>allFYsTable[[#This Row],[Actual]]-allFYsTable[[#This Row],[OriginalBudget]]</f>
        <v>-1928</v>
      </c>
      <c r="L919" s="11">
        <f>allFYsTable[[#This Row],[DiffAmount]]/allFYsTable[[#This Row],[OriginalBudget]]</f>
        <v>-0.42844444444444446</v>
      </c>
    </row>
    <row r="920" spans="1:12" x14ac:dyDescent="0.45">
      <c r="A920" t="s">
        <v>1033</v>
      </c>
      <c r="B920" t="s">
        <v>10</v>
      </c>
      <c r="C920" t="s">
        <v>819</v>
      </c>
      <c r="D920" t="s">
        <v>992</v>
      </c>
      <c r="E920">
        <v>21477</v>
      </c>
      <c r="F920">
        <v>24337</v>
      </c>
      <c r="G920">
        <v>24337</v>
      </c>
      <c r="H920">
        <v>0</v>
      </c>
      <c r="I920">
        <v>2012</v>
      </c>
      <c r="J920">
        <v>103</v>
      </c>
      <c r="K920">
        <f>allFYsTable[[#This Row],[Actual]]-allFYsTable[[#This Row],[OriginalBudget]]</f>
        <v>2860</v>
      </c>
      <c r="L920" s="11">
        <f>allFYsTable[[#This Row],[DiffAmount]]/allFYsTable[[#This Row],[OriginalBudget]]</f>
        <v>0.13316571215719142</v>
      </c>
    </row>
    <row r="921" spans="1:12" x14ac:dyDescent="0.45">
      <c r="A921" t="s">
        <v>1033</v>
      </c>
      <c r="B921" t="s">
        <v>10</v>
      </c>
      <c r="C921" t="s">
        <v>814</v>
      </c>
      <c r="D921" t="s">
        <v>85</v>
      </c>
      <c r="E921">
        <v>3968</v>
      </c>
      <c r="F921">
        <v>3968</v>
      </c>
      <c r="G921">
        <v>3458</v>
      </c>
      <c r="H921">
        <v>510</v>
      </c>
      <c r="I921">
        <v>2012</v>
      </c>
      <c r="J921">
        <v>104</v>
      </c>
      <c r="K921">
        <f>allFYsTable[[#This Row],[Actual]]-allFYsTable[[#This Row],[OriginalBudget]]</f>
        <v>-510</v>
      </c>
      <c r="L921" s="11">
        <f>allFYsTable[[#This Row],[DiffAmount]]/allFYsTable[[#This Row],[OriginalBudget]]</f>
        <v>-0.12852822580645162</v>
      </c>
    </row>
    <row r="922" spans="1:12" x14ac:dyDescent="0.45">
      <c r="A922" t="s">
        <v>1033</v>
      </c>
      <c r="B922" t="s">
        <v>10</v>
      </c>
      <c r="C922" t="s">
        <v>833</v>
      </c>
      <c r="D922" t="s">
        <v>962</v>
      </c>
      <c r="E922">
        <v>8621</v>
      </c>
      <c r="F922">
        <v>8621</v>
      </c>
      <c r="G922">
        <v>8621</v>
      </c>
      <c r="H922">
        <v>0</v>
      </c>
      <c r="I922">
        <v>2012</v>
      </c>
      <c r="J922">
        <v>105</v>
      </c>
      <c r="K922">
        <f>allFYsTable[[#This Row],[Actual]]-allFYsTable[[#This Row],[OriginalBudget]]</f>
        <v>0</v>
      </c>
      <c r="L922" s="11">
        <f>allFYsTable[[#This Row],[DiffAmount]]/allFYsTable[[#This Row],[OriginalBudget]]</f>
        <v>0</v>
      </c>
    </row>
    <row r="923" spans="1:12" x14ac:dyDescent="0.45">
      <c r="A923" t="s">
        <v>1033</v>
      </c>
      <c r="B923" t="s">
        <v>10</v>
      </c>
      <c r="C923" t="s">
        <v>811</v>
      </c>
      <c r="D923" t="s">
        <v>638</v>
      </c>
      <c r="E923">
        <v>109800</v>
      </c>
      <c r="F923">
        <v>109800</v>
      </c>
      <c r="G923">
        <v>109800</v>
      </c>
      <c r="H923">
        <v>0</v>
      </c>
      <c r="I923">
        <v>2012</v>
      </c>
      <c r="J923">
        <v>106</v>
      </c>
      <c r="K923">
        <f>allFYsTable[[#This Row],[Actual]]-allFYsTable[[#This Row],[OriginalBudget]]</f>
        <v>0</v>
      </c>
      <c r="L923" s="11">
        <f>allFYsTable[[#This Row],[DiffAmount]]/allFYsTable[[#This Row],[OriginalBudget]]</f>
        <v>0</v>
      </c>
    </row>
    <row r="924" spans="1:12" x14ac:dyDescent="0.45">
      <c r="A924" t="s">
        <v>1033</v>
      </c>
      <c r="B924" t="s">
        <v>10</v>
      </c>
      <c r="C924" t="s">
        <v>829</v>
      </c>
      <c r="D924" t="s">
        <v>87</v>
      </c>
      <c r="E924">
        <v>6691</v>
      </c>
      <c r="F924">
        <v>5574</v>
      </c>
      <c r="G924">
        <v>5574</v>
      </c>
      <c r="H924">
        <v>0</v>
      </c>
      <c r="I924">
        <v>2012</v>
      </c>
      <c r="J924">
        <v>107</v>
      </c>
      <c r="K924">
        <f>allFYsTable[[#This Row],[Actual]]-allFYsTable[[#This Row],[OriginalBudget]]</f>
        <v>-1117</v>
      </c>
      <c r="L924" s="11">
        <f>allFYsTable[[#This Row],[DiffAmount]]/allFYsTable[[#This Row],[OriginalBudget]]</f>
        <v>-0.16694066656703033</v>
      </c>
    </row>
    <row r="925" spans="1:12" x14ac:dyDescent="0.45">
      <c r="A925" t="s">
        <v>1033</v>
      </c>
      <c r="B925" t="s">
        <v>10</v>
      </c>
      <c r="C925" t="s">
        <v>831</v>
      </c>
      <c r="D925" t="s">
        <v>964</v>
      </c>
      <c r="E925">
        <v>32534</v>
      </c>
      <c r="F925">
        <v>32278</v>
      </c>
      <c r="G925">
        <v>32233</v>
      </c>
      <c r="H925">
        <v>45</v>
      </c>
      <c r="I925">
        <v>2012</v>
      </c>
      <c r="J925">
        <v>108</v>
      </c>
      <c r="K925">
        <f>allFYsTable[[#This Row],[Actual]]-allFYsTable[[#This Row],[OriginalBudget]]</f>
        <v>-301</v>
      </c>
      <c r="L925" s="11">
        <f>allFYsTable[[#This Row],[DiffAmount]]/allFYsTable[[#This Row],[OriginalBudget]]</f>
        <v>-9.2518595930411261E-3</v>
      </c>
    </row>
    <row r="926" spans="1:12" x14ac:dyDescent="0.45">
      <c r="A926" t="s">
        <v>1033</v>
      </c>
      <c r="B926" t="s">
        <v>10</v>
      </c>
      <c r="C926" t="s">
        <v>810</v>
      </c>
      <c r="D926" t="s">
        <v>993</v>
      </c>
      <c r="E926">
        <v>100718</v>
      </c>
      <c r="F926">
        <v>101093</v>
      </c>
      <c r="G926">
        <v>101093</v>
      </c>
      <c r="H926">
        <v>0</v>
      </c>
      <c r="I926">
        <v>2012</v>
      </c>
      <c r="J926">
        <v>109</v>
      </c>
      <c r="K926">
        <f>allFYsTable[[#This Row],[Actual]]-allFYsTable[[#This Row],[OriginalBudget]]</f>
        <v>375</v>
      </c>
      <c r="L926" s="11">
        <f>allFYsTable[[#This Row],[DiffAmount]]/allFYsTable[[#This Row],[OriginalBudget]]</f>
        <v>3.7232669433467703E-3</v>
      </c>
    </row>
    <row r="927" spans="1:12" x14ac:dyDescent="0.45">
      <c r="A927" t="s">
        <v>1033</v>
      </c>
      <c r="B927" t="s">
        <v>10</v>
      </c>
      <c r="C927" t="s">
        <v>813</v>
      </c>
      <c r="D927" t="s">
        <v>994</v>
      </c>
      <c r="E927">
        <v>20640</v>
      </c>
      <c r="F927">
        <v>23020</v>
      </c>
      <c r="G927">
        <v>22778</v>
      </c>
      <c r="H927">
        <v>242</v>
      </c>
      <c r="I927">
        <v>2012</v>
      </c>
      <c r="J927">
        <v>110</v>
      </c>
      <c r="K927">
        <f>allFYsTable[[#This Row],[Actual]]-allFYsTable[[#This Row],[OriginalBudget]]</f>
        <v>2138</v>
      </c>
      <c r="L927" s="11">
        <f>allFYsTable[[#This Row],[DiffAmount]]/allFYsTable[[#This Row],[OriginalBudget]]</f>
        <v>0.10358527131782946</v>
      </c>
    </row>
    <row r="928" spans="1:12" x14ac:dyDescent="0.45">
      <c r="A928" t="s">
        <v>1033</v>
      </c>
      <c r="B928" t="s">
        <v>10</v>
      </c>
      <c r="C928" t="s">
        <v>850</v>
      </c>
      <c r="D928" t="s">
        <v>995</v>
      </c>
      <c r="E928">
        <v>45545</v>
      </c>
      <c r="F928">
        <v>55231</v>
      </c>
      <c r="G928">
        <v>55231</v>
      </c>
      <c r="H928">
        <v>0</v>
      </c>
      <c r="I928">
        <v>2012</v>
      </c>
      <c r="J928">
        <v>111</v>
      </c>
      <c r="K928">
        <f>allFYsTable[[#This Row],[Actual]]-allFYsTable[[#This Row],[OriginalBudget]]</f>
        <v>9686</v>
      </c>
      <c r="L928" s="11">
        <f>allFYsTable[[#This Row],[DiffAmount]]/allFYsTable[[#This Row],[OriginalBudget]]</f>
        <v>0.21266878910967174</v>
      </c>
    </row>
    <row r="929" spans="1:12" ht="28.5" x14ac:dyDescent="0.45">
      <c r="A929" t="s">
        <v>1033</v>
      </c>
      <c r="B929" t="s">
        <v>10</v>
      </c>
      <c r="C929" t="s">
        <v>844</v>
      </c>
      <c r="D929" s="1" t="s">
        <v>996</v>
      </c>
      <c r="E929">
        <v>65466</v>
      </c>
      <c r="F929">
        <v>54494</v>
      </c>
      <c r="G929">
        <v>54494</v>
      </c>
      <c r="H929">
        <v>0</v>
      </c>
      <c r="I929">
        <v>2012</v>
      </c>
      <c r="J929">
        <v>112</v>
      </c>
      <c r="K929">
        <f>allFYsTable[[#This Row],[Actual]]-allFYsTable[[#This Row],[OriginalBudget]]</f>
        <v>-10972</v>
      </c>
      <c r="L929" s="11">
        <f>allFYsTable[[#This Row],[DiffAmount]]/allFYsTable[[#This Row],[OriginalBudget]]</f>
        <v>-0.16759844804936913</v>
      </c>
    </row>
    <row r="930" spans="1:12" x14ac:dyDescent="0.45">
      <c r="A930" t="s">
        <v>1033</v>
      </c>
      <c r="B930" t="s">
        <v>10</v>
      </c>
      <c r="C930" t="s">
        <v>812</v>
      </c>
      <c r="D930" t="s">
        <v>848</v>
      </c>
      <c r="E930">
        <v>0</v>
      </c>
      <c r="F930">
        <v>0</v>
      </c>
      <c r="G930">
        <v>0</v>
      </c>
      <c r="H930">
        <v>0</v>
      </c>
      <c r="I930">
        <v>2012</v>
      </c>
      <c r="J930">
        <v>113</v>
      </c>
      <c r="K930">
        <f>allFYsTable[[#This Row],[Actual]]-allFYsTable[[#This Row],[OriginalBudget]]</f>
        <v>0</v>
      </c>
      <c r="L930" s="11" t="e">
        <f>allFYsTable[[#This Row],[DiffAmount]]/allFYsTable[[#This Row],[OriginalBudget]]</f>
        <v>#DIV/0!</v>
      </c>
    </row>
    <row r="931" spans="1:12" x14ac:dyDescent="0.45">
      <c r="A931" t="s">
        <v>1033</v>
      </c>
      <c r="B931" t="s">
        <v>10</v>
      </c>
      <c r="C931" t="s">
        <v>832</v>
      </c>
      <c r="D931" t="s">
        <v>546</v>
      </c>
      <c r="E931">
        <v>53617</v>
      </c>
      <c r="F931">
        <v>49804</v>
      </c>
      <c r="G931">
        <v>49791</v>
      </c>
      <c r="H931">
        <v>13</v>
      </c>
      <c r="I931">
        <v>2012</v>
      </c>
      <c r="J931">
        <v>114</v>
      </c>
      <c r="K931">
        <f>allFYsTable[[#This Row],[Actual]]-allFYsTable[[#This Row],[OriginalBudget]]</f>
        <v>-3826</v>
      </c>
      <c r="L931" s="11">
        <f>allFYsTable[[#This Row],[DiffAmount]]/allFYsTable[[#This Row],[OriginalBudget]]</f>
        <v>-7.1357964824589212E-2</v>
      </c>
    </row>
    <row r="932" spans="1:12" x14ac:dyDescent="0.45">
      <c r="A932" t="s">
        <v>1033</v>
      </c>
      <c r="B932" t="s">
        <v>10</v>
      </c>
      <c r="C932" t="s">
        <v>847</v>
      </c>
      <c r="D932" t="s">
        <v>967</v>
      </c>
      <c r="E932">
        <v>3000</v>
      </c>
      <c r="F932">
        <v>0</v>
      </c>
      <c r="G932">
        <v>0</v>
      </c>
      <c r="H932">
        <v>0</v>
      </c>
      <c r="I932">
        <v>2012</v>
      </c>
      <c r="J932">
        <v>115</v>
      </c>
      <c r="K932">
        <f>allFYsTable[[#This Row],[Actual]]-allFYsTable[[#This Row],[OriginalBudget]]</f>
        <v>-3000</v>
      </c>
      <c r="L932" s="11">
        <f>allFYsTable[[#This Row],[DiffAmount]]/allFYsTable[[#This Row],[OriginalBudget]]</f>
        <v>-1</v>
      </c>
    </row>
    <row r="933" spans="1:12" x14ac:dyDescent="0.45">
      <c r="A933" t="s">
        <v>1033</v>
      </c>
      <c r="B933" t="s">
        <v>10</v>
      </c>
      <c r="C933" t="s">
        <v>816</v>
      </c>
      <c r="D933" t="s">
        <v>362</v>
      </c>
      <c r="E933">
        <v>0</v>
      </c>
      <c r="F933">
        <v>33730</v>
      </c>
      <c r="G933">
        <v>33730</v>
      </c>
      <c r="H933">
        <v>0</v>
      </c>
      <c r="I933">
        <v>2012</v>
      </c>
      <c r="J933">
        <v>116</v>
      </c>
      <c r="K933">
        <f>allFYsTable[[#This Row],[Actual]]-allFYsTable[[#This Row],[OriginalBudget]]</f>
        <v>33730</v>
      </c>
      <c r="L933" s="11" t="e">
        <f>allFYsTable[[#This Row],[DiffAmount]]/allFYsTable[[#This Row],[OriginalBudget]]</f>
        <v>#DIV/0!</v>
      </c>
    </row>
    <row r="934" spans="1:12" x14ac:dyDescent="0.45">
      <c r="A934" t="s">
        <v>1033</v>
      </c>
      <c r="B934" t="s">
        <v>10</v>
      </c>
      <c r="C934" t="s">
        <v>815</v>
      </c>
      <c r="D934" t="s">
        <v>95</v>
      </c>
      <c r="E934">
        <v>4000</v>
      </c>
      <c r="F934">
        <v>2500</v>
      </c>
      <c r="G934">
        <v>0</v>
      </c>
      <c r="H934">
        <v>2500</v>
      </c>
      <c r="I934">
        <v>2012</v>
      </c>
      <c r="J934">
        <v>117</v>
      </c>
      <c r="K934">
        <f>allFYsTable[[#This Row],[Actual]]-allFYsTable[[#This Row],[OriginalBudget]]</f>
        <v>-4000</v>
      </c>
      <c r="L934" s="11">
        <f>allFYsTable[[#This Row],[DiffAmount]]/allFYsTable[[#This Row],[OriginalBudget]]</f>
        <v>-1</v>
      </c>
    </row>
    <row r="935" spans="1:12" x14ac:dyDescent="0.45">
      <c r="A935" t="s">
        <v>1033</v>
      </c>
      <c r="B935" t="s">
        <v>10</v>
      </c>
      <c r="C935" t="s">
        <v>825</v>
      </c>
      <c r="D935" t="s">
        <v>298</v>
      </c>
      <c r="E935">
        <v>0</v>
      </c>
      <c r="F935">
        <v>0</v>
      </c>
      <c r="G935">
        <v>0</v>
      </c>
      <c r="H935">
        <v>0</v>
      </c>
      <c r="I935">
        <v>2012</v>
      </c>
      <c r="J935">
        <v>118</v>
      </c>
      <c r="K935">
        <f>allFYsTable[[#This Row],[Actual]]-allFYsTable[[#This Row],[OriginalBudget]]</f>
        <v>0</v>
      </c>
      <c r="L935" s="11" t="e">
        <f>allFYsTable[[#This Row],[DiffAmount]]/allFYsTable[[#This Row],[OriginalBudget]]</f>
        <v>#DIV/0!</v>
      </c>
    </row>
    <row r="936" spans="1:12" x14ac:dyDescent="0.45">
      <c r="A936" t="s">
        <v>1033</v>
      </c>
      <c r="B936" t="s">
        <v>10</v>
      </c>
      <c r="C936" t="s">
        <v>824</v>
      </c>
      <c r="D936" t="s">
        <v>849</v>
      </c>
      <c r="E936">
        <v>0</v>
      </c>
      <c r="F936">
        <v>0</v>
      </c>
      <c r="G936">
        <v>0</v>
      </c>
      <c r="H936">
        <v>0</v>
      </c>
      <c r="I936">
        <v>2012</v>
      </c>
      <c r="J936">
        <v>119</v>
      </c>
      <c r="K936">
        <f>allFYsTable[[#This Row],[Actual]]-allFYsTable[[#This Row],[OriginalBudget]]</f>
        <v>0</v>
      </c>
      <c r="L936" s="11" t="e">
        <f>allFYsTable[[#This Row],[DiffAmount]]/allFYsTable[[#This Row],[OriginalBudget]]</f>
        <v>#DIV/0!</v>
      </c>
    </row>
    <row r="937" spans="1:12" x14ac:dyDescent="0.45">
      <c r="A937" t="s">
        <v>1032</v>
      </c>
      <c r="B937" t="s">
        <v>11</v>
      </c>
      <c r="C937" t="s">
        <v>703</v>
      </c>
      <c r="D937" t="s">
        <v>940</v>
      </c>
      <c r="E937">
        <v>21007</v>
      </c>
      <c r="F937">
        <v>19408</v>
      </c>
      <c r="G937">
        <v>19335</v>
      </c>
      <c r="H937">
        <v>73</v>
      </c>
      <c r="I937">
        <v>2013</v>
      </c>
      <c r="J937">
        <v>1</v>
      </c>
      <c r="K937">
        <f>allFYsTable[[#This Row],[Actual]]-allFYsTable[[#This Row],[OriginalBudget]]</f>
        <v>-1672</v>
      </c>
      <c r="L937" s="11">
        <f>allFYsTable[[#This Row],[DiffAmount]]/allFYsTable[[#This Row],[OriginalBudget]]</f>
        <v>-7.9592516780120914E-2</v>
      </c>
    </row>
    <row r="938" spans="1:12" x14ac:dyDescent="0.45">
      <c r="A938" t="s">
        <v>1032</v>
      </c>
      <c r="B938" t="s">
        <v>11</v>
      </c>
      <c r="C938" t="s">
        <v>723</v>
      </c>
      <c r="D938" t="s">
        <v>300</v>
      </c>
      <c r="E938">
        <v>3951</v>
      </c>
      <c r="F938">
        <v>4276</v>
      </c>
      <c r="G938">
        <v>4118</v>
      </c>
      <c r="H938">
        <v>158</v>
      </c>
      <c r="I938">
        <v>2013</v>
      </c>
      <c r="J938">
        <v>2</v>
      </c>
      <c r="K938">
        <f>allFYsTable[[#This Row],[Actual]]-allFYsTable[[#This Row],[OriginalBudget]]</f>
        <v>167</v>
      </c>
      <c r="L938" s="11">
        <f>allFYsTable[[#This Row],[DiffAmount]]/allFYsTable[[#This Row],[OriginalBudget]]</f>
        <v>4.2267780308782588E-2</v>
      </c>
    </row>
    <row r="939" spans="1:12" x14ac:dyDescent="0.45">
      <c r="A939" t="s">
        <v>1032</v>
      </c>
      <c r="B939" t="s">
        <v>11</v>
      </c>
      <c r="C939" t="s">
        <v>711</v>
      </c>
      <c r="D939" t="s">
        <v>301</v>
      </c>
      <c r="E939">
        <v>894</v>
      </c>
      <c r="F939">
        <v>782</v>
      </c>
      <c r="G939">
        <v>781</v>
      </c>
      <c r="H939">
        <v>1</v>
      </c>
      <c r="I939">
        <v>2013</v>
      </c>
      <c r="J939">
        <v>3</v>
      </c>
      <c r="K939">
        <f>allFYsTable[[#This Row],[Actual]]-allFYsTable[[#This Row],[OriginalBudget]]</f>
        <v>-113</v>
      </c>
      <c r="L939" s="11">
        <f>allFYsTable[[#This Row],[DiffAmount]]/allFYsTable[[#This Row],[OriginalBudget]]</f>
        <v>-0.12639821029082773</v>
      </c>
    </row>
    <row r="940" spans="1:12" x14ac:dyDescent="0.45">
      <c r="A940" t="s">
        <v>1032</v>
      </c>
      <c r="B940" t="s">
        <v>11</v>
      </c>
      <c r="C940" t="s">
        <v>707</v>
      </c>
      <c r="D940" t="s">
        <v>163</v>
      </c>
      <c r="E940">
        <v>8435</v>
      </c>
      <c r="F940">
        <v>8407</v>
      </c>
      <c r="G940">
        <v>8287</v>
      </c>
      <c r="H940">
        <v>120</v>
      </c>
      <c r="I940">
        <v>2013</v>
      </c>
      <c r="J940">
        <v>4</v>
      </c>
      <c r="K940">
        <f>allFYsTable[[#This Row],[Actual]]-allFYsTable[[#This Row],[OriginalBudget]]</f>
        <v>-148</v>
      </c>
      <c r="L940" s="11">
        <f>allFYsTable[[#This Row],[DiffAmount]]/allFYsTable[[#This Row],[OriginalBudget]]</f>
        <v>-1.7545939537640783E-2</v>
      </c>
    </row>
    <row r="941" spans="1:12" x14ac:dyDescent="0.45">
      <c r="A941" t="s">
        <v>1032</v>
      </c>
      <c r="B941" t="s">
        <v>11</v>
      </c>
      <c r="C941" t="s">
        <v>725</v>
      </c>
      <c r="D941" t="s">
        <v>104</v>
      </c>
      <c r="E941">
        <v>2246</v>
      </c>
      <c r="F941">
        <v>2553</v>
      </c>
      <c r="G941">
        <v>2546</v>
      </c>
      <c r="H941">
        <v>7</v>
      </c>
      <c r="I941">
        <v>2013</v>
      </c>
      <c r="J941">
        <v>5</v>
      </c>
      <c r="K941">
        <f>allFYsTable[[#This Row],[Actual]]-allFYsTable[[#This Row],[OriginalBudget]]</f>
        <v>300</v>
      </c>
      <c r="L941" s="11">
        <f>allFYsTable[[#This Row],[DiffAmount]]/allFYsTable[[#This Row],[OriginalBudget]]</f>
        <v>0.13357079252003562</v>
      </c>
    </row>
    <row r="942" spans="1:12" x14ac:dyDescent="0.45">
      <c r="A942" t="s">
        <v>1032</v>
      </c>
      <c r="B942" t="s">
        <v>11</v>
      </c>
      <c r="C942" t="s">
        <v>724</v>
      </c>
      <c r="D942" t="s">
        <v>105</v>
      </c>
      <c r="E942">
        <v>13308</v>
      </c>
      <c r="F942">
        <v>13308</v>
      </c>
      <c r="G942">
        <v>11894</v>
      </c>
      <c r="H942">
        <v>1414</v>
      </c>
      <c r="I942">
        <v>2013</v>
      </c>
      <c r="J942">
        <v>6</v>
      </c>
      <c r="K942">
        <f>allFYsTable[[#This Row],[Actual]]-allFYsTable[[#This Row],[OriginalBudget]]</f>
        <v>-1414</v>
      </c>
      <c r="L942" s="11">
        <f>allFYsTable[[#This Row],[DiffAmount]]/allFYsTable[[#This Row],[OriginalBudget]]</f>
        <v>-0.10625187856928163</v>
      </c>
    </row>
    <row r="943" spans="1:12" x14ac:dyDescent="0.45">
      <c r="A943" t="s">
        <v>1032</v>
      </c>
      <c r="B943" t="s">
        <v>11</v>
      </c>
      <c r="C943" t="s">
        <v>701</v>
      </c>
      <c r="D943" t="s">
        <v>302</v>
      </c>
      <c r="E943">
        <v>2430</v>
      </c>
      <c r="F943">
        <v>498</v>
      </c>
      <c r="G943">
        <v>498</v>
      </c>
      <c r="H943">
        <v>0</v>
      </c>
      <c r="I943">
        <v>2013</v>
      </c>
      <c r="J943">
        <v>7</v>
      </c>
      <c r="K943">
        <f>allFYsTable[[#This Row],[Actual]]-allFYsTable[[#This Row],[OriginalBudget]]</f>
        <v>-1932</v>
      </c>
      <c r="L943" s="11">
        <f>allFYsTable[[#This Row],[DiffAmount]]/allFYsTable[[#This Row],[OriginalBudget]]</f>
        <v>-0.79506172839506173</v>
      </c>
    </row>
    <row r="944" spans="1:12" x14ac:dyDescent="0.45">
      <c r="A944" t="s">
        <v>1032</v>
      </c>
      <c r="B944" t="s">
        <v>11</v>
      </c>
      <c r="C944" t="s">
        <v>722</v>
      </c>
      <c r="D944" t="s">
        <v>303</v>
      </c>
      <c r="E944">
        <v>3401</v>
      </c>
      <c r="F944">
        <v>3401</v>
      </c>
      <c r="G944">
        <v>3195</v>
      </c>
      <c r="H944">
        <v>206</v>
      </c>
      <c r="I944">
        <v>2013</v>
      </c>
      <c r="J944">
        <v>8</v>
      </c>
      <c r="K944">
        <f>allFYsTable[[#This Row],[Actual]]-allFYsTable[[#This Row],[OriginalBudget]]</f>
        <v>-206</v>
      </c>
      <c r="L944" s="11">
        <f>allFYsTable[[#This Row],[DiffAmount]]/allFYsTable[[#This Row],[OriginalBudget]]</f>
        <v>-6.0570420464569244E-2</v>
      </c>
    </row>
    <row r="945" spans="1:12" x14ac:dyDescent="0.45">
      <c r="A945" t="s">
        <v>1032</v>
      </c>
      <c r="B945" t="s">
        <v>11</v>
      </c>
      <c r="C945" t="s">
        <v>704</v>
      </c>
      <c r="D945" t="s">
        <v>482</v>
      </c>
      <c r="E945">
        <v>7536</v>
      </c>
      <c r="F945">
        <v>9739</v>
      </c>
      <c r="G945">
        <v>9564</v>
      </c>
      <c r="H945">
        <v>175</v>
      </c>
      <c r="I945">
        <v>2013</v>
      </c>
      <c r="J945">
        <v>9</v>
      </c>
      <c r="K945">
        <f>allFYsTable[[#This Row],[Actual]]-allFYsTable[[#This Row],[OriginalBudget]]</f>
        <v>2028</v>
      </c>
      <c r="L945" s="11">
        <f>allFYsTable[[#This Row],[DiffAmount]]/allFYsTable[[#This Row],[OriginalBudget]]</f>
        <v>0.26910828025477707</v>
      </c>
    </row>
    <row r="946" spans="1:12" x14ac:dyDescent="0.45">
      <c r="A946" t="s">
        <v>1032</v>
      </c>
      <c r="B946" t="s">
        <v>11</v>
      </c>
      <c r="C946" t="s">
        <v>716</v>
      </c>
      <c r="D946" t="s">
        <v>284</v>
      </c>
      <c r="E946">
        <v>19373</v>
      </c>
      <c r="F946">
        <v>19373</v>
      </c>
      <c r="G946">
        <v>19154</v>
      </c>
      <c r="H946">
        <v>219</v>
      </c>
      <c r="I946">
        <v>2013</v>
      </c>
      <c r="J946">
        <v>10</v>
      </c>
      <c r="K946">
        <f>allFYsTable[[#This Row],[Actual]]-allFYsTable[[#This Row],[OriginalBudget]]</f>
        <v>-219</v>
      </c>
      <c r="L946" s="11">
        <f>allFYsTable[[#This Row],[DiffAmount]]/allFYsTable[[#This Row],[OriginalBudget]]</f>
        <v>-1.1304392711505703E-2</v>
      </c>
    </row>
    <row r="947" spans="1:12" x14ac:dyDescent="0.45">
      <c r="A947" t="s">
        <v>1032</v>
      </c>
      <c r="B947" t="s">
        <v>11</v>
      </c>
      <c r="C947" t="s">
        <v>705</v>
      </c>
      <c r="D947" t="s">
        <v>304</v>
      </c>
      <c r="E947">
        <v>244338</v>
      </c>
      <c r="F947">
        <v>241738</v>
      </c>
      <c r="G947">
        <v>239275</v>
      </c>
      <c r="H947">
        <v>2463</v>
      </c>
      <c r="I947">
        <v>2013</v>
      </c>
      <c r="J947">
        <v>11</v>
      </c>
      <c r="K947">
        <f>allFYsTable[[#This Row],[Actual]]-allFYsTable[[#This Row],[OriginalBudget]]</f>
        <v>-5063</v>
      </c>
      <c r="L947" s="11">
        <f>allFYsTable[[#This Row],[DiffAmount]]/allFYsTable[[#This Row],[OriginalBudget]]</f>
        <v>-2.0721295909764344E-2</v>
      </c>
    </row>
    <row r="948" spans="1:12" x14ac:dyDescent="0.45">
      <c r="A948" t="s">
        <v>1032</v>
      </c>
      <c r="B948" t="s">
        <v>11</v>
      </c>
      <c r="C948" t="s">
        <v>713</v>
      </c>
      <c r="D948" t="s">
        <v>305</v>
      </c>
      <c r="E948">
        <v>8971</v>
      </c>
      <c r="F948">
        <v>11002</v>
      </c>
      <c r="G948">
        <v>10730</v>
      </c>
      <c r="H948">
        <v>272</v>
      </c>
      <c r="I948">
        <v>2013</v>
      </c>
      <c r="J948">
        <v>12</v>
      </c>
      <c r="K948">
        <f>allFYsTable[[#This Row],[Actual]]-allFYsTable[[#This Row],[OriginalBudget]]</f>
        <v>1759</v>
      </c>
      <c r="L948" s="11">
        <f>allFYsTable[[#This Row],[DiffAmount]]/allFYsTable[[#This Row],[OriginalBudget]]</f>
        <v>0.19607624568052615</v>
      </c>
    </row>
    <row r="949" spans="1:12" x14ac:dyDescent="0.45">
      <c r="A949" t="s">
        <v>1032</v>
      </c>
      <c r="B949" t="s">
        <v>11</v>
      </c>
      <c r="C949" t="s">
        <v>702</v>
      </c>
      <c r="D949" t="s">
        <v>306</v>
      </c>
      <c r="E949">
        <v>1051</v>
      </c>
      <c r="F949">
        <v>1063</v>
      </c>
      <c r="G949">
        <v>1041</v>
      </c>
      <c r="H949">
        <v>22</v>
      </c>
      <c r="I949">
        <v>2013</v>
      </c>
      <c r="J949">
        <v>13</v>
      </c>
      <c r="K949">
        <f>allFYsTable[[#This Row],[Actual]]-allFYsTable[[#This Row],[OriginalBudget]]</f>
        <v>-10</v>
      </c>
      <c r="L949" s="11">
        <f>allFYsTable[[#This Row],[DiffAmount]]/allFYsTable[[#This Row],[OriginalBudget]]</f>
        <v>-9.5147478591817315E-3</v>
      </c>
    </row>
    <row r="950" spans="1:12" x14ac:dyDescent="0.45">
      <c r="A950" t="s">
        <v>1032</v>
      </c>
      <c r="B950" t="s">
        <v>11</v>
      </c>
      <c r="C950" t="s">
        <v>720</v>
      </c>
      <c r="D950" t="s">
        <v>113</v>
      </c>
      <c r="E950">
        <v>100306</v>
      </c>
      <c r="F950">
        <v>99720</v>
      </c>
      <c r="G950">
        <v>99682</v>
      </c>
      <c r="H950">
        <v>38</v>
      </c>
      <c r="I950">
        <v>2013</v>
      </c>
      <c r="J950">
        <v>14</v>
      </c>
      <c r="K950">
        <f>allFYsTable[[#This Row],[Actual]]-allFYsTable[[#This Row],[OriginalBudget]]</f>
        <v>-624</v>
      </c>
      <c r="L950" s="11">
        <f>allFYsTable[[#This Row],[DiffAmount]]/allFYsTable[[#This Row],[OriginalBudget]]</f>
        <v>-6.2209638506171118E-3</v>
      </c>
    </row>
    <row r="951" spans="1:12" x14ac:dyDescent="0.45">
      <c r="A951" t="s">
        <v>1032</v>
      </c>
      <c r="B951" t="s">
        <v>11</v>
      </c>
      <c r="C951" t="s">
        <v>719</v>
      </c>
      <c r="D951" t="s">
        <v>307</v>
      </c>
      <c r="E951">
        <v>58688</v>
      </c>
      <c r="F951">
        <v>59068</v>
      </c>
      <c r="G951">
        <v>57336</v>
      </c>
      <c r="H951">
        <v>1732</v>
      </c>
      <c r="I951">
        <v>2013</v>
      </c>
      <c r="J951">
        <v>15</v>
      </c>
      <c r="K951">
        <f>allFYsTable[[#This Row],[Actual]]-allFYsTable[[#This Row],[OriginalBudget]]</f>
        <v>-1352</v>
      </c>
      <c r="L951" s="11">
        <f>allFYsTable[[#This Row],[DiffAmount]]/allFYsTable[[#This Row],[OriginalBudget]]</f>
        <v>-2.3037077426390405E-2</v>
      </c>
    </row>
    <row r="952" spans="1:12" x14ac:dyDescent="0.45">
      <c r="A952" t="s">
        <v>1032</v>
      </c>
      <c r="B952" t="s">
        <v>11</v>
      </c>
      <c r="C952" t="s">
        <v>718</v>
      </c>
      <c r="D952" t="s">
        <v>115</v>
      </c>
      <c r="E952">
        <v>2962</v>
      </c>
      <c r="F952">
        <v>2962</v>
      </c>
      <c r="G952">
        <v>2133</v>
      </c>
      <c r="H952">
        <v>829</v>
      </c>
      <c r="I952">
        <v>2013</v>
      </c>
      <c r="J952">
        <v>16</v>
      </c>
      <c r="K952">
        <f>allFYsTable[[#This Row],[Actual]]-allFYsTable[[#This Row],[OriginalBudget]]</f>
        <v>-829</v>
      </c>
      <c r="L952" s="11">
        <f>allFYsTable[[#This Row],[DiffAmount]]/allFYsTable[[#This Row],[OriginalBudget]]</f>
        <v>-0.27987846049966236</v>
      </c>
    </row>
    <row r="953" spans="1:12" x14ac:dyDescent="0.45">
      <c r="A953" t="s">
        <v>1032</v>
      </c>
      <c r="B953" t="s">
        <v>11</v>
      </c>
      <c r="C953" t="s">
        <v>714</v>
      </c>
      <c r="D953" t="s">
        <v>308</v>
      </c>
      <c r="E953">
        <v>970</v>
      </c>
      <c r="F953">
        <v>970</v>
      </c>
      <c r="G953">
        <v>900</v>
      </c>
      <c r="H953">
        <v>70</v>
      </c>
      <c r="I953">
        <v>2013</v>
      </c>
      <c r="J953">
        <v>17</v>
      </c>
      <c r="K953">
        <f>allFYsTable[[#This Row],[Actual]]-allFYsTable[[#This Row],[OriginalBudget]]</f>
        <v>-70</v>
      </c>
      <c r="L953" s="11">
        <f>allFYsTable[[#This Row],[DiffAmount]]/allFYsTable[[#This Row],[OriginalBudget]]</f>
        <v>-7.2164948453608241E-2</v>
      </c>
    </row>
    <row r="954" spans="1:12" x14ac:dyDescent="0.45">
      <c r="A954" t="s">
        <v>1032</v>
      </c>
      <c r="B954" t="s">
        <v>11</v>
      </c>
      <c r="C954" t="s">
        <v>721</v>
      </c>
      <c r="D954" t="s">
        <v>309</v>
      </c>
      <c r="E954">
        <v>39974</v>
      </c>
      <c r="F954">
        <v>40681</v>
      </c>
      <c r="G954">
        <v>40253</v>
      </c>
      <c r="H954">
        <v>428</v>
      </c>
      <c r="I954">
        <v>2013</v>
      </c>
      <c r="J954">
        <v>18</v>
      </c>
      <c r="K954">
        <f>allFYsTable[[#This Row],[Actual]]-allFYsTable[[#This Row],[OriginalBudget]]</f>
        <v>279</v>
      </c>
      <c r="L954" s="11">
        <f>allFYsTable[[#This Row],[DiffAmount]]/allFYsTable[[#This Row],[OriginalBudget]]</f>
        <v>6.9795366988542554E-3</v>
      </c>
    </row>
    <row r="955" spans="1:12" x14ac:dyDescent="0.45">
      <c r="A955" t="s">
        <v>1032</v>
      </c>
      <c r="B955" t="s">
        <v>11</v>
      </c>
      <c r="C955" t="s">
        <v>699</v>
      </c>
      <c r="D955" t="s">
        <v>310</v>
      </c>
      <c r="E955">
        <v>5812</v>
      </c>
      <c r="F955">
        <v>6910</v>
      </c>
      <c r="G955">
        <v>6801</v>
      </c>
      <c r="H955">
        <v>109</v>
      </c>
      <c r="I955">
        <v>2013</v>
      </c>
      <c r="J955">
        <v>19</v>
      </c>
      <c r="K955">
        <f>allFYsTable[[#This Row],[Actual]]-allFYsTable[[#This Row],[OriginalBudget]]</f>
        <v>989</v>
      </c>
      <c r="L955" s="11">
        <f>allFYsTable[[#This Row],[DiffAmount]]/allFYsTable[[#This Row],[OriginalBudget]]</f>
        <v>0.17016517549896765</v>
      </c>
    </row>
    <row r="956" spans="1:12" x14ac:dyDescent="0.45">
      <c r="A956" t="s">
        <v>1032</v>
      </c>
      <c r="B956" t="s">
        <v>11</v>
      </c>
      <c r="C956" t="s">
        <v>712</v>
      </c>
      <c r="D956" t="s">
        <v>120</v>
      </c>
      <c r="E956">
        <v>2601</v>
      </c>
      <c r="F956">
        <v>2601</v>
      </c>
      <c r="G956">
        <v>2017</v>
      </c>
      <c r="H956">
        <v>584</v>
      </c>
      <c r="I956">
        <v>2013</v>
      </c>
      <c r="J956">
        <v>20</v>
      </c>
      <c r="K956">
        <f>allFYsTable[[#This Row],[Actual]]-allFYsTable[[#This Row],[OriginalBudget]]</f>
        <v>-584</v>
      </c>
      <c r="L956" s="11">
        <f>allFYsTable[[#This Row],[DiffAmount]]/allFYsTable[[#This Row],[OriginalBudget]]</f>
        <v>-0.2245290272971934</v>
      </c>
    </row>
    <row r="957" spans="1:12" x14ac:dyDescent="0.45">
      <c r="A957" t="s">
        <v>1032</v>
      </c>
      <c r="B957" t="s">
        <v>11</v>
      </c>
      <c r="C957" t="s">
        <v>730</v>
      </c>
      <c r="D957" t="s">
        <v>311</v>
      </c>
      <c r="E957">
        <v>1151</v>
      </c>
      <c r="F957">
        <v>1151</v>
      </c>
      <c r="G957">
        <v>1037</v>
      </c>
      <c r="H957">
        <v>114</v>
      </c>
      <c r="I957">
        <v>2013</v>
      </c>
      <c r="J957">
        <v>21</v>
      </c>
      <c r="K957">
        <f>allFYsTable[[#This Row],[Actual]]-allFYsTable[[#This Row],[OriginalBudget]]</f>
        <v>-114</v>
      </c>
      <c r="L957" s="11">
        <f>allFYsTable[[#This Row],[DiffAmount]]/allFYsTable[[#This Row],[OriginalBudget]]</f>
        <v>-9.9044309296264121E-2</v>
      </c>
    </row>
    <row r="958" spans="1:12" x14ac:dyDescent="0.45">
      <c r="A958" t="s">
        <v>1032</v>
      </c>
      <c r="B958" t="s">
        <v>11</v>
      </c>
      <c r="C958" t="s">
        <v>715</v>
      </c>
      <c r="D958" t="s">
        <v>126</v>
      </c>
      <c r="E958">
        <v>1468</v>
      </c>
      <c r="F958">
        <v>1468</v>
      </c>
      <c r="G958">
        <v>1439</v>
      </c>
      <c r="H958">
        <v>29</v>
      </c>
      <c r="I958">
        <v>2013</v>
      </c>
      <c r="J958">
        <v>22</v>
      </c>
      <c r="K958">
        <f>allFYsTable[[#This Row],[Actual]]-allFYsTable[[#This Row],[OriginalBudget]]</f>
        <v>-29</v>
      </c>
      <c r="L958" s="11">
        <f>allFYsTable[[#This Row],[DiffAmount]]/allFYsTable[[#This Row],[OriginalBudget]]</f>
        <v>-1.9754768392370572E-2</v>
      </c>
    </row>
    <row r="959" spans="1:12" x14ac:dyDescent="0.45">
      <c r="A959" t="s">
        <v>1032</v>
      </c>
      <c r="B959" t="s">
        <v>11</v>
      </c>
      <c r="C959" t="s">
        <v>709</v>
      </c>
      <c r="D959" t="s">
        <v>312</v>
      </c>
      <c r="E959">
        <v>408</v>
      </c>
      <c r="F959">
        <v>783</v>
      </c>
      <c r="G959">
        <v>783</v>
      </c>
      <c r="H959">
        <v>0</v>
      </c>
      <c r="I959">
        <v>2013</v>
      </c>
      <c r="J959">
        <v>23</v>
      </c>
      <c r="K959">
        <f>allFYsTable[[#This Row],[Actual]]-allFYsTable[[#This Row],[OriginalBudget]]</f>
        <v>375</v>
      </c>
      <c r="L959" s="11">
        <f>allFYsTable[[#This Row],[DiffAmount]]/allFYsTable[[#This Row],[OriginalBudget]]</f>
        <v>0.91911764705882348</v>
      </c>
    </row>
    <row r="960" spans="1:12" x14ac:dyDescent="0.45">
      <c r="A960" t="s">
        <v>1032</v>
      </c>
      <c r="B960" t="s">
        <v>11</v>
      </c>
      <c r="C960" t="s">
        <v>732</v>
      </c>
      <c r="D960" t="s">
        <v>313</v>
      </c>
      <c r="E960">
        <v>0</v>
      </c>
      <c r="F960">
        <v>603</v>
      </c>
      <c r="G960">
        <v>603</v>
      </c>
      <c r="H960">
        <v>0</v>
      </c>
      <c r="I960">
        <v>2013</v>
      </c>
      <c r="J960">
        <v>24</v>
      </c>
      <c r="K960">
        <f>allFYsTable[[#This Row],[Actual]]-allFYsTable[[#This Row],[OriginalBudget]]</f>
        <v>603</v>
      </c>
      <c r="L960" s="11" t="e">
        <f>allFYsTable[[#This Row],[DiffAmount]]/allFYsTable[[#This Row],[OriginalBudget]]</f>
        <v>#DIV/0!</v>
      </c>
    </row>
    <row r="961" spans="1:12" x14ac:dyDescent="0.45">
      <c r="A961" t="s">
        <v>1032</v>
      </c>
      <c r="B961" t="s">
        <v>11</v>
      </c>
      <c r="C961" t="s">
        <v>700</v>
      </c>
      <c r="D961" t="s">
        <v>314</v>
      </c>
      <c r="E961">
        <v>979</v>
      </c>
      <c r="F961">
        <v>1079</v>
      </c>
      <c r="G961">
        <v>1041</v>
      </c>
      <c r="H961">
        <v>38</v>
      </c>
      <c r="I961">
        <v>2013</v>
      </c>
      <c r="J961">
        <v>25</v>
      </c>
      <c r="K961">
        <f>allFYsTable[[#This Row],[Actual]]-allFYsTable[[#This Row],[OriginalBudget]]</f>
        <v>62</v>
      </c>
      <c r="L961" s="11">
        <f>allFYsTable[[#This Row],[DiffAmount]]/allFYsTable[[#This Row],[OriginalBudget]]</f>
        <v>6.332992849846783E-2</v>
      </c>
    </row>
    <row r="962" spans="1:12" x14ac:dyDescent="0.45">
      <c r="A962" t="s">
        <v>1032</v>
      </c>
      <c r="B962" t="s">
        <v>846</v>
      </c>
      <c r="C962" t="s">
        <v>743</v>
      </c>
      <c r="D962" t="s">
        <v>315</v>
      </c>
      <c r="E962">
        <v>11753</v>
      </c>
      <c r="F962">
        <v>12028</v>
      </c>
      <c r="G962">
        <v>11877</v>
      </c>
      <c r="H962">
        <v>151</v>
      </c>
      <c r="I962">
        <v>2013</v>
      </c>
      <c r="J962">
        <v>26</v>
      </c>
      <c r="K962">
        <f>allFYsTable[[#This Row],[Actual]]-allFYsTable[[#This Row],[OriginalBudget]]</f>
        <v>124</v>
      </c>
      <c r="L962" s="11">
        <f>allFYsTable[[#This Row],[DiffAmount]]/allFYsTable[[#This Row],[OriginalBudget]]</f>
        <v>1.0550497745256531E-2</v>
      </c>
    </row>
    <row r="963" spans="1:12" x14ac:dyDescent="0.45">
      <c r="A963" t="s">
        <v>1032</v>
      </c>
      <c r="B963" t="s">
        <v>846</v>
      </c>
      <c r="C963" t="s">
        <v>738</v>
      </c>
      <c r="D963" t="s">
        <v>316</v>
      </c>
      <c r="E963">
        <v>5276</v>
      </c>
      <c r="F963">
        <v>4142</v>
      </c>
      <c r="G963">
        <v>4047</v>
      </c>
      <c r="H963">
        <v>95</v>
      </c>
      <c r="I963">
        <v>2013</v>
      </c>
      <c r="J963">
        <v>27</v>
      </c>
      <c r="K963">
        <f>allFYsTable[[#This Row],[Actual]]-allFYsTable[[#This Row],[OriginalBudget]]</f>
        <v>-1229</v>
      </c>
      <c r="L963" s="11">
        <f>allFYsTable[[#This Row],[DiffAmount]]/allFYsTable[[#This Row],[OriginalBudget]]</f>
        <v>-0.23294162244124336</v>
      </c>
    </row>
    <row r="964" spans="1:12" x14ac:dyDescent="0.45">
      <c r="A964" t="s">
        <v>1032</v>
      </c>
      <c r="B964" t="s">
        <v>846</v>
      </c>
      <c r="C964" t="s">
        <v>742</v>
      </c>
      <c r="D964" t="s">
        <v>317</v>
      </c>
      <c r="E964">
        <v>6559</v>
      </c>
      <c r="F964">
        <v>6481</v>
      </c>
      <c r="G964">
        <v>6345</v>
      </c>
      <c r="H964">
        <v>136</v>
      </c>
      <c r="I964">
        <v>2013</v>
      </c>
      <c r="J964">
        <v>28</v>
      </c>
      <c r="K964">
        <f>allFYsTable[[#This Row],[Actual]]-allFYsTable[[#This Row],[OriginalBudget]]</f>
        <v>-214</v>
      </c>
      <c r="L964" s="11">
        <f>allFYsTable[[#This Row],[DiffAmount]]/allFYsTable[[#This Row],[OriginalBudget]]</f>
        <v>-3.2626924836103063E-2</v>
      </c>
    </row>
    <row r="965" spans="1:12" x14ac:dyDescent="0.45">
      <c r="A965" t="s">
        <v>1032</v>
      </c>
      <c r="B965" t="s">
        <v>846</v>
      </c>
      <c r="C965" t="s">
        <v>744</v>
      </c>
      <c r="D965" t="s">
        <v>29</v>
      </c>
      <c r="E965">
        <v>2596</v>
      </c>
      <c r="F965">
        <v>2596</v>
      </c>
      <c r="G965">
        <v>2565</v>
      </c>
      <c r="H965">
        <v>31</v>
      </c>
      <c r="I965">
        <v>2013</v>
      </c>
      <c r="J965">
        <v>29</v>
      </c>
      <c r="K965">
        <f>allFYsTable[[#This Row],[Actual]]-allFYsTable[[#This Row],[OriginalBudget]]</f>
        <v>-31</v>
      </c>
      <c r="L965" s="11">
        <f>allFYsTable[[#This Row],[DiffAmount]]/allFYsTable[[#This Row],[OriginalBudget]]</f>
        <v>-1.1941448382126348E-2</v>
      </c>
    </row>
    <row r="966" spans="1:12" x14ac:dyDescent="0.45">
      <c r="A966" t="s">
        <v>1032</v>
      </c>
      <c r="B966" t="s">
        <v>846</v>
      </c>
      <c r="C966" t="s">
        <v>737</v>
      </c>
      <c r="D966" t="s">
        <v>318</v>
      </c>
      <c r="E966">
        <v>12591</v>
      </c>
      <c r="F966">
        <v>12866</v>
      </c>
      <c r="G966">
        <v>11514</v>
      </c>
      <c r="H966">
        <v>1352</v>
      </c>
      <c r="I966">
        <v>2013</v>
      </c>
      <c r="J966">
        <v>30</v>
      </c>
      <c r="K966">
        <f>allFYsTable[[#This Row],[Actual]]-allFYsTable[[#This Row],[OriginalBudget]]</f>
        <v>-1077</v>
      </c>
      <c r="L966" s="11">
        <f>allFYsTable[[#This Row],[DiffAmount]]/allFYsTable[[#This Row],[OriginalBudget]]</f>
        <v>-8.5537288539432932E-2</v>
      </c>
    </row>
    <row r="967" spans="1:12" x14ac:dyDescent="0.45">
      <c r="A967" t="s">
        <v>1032</v>
      </c>
      <c r="B967" t="s">
        <v>846</v>
      </c>
      <c r="C967" t="s">
        <v>741</v>
      </c>
      <c r="D967" t="s">
        <v>921</v>
      </c>
      <c r="E967">
        <v>784</v>
      </c>
      <c r="F967">
        <v>793</v>
      </c>
      <c r="G967">
        <v>782</v>
      </c>
      <c r="H967">
        <v>11</v>
      </c>
      <c r="I967">
        <v>2013</v>
      </c>
      <c r="J967">
        <v>31</v>
      </c>
      <c r="K967">
        <f>allFYsTable[[#This Row],[Actual]]-allFYsTable[[#This Row],[OriginalBudget]]</f>
        <v>-2</v>
      </c>
      <c r="L967" s="11">
        <f>allFYsTable[[#This Row],[DiffAmount]]/allFYsTable[[#This Row],[OriginalBudget]]</f>
        <v>-2.5510204081632651E-3</v>
      </c>
    </row>
    <row r="968" spans="1:12" x14ac:dyDescent="0.45">
      <c r="A968" t="s">
        <v>1032</v>
      </c>
      <c r="B968" t="s">
        <v>846</v>
      </c>
      <c r="C968" t="s">
        <v>769</v>
      </c>
      <c r="D968" t="s">
        <v>319</v>
      </c>
      <c r="E968">
        <v>47457</v>
      </c>
      <c r="F968">
        <v>39945</v>
      </c>
      <c r="G968">
        <v>37754</v>
      </c>
      <c r="H968">
        <v>2191</v>
      </c>
      <c r="I968">
        <v>2013</v>
      </c>
      <c r="J968">
        <v>32</v>
      </c>
      <c r="K968">
        <f>allFYsTable[[#This Row],[Actual]]-allFYsTable[[#This Row],[OriginalBudget]]</f>
        <v>-9703</v>
      </c>
      <c r="L968" s="11">
        <f>allFYsTable[[#This Row],[DiffAmount]]/allFYsTable[[#This Row],[OriginalBudget]]</f>
        <v>-0.20445877320521735</v>
      </c>
    </row>
    <row r="969" spans="1:12" x14ac:dyDescent="0.45">
      <c r="A969" t="s">
        <v>1032</v>
      </c>
      <c r="B969" t="s">
        <v>846</v>
      </c>
      <c r="C969" t="s">
        <v>745</v>
      </c>
      <c r="D969" t="s">
        <v>320</v>
      </c>
      <c r="E969">
        <v>1663</v>
      </c>
      <c r="F969">
        <v>1551</v>
      </c>
      <c r="G969">
        <v>1256</v>
      </c>
      <c r="H969">
        <v>295</v>
      </c>
      <c r="I969">
        <v>2013</v>
      </c>
      <c r="J969">
        <v>33</v>
      </c>
      <c r="K969">
        <f>allFYsTable[[#This Row],[Actual]]-allFYsTable[[#This Row],[OriginalBudget]]</f>
        <v>-407</v>
      </c>
      <c r="L969" s="11">
        <f>allFYsTable[[#This Row],[DiffAmount]]/allFYsTable[[#This Row],[OriginalBudget]]</f>
        <v>-0.24473842453397474</v>
      </c>
    </row>
    <row r="970" spans="1:12" x14ac:dyDescent="0.45">
      <c r="A970" t="s">
        <v>1032</v>
      </c>
      <c r="B970" t="s">
        <v>846</v>
      </c>
      <c r="C970" t="s">
        <v>797</v>
      </c>
      <c r="D970" t="s">
        <v>321</v>
      </c>
      <c r="E970">
        <v>16365</v>
      </c>
      <c r="F970">
        <v>16015</v>
      </c>
      <c r="G970">
        <v>15537</v>
      </c>
      <c r="H970">
        <v>478</v>
      </c>
      <c r="I970">
        <v>2013</v>
      </c>
      <c r="J970">
        <v>34</v>
      </c>
      <c r="K970">
        <f>allFYsTable[[#This Row],[Actual]]-allFYsTable[[#This Row],[OriginalBudget]]</f>
        <v>-828</v>
      </c>
      <c r="L970" s="11">
        <f>allFYsTable[[#This Row],[DiffAmount]]/allFYsTable[[#This Row],[OriginalBudget]]</f>
        <v>-5.059578368469294E-2</v>
      </c>
    </row>
    <row r="971" spans="1:12" x14ac:dyDescent="0.45">
      <c r="A971" t="s">
        <v>1032</v>
      </c>
      <c r="B971" t="s">
        <v>846</v>
      </c>
      <c r="C971" t="s">
        <v>795</v>
      </c>
      <c r="D971" t="s">
        <v>322</v>
      </c>
      <c r="E971">
        <v>460</v>
      </c>
      <c r="F971">
        <v>460</v>
      </c>
      <c r="G971">
        <v>460</v>
      </c>
      <c r="H971">
        <v>0</v>
      </c>
      <c r="I971">
        <v>2013</v>
      </c>
      <c r="J971">
        <v>35</v>
      </c>
      <c r="K971">
        <f>allFYsTable[[#This Row],[Actual]]-allFYsTable[[#This Row],[OriginalBudget]]</f>
        <v>0</v>
      </c>
      <c r="L971" s="11">
        <f>allFYsTable[[#This Row],[DiffAmount]]/allFYsTable[[#This Row],[OriginalBudget]]</f>
        <v>0</v>
      </c>
    </row>
    <row r="972" spans="1:12" x14ac:dyDescent="0.45">
      <c r="A972" t="s">
        <v>1032</v>
      </c>
      <c r="B972" t="s">
        <v>846</v>
      </c>
      <c r="C972" t="s">
        <v>741</v>
      </c>
      <c r="D972" t="s">
        <v>1048</v>
      </c>
      <c r="E972">
        <v>0</v>
      </c>
      <c r="F972">
        <v>0</v>
      </c>
      <c r="G972">
        <v>0</v>
      </c>
      <c r="H972">
        <v>0</v>
      </c>
      <c r="I972">
        <v>2013</v>
      </c>
      <c r="J972">
        <v>36</v>
      </c>
      <c r="K972">
        <f>allFYsTable[[#This Row],[Actual]]-allFYsTable[[#This Row],[OriginalBudget]]</f>
        <v>0</v>
      </c>
      <c r="L972" s="11" t="e">
        <f>allFYsTable[[#This Row],[DiffAmount]]/allFYsTable[[#This Row],[OriginalBudget]]</f>
        <v>#DIV/0!</v>
      </c>
    </row>
    <row r="973" spans="1:12" x14ac:dyDescent="0.45">
      <c r="A973" t="s">
        <v>1032</v>
      </c>
      <c r="B973" t="s">
        <v>846</v>
      </c>
      <c r="C973" t="s">
        <v>736</v>
      </c>
      <c r="D973" t="s">
        <v>190</v>
      </c>
      <c r="E973">
        <v>11090</v>
      </c>
      <c r="F973">
        <v>11315</v>
      </c>
      <c r="G973">
        <v>11126</v>
      </c>
      <c r="H973">
        <v>189</v>
      </c>
      <c r="I973">
        <v>2013</v>
      </c>
      <c r="J973">
        <v>37</v>
      </c>
      <c r="K973">
        <f>allFYsTable[[#This Row],[Actual]]-allFYsTable[[#This Row],[OriginalBudget]]</f>
        <v>36</v>
      </c>
      <c r="L973" s="11">
        <f>allFYsTable[[#This Row],[DiffAmount]]/allFYsTable[[#This Row],[OriginalBudget]]</f>
        <v>3.2461677186654643E-3</v>
      </c>
    </row>
    <row r="974" spans="1:12" x14ac:dyDescent="0.45">
      <c r="A974" t="s">
        <v>1032</v>
      </c>
      <c r="B974" t="s">
        <v>846</v>
      </c>
      <c r="C974" t="s">
        <v>739</v>
      </c>
      <c r="D974" t="s">
        <v>323</v>
      </c>
      <c r="E974">
        <v>14213</v>
      </c>
      <c r="F974">
        <v>14213</v>
      </c>
      <c r="G974">
        <v>14213</v>
      </c>
      <c r="H974">
        <v>0</v>
      </c>
      <c r="I974">
        <v>2013</v>
      </c>
      <c r="J974">
        <v>38</v>
      </c>
      <c r="K974">
        <f>allFYsTable[[#This Row],[Actual]]-allFYsTable[[#This Row],[OriginalBudget]]</f>
        <v>0</v>
      </c>
      <c r="L974" s="11">
        <f>allFYsTable[[#This Row],[DiffAmount]]/allFYsTable[[#This Row],[OriginalBudget]]</f>
        <v>0</v>
      </c>
    </row>
    <row r="975" spans="1:12" x14ac:dyDescent="0.45">
      <c r="A975" t="s">
        <v>1032</v>
      </c>
      <c r="B975" t="s">
        <v>846</v>
      </c>
      <c r="C975" t="s">
        <v>734</v>
      </c>
      <c r="D975" t="s">
        <v>12</v>
      </c>
      <c r="E975">
        <v>0</v>
      </c>
      <c r="F975">
        <v>0</v>
      </c>
      <c r="G975">
        <v>0</v>
      </c>
      <c r="H975">
        <v>0</v>
      </c>
      <c r="I975">
        <v>2013</v>
      </c>
      <c r="J975">
        <v>39</v>
      </c>
      <c r="K975">
        <f>allFYsTable[[#This Row],[Actual]]-allFYsTable[[#This Row],[OriginalBudget]]</f>
        <v>0</v>
      </c>
      <c r="L975" s="11" t="e">
        <f>allFYsTable[[#This Row],[DiffAmount]]/allFYsTable[[#This Row],[OriginalBudget]]</f>
        <v>#DIV/0!</v>
      </c>
    </row>
    <row r="976" spans="1:12" x14ac:dyDescent="0.45">
      <c r="A976" t="s">
        <v>1032</v>
      </c>
      <c r="B976" t="s">
        <v>846</v>
      </c>
      <c r="C976" t="s">
        <v>740</v>
      </c>
      <c r="D976" t="s">
        <v>845</v>
      </c>
      <c r="E976">
        <v>15000</v>
      </c>
      <c r="F976">
        <v>66931</v>
      </c>
      <c r="G976">
        <v>66931</v>
      </c>
      <c r="H976">
        <v>0</v>
      </c>
      <c r="I976">
        <v>2013</v>
      </c>
      <c r="J976">
        <v>40</v>
      </c>
      <c r="K976">
        <f>allFYsTable[[#This Row],[Actual]]-allFYsTable[[#This Row],[OriginalBudget]]</f>
        <v>51931</v>
      </c>
      <c r="L976" s="11">
        <f>allFYsTable[[#This Row],[DiffAmount]]/allFYsTable[[#This Row],[OriginalBudget]]</f>
        <v>3.4620666666666668</v>
      </c>
    </row>
    <row r="977" spans="1:12" x14ac:dyDescent="0.45">
      <c r="A977" t="s">
        <v>1032</v>
      </c>
      <c r="B977" t="s">
        <v>846</v>
      </c>
      <c r="C977" t="s">
        <v>839</v>
      </c>
      <c r="D977" t="s">
        <v>287</v>
      </c>
      <c r="E977">
        <v>2064</v>
      </c>
      <c r="F977">
        <v>2164</v>
      </c>
      <c r="G977">
        <v>2022</v>
      </c>
      <c r="H977">
        <v>142</v>
      </c>
      <c r="I977">
        <v>2013</v>
      </c>
      <c r="J977">
        <v>41</v>
      </c>
      <c r="K977">
        <f>allFYsTable[[#This Row],[Actual]]-allFYsTable[[#This Row],[OriginalBudget]]</f>
        <v>-42</v>
      </c>
      <c r="L977" s="11">
        <f>allFYsTable[[#This Row],[DiffAmount]]/allFYsTable[[#This Row],[OriginalBudget]]</f>
        <v>-2.0348837209302327E-2</v>
      </c>
    </row>
    <row r="978" spans="1:12" x14ac:dyDescent="0.45">
      <c r="A978" t="s">
        <v>1032</v>
      </c>
      <c r="B978" t="s">
        <v>846</v>
      </c>
      <c r="C978" t="s">
        <v>806</v>
      </c>
      <c r="D978" t="s">
        <v>82</v>
      </c>
      <c r="E978">
        <v>0</v>
      </c>
      <c r="F978">
        <v>0</v>
      </c>
      <c r="G978">
        <v>0</v>
      </c>
      <c r="H978">
        <v>0</v>
      </c>
      <c r="I978">
        <v>2013</v>
      </c>
      <c r="J978">
        <v>42</v>
      </c>
      <c r="K978">
        <f>allFYsTable[[#This Row],[Actual]]-allFYsTable[[#This Row],[OriginalBudget]]</f>
        <v>0</v>
      </c>
      <c r="L978" s="11" t="e">
        <f>allFYsTable[[#This Row],[DiffAmount]]/allFYsTable[[#This Row],[OriginalBudget]]</f>
        <v>#DIV/0!</v>
      </c>
    </row>
    <row r="979" spans="1:12" x14ac:dyDescent="0.45">
      <c r="A979" t="s">
        <v>1032</v>
      </c>
      <c r="B979" t="s">
        <v>846</v>
      </c>
      <c r="C979" t="s">
        <v>877</v>
      </c>
      <c r="D979" t="s">
        <v>324</v>
      </c>
      <c r="E979">
        <v>0</v>
      </c>
      <c r="F979">
        <v>0</v>
      </c>
      <c r="G979">
        <v>0</v>
      </c>
      <c r="H979">
        <v>0</v>
      </c>
      <c r="I979">
        <v>2013</v>
      </c>
      <c r="J979">
        <v>43</v>
      </c>
      <c r="K979">
        <f>allFYsTable[[#This Row],[Actual]]-allFYsTable[[#This Row],[OriginalBudget]]</f>
        <v>0</v>
      </c>
      <c r="L979" s="11" t="e">
        <f>allFYsTable[[#This Row],[DiffAmount]]/allFYsTable[[#This Row],[OriginalBudget]]</f>
        <v>#DIV/0!</v>
      </c>
    </row>
    <row r="980" spans="1:12" x14ac:dyDescent="0.45">
      <c r="A980" t="s">
        <v>1032</v>
      </c>
      <c r="B980" t="s">
        <v>846</v>
      </c>
      <c r="C980" t="s">
        <v>805</v>
      </c>
      <c r="D980" t="s">
        <v>191</v>
      </c>
      <c r="E980">
        <v>0</v>
      </c>
      <c r="F980">
        <v>0</v>
      </c>
      <c r="G980">
        <v>0</v>
      </c>
      <c r="H980">
        <v>0</v>
      </c>
      <c r="I980">
        <v>2013</v>
      </c>
      <c r="J980">
        <v>44</v>
      </c>
      <c r="K980">
        <f>allFYsTable[[#This Row],[Actual]]-allFYsTable[[#This Row],[OriginalBudget]]</f>
        <v>0</v>
      </c>
      <c r="L980" s="11" t="e">
        <f>allFYsTable[[#This Row],[DiffAmount]]/allFYsTable[[#This Row],[OriginalBudget]]</f>
        <v>#DIV/0!</v>
      </c>
    </row>
    <row r="981" spans="1:12" x14ac:dyDescent="0.45">
      <c r="A981" t="s">
        <v>1032</v>
      </c>
      <c r="B981" t="s">
        <v>325</v>
      </c>
      <c r="C981" t="s">
        <v>758</v>
      </c>
      <c r="D981" t="s">
        <v>326</v>
      </c>
      <c r="E981">
        <v>462390</v>
      </c>
      <c r="F981">
        <v>462049</v>
      </c>
      <c r="G981">
        <v>462043</v>
      </c>
      <c r="H981">
        <v>6</v>
      </c>
      <c r="I981">
        <v>2013</v>
      </c>
      <c r="J981">
        <v>45</v>
      </c>
      <c r="K981">
        <f>allFYsTable[[#This Row],[Actual]]-allFYsTable[[#This Row],[OriginalBudget]]</f>
        <v>-347</v>
      </c>
      <c r="L981" s="11">
        <f>allFYsTable[[#This Row],[DiffAmount]]/allFYsTable[[#This Row],[OriginalBudget]]</f>
        <v>-7.5044875537965783E-4</v>
      </c>
    </row>
    <row r="982" spans="1:12" x14ac:dyDescent="0.45">
      <c r="A982" t="s">
        <v>1032</v>
      </c>
      <c r="B982" t="s">
        <v>325</v>
      </c>
      <c r="C982" t="s">
        <v>755</v>
      </c>
      <c r="D982" t="s">
        <v>327</v>
      </c>
      <c r="E982">
        <v>197854</v>
      </c>
      <c r="F982">
        <v>198654</v>
      </c>
      <c r="G982">
        <v>198391</v>
      </c>
      <c r="H982">
        <v>263</v>
      </c>
      <c r="I982">
        <v>2013</v>
      </c>
      <c r="J982">
        <v>46</v>
      </c>
      <c r="K982">
        <f>allFYsTable[[#This Row],[Actual]]-allFYsTable[[#This Row],[OriginalBudget]]</f>
        <v>537</v>
      </c>
      <c r="L982" s="11">
        <f>allFYsTable[[#This Row],[DiffAmount]]/allFYsTable[[#This Row],[OriginalBudget]]</f>
        <v>2.7141225347983868E-3</v>
      </c>
    </row>
    <row r="983" spans="1:12" x14ac:dyDescent="0.45">
      <c r="A983" t="s">
        <v>1032</v>
      </c>
      <c r="B983" t="s">
        <v>325</v>
      </c>
      <c r="C983" t="s">
        <v>768</v>
      </c>
      <c r="D983" t="s">
        <v>328</v>
      </c>
      <c r="E983">
        <v>96314</v>
      </c>
      <c r="F983">
        <v>96314</v>
      </c>
      <c r="G983">
        <v>96314</v>
      </c>
      <c r="H983">
        <v>0</v>
      </c>
      <c r="I983">
        <v>2013</v>
      </c>
      <c r="J983">
        <v>47</v>
      </c>
      <c r="K983">
        <f>allFYsTable[[#This Row],[Actual]]-allFYsTable[[#This Row],[OriginalBudget]]</f>
        <v>0</v>
      </c>
      <c r="L983" s="11">
        <f>allFYsTable[[#This Row],[DiffAmount]]/allFYsTable[[#This Row],[OriginalBudget]]</f>
        <v>0</v>
      </c>
    </row>
    <row r="984" spans="1:12" x14ac:dyDescent="0.45">
      <c r="A984" t="s">
        <v>1032</v>
      </c>
      <c r="B984" t="s">
        <v>325</v>
      </c>
      <c r="C984" t="s">
        <v>759</v>
      </c>
      <c r="D984" t="s">
        <v>329</v>
      </c>
      <c r="E984">
        <v>7962</v>
      </c>
      <c r="F984">
        <v>8082</v>
      </c>
      <c r="G984">
        <v>7528</v>
      </c>
      <c r="H984">
        <v>554</v>
      </c>
      <c r="I984">
        <v>2013</v>
      </c>
      <c r="J984">
        <v>48</v>
      </c>
      <c r="K984">
        <f>allFYsTable[[#This Row],[Actual]]-allFYsTable[[#This Row],[OriginalBudget]]</f>
        <v>-434</v>
      </c>
      <c r="L984" s="11">
        <f>allFYsTable[[#This Row],[DiffAmount]]/allFYsTable[[#This Row],[OriginalBudget]]</f>
        <v>-5.4508917357447881E-2</v>
      </c>
    </row>
    <row r="985" spans="1:12" x14ac:dyDescent="0.45">
      <c r="A985" t="s">
        <v>1032</v>
      </c>
      <c r="B985" t="s">
        <v>325</v>
      </c>
      <c r="C985" t="s">
        <v>749</v>
      </c>
      <c r="D985" t="s">
        <v>330</v>
      </c>
      <c r="E985">
        <v>449</v>
      </c>
      <c r="F985">
        <v>474</v>
      </c>
      <c r="G985">
        <v>436</v>
      </c>
      <c r="H985">
        <v>38</v>
      </c>
      <c r="I985">
        <v>2013</v>
      </c>
      <c r="J985">
        <v>49</v>
      </c>
      <c r="K985">
        <f>allFYsTable[[#This Row],[Actual]]-allFYsTable[[#This Row],[OriginalBudget]]</f>
        <v>-13</v>
      </c>
      <c r="L985" s="11">
        <f>allFYsTable[[#This Row],[DiffAmount]]/allFYsTable[[#This Row],[OriginalBudget]]</f>
        <v>-2.8953229398663696E-2</v>
      </c>
    </row>
    <row r="986" spans="1:12" x14ac:dyDescent="0.45">
      <c r="A986" t="s">
        <v>1032</v>
      </c>
      <c r="B986" t="s">
        <v>325</v>
      </c>
      <c r="C986" t="s">
        <v>750</v>
      </c>
      <c r="D986" t="s">
        <v>36</v>
      </c>
      <c r="E986">
        <v>117148</v>
      </c>
      <c r="F986">
        <v>113053</v>
      </c>
      <c r="G986">
        <v>110996</v>
      </c>
      <c r="H986">
        <v>2057</v>
      </c>
      <c r="I986">
        <v>2013</v>
      </c>
      <c r="J986">
        <v>50</v>
      </c>
      <c r="K986">
        <f>allFYsTable[[#This Row],[Actual]]-allFYsTable[[#This Row],[OriginalBudget]]</f>
        <v>-6152</v>
      </c>
      <c r="L986" s="11">
        <f>allFYsTable[[#This Row],[DiffAmount]]/allFYsTable[[#This Row],[OriginalBudget]]</f>
        <v>-5.2514767644347322E-2</v>
      </c>
    </row>
    <row r="987" spans="1:12" x14ac:dyDescent="0.45">
      <c r="A987" t="s">
        <v>1032</v>
      </c>
      <c r="B987" t="s">
        <v>325</v>
      </c>
      <c r="C987" t="s">
        <v>764</v>
      </c>
      <c r="D987" t="s">
        <v>331</v>
      </c>
      <c r="E987">
        <v>7834</v>
      </c>
      <c r="F987">
        <v>7834</v>
      </c>
      <c r="G987">
        <v>7543</v>
      </c>
      <c r="H987">
        <v>291</v>
      </c>
      <c r="I987">
        <v>2013</v>
      </c>
      <c r="J987">
        <v>51</v>
      </c>
      <c r="K987">
        <f>allFYsTable[[#This Row],[Actual]]-allFYsTable[[#This Row],[OriginalBudget]]</f>
        <v>-291</v>
      </c>
      <c r="L987" s="11">
        <f>allFYsTable[[#This Row],[DiffAmount]]/allFYsTable[[#This Row],[OriginalBudget]]</f>
        <v>-3.7145774827674241E-2</v>
      </c>
    </row>
    <row r="988" spans="1:12" x14ac:dyDescent="0.45">
      <c r="A988" t="s">
        <v>1032</v>
      </c>
      <c r="B988" t="s">
        <v>325</v>
      </c>
      <c r="C988" t="s">
        <v>753</v>
      </c>
      <c r="D988" t="s">
        <v>332</v>
      </c>
      <c r="E988">
        <v>2796</v>
      </c>
      <c r="F988">
        <v>2796</v>
      </c>
      <c r="G988">
        <v>2641</v>
      </c>
      <c r="H988">
        <v>155</v>
      </c>
      <c r="I988">
        <v>2013</v>
      </c>
      <c r="J988">
        <v>52</v>
      </c>
      <c r="K988">
        <f>allFYsTable[[#This Row],[Actual]]-allFYsTable[[#This Row],[OriginalBudget]]</f>
        <v>-155</v>
      </c>
      <c r="L988" s="11">
        <f>allFYsTable[[#This Row],[DiffAmount]]/allFYsTable[[#This Row],[OriginalBudget]]</f>
        <v>-5.5436337625178828E-2</v>
      </c>
    </row>
    <row r="989" spans="1:12" x14ac:dyDescent="0.45">
      <c r="A989" t="s">
        <v>1032</v>
      </c>
      <c r="B989" t="s">
        <v>325</v>
      </c>
      <c r="C989" t="s">
        <v>756</v>
      </c>
      <c r="D989" t="s">
        <v>333</v>
      </c>
      <c r="E989">
        <v>2007</v>
      </c>
      <c r="F989">
        <v>2007</v>
      </c>
      <c r="G989">
        <v>1973</v>
      </c>
      <c r="H989">
        <v>34</v>
      </c>
      <c r="I989">
        <v>2013</v>
      </c>
      <c r="J989">
        <v>53</v>
      </c>
      <c r="K989">
        <f>allFYsTable[[#This Row],[Actual]]-allFYsTable[[#This Row],[OriginalBudget]]</f>
        <v>-34</v>
      </c>
      <c r="L989" s="11">
        <f>allFYsTable[[#This Row],[DiffAmount]]/allFYsTable[[#This Row],[OriginalBudget]]</f>
        <v>-1.6940707523667164E-2</v>
      </c>
    </row>
    <row r="990" spans="1:12" x14ac:dyDescent="0.45">
      <c r="A990" t="s">
        <v>1032</v>
      </c>
      <c r="B990" t="s">
        <v>325</v>
      </c>
      <c r="C990" t="s">
        <v>746</v>
      </c>
      <c r="D990" t="s">
        <v>334</v>
      </c>
      <c r="E990">
        <v>0</v>
      </c>
      <c r="F990">
        <v>0</v>
      </c>
      <c r="G990">
        <v>0</v>
      </c>
      <c r="H990">
        <v>0</v>
      </c>
      <c r="I990">
        <v>2013</v>
      </c>
      <c r="J990">
        <v>54</v>
      </c>
      <c r="K990">
        <f>allFYsTable[[#This Row],[Actual]]-allFYsTable[[#This Row],[OriginalBudget]]</f>
        <v>0</v>
      </c>
      <c r="L990" s="11" t="e">
        <f>allFYsTable[[#This Row],[DiffAmount]]/allFYsTable[[#This Row],[OriginalBudget]]</f>
        <v>#DIV/0!</v>
      </c>
    </row>
    <row r="991" spans="1:12" x14ac:dyDescent="0.45">
      <c r="A991" t="s">
        <v>1032</v>
      </c>
      <c r="B991" t="s">
        <v>325</v>
      </c>
      <c r="C991" t="s">
        <v>757</v>
      </c>
      <c r="D991" t="s">
        <v>335</v>
      </c>
      <c r="E991">
        <v>0</v>
      </c>
      <c r="F991">
        <v>0</v>
      </c>
      <c r="G991">
        <v>0</v>
      </c>
      <c r="H991">
        <v>0</v>
      </c>
      <c r="I991">
        <v>2013</v>
      </c>
      <c r="J991">
        <v>55</v>
      </c>
      <c r="K991">
        <f>allFYsTable[[#This Row],[Actual]]-allFYsTable[[#This Row],[OriginalBudget]]</f>
        <v>0</v>
      </c>
      <c r="L991" s="11" t="e">
        <f>allFYsTable[[#This Row],[DiffAmount]]/allFYsTable[[#This Row],[OriginalBudget]]</f>
        <v>#DIV/0!</v>
      </c>
    </row>
    <row r="992" spans="1:12" x14ac:dyDescent="0.45">
      <c r="A992" t="s">
        <v>1032</v>
      </c>
      <c r="B992" t="s">
        <v>325</v>
      </c>
      <c r="C992" t="s">
        <v>762</v>
      </c>
      <c r="D992" t="s">
        <v>336</v>
      </c>
      <c r="E992">
        <v>2091</v>
      </c>
      <c r="F992">
        <v>2091</v>
      </c>
      <c r="G992">
        <v>2037</v>
      </c>
      <c r="H992">
        <v>54</v>
      </c>
      <c r="I992">
        <v>2013</v>
      </c>
      <c r="J992">
        <v>56</v>
      </c>
      <c r="K992">
        <f>allFYsTable[[#This Row],[Actual]]-allFYsTable[[#This Row],[OriginalBudget]]</f>
        <v>-54</v>
      </c>
      <c r="L992" s="11">
        <f>allFYsTable[[#This Row],[DiffAmount]]/allFYsTable[[#This Row],[OriginalBudget]]</f>
        <v>-2.5824964131994262E-2</v>
      </c>
    </row>
    <row r="993" spans="1:12" x14ac:dyDescent="0.45">
      <c r="A993" t="s">
        <v>1032</v>
      </c>
      <c r="B993" t="s">
        <v>325</v>
      </c>
      <c r="C993" t="s">
        <v>766</v>
      </c>
      <c r="D993" t="s">
        <v>337</v>
      </c>
      <c r="E993">
        <v>26715</v>
      </c>
      <c r="F993">
        <v>26715</v>
      </c>
      <c r="G993">
        <v>26465</v>
      </c>
      <c r="H993">
        <v>250</v>
      </c>
      <c r="I993">
        <v>2013</v>
      </c>
      <c r="J993">
        <v>57</v>
      </c>
      <c r="K993">
        <f>allFYsTable[[#This Row],[Actual]]-allFYsTable[[#This Row],[OriginalBudget]]</f>
        <v>-250</v>
      </c>
      <c r="L993" s="11">
        <f>allFYsTable[[#This Row],[DiffAmount]]/allFYsTable[[#This Row],[OriginalBudget]]</f>
        <v>-9.3580385551188475E-3</v>
      </c>
    </row>
    <row r="994" spans="1:12" x14ac:dyDescent="0.45">
      <c r="A994" t="s">
        <v>1032</v>
      </c>
      <c r="B994" t="s">
        <v>325</v>
      </c>
      <c r="C994" t="s">
        <v>867</v>
      </c>
      <c r="D994" t="s">
        <v>338</v>
      </c>
      <c r="E994">
        <v>0</v>
      </c>
      <c r="F994">
        <v>10210</v>
      </c>
      <c r="G994">
        <v>10210</v>
      </c>
      <c r="H994">
        <v>0</v>
      </c>
      <c r="I994">
        <v>2013</v>
      </c>
      <c r="J994">
        <v>58</v>
      </c>
      <c r="K994">
        <f>allFYsTable[[#This Row],[Actual]]-allFYsTable[[#This Row],[OriginalBudget]]</f>
        <v>10210</v>
      </c>
      <c r="L994" s="11" t="e">
        <f>allFYsTable[[#This Row],[DiffAmount]]/allFYsTable[[#This Row],[OriginalBudget]]</f>
        <v>#DIV/0!</v>
      </c>
    </row>
    <row r="995" spans="1:12" x14ac:dyDescent="0.45">
      <c r="A995" t="s">
        <v>1032</v>
      </c>
      <c r="B995" t="s">
        <v>325</v>
      </c>
      <c r="C995" t="s">
        <v>754</v>
      </c>
      <c r="D995" t="s">
        <v>339</v>
      </c>
      <c r="E995">
        <v>1389</v>
      </c>
      <c r="F995">
        <v>1139</v>
      </c>
      <c r="G995">
        <v>1128</v>
      </c>
      <c r="H995">
        <v>11</v>
      </c>
      <c r="I995">
        <v>2013</v>
      </c>
      <c r="J995">
        <v>59</v>
      </c>
      <c r="K995">
        <f>allFYsTable[[#This Row],[Actual]]-allFYsTable[[#This Row],[OriginalBudget]]</f>
        <v>-261</v>
      </c>
      <c r="L995" s="11">
        <f>allFYsTable[[#This Row],[DiffAmount]]/allFYsTable[[#This Row],[OriginalBudget]]</f>
        <v>-0.18790496760259179</v>
      </c>
    </row>
    <row r="996" spans="1:12" x14ac:dyDescent="0.45">
      <c r="A996" t="s">
        <v>1032</v>
      </c>
      <c r="B996" t="s">
        <v>325</v>
      </c>
      <c r="C996" t="s">
        <v>765</v>
      </c>
      <c r="D996" t="s">
        <v>340</v>
      </c>
      <c r="E996">
        <v>11144</v>
      </c>
      <c r="F996">
        <v>11160</v>
      </c>
      <c r="G996">
        <v>11042</v>
      </c>
      <c r="H996">
        <v>118</v>
      </c>
      <c r="I996">
        <v>2013</v>
      </c>
      <c r="J996">
        <v>60</v>
      </c>
      <c r="K996">
        <f>allFYsTable[[#This Row],[Actual]]-allFYsTable[[#This Row],[OriginalBudget]]</f>
        <v>-102</v>
      </c>
      <c r="L996" s="11">
        <f>allFYsTable[[#This Row],[DiffAmount]]/allFYsTable[[#This Row],[OriginalBudget]]</f>
        <v>-9.1529073941134242E-3</v>
      </c>
    </row>
    <row r="997" spans="1:12" x14ac:dyDescent="0.45">
      <c r="A997" t="s">
        <v>1032</v>
      </c>
      <c r="B997" t="s">
        <v>325</v>
      </c>
      <c r="C997" t="s">
        <v>751</v>
      </c>
      <c r="D997" t="s">
        <v>341</v>
      </c>
      <c r="E997">
        <v>8505</v>
      </c>
      <c r="F997">
        <v>8505</v>
      </c>
      <c r="G997">
        <v>7546</v>
      </c>
      <c r="H997">
        <v>959</v>
      </c>
      <c r="I997">
        <v>2013</v>
      </c>
      <c r="J997">
        <v>61</v>
      </c>
      <c r="K997">
        <f>allFYsTable[[#This Row],[Actual]]-allFYsTable[[#This Row],[OriginalBudget]]</f>
        <v>-959</v>
      </c>
      <c r="L997" s="11">
        <f>allFYsTable[[#This Row],[DiffAmount]]/allFYsTable[[#This Row],[OriginalBudget]]</f>
        <v>-0.11275720164609053</v>
      </c>
    </row>
    <row r="998" spans="1:12" x14ac:dyDescent="0.45">
      <c r="A998" t="s">
        <v>1032</v>
      </c>
      <c r="B998" t="s">
        <v>925</v>
      </c>
      <c r="C998" t="s">
        <v>773</v>
      </c>
      <c r="D998" t="s">
        <v>1050</v>
      </c>
      <c r="E998">
        <v>646176</v>
      </c>
      <c r="F998">
        <v>640742</v>
      </c>
      <c r="G998">
        <v>640642</v>
      </c>
      <c r="H998">
        <v>100</v>
      </c>
      <c r="I998">
        <v>2013</v>
      </c>
      <c r="J998">
        <v>62</v>
      </c>
      <c r="K998">
        <f>allFYsTable[[#This Row],[Actual]]-allFYsTable[[#This Row],[OriginalBudget]]</f>
        <v>-5534</v>
      </c>
      <c r="L998" s="11">
        <f>allFYsTable[[#This Row],[DiffAmount]]/allFYsTable[[#This Row],[OriginalBudget]]</f>
        <v>-8.5642301787748221E-3</v>
      </c>
    </row>
    <row r="999" spans="1:12" x14ac:dyDescent="0.45">
      <c r="A999" t="s">
        <v>1032</v>
      </c>
      <c r="B999" t="s">
        <v>925</v>
      </c>
      <c r="C999" t="s">
        <v>772</v>
      </c>
      <c r="D999" t="s">
        <v>941</v>
      </c>
      <c r="E999">
        <v>535364</v>
      </c>
      <c r="F999">
        <v>423055</v>
      </c>
      <c r="G999">
        <v>422525</v>
      </c>
      <c r="H999">
        <v>530</v>
      </c>
      <c r="I999">
        <v>2013</v>
      </c>
      <c r="J999">
        <v>63</v>
      </c>
      <c r="K999">
        <f>allFYsTable[[#This Row],[Actual]]-allFYsTable[[#This Row],[OriginalBudget]]</f>
        <v>-112839</v>
      </c>
      <c r="L999" s="11">
        <f>allFYsTable[[#This Row],[DiffAmount]]/allFYsTable[[#This Row],[OriginalBudget]]</f>
        <v>-0.21077061588003676</v>
      </c>
    </row>
    <row r="1000" spans="1:12" x14ac:dyDescent="0.45">
      <c r="A1000" t="s">
        <v>1032</v>
      </c>
      <c r="B1000" t="s">
        <v>925</v>
      </c>
      <c r="C1000" t="s">
        <v>869</v>
      </c>
      <c r="D1000" t="s">
        <v>342</v>
      </c>
      <c r="E1000">
        <v>0</v>
      </c>
      <c r="F1000">
        <v>178903</v>
      </c>
      <c r="G1000">
        <v>178903</v>
      </c>
      <c r="H1000">
        <v>0</v>
      </c>
      <c r="I1000">
        <v>2013</v>
      </c>
      <c r="J1000">
        <v>64</v>
      </c>
      <c r="K1000">
        <f>allFYsTable[[#This Row],[Actual]]-allFYsTable[[#This Row],[OriginalBudget]]</f>
        <v>178903</v>
      </c>
      <c r="L1000" s="11" t="e">
        <f>allFYsTable[[#This Row],[DiffAmount]]/allFYsTable[[#This Row],[OriginalBudget]]</f>
        <v>#DIV/0!</v>
      </c>
    </row>
    <row r="1001" spans="1:12" x14ac:dyDescent="0.45">
      <c r="A1001" t="s">
        <v>1032</v>
      </c>
      <c r="B1001" t="s">
        <v>925</v>
      </c>
      <c r="C1001" t="s">
        <v>782</v>
      </c>
      <c r="D1001" t="s">
        <v>942</v>
      </c>
      <c r="E1001">
        <v>6407</v>
      </c>
      <c r="F1001">
        <v>6407</v>
      </c>
      <c r="G1001">
        <v>6396</v>
      </c>
      <c r="H1001">
        <v>11</v>
      </c>
      <c r="I1001">
        <v>2013</v>
      </c>
      <c r="J1001">
        <v>65</v>
      </c>
      <c r="K1001">
        <f>allFYsTable[[#This Row],[Actual]]-allFYsTable[[#This Row],[OriginalBudget]]</f>
        <v>-11</v>
      </c>
      <c r="L1001" s="11">
        <f>allFYsTable[[#This Row],[DiffAmount]]/allFYsTable[[#This Row],[OriginalBudget]]</f>
        <v>-1.7168721710628999E-3</v>
      </c>
    </row>
    <row r="1002" spans="1:12" x14ac:dyDescent="0.45">
      <c r="A1002" t="s">
        <v>1032</v>
      </c>
      <c r="B1002" t="s">
        <v>925</v>
      </c>
      <c r="C1002" t="s">
        <v>784</v>
      </c>
      <c r="D1002" t="s">
        <v>943</v>
      </c>
      <c r="E1002">
        <v>64955</v>
      </c>
      <c r="F1002">
        <v>65555</v>
      </c>
      <c r="G1002">
        <v>65555</v>
      </c>
      <c r="H1002">
        <v>0</v>
      </c>
      <c r="I1002">
        <v>2013</v>
      </c>
      <c r="J1002">
        <v>66</v>
      </c>
      <c r="K1002">
        <f>allFYsTable[[#This Row],[Actual]]-allFYsTable[[#This Row],[OriginalBudget]]</f>
        <v>600</v>
      </c>
      <c r="L1002" s="11">
        <f>allFYsTable[[#This Row],[DiffAmount]]/allFYsTable[[#This Row],[OriginalBudget]]</f>
        <v>9.237164190593488E-3</v>
      </c>
    </row>
    <row r="1003" spans="1:12" x14ac:dyDescent="0.45">
      <c r="A1003" t="s">
        <v>1032</v>
      </c>
      <c r="B1003" t="s">
        <v>925</v>
      </c>
      <c r="C1003" t="s">
        <v>779</v>
      </c>
      <c r="D1003" t="s">
        <v>430</v>
      </c>
      <c r="E1003">
        <v>100006</v>
      </c>
      <c r="F1003">
        <v>114371</v>
      </c>
      <c r="G1003">
        <v>111809</v>
      </c>
      <c r="H1003">
        <v>2562</v>
      </c>
      <c r="I1003">
        <v>2013</v>
      </c>
      <c r="J1003">
        <v>67</v>
      </c>
      <c r="K1003">
        <f>allFYsTable[[#This Row],[Actual]]-allFYsTable[[#This Row],[OriginalBudget]]</f>
        <v>11803</v>
      </c>
      <c r="L1003" s="11">
        <f>allFYsTable[[#This Row],[DiffAmount]]/allFYsTable[[#This Row],[OriginalBudget]]</f>
        <v>0.11802291862488251</v>
      </c>
    </row>
    <row r="1004" spans="1:12" x14ac:dyDescent="0.45">
      <c r="A1004" t="s">
        <v>1032</v>
      </c>
      <c r="B1004" t="s">
        <v>925</v>
      </c>
      <c r="C1004" t="s">
        <v>781</v>
      </c>
      <c r="D1004" t="s">
        <v>263</v>
      </c>
      <c r="E1004">
        <v>0</v>
      </c>
      <c r="F1004">
        <v>296</v>
      </c>
      <c r="G1004">
        <v>159</v>
      </c>
      <c r="H1004">
        <v>137</v>
      </c>
      <c r="I1004">
        <v>2013</v>
      </c>
      <c r="J1004">
        <v>68</v>
      </c>
      <c r="K1004">
        <f>allFYsTable[[#This Row],[Actual]]-allFYsTable[[#This Row],[OriginalBudget]]</f>
        <v>159</v>
      </c>
      <c r="L1004" s="11" t="e">
        <f>allFYsTable[[#This Row],[DiffAmount]]/allFYsTable[[#This Row],[OriginalBudget]]</f>
        <v>#DIV/0!</v>
      </c>
    </row>
    <row r="1005" spans="1:12" x14ac:dyDescent="0.45">
      <c r="A1005" t="s">
        <v>1032</v>
      </c>
      <c r="B1005" t="s">
        <v>925</v>
      </c>
      <c r="C1005" t="s">
        <v>774</v>
      </c>
      <c r="D1005" t="s">
        <v>944</v>
      </c>
      <c r="E1005">
        <v>42027</v>
      </c>
      <c r="F1005">
        <v>42101</v>
      </c>
      <c r="G1005">
        <v>41583</v>
      </c>
      <c r="H1005">
        <v>518</v>
      </c>
      <c r="I1005">
        <v>2013</v>
      </c>
      <c r="J1005">
        <v>69</v>
      </c>
      <c r="K1005">
        <f>allFYsTable[[#This Row],[Actual]]-allFYsTable[[#This Row],[OriginalBudget]]</f>
        <v>-444</v>
      </c>
      <c r="L1005" s="11">
        <f>allFYsTable[[#This Row],[DiffAmount]]/allFYsTable[[#This Row],[OriginalBudget]]</f>
        <v>-1.0564637019059176E-2</v>
      </c>
    </row>
    <row r="1006" spans="1:12" x14ac:dyDescent="0.45">
      <c r="A1006" t="s">
        <v>1032</v>
      </c>
      <c r="B1006" t="s">
        <v>925</v>
      </c>
      <c r="C1006" t="s">
        <v>771</v>
      </c>
      <c r="D1006" t="s">
        <v>945</v>
      </c>
      <c r="E1006">
        <v>1076</v>
      </c>
      <c r="F1006">
        <v>1076</v>
      </c>
      <c r="G1006">
        <v>1076</v>
      </c>
      <c r="H1006">
        <v>0</v>
      </c>
      <c r="I1006">
        <v>2013</v>
      </c>
      <c r="J1006">
        <v>70</v>
      </c>
      <c r="K1006">
        <f>allFYsTable[[#This Row],[Actual]]-allFYsTable[[#This Row],[OriginalBudget]]</f>
        <v>0</v>
      </c>
      <c r="L1006" s="11">
        <f>allFYsTable[[#This Row],[DiffAmount]]/allFYsTable[[#This Row],[OriginalBudget]]</f>
        <v>0</v>
      </c>
    </row>
    <row r="1007" spans="1:12" x14ac:dyDescent="0.45">
      <c r="A1007" t="s">
        <v>1032</v>
      </c>
      <c r="B1007" t="s">
        <v>925</v>
      </c>
      <c r="C1007" t="s">
        <v>780</v>
      </c>
      <c r="D1007" t="s">
        <v>946</v>
      </c>
      <c r="E1007">
        <v>91190</v>
      </c>
      <c r="F1007">
        <v>92260</v>
      </c>
      <c r="G1007">
        <v>89738</v>
      </c>
      <c r="H1007">
        <v>2522</v>
      </c>
      <c r="I1007">
        <v>2013</v>
      </c>
      <c r="J1007">
        <v>71</v>
      </c>
      <c r="K1007">
        <f>allFYsTable[[#This Row],[Actual]]-allFYsTable[[#This Row],[OriginalBudget]]</f>
        <v>-1452</v>
      </c>
      <c r="L1007" s="11">
        <f>allFYsTable[[#This Row],[DiffAmount]]/allFYsTable[[#This Row],[OriginalBudget]]</f>
        <v>-1.5922798552472858E-2</v>
      </c>
    </row>
    <row r="1008" spans="1:12" x14ac:dyDescent="0.45">
      <c r="A1008" t="s">
        <v>1032</v>
      </c>
      <c r="B1008" t="s">
        <v>925</v>
      </c>
      <c r="C1008" t="s">
        <v>777</v>
      </c>
      <c r="D1008" t="s">
        <v>983</v>
      </c>
      <c r="E1008">
        <v>109941</v>
      </c>
      <c r="F1008">
        <v>85590</v>
      </c>
      <c r="G1008">
        <v>84086</v>
      </c>
      <c r="H1008">
        <v>1504</v>
      </c>
      <c r="I1008">
        <v>2013</v>
      </c>
      <c r="J1008">
        <v>72</v>
      </c>
      <c r="K1008">
        <f>allFYsTable[[#This Row],[Actual]]-allFYsTable[[#This Row],[OriginalBudget]]</f>
        <v>-25855</v>
      </c>
      <c r="L1008" s="11">
        <f>allFYsTable[[#This Row],[DiffAmount]]/allFYsTable[[#This Row],[OriginalBudget]]</f>
        <v>-0.23517159203572827</v>
      </c>
    </row>
    <row r="1009" spans="1:12" x14ac:dyDescent="0.45">
      <c r="A1009" t="s">
        <v>1032</v>
      </c>
      <c r="B1009" t="s">
        <v>925</v>
      </c>
      <c r="C1009" t="s">
        <v>778</v>
      </c>
      <c r="D1009" t="s">
        <v>947</v>
      </c>
      <c r="E1009">
        <v>2303</v>
      </c>
      <c r="F1009">
        <v>2738</v>
      </c>
      <c r="G1009">
        <v>2048</v>
      </c>
      <c r="H1009">
        <v>690</v>
      </c>
      <c r="I1009">
        <v>2013</v>
      </c>
      <c r="J1009">
        <v>73</v>
      </c>
      <c r="K1009">
        <f>allFYsTable[[#This Row],[Actual]]-allFYsTable[[#This Row],[OriginalBudget]]</f>
        <v>-255</v>
      </c>
      <c r="L1009" s="11">
        <f>allFYsTable[[#This Row],[DiffAmount]]/allFYsTable[[#This Row],[OriginalBudget]]</f>
        <v>-0.1107251411202779</v>
      </c>
    </row>
    <row r="1010" spans="1:12" ht="28.5" x14ac:dyDescent="0.45">
      <c r="A1010" t="s">
        <v>1032</v>
      </c>
      <c r="B1010" t="s">
        <v>8</v>
      </c>
      <c r="C1010" t="s">
        <v>790</v>
      </c>
      <c r="D1010" s="1" t="s">
        <v>948</v>
      </c>
      <c r="E1010">
        <v>166060</v>
      </c>
      <c r="F1010">
        <v>178425</v>
      </c>
      <c r="G1010">
        <v>174865</v>
      </c>
      <c r="H1010">
        <v>3560</v>
      </c>
      <c r="I1010">
        <v>2013</v>
      </c>
      <c r="J1010">
        <v>74</v>
      </c>
      <c r="K1010">
        <f>allFYsTable[[#This Row],[Actual]]-allFYsTable[[#This Row],[OriginalBudget]]</f>
        <v>8805</v>
      </c>
      <c r="L1010" s="11">
        <f>allFYsTable[[#This Row],[DiffAmount]]/allFYsTable[[#This Row],[OriginalBudget]]</f>
        <v>5.3023003733590271E-2</v>
      </c>
    </row>
    <row r="1011" spans="1:12" x14ac:dyDescent="0.45">
      <c r="A1011" t="s">
        <v>1032</v>
      </c>
      <c r="B1011" t="s">
        <v>8</v>
      </c>
      <c r="C1011" t="s">
        <v>788</v>
      </c>
      <c r="D1011" t="s">
        <v>949</v>
      </c>
      <c r="E1011">
        <v>88379</v>
      </c>
      <c r="F1011">
        <v>88682</v>
      </c>
      <c r="G1011">
        <v>86953</v>
      </c>
      <c r="H1011">
        <v>1729</v>
      </c>
      <c r="I1011">
        <v>2013</v>
      </c>
      <c r="J1011">
        <v>75</v>
      </c>
      <c r="K1011">
        <f>allFYsTable[[#This Row],[Actual]]-allFYsTable[[#This Row],[OriginalBudget]]</f>
        <v>-1426</v>
      </c>
      <c r="L1011" s="11">
        <f>allFYsTable[[#This Row],[DiffAmount]]/allFYsTable[[#This Row],[OriginalBudget]]</f>
        <v>-1.6135054707566276E-2</v>
      </c>
    </row>
    <row r="1012" spans="1:12" x14ac:dyDescent="0.45">
      <c r="A1012" t="s">
        <v>1032</v>
      </c>
      <c r="B1012" t="s">
        <v>8</v>
      </c>
      <c r="C1012" t="s">
        <v>770</v>
      </c>
      <c r="D1012" t="s">
        <v>950</v>
      </c>
      <c r="E1012">
        <v>34067</v>
      </c>
      <c r="F1012">
        <v>34157</v>
      </c>
      <c r="G1012">
        <v>33244</v>
      </c>
      <c r="H1012">
        <v>913</v>
      </c>
      <c r="I1012">
        <v>2013</v>
      </c>
      <c r="J1012">
        <v>76</v>
      </c>
      <c r="K1012">
        <f>allFYsTable[[#This Row],[Actual]]-allFYsTable[[#This Row],[OriginalBudget]]</f>
        <v>-823</v>
      </c>
      <c r="L1012" s="11">
        <f>allFYsTable[[#This Row],[DiffAmount]]/allFYsTable[[#This Row],[OriginalBudget]]</f>
        <v>-2.4158276337804915E-2</v>
      </c>
    </row>
    <row r="1013" spans="1:12" x14ac:dyDescent="0.45">
      <c r="A1013" t="s">
        <v>1032</v>
      </c>
      <c r="B1013" t="s">
        <v>8</v>
      </c>
      <c r="C1013" t="s">
        <v>786</v>
      </c>
      <c r="D1013" t="s">
        <v>951</v>
      </c>
      <c r="E1013">
        <v>16620</v>
      </c>
      <c r="F1013">
        <v>20214</v>
      </c>
      <c r="G1013">
        <v>18912</v>
      </c>
      <c r="H1013">
        <v>1302</v>
      </c>
      <c r="I1013">
        <v>2013</v>
      </c>
      <c r="J1013">
        <v>77</v>
      </c>
      <c r="K1013">
        <f>allFYsTable[[#This Row],[Actual]]-allFYsTable[[#This Row],[OriginalBudget]]</f>
        <v>2292</v>
      </c>
      <c r="L1013" s="11">
        <f>allFYsTable[[#This Row],[DiffAmount]]/allFYsTable[[#This Row],[OriginalBudget]]</f>
        <v>0.13790613718411551</v>
      </c>
    </row>
    <row r="1014" spans="1:12" x14ac:dyDescent="0.45">
      <c r="A1014" t="s">
        <v>1032</v>
      </c>
      <c r="B1014" t="s">
        <v>8</v>
      </c>
      <c r="C1014" t="s">
        <v>783</v>
      </c>
      <c r="D1014" t="s">
        <v>521</v>
      </c>
      <c r="E1014">
        <v>6512</v>
      </c>
      <c r="F1014">
        <v>7668</v>
      </c>
      <c r="G1014">
        <v>7668</v>
      </c>
      <c r="H1014">
        <v>0</v>
      </c>
      <c r="I1014">
        <v>2013</v>
      </c>
      <c r="J1014">
        <v>78</v>
      </c>
      <c r="K1014">
        <f>allFYsTable[[#This Row],[Actual]]-allFYsTable[[#This Row],[OriginalBudget]]</f>
        <v>1156</v>
      </c>
      <c r="L1014" s="11">
        <f>allFYsTable[[#This Row],[DiffAmount]]/allFYsTable[[#This Row],[OriginalBudget]]</f>
        <v>0.17751842751842753</v>
      </c>
    </row>
    <row r="1015" spans="1:12" x14ac:dyDescent="0.45">
      <c r="A1015" t="s">
        <v>1032</v>
      </c>
      <c r="B1015" t="s">
        <v>8</v>
      </c>
      <c r="C1015" t="s">
        <v>706</v>
      </c>
      <c r="D1015" t="s">
        <v>952</v>
      </c>
      <c r="E1015">
        <v>19822</v>
      </c>
      <c r="F1015">
        <v>22955</v>
      </c>
      <c r="G1015">
        <v>22954</v>
      </c>
      <c r="H1015">
        <v>1</v>
      </c>
      <c r="I1015">
        <v>2013</v>
      </c>
      <c r="J1015">
        <v>79</v>
      </c>
      <c r="K1015">
        <f>allFYsTable[[#This Row],[Actual]]-allFYsTable[[#This Row],[OriginalBudget]]</f>
        <v>3132</v>
      </c>
      <c r="L1015" s="11">
        <f>allFYsTable[[#This Row],[DiffAmount]]/allFYsTable[[#This Row],[OriginalBudget]]</f>
        <v>0.15800625567551205</v>
      </c>
    </row>
    <row r="1016" spans="1:12" x14ac:dyDescent="0.45">
      <c r="A1016" t="s">
        <v>1032</v>
      </c>
      <c r="B1016" t="s">
        <v>8</v>
      </c>
      <c r="C1016" t="s">
        <v>760</v>
      </c>
      <c r="D1016" t="s">
        <v>46</v>
      </c>
      <c r="E1016">
        <v>2193</v>
      </c>
      <c r="F1016">
        <v>2327</v>
      </c>
      <c r="G1016">
        <v>2327</v>
      </c>
      <c r="H1016">
        <v>0</v>
      </c>
      <c r="I1016">
        <v>2013</v>
      </c>
      <c r="J1016">
        <v>80</v>
      </c>
      <c r="K1016">
        <f>allFYsTable[[#This Row],[Actual]]-allFYsTable[[#This Row],[OriginalBudget]]</f>
        <v>134</v>
      </c>
      <c r="L1016" s="11">
        <f>allFYsTable[[#This Row],[DiffAmount]]/allFYsTable[[#This Row],[OriginalBudget]]</f>
        <v>6.1103511171910624E-2</v>
      </c>
    </row>
    <row r="1017" spans="1:12" x14ac:dyDescent="0.45">
      <c r="A1017" t="s">
        <v>1032</v>
      </c>
      <c r="B1017" t="s">
        <v>8</v>
      </c>
      <c r="C1017" t="s">
        <v>729</v>
      </c>
      <c r="D1017" t="s">
        <v>123</v>
      </c>
      <c r="E1017">
        <v>2685</v>
      </c>
      <c r="F1017">
        <v>2696</v>
      </c>
      <c r="G1017">
        <v>2694</v>
      </c>
      <c r="H1017">
        <v>2</v>
      </c>
      <c r="I1017">
        <v>2013</v>
      </c>
      <c r="J1017">
        <v>81</v>
      </c>
      <c r="K1017">
        <f>allFYsTable[[#This Row],[Actual]]-allFYsTable[[#This Row],[OriginalBudget]]</f>
        <v>9</v>
      </c>
      <c r="L1017" s="11">
        <f>allFYsTable[[#This Row],[DiffAmount]]/allFYsTable[[#This Row],[OriginalBudget]]</f>
        <v>3.3519553072625698E-3</v>
      </c>
    </row>
    <row r="1018" spans="1:12" x14ac:dyDescent="0.45">
      <c r="A1018" t="s">
        <v>1032</v>
      </c>
      <c r="B1018" t="s">
        <v>8</v>
      </c>
      <c r="C1018" t="s">
        <v>828</v>
      </c>
      <c r="D1018" t="s">
        <v>953</v>
      </c>
      <c r="E1018">
        <v>3000</v>
      </c>
      <c r="F1018">
        <v>6500</v>
      </c>
      <c r="G1018">
        <v>6500</v>
      </c>
      <c r="H1018">
        <v>0</v>
      </c>
      <c r="I1018">
        <v>2013</v>
      </c>
      <c r="J1018">
        <v>82</v>
      </c>
      <c r="K1018">
        <f>allFYsTable[[#This Row],[Actual]]-allFYsTable[[#This Row],[OriginalBudget]]</f>
        <v>3500</v>
      </c>
      <c r="L1018" s="11">
        <f>allFYsTable[[#This Row],[DiffAmount]]/allFYsTable[[#This Row],[OriginalBudget]]</f>
        <v>1.1666666666666667</v>
      </c>
    </row>
    <row r="1019" spans="1:12" x14ac:dyDescent="0.45">
      <c r="A1019" t="s">
        <v>1032</v>
      </c>
      <c r="B1019" t="s">
        <v>8</v>
      </c>
      <c r="C1019" t="s">
        <v>785</v>
      </c>
      <c r="D1019" t="s">
        <v>607</v>
      </c>
      <c r="E1019">
        <v>191153</v>
      </c>
      <c r="F1019">
        <v>170151</v>
      </c>
      <c r="G1019">
        <v>164934</v>
      </c>
      <c r="H1019">
        <v>5217</v>
      </c>
      <c r="I1019">
        <v>2013</v>
      </c>
      <c r="J1019">
        <v>83</v>
      </c>
      <c r="K1019">
        <f>allFYsTable[[#This Row],[Actual]]-allFYsTable[[#This Row],[OriginalBudget]]</f>
        <v>-26219</v>
      </c>
      <c r="L1019" s="11">
        <f>allFYsTable[[#This Row],[DiffAmount]]/allFYsTable[[#This Row],[OriginalBudget]]</f>
        <v>-0.13716237778114912</v>
      </c>
    </row>
    <row r="1020" spans="1:12" x14ac:dyDescent="0.45">
      <c r="A1020" t="s">
        <v>1032</v>
      </c>
      <c r="B1020" t="s">
        <v>8</v>
      </c>
      <c r="C1020" t="s">
        <v>787</v>
      </c>
      <c r="D1020" t="s">
        <v>668</v>
      </c>
      <c r="E1020">
        <v>167877</v>
      </c>
      <c r="F1020">
        <v>175297</v>
      </c>
      <c r="G1020">
        <v>172613</v>
      </c>
      <c r="H1020">
        <v>2684</v>
      </c>
      <c r="I1020">
        <v>2013</v>
      </c>
      <c r="J1020">
        <v>84</v>
      </c>
      <c r="K1020">
        <f>allFYsTable[[#This Row],[Actual]]-allFYsTable[[#This Row],[OriginalBudget]]</f>
        <v>4736</v>
      </c>
      <c r="L1020" s="11">
        <f>allFYsTable[[#This Row],[DiffAmount]]/allFYsTable[[#This Row],[OriginalBudget]]</f>
        <v>2.8211130768360168E-2</v>
      </c>
    </row>
    <row r="1021" spans="1:12" x14ac:dyDescent="0.45">
      <c r="A1021" t="s">
        <v>1032</v>
      </c>
      <c r="B1021" t="s">
        <v>8</v>
      </c>
      <c r="C1021" t="s">
        <v>728</v>
      </c>
      <c r="D1021" t="s">
        <v>617</v>
      </c>
      <c r="E1021">
        <v>780</v>
      </c>
      <c r="F1021">
        <v>788</v>
      </c>
      <c r="G1021">
        <v>785</v>
      </c>
      <c r="H1021">
        <v>3</v>
      </c>
      <c r="I1021">
        <v>2013</v>
      </c>
      <c r="J1021">
        <v>85</v>
      </c>
      <c r="K1021">
        <f>allFYsTable[[#This Row],[Actual]]-allFYsTable[[#This Row],[OriginalBudget]]</f>
        <v>5</v>
      </c>
      <c r="L1021" s="11">
        <f>allFYsTable[[#This Row],[DiffAmount]]/allFYsTable[[#This Row],[OriginalBudget]]</f>
        <v>6.41025641025641E-3</v>
      </c>
    </row>
    <row r="1022" spans="1:12" x14ac:dyDescent="0.45">
      <c r="A1022" t="s">
        <v>1032</v>
      </c>
      <c r="B1022" t="s">
        <v>8</v>
      </c>
      <c r="C1022" t="s">
        <v>727</v>
      </c>
      <c r="D1022" t="s">
        <v>954</v>
      </c>
      <c r="E1022">
        <v>382</v>
      </c>
      <c r="F1022">
        <v>387</v>
      </c>
      <c r="G1022">
        <v>366</v>
      </c>
      <c r="H1022">
        <v>21</v>
      </c>
      <c r="I1022">
        <v>2013</v>
      </c>
      <c r="J1022">
        <v>86</v>
      </c>
      <c r="K1022">
        <f>allFYsTable[[#This Row],[Actual]]-allFYsTable[[#This Row],[OriginalBudget]]</f>
        <v>-16</v>
      </c>
      <c r="L1022" s="11">
        <f>allFYsTable[[#This Row],[DiffAmount]]/allFYsTable[[#This Row],[OriginalBudget]]</f>
        <v>-4.1884816753926704E-2</v>
      </c>
    </row>
    <row r="1023" spans="1:12" x14ac:dyDescent="0.45">
      <c r="A1023" t="s">
        <v>1032</v>
      </c>
      <c r="B1023" t="s">
        <v>8</v>
      </c>
      <c r="C1023" t="s">
        <v>752</v>
      </c>
      <c r="D1023" t="s">
        <v>955</v>
      </c>
      <c r="E1023">
        <v>106384</v>
      </c>
      <c r="F1023">
        <v>101210</v>
      </c>
      <c r="G1023">
        <v>100185</v>
      </c>
      <c r="H1023">
        <v>1025</v>
      </c>
      <c r="I1023">
        <v>2013</v>
      </c>
      <c r="J1023">
        <v>87</v>
      </c>
      <c r="K1023">
        <f>allFYsTable[[#This Row],[Actual]]-allFYsTable[[#This Row],[OriginalBudget]]</f>
        <v>-6199</v>
      </c>
      <c r="L1023" s="11">
        <f>allFYsTable[[#This Row],[DiffAmount]]/allFYsTable[[#This Row],[OriginalBudget]]</f>
        <v>-5.8270040607610166E-2</v>
      </c>
    </row>
    <row r="1024" spans="1:12" x14ac:dyDescent="0.45">
      <c r="A1024" t="s">
        <v>1032</v>
      </c>
      <c r="B1024" t="s">
        <v>8</v>
      </c>
      <c r="C1024" t="s">
        <v>791</v>
      </c>
      <c r="D1024" t="s">
        <v>956</v>
      </c>
      <c r="E1024">
        <v>54376</v>
      </c>
      <c r="F1024">
        <v>54723</v>
      </c>
      <c r="G1024">
        <v>54071</v>
      </c>
      <c r="H1024">
        <v>652</v>
      </c>
      <c r="I1024">
        <v>2013</v>
      </c>
      <c r="J1024">
        <v>88</v>
      </c>
      <c r="K1024">
        <f>allFYsTable[[#This Row],[Actual]]-allFYsTable[[#This Row],[OriginalBudget]]</f>
        <v>-305</v>
      </c>
      <c r="L1024" s="11">
        <f>allFYsTable[[#This Row],[DiffAmount]]/allFYsTable[[#This Row],[OriginalBudget]]</f>
        <v>-5.6090922465793737E-3</v>
      </c>
    </row>
    <row r="1025" spans="1:12" x14ac:dyDescent="0.45">
      <c r="A1025" t="s">
        <v>1032</v>
      </c>
      <c r="B1025" t="s">
        <v>8</v>
      </c>
      <c r="C1025" t="s">
        <v>789</v>
      </c>
      <c r="D1025" t="s">
        <v>150</v>
      </c>
      <c r="E1025">
        <v>751974</v>
      </c>
      <c r="F1025">
        <v>793443</v>
      </c>
      <c r="G1025">
        <v>792414</v>
      </c>
      <c r="H1025">
        <v>1029</v>
      </c>
      <c r="I1025">
        <v>2013</v>
      </c>
      <c r="J1025">
        <v>89</v>
      </c>
      <c r="K1025">
        <f>allFYsTable[[#This Row],[Actual]]-allFYsTable[[#This Row],[OriginalBudget]]</f>
        <v>40440</v>
      </c>
      <c r="L1025" s="11">
        <f>allFYsTable[[#This Row],[DiffAmount]]/allFYsTable[[#This Row],[OriginalBudget]]</f>
        <v>5.3778455106160583E-2</v>
      </c>
    </row>
    <row r="1026" spans="1:12" x14ac:dyDescent="0.45">
      <c r="A1026" t="s">
        <v>1032</v>
      </c>
      <c r="B1026" t="s">
        <v>8</v>
      </c>
      <c r="C1026" t="s">
        <v>793</v>
      </c>
      <c r="D1026" t="s">
        <v>181</v>
      </c>
      <c r="E1026">
        <v>597</v>
      </c>
      <c r="F1026">
        <v>947</v>
      </c>
      <c r="G1026">
        <v>856</v>
      </c>
      <c r="H1026">
        <v>91</v>
      </c>
      <c r="I1026">
        <v>2013</v>
      </c>
      <c r="J1026">
        <v>90</v>
      </c>
      <c r="K1026">
        <f>allFYsTable[[#This Row],[Actual]]-allFYsTable[[#This Row],[OriginalBudget]]</f>
        <v>259</v>
      </c>
      <c r="L1026" s="11">
        <f>allFYsTable[[#This Row],[DiffAmount]]/allFYsTable[[#This Row],[OriginalBudget]]</f>
        <v>0.43383584589614738</v>
      </c>
    </row>
    <row r="1027" spans="1:12" x14ac:dyDescent="0.45">
      <c r="A1027" t="s">
        <v>1032</v>
      </c>
      <c r="B1027" t="s">
        <v>8</v>
      </c>
      <c r="C1027" t="s">
        <v>792</v>
      </c>
      <c r="D1027" t="s">
        <v>343</v>
      </c>
      <c r="E1027">
        <v>0</v>
      </c>
      <c r="F1027">
        <v>11000</v>
      </c>
      <c r="G1027">
        <v>11000</v>
      </c>
      <c r="H1027">
        <v>0</v>
      </c>
      <c r="I1027">
        <v>2013</v>
      </c>
      <c r="J1027">
        <v>91</v>
      </c>
      <c r="K1027">
        <f>allFYsTable[[#This Row],[Actual]]-allFYsTable[[#This Row],[OriginalBudget]]</f>
        <v>11000</v>
      </c>
      <c r="L1027" s="11" t="e">
        <f>allFYsTable[[#This Row],[DiffAmount]]/allFYsTable[[#This Row],[OriginalBudget]]</f>
        <v>#DIV/0!</v>
      </c>
    </row>
    <row r="1028" spans="1:12" x14ac:dyDescent="0.45">
      <c r="A1028" t="s">
        <v>1032</v>
      </c>
      <c r="B1028" t="s">
        <v>182</v>
      </c>
      <c r="C1028" t="s">
        <v>802</v>
      </c>
      <c r="D1028" t="s">
        <v>78</v>
      </c>
      <c r="E1028">
        <v>104047</v>
      </c>
      <c r="F1028">
        <v>105543</v>
      </c>
      <c r="G1028">
        <v>105533</v>
      </c>
      <c r="H1028">
        <v>10</v>
      </c>
      <c r="I1028">
        <v>2013</v>
      </c>
      <c r="J1028">
        <v>92</v>
      </c>
      <c r="K1028">
        <f>allFYsTable[[#This Row],[Actual]]-allFYsTable[[#This Row],[OriginalBudget]]</f>
        <v>1486</v>
      </c>
      <c r="L1028" s="11">
        <f>allFYsTable[[#This Row],[DiffAmount]]/allFYsTable[[#This Row],[OriginalBudget]]</f>
        <v>1.4282007169836708E-2</v>
      </c>
    </row>
    <row r="1029" spans="1:12" x14ac:dyDescent="0.45">
      <c r="A1029" t="s">
        <v>1032</v>
      </c>
      <c r="B1029" t="s">
        <v>182</v>
      </c>
      <c r="C1029" t="s">
        <v>803</v>
      </c>
      <c r="D1029" t="s">
        <v>622</v>
      </c>
      <c r="E1029">
        <v>65182</v>
      </c>
      <c r="F1029">
        <v>62182</v>
      </c>
      <c r="G1029">
        <v>62043</v>
      </c>
      <c r="H1029">
        <v>139</v>
      </c>
      <c r="I1029">
        <v>2013</v>
      </c>
      <c r="J1029">
        <v>93</v>
      </c>
      <c r="K1029">
        <f>allFYsTable[[#This Row],[Actual]]-allFYsTable[[#This Row],[OriginalBudget]]</f>
        <v>-3139</v>
      </c>
      <c r="L1029" s="11">
        <f>allFYsTable[[#This Row],[DiffAmount]]/allFYsTable[[#This Row],[OriginalBudget]]</f>
        <v>-4.8157466785308828E-2</v>
      </c>
    </row>
    <row r="1030" spans="1:12" x14ac:dyDescent="0.45">
      <c r="A1030" t="s">
        <v>1032</v>
      </c>
      <c r="B1030" t="s">
        <v>182</v>
      </c>
      <c r="C1030" t="s">
        <v>799</v>
      </c>
      <c r="D1030" t="s">
        <v>206</v>
      </c>
      <c r="E1030">
        <v>0</v>
      </c>
      <c r="F1030">
        <v>1463</v>
      </c>
      <c r="G1030">
        <v>1390</v>
      </c>
      <c r="H1030">
        <v>73</v>
      </c>
      <c r="I1030">
        <v>2013</v>
      </c>
      <c r="J1030">
        <v>94</v>
      </c>
      <c r="K1030">
        <f>allFYsTable[[#This Row],[Actual]]-allFYsTable[[#This Row],[OriginalBudget]]</f>
        <v>1390</v>
      </c>
      <c r="L1030" s="11" t="e">
        <f>allFYsTable[[#This Row],[DiffAmount]]/allFYsTable[[#This Row],[OriginalBudget]]</f>
        <v>#DIV/0!</v>
      </c>
    </row>
    <row r="1031" spans="1:12" x14ac:dyDescent="0.45">
      <c r="A1031" t="s">
        <v>1032</v>
      </c>
      <c r="B1031" t="s">
        <v>182</v>
      </c>
      <c r="C1031" t="s">
        <v>801</v>
      </c>
      <c r="D1031" t="s">
        <v>77</v>
      </c>
      <c r="E1031">
        <v>24330</v>
      </c>
      <c r="F1031">
        <v>24570</v>
      </c>
      <c r="G1031">
        <v>22941</v>
      </c>
      <c r="H1031">
        <v>1629</v>
      </c>
      <c r="I1031">
        <v>2013</v>
      </c>
      <c r="J1031">
        <v>95</v>
      </c>
      <c r="K1031">
        <f>allFYsTable[[#This Row],[Actual]]-allFYsTable[[#This Row],[OriginalBudget]]</f>
        <v>-1389</v>
      </c>
      <c r="L1031" s="11">
        <f>allFYsTable[[#This Row],[DiffAmount]]/allFYsTable[[#This Row],[OriginalBudget]]</f>
        <v>-5.7090012330456227E-2</v>
      </c>
    </row>
    <row r="1032" spans="1:12" x14ac:dyDescent="0.45">
      <c r="A1032" t="s">
        <v>1032</v>
      </c>
      <c r="B1032" t="s">
        <v>182</v>
      </c>
      <c r="C1032" t="s">
        <v>808</v>
      </c>
      <c r="D1032" t="s">
        <v>156</v>
      </c>
      <c r="E1032">
        <v>126</v>
      </c>
      <c r="F1032">
        <v>126</v>
      </c>
      <c r="G1032">
        <v>126</v>
      </c>
      <c r="H1032">
        <v>0</v>
      </c>
      <c r="I1032">
        <v>2013</v>
      </c>
      <c r="J1032">
        <v>96</v>
      </c>
      <c r="K1032">
        <f>allFYsTable[[#This Row],[Actual]]-allFYsTable[[#This Row],[OriginalBudget]]</f>
        <v>0</v>
      </c>
      <c r="L1032" s="11">
        <f>allFYsTable[[#This Row],[DiffAmount]]/allFYsTable[[#This Row],[OriginalBudget]]</f>
        <v>0</v>
      </c>
    </row>
    <row r="1033" spans="1:12" x14ac:dyDescent="0.45">
      <c r="A1033" t="s">
        <v>1032</v>
      </c>
      <c r="B1033" t="s">
        <v>182</v>
      </c>
      <c r="C1033" t="s">
        <v>807</v>
      </c>
      <c r="D1033" t="s">
        <v>157</v>
      </c>
      <c r="E1033">
        <v>256358</v>
      </c>
      <c r="F1033">
        <v>256294</v>
      </c>
      <c r="G1033">
        <v>249586</v>
      </c>
      <c r="H1033">
        <v>6708</v>
      </c>
      <c r="I1033">
        <v>2013</v>
      </c>
      <c r="J1033">
        <v>97</v>
      </c>
      <c r="K1033">
        <f>allFYsTable[[#This Row],[Actual]]-allFYsTable[[#This Row],[OriginalBudget]]</f>
        <v>-6772</v>
      </c>
      <c r="L1033" s="11">
        <f>allFYsTable[[#This Row],[DiffAmount]]/allFYsTable[[#This Row],[OriginalBudget]]</f>
        <v>-2.6416183618221394E-2</v>
      </c>
    </row>
    <row r="1034" spans="1:12" x14ac:dyDescent="0.45">
      <c r="A1034" t="s">
        <v>1032</v>
      </c>
      <c r="B1034" t="s">
        <v>182</v>
      </c>
      <c r="C1034" t="s">
        <v>798</v>
      </c>
      <c r="D1034" t="s">
        <v>957</v>
      </c>
      <c r="E1034">
        <v>14796</v>
      </c>
      <c r="F1034">
        <v>14121</v>
      </c>
      <c r="G1034">
        <v>13727</v>
      </c>
      <c r="H1034">
        <v>394</v>
      </c>
      <c r="I1034">
        <v>2013</v>
      </c>
      <c r="J1034">
        <v>98</v>
      </c>
      <c r="K1034">
        <f>allFYsTable[[#This Row],[Actual]]-allFYsTable[[#This Row],[OriginalBudget]]</f>
        <v>-1069</v>
      </c>
      <c r="L1034" s="11">
        <f>allFYsTable[[#This Row],[DiffAmount]]/allFYsTable[[#This Row],[OriginalBudget]]</f>
        <v>-7.2249256555825897E-2</v>
      </c>
    </row>
    <row r="1035" spans="1:12" ht="28.5" x14ac:dyDescent="0.45">
      <c r="A1035" t="s">
        <v>1032</v>
      </c>
      <c r="B1035" t="s">
        <v>10</v>
      </c>
      <c r="C1035" t="s">
        <v>775</v>
      </c>
      <c r="D1035" s="1" t="s">
        <v>958</v>
      </c>
      <c r="E1035">
        <v>462877</v>
      </c>
      <c r="F1035">
        <v>458732</v>
      </c>
      <c r="G1035">
        <v>455081</v>
      </c>
      <c r="H1035">
        <v>3651</v>
      </c>
      <c r="I1035">
        <v>2013</v>
      </c>
      <c r="J1035">
        <v>99</v>
      </c>
      <c r="K1035">
        <f>allFYsTable[[#This Row],[Actual]]-allFYsTable[[#This Row],[OriginalBudget]]</f>
        <v>-7796</v>
      </c>
      <c r="L1035" s="11">
        <f>allFYsTable[[#This Row],[DiffAmount]]/allFYsTable[[#This Row],[OriginalBudget]]</f>
        <v>-1.6842487313044285E-2</v>
      </c>
    </row>
    <row r="1036" spans="1:12" x14ac:dyDescent="0.45">
      <c r="A1036" t="s">
        <v>1032</v>
      </c>
      <c r="B1036" t="s">
        <v>10</v>
      </c>
      <c r="C1036" t="s">
        <v>817</v>
      </c>
      <c r="D1036" t="s">
        <v>959</v>
      </c>
      <c r="E1036">
        <v>6000</v>
      </c>
      <c r="F1036">
        <v>6000</v>
      </c>
      <c r="G1036">
        <v>4420</v>
      </c>
      <c r="H1036">
        <v>1580</v>
      </c>
      <c r="I1036">
        <v>2013</v>
      </c>
      <c r="J1036">
        <v>100</v>
      </c>
      <c r="K1036">
        <f>allFYsTable[[#This Row],[Actual]]-allFYsTable[[#This Row],[OriginalBudget]]</f>
        <v>-1580</v>
      </c>
      <c r="L1036" s="11">
        <f>allFYsTable[[#This Row],[DiffAmount]]/allFYsTable[[#This Row],[OriginalBudget]]</f>
        <v>-0.26333333333333331</v>
      </c>
    </row>
    <row r="1037" spans="1:12" x14ac:dyDescent="0.45">
      <c r="A1037" t="s">
        <v>1032</v>
      </c>
      <c r="B1037" t="s">
        <v>10</v>
      </c>
      <c r="C1037" t="s">
        <v>830</v>
      </c>
      <c r="D1037" t="s">
        <v>960</v>
      </c>
      <c r="E1037">
        <v>4390</v>
      </c>
      <c r="F1037">
        <v>2118</v>
      </c>
      <c r="G1037">
        <v>1581</v>
      </c>
      <c r="H1037">
        <v>537</v>
      </c>
      <c r="I1037">
        <v>2013</v>
      </c>
      <c r="J1037">
        <v>101</v>
      </c>
      <c r="K1037">
        <f>allFYsTable[[#This Row],[Actual]]-allFYsTable[[#This Row],[OriginalBudget]]</f>
        <v>-2809</v>
      </c>
      <c r="L1037" s="11">
        <f>allFYsTable[[#This Row],[DiffAmount]]/allFYsTable[[#This Row],[OriginalBudget]]</f>
        <v>-0.6398633257403189</v>
      </c>
    </row>
    <row r="1038" spans="1:12" x14ac:dyDescent="0.45">
      <c r="A1038" t="s">
        <v>1032</v>
      </c>
      <c r="B1038" t="s">
        <v>10</v>
      </c>
      <c r="C1038" t="s">
        <v>819</v>
      </c>
      <c r="D1038" t="s">
        <v>961</v>
      </c>
      <c r="E1038">
        <v>21477</v>
      </c>
      <c r="F1038">
        <v>20977</v>
      </c>
      <c r="G1038">
        <v>15590</v>
      </c>
      <c r="H1038">
        <v>5387</v>
      </c>
      <c r="I1038">
        <v>2013</v>
      </c>
      <c r="J1038">
        <v>102</v>
      </c>
      <c r="K1038">
        <f>allFYsTable[[#This Row],[Actual]]-allFYsTable[[#This Row],[OriginalBudget]]</f>
        <v>-5887</v>
      </c>
      <c r="L1038" s="11">
        <f>allFYsTable[[#This Row],[DiffAmount]]/allFYsTable[[#This Row],[OriginalBudget]]</f>
        <v>-0.27410718442985521</v>
      </c>
    </row>
    <row r="1039" spans="1:12" x14ac:dyDescent="0.45">
      <c r="A1039" t="s">
        <v>1032</v>
      </c>
      <c r="B1039" t="s">
        <v>10</v>
      </c>
      <c r="C1039" t="s">
        <v>822</v>
      </c>
      <c r="D1039" t="s">
        <v>344</v>
      </c>
      <c r="E1039">
        <v>0</v>
      </c>
      <c r="F1039">
        <v>11286</v>
      </c>
      <c r="G1039">
        <v>8899</v>
      </c>
      <c r="H1039">
        <v>2387</v>
      </c>
      <c r="I1039">
        <v>2013</v>
      </c>
      <c r="J1039">
        <v>103</v>
      </c>
      <c r="K1039">
        <f>allFYsTable[[#This Row],[Actual]]-allFYsTable[[#This Row],[OriginalBudget]]</f>
        <v>8899</v>
      </c>
      <c r="L1039" s="11" t="e">
        <f>allFYsTable[[#This Row],[DiffAmount]]/allFYsTable[[#This Row],[OriginalBudget]]</f>
        <v>#DIV/0!</v>
      </c>
    </row>
    <row r="1040" spans="1:12" x14ac:dyDescent="0.45">
      <c r="A1040" t="s">
        <v>1032</v>
      </c>
      <c r="B1040" t="s">
        <v>10</v>
      </c>
      <c r="C1040" t="s">
        <v>814</v>
      </c>
      <c r="D1040" t="s">
        <v>464</v>
      </c>
      <c r="E1040">
        <v>4193</v>
      </c>
      <c r="F1040">
        <v>4193</v>
      </c>
      <c r="G1040">
        <v>3690</v>
      </c>
      <c r="H1040">
        <v>503</v>
      </c>
      <c r="I1040">
        <v>2013</v>
      </c>
      <c r="J1040">
        <v>104</v>
      </c>
      <c r="K1040">
        <f>allFYsTable[[#This Row],[Actual]]-allFYsTable[[#This Row],[OriginalBudget]]</f>
        <v>-503</v>
      </c>
      <c r="L1040" s="11">
        <f>allFYsTable[[#This Row],[DiffAmount]]/allFYsTable[[#This Row],[OriginalBudget]]</f>
        <v>-0.11996184116384451</v>
      </c>
    </row>
    <row r="1041" spans="1:12" x14ac:dyDescent="0.45">
      <c r="A1041" t="s">
        <v>1032</v>
      </c>
      <c r="B1041" t="s">
        <v>10</v>
      </c>
      <c r="C1041" t="s">
        <v>833</v>
      </c>
      <c r="D1041" t="s">
        <v>962</v>
      </c>
      <c r="E1041">
        <v>8626</v>
      </c>
      <c r="F1041">
        <v>8626</v>
      </c>
      <c r="G1041">
        <v>8626</v>
      </c>
      <c r="H1041">
        <v>0</v>
      </c>
      <c r="I1041">
        <v>2013</v>
      </c>
      <c r="J1041">
        <v>105</v>
      </c>
      <c r="K1041">
        <f>allFYsTable[[#This Row],[Actual]]-allFYsTable[[#This Row],[OriginalBudget]]</f>
        <v>0</v>
      </c>
      <c r="L1041" s="11">
        <f>allFYsTable[[#This Row],[DiffAmount]]/allFYsTable[[#This Row],[OriginalBudget]]</f>
        <v>0</v>
      </c>
    </row>
    <row r="1042" spans="1:12" x14ac:dyDescent="0.45">
      <c r="A1042" t="s">
        <v>1032</v>
      </c>
      <c r="B1042" t="s">
        <v>10</v>
      </c>
      <c r="C1042" t="s">
        <v>811</v>
      </c>
      <c r="D1042" t="s">
        <v>963</v>
      </c>
      <c r="E1042">
        <v>107800</v>
      </c>
      <c r="F1042">
        <v>107800</v>
      </c>
      <c r="G1042">
        <v>107800</v>
      </c>
      <c r="H1042">
        <v>0</v>
      </c>
      <c r="I1042">
        <v>2013</v>
      </c>
      <c r="J1042">
        <v>106</v>
      </c>
      <c r="K1042">
        <f>allFYsTable[[#This Row],[Actual]]-allFYsTable[[#This Row],[OriginalBudget]]</f>
        <v>0</v>
      </c>
      <c r="L1042" s="11">
        <f>allFYsTable[[#This Row],[DiffAmount]]/allFYsTable[[#This Row],[OriginalBudget]]</f>
        <v>0</v>
      </c>
    </row>
    <row r="1043" spans="1:12" x14ac:dyDescent="0.45">
      <c r="A1043" t="s">
        <v>1032</v>
      </c>
      <c r="B1043" t="s">
        <v>10</v>
      </c>
      <c r="C1043" t="s">
        <v>829</v>
      </c>
      <c r="D1043" t="s">
        <v>87</v>
      </c>
      <c r="E1043">
        <v>8222</v>
      </c>
      <c r="F1043">
        <v>6665</v>
      </c>
      <c r="G1043">
        <v>6665</v>
      </c>
      <c r="H1043">
        <v>0</v>
      </c>
      <c r="I1043">
        <v>2013</v>
      </c>
      <c r="J1043">
        <v>107</v>
      </c>
      <c r="K1043">
        <f>allFYsTable[[#This Row],[Actual]]-allFYsTable[[#This Row],[OriginalBudget]]</f>
        <v>-1557</v>
      </c>
      <c r="L1043" s="11">
        <f>allFYsTable[[#This Row],[DiffAmount]]/allFYsTable[[#This Row],[OriginalBudget]]</f>
        <v>-0.18936998297251276</v>
      </c>
    </row>
    <row r="1044" spans="1:12" x14ac:dyDescent="0.45">
      <c r="A1044" t="s">
        <v>1032</v>
      </c>
      <c r="B1044" t="s">
        <v>10</v>
      </c>
      <c r="C1044" t="s">
        <v>831</v>
      </c>
      <c r="D1044" t="s">
        <v>964</v>
      </c>
      <c r="E1044">
        <v>32542</v>
      </c>
      <c r="F1044">
        <v>32542</v>
      </c>
      <c r="G1044">
        <v>31825</v>
      </c>
      <c r="H1044">
        <v>717</v>
      </c>
      <c r="I1044">
        <v>2013</v>
      </c>
      <c r="J1044">
        <v>108</v>
      </c>
      <c r="K1044">
        <f>allFYsTable[[#This Row],[Actual]]-allFYsTable[[#This Row],[OriginalBudget]]</f>
        <v>-717</v>
      </c>
      <c r="L1044" s="11">
        <f>allFYsTable[[#This Row],[DiffAmount]]/allFYsTable[[#This Row],[OriginalBudget]]</f>
        <v>-2.2033064962202691E-2</v>
      </c>
    </row>
    <row r="1045" spans="1:12" x14ac:dyDescent="0.45">
      <c r="A1045" t="s">
        <v>1032</v>
      </c>
      <c r="B1045" t="s">
        <v>10</v>
      </c>
      <c r="C1045" t="s">
        <v>810</v>
      </c>
      <c r="D1045" t="s">
        <v>965</v>
      </c>
      <c r="E1045">
        <v>106729</v>
      </c>
      <c r="F1045">
        <v>107041</v>
      </c>
      <c r="G1045">
        <v>107041</v>
      </c>
      <c r="H1045">
        <v>0</v>
      </c>
      <c r="I1045">
        <v>2013</v>
      </c>
      <c r="J1045">
        <v>109</v>
      </c>
      <c r="K1045">
        <f>allFYsTable[[#This Row],[Actual]]-allFYsTable[[#This Row],[OriginalBudget]]</f>
        <v>312</v>
      </c>
      <c r="L1045" s="11">
        <f>allFYsTable[[#This Row],[DiffAmount]]/allFYsTable[[#This Row],[OriginalBudget]]</f>
        <v>2.9232917014119873E-3</v>
      </c>
    </row>
    <row r="1046" spans="1:12" x14ac:dyDescent="0.45">
      <c r="A1046" t="s">
        <v>1032</v>
      </c>
      <c r="B1046" t="s">
        <v>10</v>
      </c>
      <c r="C1046" t="s">
        <v>813</v>
      </c>
      <c r="D1046" t="s">
        <v>297</v>
      </c>
      <c r="E1046">
        <v>23750</v>
      </c>
      <c r="F1046">
        <v>22389</v>
      </c>
      <c r="G1046">
        <v>22389</v>
      </c>
      <c r="H1046">
        <v>0</v>
      </c>
      <c r="I1046">
        <v>2013</v>
      </c>
      <c r="J1046">
        <v>110</v>
      </c>
      <c r="K1046">
        <f>allFYsTable[[#This Row],[Actual]]-allFYsTable[[#This Row],[OriginalBudget]]</f>
        <v>-1361</v>
      </c>
      <c r="L1046" s="11">
        <f>allFYsTable[[#This Row],[DiffAmount]]/allFYsTable[[#This Row],[OriginalBudget]]</f>
        <v>-5.7305263157894734E-2</v>
      </c>
    </row>
    <row r="1047" spans="1:12" x14ac:dyDescent="0.45">
      <c r="A1047" t="s">
        <v>1032</v>
      </c>
      <c r="B1047" t="s">
        <v>10</v>
      </c>
      <c r="C1047" t="s">
        <v>812</v>
      </c>
      <c r="D1047" t="s">
        <v>345</v>
      </c>
      <c r="E1047">
        <v>0</v>
      </c>
      <c r="F1047">
        <v>0</v>
      </c>
      <c r="G1047">
        <v>0</v>
      </c>
      <c r="H1047">
        <v>0</v>
      </c>
      <c r="I1047">
        <v>2013</v>
      </c>
      <c r="J1047">
        <v>111</v>
      </c>
      <c r="K1047">
        <f>allFYsTable[[#This Row],[Actual]]-allFYsTable[[#This Row],[OriginalBudget]]</f>
        <v>0</v>
      </c>
      <c r="L1047" s="11" t="e">
        <f>allFYsTable[[#This Row],[DiffAmount]]/allFYsTable[[#This Row],[OriginalBudget]]</f>
        <v>#DIV/0!</v>
      </c>
    </row>
    <row r="1048" spans="1:12" x14ac:dyDescent="0.45">
      <c r="A1048" t="s">
        <v>1032</v>
      </c>
      <c r="B1048" t="s">
        <v>10</v>
      </c>
      <c r="C1048" t="s">
        <v>821</v>
      </c>
      <c r="D1048" t="s">
        <v>346</v>
      </c>
      <c r="E1048">
        <v>0</v>
      </c>
      <c r="F1048">
        <v>502</v>
      </c>
      <c r="G1048">
        <v>0</v>
      </c>
      <c r="H1048">
        <v>502</v>
      </c>
      <c r="I1048">
        <v>2013</v>
      </c>
      <c r="J1048">
        <v>112</v>
      </c>
      <c r="K1048">
        <f>allFYsTable[[#This Row],[Actual]]-allFYsTable[[#This Row],[OriginalBudget]]</f>
        <v>0</v>
      </c>
      <c r="L1048" s="11" t="e">
        <f>allFYsTable[[#This Row],[DiffAmount]]/allFYsTable[[#This Row],[OriginalBudget]]</f>
        <v>#DIV/0!</v>
      </c>
    </row>
    <row r="1049" spans="1:12" x14ac:dyDescent="0.45">
      <c r="A1049" t="s">
        <v>1032</v>
      </c>
      <c r="B1049" t="s">
        <v>10</v>
      </c>
      <c r="C1049" t="s">
        <v>832</v>
      </c>
      <c r="D1049" t="s">
        <v>966</v>
      </c>
      <c r="E1049">
        <v>50036</v>
      </c>
      <c r="F1049">
        <v>50036</v>
      </c>
      <c r="G1049">
        <v>49953</v>
      </c>
      <c r="H1049">
        <v>83</v>
      </c>
      <c r="I1049">
        <v>2013</v>
      </c>
      <c r="J1049">
        <v>113</v>
      </c>
      <c r="K1049">
        <f>allFYsTable[[#This Row],[Actual]]-allFYsTable[[#This Row],[OriginalBudget]]</f>
        <v>-83</v>
      </c>
      <c r="L1049" s="11">
        <f>allFYsTable[[#This Row],[DiffAmount]]/allFYsTable[[#This Row],[OriginalBudget]]</f>
        <v>-1.6588056599248541E-3</v>
      </c>
    </row>
    <row r="1050" spans="1:12" x14ac:dyDescent="0.45">
      <c r="A1050" t="s">
        <v>1032</v>
      </c>
      <c r="B1050" t="s">
        <v>10</v>
      </c>
      <c r="C1050" t="s">
        <v>847</v>
      </c>
      <c r="D1050" t="s">
        <v>967</v>
      </c>
      <c r="E1050">
        <v>750</v>
      </c>
      <c r="F1050">
        <v>144</v>
      </c>
      <c r="G1050">
        <v>0</v>
      </c>
      <c r="H1050">
        <v>144</v>
      </c>
      <c r="I1050">
        <v>2013</v>
      </c>
      <c r="J1050">
        <v>114</v>
      </c>
      <c r="K1050">
        <f>allFYsTable[[#This Row],[Actual]]-allFYsTable[[#This Row],[OriginalBudget]]</f>
        <v>-750</v>
      </c>
      <c r="L1050" s="11">
        <f>allFYsTable[[#This Row],[DiffAmount]]/allFYsTable[[#This Row],[OriginalBudget]]</f>
        <v>-1</v>
      </c>
    </row>
    <row r="1051" spans="1:12" x14ac:dyDescent="0.45">
      <c r="A1051" t="s">
        <v>1032</v>
      </c>
      <c r="B1051" t="s">
        <v>10</v>
      </c>
      <c r="C1051" t="s">
        <v>816</v>
      </c>
      <c r="D1051" t="s">
        <v>362</v>
      </c>
      <c r="E1051">
        <v>4270</v>
      </c>
      <c r="F1051">
        <v>48439</v>
      </c>
      <c r="G1051">
        <v>48439</v>
      </c>
      <c r="H1051">
        <v>0</v>
      </c>
      <c r="I1051">
        <v>2013</v>
      </c>
      <c r="J1051">
        <v>115</v>
      </c>
      <c r="K1051">
        <f>allFYsTable[[#This Row],[Actual]]-allFYsTable[[#This Row],[OriginalBudget]]</f>
        <v>44169</v>
      </c>
      <c r="L1051" s="11">
        <f>allFYsTable[[#This Row],[DiffAmount]]/allFYsTable[[#This Row],[OriginalBudget]]</f>
        <v>10.344028103044497</v>
      </c>
    </row>
    <row r="1052" spans="1:12" x14ac:dyDescent="0.45">
      <c r="A1052" t="s">
        <v>1032</v>
      </c>
      <c r="B1052" t="s">
        <v>10</v>
      </c>
      <c r="C1052" t="s">
        <v>815</v>
      </c>
      <c r="D1052" t="s">
        <v>1051</v>
      </c>
      <c r="E1052">
        <v>9000</v>
      </c>
      <c r="F1052">
        <v>270</v>
      </c>
      <c r="G1052">
        <v>0</v>
      </c>
      <c r="H1052">
        <v>270</v>
      </c>
      <c r="I1052">
        <v>2013</v>
      </c>
      <c r="J1052">
        <v>116</v>
      </c>
      <c r="K1052">
        <f>allFYsTable[[#This Row],[Actual]]-allFYsTable[[#This Row],[OriginalBudget]]</f>
        <v>-9000</v>
      </c>
      <c r="L1052" s="11">
        <f>allFYsTable[[#This Row],[DiffAmount]]/allFYsTable[[#This Row],[OriginalBudget]]</f>
        <v>-1</v>
      </c>
    </row>
    <row r="1053" spans="1:12" x14ac:dyDescent="0.45">
      <c r="A1053" t="s">
        <v>1032</v>
      </c>
      <c r="B1053" t="s">
        <v>10</v>
      </c>
      <c r="C1053" t="s">
        <v>824</v>
      </c>
      <c r="D1053" t="s">
        <v>299</v>
      </c>
      <c r="E1053">
        <v>0</v>
      </c>
      <c r="F1053">
        <v>0</v>
      </c>
      <c r="G1053">
        <v>0</v>
      </c>
      <c r="H1053">
        <v>0</v>
      </c>
      <c r="I1053">
        <v>2013</v>
      </c>
      <c r="J1053">
        <v>117</v>
      </c>
      <c r="K1053">
        <f>allFYsTable[[#This Row],[Actual]]-allFYsTable[[#This Row],[OriginalBudget]]</f>
        <v>0</v>
      </c>
      <c r="L1053" s="11" t="e">
        <f>allFYsTable[[#This Row],[DiffAmount]]/allFYsTable[[#This Row],[OriginalBudget]]</f>
        <v>#DIV/0!</v>
      </c>
    </row>
    <row r="1054" spans="1:12" x14ac:dyDescent="0.45">
      <c r="A1054" t="s">
        <v>1031</v>
      </c>
      <c r="B1054" t="s">
        <v>11</v>
      </c>
      <c r="C1054" t="s">
        <v>703</v>
      </c>
      <c r="D1054" t="s">
        <v>96</v>
      </c>
      <c r="E1054">
        <v>20957</v>
      </c>
      <c r="F1054">
        <v>19745</v>
      </c>
      <c r="G1054">
        <v>19745</v>
      </c>
      <c r="H1054">
        <v>0</v>
      </c>
      <c r="I1054">
        <v>2014</v>
      </c>
      <c r="J1054">
        <v>1</v>
      </c>
      <c r="K1054">
        <f>allFYsTable[[#This Row],[Actual]]-allFYsTable[[#This Row],[OriginalBudget]]</f>
        <v>-1212</v>
      </c>
      <c r="L1054" s="11">
        <f>allFYsTable[[#This Row],[DiffAmount]]/allFYsTable[[#This Row],[OriginalBudget]]</f>
        <v>-5.7832705062747528E-2</v>
      </c>
    </row>
    <row r="1055" spans="1:12" x14ac:dyDescent="0.45">
      <c r="A1055" t="s">
        <v>1031</v>
      </c>
      <c r="B1055" t="s">
        <v>11</v>
      </c>
      <c r="C1055" t="s">
        <v>723</v>
      </c>
      <c r="D1055" t="s">
        <v>919</v>
      </c>
      <c r="E1055">
        <v>4276</v>
      </c>
      <c r="F1055">
        <v>3777</v>
      </c>
      <c r="G1055">
        <v>3763</v>
      </c>
      <c r="H1055">
        <v>14</v>
      </c>
      <c r="I1055">
        <v>2014</v>
      </c>
      <c r="J1055">
        <v>2</v>
      </c>
      <c r="K1055">
        <f>allFYsTable[[#This Row],[Actual]]-allFYsTable[[#This Row],[OriginalBudget]]</f>
        <v>-513</v>
      </c>
      <c r="L1055" s="11">
        <f>allFYsTable[[#This Row],[DiffAmount]]/allFYsTable[[#This Row],[OriginalBudget]]</f>
        <v>-0.11997193638914874</v>
      </c>
    </row>
    <row r="1056" spans="1:12" x14ac:dyDescent="0.45">
      <c r="A1056" t="s">
        <v>1031</v>
      </c>
      <c r="B1056" t="s">
        <v>11</v>
      </c>
      <c r="C1056" t="s">
        <v>711</v>
      </c>
      <c r="D1056" t="s">
        <v>162</v>
      </c>
      <c r="E1056">
        <v>902</v>
      </c>
      <c r="F1056">
        <v>909</v>
      </c>
      <c r="G1056">
        <v>861</v>
      </c>
      <c r="H1056">
        <v>48</v>
      </c>
      <c r="I1056">
        <v>2014</v>
      </c>
      <c r="J1056">
        <v>3</v>
      </c>
      <c r="K1056">
        <f>allFYsTable[[#This Row],[Actual]]-allFYsTable[[#This Row],[OriginalBudget]]</f>
        <v>-41</v>
      </c>
      <c r="L1056" s="11">
        <f>allFYsTable[[#This Row],[DiffAmount]]/allFYsTable[[#This Row],[OriginalBudget]]</f>
        <v>-4.5454545454545456E-2</v>
      </c>
    </row>
    <row r="1057" spans="1:12" x14ac:dyDescent="0.45">
      <c r="A1057" t="s">
        <v>1031</v>
      </c>
      <c r="B1057" t="s">
        <v>11</v>
      </c>
      <c r="C1057" t="s">
        <v>707</v>
      </c>
      <c r="D1057" t="s">
        <v>163</v>
      </c>
      <c r="E1057">
        <v>8353</v>
      </c>
      <c r="F1057">
        <v>8640</v>
      </c>
      <c r="G1057">
        <v>8283</v>
      </c>
      <c r="H1057">
        <v>357</v>
      </c>
      <c r="I1057">
        <v>2014</v>
      </c>
      <c r="J1057">
        <v>4</v>
      </c>
      <c r="K1057">
        <f>allFYsTable[[#This Row],[Actual]]-allFYsTable[[#This Row],[OriginalBudget]]</f>
        <v>-70</v>
      </c>
      <c r="L1057" s="11">
        <f>allFYsTable[[#This Row],[DiffAmount]]/allFYsTable[[#This Row],[OriginalBudget]]</f>
        <v>-8.380222674488208E-3</v>
      </c>
    </row>
    <row r="1058" spans="1:12" x14ac:dyDescent="0.45">
      <c r="A1058" t="s">
        <v>1031</v>
      </c>
      <c r="B1058" t="s">
        <v>11</v>
      </c>
      <c r="C1058" t="s">
        <v>725</v>
      </c>
      <c r="D1058" t="s">
        <v>104</v>
      </c>
      <c r="E1058">
        <v>2266</v>
      </c>
      <c r="F1058">
        <v>2617</v>
      </c>
      <c r="G1058">
        <v>2487</v>
      </c>
      <c r="H1058">
        <v>130</v>
      </c>
      <c r="I1058">
        <v>2014</v>
      </c>
      <c r="J1058">
        <v>5</v>
      </c>
      <c r="K1058">
        <f>allFYsTable[[#This Row],[Actual]]-allFYsTable[[#This Row],[OriginalBudget]]</f>
        <v>221</v>
      </c>
      <c r="L1058" s="11">
        <f>allFYsTable[[#This Row],[DiffAmount]]/allFYsTable[[#This Row],[OriginalBudget]]</f>
        <v>9.7528684907325677E-2</v>
      </c>
    </row>
    <row r="1059" spans="1:12" x14ac:dyDescent="0.45">
      <c r="A1059" t="s">
        <v>1031</v>
      </c>
      <c r="B1059" t="s">
        <v>11</v>
      </c>
      <c r="C1059" t="s">
        <v>724</v>
      </c>
      <c r="D1059" t="s">
        <v>240</v>
      </c>
      <c r="E1059">
        <v>13465</v>
      </c>
      <c r="F1059">
        <v>13771</v>
      </c>
      <c r="G1059">
        <v>13010</v>
      </c>
      <c r="H1059">
        <v>761</v>
      </c>
      <c r="I1059">
        <v>2014</v>
      </c>
      <c r="J1059">
        <v>6</v>
      </c>
      <c r="K1059">
        <f>allFYsTable[[#This Row],[Actual]]-allFYsTable[[#This Row],[OriginalBudget]]</f>
        <v>-455</v>
      </c>
      <c r="L1059" s="11">
        <f>allFYsTable[[#This Row],[DiffAmount]]/allFYsTable[[#This Row],[OriginalBudget]]</f>
        <v>-3.3791310805792799E-2</v>
      </c>
    </row>
    <row r="1060" spans="1:12" x14ac:dyDescent="0.45">
      <c r="A1060" t="s">
        <v>1031</v>
      </c>
      <c r="B1060" t="s">
        <v>11</v>
      </c>
      <c r="C1060" t="s">
        <v>701</v>
      </c>
      <c r="D1060" t="s">
        <v>106</v>
      </c>
      <c r="E1060">
        <v>1753</v>
      </c>
      <c r="F1060">
        <v>929</v>
      </c>
      <c r="G1060">
        <v>929</v>
      </c>
      <c r="H1060">
        <v>0</v>
      </c>
      <c r="I1060">
        <v>2014</v>
      </c>
      <c r="J1060">
        <v>7</v>
      </c>
      <c r="K1060">
        <f>allFYsTable[[#This Row],[Actual]]-allFYsTable[[#This Row],[OriginalBudget]]</f>
        <v>-824</v>
      </c>
      <c r="L1060" s="11">
        <f>allFYsTable[[#This Row],[DiffAmount]]/allFYsTable[[#This Row],[OriginalBudget]]</f>
        <v>-0.47005134055904163</v>
      </c>
    </row>
    <row r="1061" spans="1:12" x14ac:dyDescent="0.45">
      <c r="A1061" t="s">
        <v>1031</v>
      </c>
      <c r="B1061" t="s">
        <v>11</v>
      </c>
      <c r="C1061" t="s">
        <v>722</v>
      </c>
      <c r="D1061" t="s">
        <v>241</v>
      </c>
      <c r="E1061">
        <v>3383</v>
      </c>
      <c r="F1061">
        <v>3601</v>
      </c>
      <c r="G1061">
        <v>3170</v>
      </c>
      <c r="H1061">
        <v>431</v>
      </c>
      <c r="I1061">
        <v>2014</v>
      </c>
      <c r="J1061">
        <v>8</v>
      </c>
      <c r="K1061">
        <f>allFYsTable[[#This Row],[Actual]]-allFYsTable[[#This Row],[OriginalBudget]]</f>
        <v>-213</v>
      </c>
      <c r="L1061" s="11">
        <f>allFYsTable[[#This Row],[DiffAmount]]/allFYsTable[[#This Row],[OriginalBudget]]</f>
        <v>-6.2961868164351162E-2</v>
      </c>
    </row>
    <row r="1062" spans="1:12" x14ac:dyDescent="0.45">
      <c r="A1062" t="s">
        <v>1031</v>
      </c>
      <c r="B1062" t="s">
        <v>11</v>
      </c>
      <c r="C1062" t="s">
        <v>704</v>
      </c>
      <c r="D1062" t="s">
        <v>242</v>
      </c>
      <c r="E1062">
        <v>7415</v>
      </c>
      <c r="F1062">
        <v>8888</v>
      </c>
      <c r="G1062">
        <v>8495</v>
      </c>
      <c r="H1062">
        <v>393</v>
      </c>
      <c r="I1062">
        <v>2014</v>
      </c>
      <c r="J1062">
        <v>9</v>
      </c>
      <c r="K1062">
        <f>allFYsTable[[#This Row],[Actual]]-allFYsTable[[#This Row],[OriginalBudget]]</f>
        <v>1080</v>
      </c>
      <c r="L1062" s="11">
        <f>allFYsTable[[#This Row],[DiffAmount]]/allFYsTable[[#This Row],[OriginalBudget]]</f>
        <v>0.14565070802427513</v>
      </c>
    </row>
    <row r="1063" spans="1:12" x14ac:dyDescent="0.45">
      <c r="A1063" t="s">
        <v>1031</v>
      </c>
      <c r="B1063" t="s">
        <v>11</v>
      </c>
      <c r="C1063" t="s">
        <v>878</v>
      </c>
      <c r="D1063" t="s">
        <v>283</v>
      </c>
      <c r="E1063">
        <v>15000</v>
      </c>
      <c r="F1063">
        <v>15000</v>
      </c>
      <c r="G1063">
        <v>15000</v>
      </c>
      <c r="H1063">
        <v>0</v>
      </c>
      <c r="I1063">
        <v>2014</v>
      </c>
      <c r="J1063">
        <v>10</v>
      </c>
      <c r="K1063">
        <f>allFYsTable[[#This Row],[Actual]]-allFYsTable[[#This Row],[OriginalBudget]]</f>
        <v>0</v>
      </c>
      <c r="L1063" s="11">
        <f>allFYsTable[[#This Row],[DiffAmount]]/allFYsTable[[#This Row],[OriginalBudget]]</f>
        <v>0</v>
      </c>
    </row>
    <row r="1064" spans="1:12" x14ac:dyDescent="0.45">
      <c r="A1064" t="s">
        <v>1031</v>
      </c>
      <c r="B1064" t="s">
        <v>11</v>
      </c>
      <c r="C1064" t="s">
        <v>716</v>
      </c>
      <c r="D1064" t="s">
        <v>284</v>
      </c>
      <c r="E1064">
        <v>19665</v>
      </c>
      <c r="F1064">
        <v>19791</v>
      </c>
      <c r="G1064">
        <v>19091</v>
      </c>
      <c r="H1064">
        <v>700</v>
      </c>
      <c r="I1064">
        <v>2014</v>
      </c>
      <c r="J1064">
        <v>11</v>
      </c>
      <c r="K1064">
        <f>allFYsTable[[#This Row],[Actual]]-allFYsTable[[#This Row],[OriginalBudget]]</f>
        <v>-574</v>
      </c>
      <c r="L1064" s="11">
        <f>allFYsTable[[#This Row],[DiffAmount]]/allFYsTable[[#This Row],[OriginalBudget]]</f>
        <v>-2.9188914314772437E-2</v>
      </c>
    </row>
    <row r="1065" spans="1:12" x14ac:dyDescent="0.45">
      <c r="A1065" t="s">
        <v>1031</v>
      </c>
      <c r="B1065" t="s">
        <v>11</v>
      </c>
      <c r="C1065" t="s">
        <v>705</v>
      </c>
      <c r="D1065" t="s">
        <v>110</v>
      </c>
      <c r="E1065">
        <v>260032</v>
      </c>
      <c r="F1065">
        <v>264326</v>
      </c>
      <c r="G1065">
        <v>248468</v>
      </c>
      <c r="H1065">
        <v>15858</v>
      </c>
      <c r="I1065">
        <v>2014</v>
      </c>
      <c r="J1065">
        <v>12</v>
      </c>
      <c r="K1065">
        <f>allFYsTable[[#This Row],[Actual]]-allFYsTable[[#This Row],[OriginalBudget]]</f>
        <v>-11564</v>
      </c>
      <c r="L1065" s="11">
        <f>allFYsTable[[#This Row],[DiffAmount]]/allFYsTable[[#This Row],[OriginalBudget]]</f>
        <v>-4.4471449667733205E-2</v>
      </c>
    </row>
    <row r="1066" spans="1:12" x14ac:dyDescent="0.45">
      <c r="A1066" t="s">
        <v>1031</v>
      </c>
      <c r="B1066" t="s">
        <v>11</v>
      </c>
      <c r="C1066" t="s">
        <v>713</v>
      </c>
      <c r="D1066" t="s">
        <v>111</v>
      </c>
      <c r="E1066">
        <v>11731</v>
      </c>
      <c r="F1066">
        <v>12965</v>
      </c>
      <c r="G1066">
        <v>12116</v>
      </c>
      <c r="H1066">
        <v>849</v>
      </c>
      <c r="I1066">
        <v>2014</v>
      </c>
      <c r="J1066">
        <v>13</v>
      </c>
      <c r="K1066">
        <f>allFYsTable[[#This Row],[Actual]]-allFYsTable[[#This Row],[OriginalBudget]]</f>
        <v>385</v>
      </c>
      <c r="L1066" s="11">
        <f>allFYsTable[[#This Row],[DiffAmount]]/allFYsTable[[#This Row],[OriginalBudget]]</f>
        <v>3.2819026510953885E-2</v>
      </c>
    </row>
    <row r="1067" spans="1:12" x14ac:dyDescent="0.45">
      <c r="A1067" t="s">
        <v>1031</v>
      </c>
      <c r="B1067" t="s">
        <v>11</v>
      </c>
      <c r="C1067" t="s">
        <v>702</v>
      </c>
      <c r="D1067" t="s">
        <v>112</v>
      </c>
      <c r="E1067">
        <v>1059</v>
      </c>
      <c r="F1067">
        <v>1090</v>
      </c>
      <c r="G1067">
        <v>1068</v>
      </c>
      <c r="H1067">
        <v>22</v>
      </c>
      <c r="I1067">
        <v>2014</v>
      </c>
      <c r="J1067">
        <v>14</v>
      </c>
      <c r="K1067">
        <f>allFYsTable[[#This Row],[Actual]]-allFYsTable[[#This Row],[OriginalBudget]]</f>
        <v>9</v>
      </c>
      <c r="L1067" s="11">
        <f>allFYsTable[[#This Row],[DiffAmount]]/allFYsTable[[#This Row],[OriginalBudget]]</f>
        <v>8.4985835694051E-3</v>
      </c>
    </row>
    <row r="1068" spans="1:12" x14ac:dyDescent="0.45">
      <c r="A1068" t="s">
        <v>1031</v>
      </c>
      <c r="B1068" t="s">
        <v>11</v>
      </c>
      <c r="C1068" t="s">
        <v>720</v>
      </c>
      <c r="D1068" t="s">
        <v>244</v>
      </c>
      <c r="E1068">
        <v>106743</v>
      </c>
      <c r="F1068">
        <v>109099</v>
      </c>
      <c r="G1068">
        <v>108865</v>
      </c>
      <c r="H1068">
        <v>234</v>
      </c>
      <c r="I1068">
        <v>2014</v>
      </c>
      <c r="J1068">
        <v>15</v>
      </c>
      <c r="K1068">
        <f>allFYsTable[[#This Row],[Actual]]-allFYsTable[[#This Row],[OriginalBudget]]</f>
        <v>2122</v>
      </c>
      <c r="L1068" s="11">
        <f>allFYsTable[[#This Row],[DiffAmount]]/allFYsTable[[#This Row],[OriginalBudget]]</f>
        <v>1.9879523715840852E-2</v>
      </c>
    </row>
    <row r="1069" spans="1:12" x14ac:dyDescent="0.45">
      <c r="A1069" t="s">
        <v>1031</v>
      </c>
      <c r="B1069" t="s">
        <v>11</v>
      </c>
      <c r="C1069" t="s">
        <v>719</v>
      </c>
      <c r="D1069" t="s">
        <v>245</v>
      </c>
      <c r="E1069">
        <v>59972</v>
      </c>
      <c r="F1069">
        <v>61535</v>
      </c>
      <c r="G1069">
        <v>59813</v>
      </c>
      <c r="H1069">
        <v>1722</v>
      </c>
      <c r="I1069">
        <v>2014</v>
      </c>
      <c r="J1069">
        <v>16</v>
      </c>
      <c r="K1069">
        <f>allFYsTable[[#This Row],[Actual]]-allFYsTable[[#This Row],[OriginalBudget]]</f>
        <v>-159</v>
      </c>
      <c r="L1069" s="11">
        <f>allFYsTable[[#This Row],[DiffAmount]]/allFYsTable[[#This Row],[OriginalBudget]]</f>
        <v>-2.651237244047222E-3</v>
      </c>
    </row>
    <row r="1070" spans="1:12" x14ac:dyDescent="0.45">
      <c r="A1070" t="s">
        <v>1031</v>
      </c>
      <c r="B1070" t="s">
        <v>11</v>
      </c>
      <c r="C1070" t="s">
        <v>718</v>
      </c>
      <c r="D1070" t="s">
        <v>115</v>
      </c>
      <c r="E1070">
        <v>2946</v>
      </c>
      <c r="F1070">
        <v>3015</v>
      </c>
      <c r="G1070">
        <v>2314</v>
      </c>
      <c r="H1070">
        <v>701</v>
      </c>
      <c r="I1070">
        <v>2014</v>
      </c>
      <c r="J1070">
        <v>17</v>
      </c>
      <c r="K1070">
        <f>allFYsTable[[#This Row],[Actual]]-allFYsTable[[#This Row],[OriginalBudget]]</f>
        <v>-632</v>
      </c>
      <c r="L1070" s="11">
        <f>allFYsTable[[#This Row],[DiffAmount]]/allFYsTable[[#This Row],[OriginalBudget]]</f>
        <v>-0.21452817379497624</v>
      </c>
    </row>
    <row r="1071" spans="1:12" x14ac:dyDescent="0.45">
      <c r="A1071" t="s">
        <v>1031</v>
      </c>
      <c r="B1071" t="s">
        <v>11</v>
      </c>
      <c r="C1071" t="s">
        <v>714</v>
      </c>
      <c r="D1071" t="s">
        <v>116</v>
      </c>
      <c r="E1071">
        <v>980</v>
      </c>
      <c r="F1071">
        <v>1004</v>
      </c>
      <c r="G1071">
        <v>916</v>
      </c>
      <c r="H1071">
        <v>88</v>
      </c>
      <c r="I1071">
        <v>2014</v>
      </c>
      <c r="J1071">
        <v>18</v>
      </c>
      <c r="K1071">
        <f>allFYsTable[[#This Row],[Actual]]-allFYsTable[[#This Row],[OriginalBudget]]</f>
        <v>-64</v>
      </c>
      <c r="L1071" s="11">
        <f>allFYsTable[[#This Row],[DiffAmount]]/allFYsTable[[#This Row],[OriginalBudget]]</f>
        <v>-6.5306122448979598E-2</v>
      </c>
    </row>
    <row r="1072" spans="1:12" x14ac:dyDescent="0.45">
      <c r="A1072" t="s">
        <v>1031</v>
      </c>
      <c r="B1072" t="s">
        <v>11</v>
      </c>
      <c r="C1072" t="s">
        <v>733</v>
      </c>
      <c r="D1072" t="s">
        <v>117</v>
      </c>
      <c r="E1072">
        <v>50</v>
      </c>
      <c r="F1072">
        <v>50</v>
      </c>
      <c r="G1072">
        <v>44</v>
      </c>
      <c r="H1072">
        <v>6</v>
      </c>
      <c r="I1072">
        <v>2014</v>
      </c>
      <c r="J1072">
        <v>19</v>
      </c>
      <c r="K1072">
        <f>allFYsTable[[#This Row],[Actual]]-allFYsTable[[#This Row],[OriginalBudget]]</f>
        <v>-6</v>
      </c>
      <c r="L1072" s="11">
        <f>allFYsTable[[#This Row],[DiffAmount]]/allFYsTable[[#This Row],[OriginalBudget]]</f>
        <v>-0.12</v>
      </c>
    </row>
    <row r="1073" spans="1:12" x14ac:dyDescent="0.45">
      <c r="A1073" t="s">
        <v>1031</v>
      </c>
      <c r="B1073" t="s">
        <v>11</v>
      </c>
      <c r="C1073" t="s">
        <v>721</v>
      </c>
      <c r="D1073" t="s">
        <v>247</v>
      </c>
      <c r="E1073">
        <v>47837</v>
      </c>
      <c r="F1073">
        <v>54126</v>
      </c>
      <c r="G1073">
        <v>53499</v>
      </c>
      <c r="H1073">
        <v>627</v>
      </c>
      <c r="I1073">
        <v>2014</v>
      </c>
      <c r="J1073">
        <v>20</v>
      </c>
      <c r="K1073">
        <f>allFYsTable[[#This Row],[Actual]]-allFYsTable[[#This Row],[OriginalBudget]]</f>
        <v>5662</v>
      </c>
      <c r="L1073" s="11">
        <f>allFYsTable[[#This Row],[DiffAmount]]/allFYsTable[[#This Row],[OriginalBudget]]</f>
        <v>0.1183602650667893</v>
      </c>
    </row>
    <row r="1074" spans="1:12" x14ac:dyDescent="0.45">
      <c r="A1074" t="s">
        <v>1031</v>
      </c>
      <c r="B1074" t="s">
        <v>11</v>
      </c>
      <c r="C1074" t="s">
        <v>699</v>
      </c>
      <c r="D1074" t="s">
        <v>119</v>
      </c>
      <c r="E1074">
        <v>6615</v>
      </c>
      <c r="F1074">
        <v>7082</v>
      </c>
      <c r="G1074">
        <v>6976</v>
      </c>
      <c r="H1074">
        <v>106</v>
      </c>
      <c r="I1074">
        <v>2014</v>
      </c>
      <c r="J1074">
        <v>21</v>
      </c>
      <c r="K1074">
        <f>allFYsTable[[#This Row],[Actual]]-allFYsTable[[#This Row],[OriginalBudget]]</f>
        <v>361</v>
      </c>
      <c r="L1074" s="11">
        <f>allFYsTable[[#This Row],[DiffAmount]]/allFYsTable[[#This Row],[OriginalBudget]]</f>
        <v>5.4572940287226E-2</v>
      </c>
    </row>
    <row r="1075" spans="1:12" x14ac:dyDescent="0.45">
      <c r="A1075" t="s">
        <v>1031</v>
      </c>
      <c r="B1075" t="s">
        <v>11</v>
      </c>
      <c r="C1075" t="s">
        <v>712</v>
      </c>
      <c r="D1075" t="s">
        <v>248</v>
      </c>
      <c r="E1075">
        <v>2629</v>
      </c>
      <c r="F1075">
        <v>2704</v>
      </c>
      <c r="G1075">
        <v>2593</v>
      </c>
      <c r="H1075">
        <v>111</v>
      </c>
      <c r="I1075">
        <v>2014</v>
      </c>
      <c r="J1075">
        <v>22</v>
      </c>
      <c r="K1075">
        <f>allFYsTable[[#This Row],[Actual]]-allFYsTable[[#This Row],[OriginalBudget]]</f>
        <v>-36</v>
      </c>
      <c r="L1075" s="11">
        <f>allFYsTable[[#This Row],[DiffAmount]]/allFYsTable[[#This Row],[OriginalBudget]]</f>
        <v>-1.3693419551160137E-2</v>
      </c>
    </row>
    <row r="1076" spans="1:12" x14ac:dyDescent="0.45">
      <c r="A1076" t="s">
        <v>1031</v>
      </c>
      <c r="B1076" t="s">
        <v>11</v>
      </c>
      <c r="C1076" t="s">
        <v>730</v>
      </c>
      <c r="D1076" t="s">
        <v>125</v>
      </c>
      <c r="E1076">
        <v>1162</v>
      </c>
      <c r="F1076">
        <v>1193</v>
      </c>
      <c r="G1076">
        <v>1163</v>
      </c>
      <c r="H1076">
        <v>30</v>
      </c>
      <c r="I1076">
        <v>2014</v>
      </c>
      <c r="J1076">
        <v>23</v>
      </c>
      <c r="K1076">
        <f>allFYsTable[[#This Row],[Actual]]-allFYsTable[[#This Row],[OriginalBudget]]</f>
        <v>1</v>
      </c>
      <c r="L1076" s="11">
        <f>allFYsTable[[#This Row],[DiffAmount]]/allFYsTable[[#This Row],[OriginalBudget]]</f>
        <v>8.6058519793459555E-4</v>
      </c>
    </row>
    <row r="1077" spans="1:12" x14ac:dyDescent="0.45">
      <c r="A1077" t="s">
        <v>1031</v>
      </c>
      <c r="B1077" t="s">
        <v>11</v>
      </c>
      <c r="C1077" t="s">
        <v>715</v>
      </c>
      <c r="D1077" t="s">
        <v>126</v>
      </c>
      <c r="E1077">
        <v>1480</v>
      </c>
      <c r="F1077">
        <v>1521</v>
      </c>
      <c r="G1077">
        <v>1465</v>
      </c>
      <c r="H1077">
        <v>56</v>
      </c>
      <c r="I1077">
        <v>2014</v>
      </c>
      <c r="J1077">
        <v>24</v>
      </c>
      <c r="K1077">
        <f>allFYsTable[[#This Row],[Actual]]-allFYsTable[[#This Row],[OriginalBudget]]</f>
        <v>-15</v>
      </c>
      <c r="L1077" s="11">
        <f>allFYsTable[[#This Row],[DiffAmount]]/allFYsTable[[#This Row],[OriginalBudget]]</f>
        <v>-1.0135135135135136E-2</v>
      </c>
    </row>
    <row r="1078" spans="1:12" x14ac:dyDescent="0.45">
      <c r="A1078" t="s">
        <v>1031</v>
      </c>
      <c r="B1078" t="s">
        <v>11</v>
      </c>
      <c r="C1078" t="s">
        <v>709</v>
      </c>
      <c r="D1078" t="s">
        <v>249</v>
      </c>
      <c r="E1078">
        <v>428</v>
      </c>
      <c r="F1078">
        <v>428</v>
      </c>
      <c r="G1078">
        <v>428</v>
      </c>
      <c r="H1078">
        <v>0</v>
      </c>
      <c r="I1078">
        <v>2014</v>
      </c>
      <c r="J1078">
        <v>25</v>
      </c>
      <c r="K1078">
        <f>allFYsTable[[#This Row],[Actual]]-allFYsTable[[#This Row],[OriginalBudget]]</f>
        <v>0</v>
      </c>
      <c r="L1078" s="11">
        <f>allFYsTable[[#This Row],[DiffAmount]]/allFYsTable[[#This Row],[OriginalBudget]]</f>
        <v>0</v>
      </c>
    </row>
    <row r="1079" spans="1:12" x14ac:dyDescent="0.45">
      <c r="A1079" t="s">
        <v>1031</v>
      </c>
      <c r="B1079" t="s">
        <v>11</v>
      </c>
      <c r="C1079" t="s">
        <v>732</v>
      </c>
      <c r="D1079" t="s">
        <v>313</v>
      </c>
      <c r="E1079">
        <v>200</v>
      </c>
      <c r="F1079">
        <v>405</v>
      </c>
      <c r="G1079">
        <v>368</v>
      </c>
      <c r="H1079">
        <v>37</v>
      </c>
      <c r="I1079">
        <v>2014</v>
      </c>
      <c r="J1079">
        <v>26</v>
      </c>
      <c r="K1079">
        <f>allFYsTable[[#This Row],[Actual]]-allFYsTable[[#This Row],[OriginalBudget]]</f>
        <v>168</v>
      </c>
      <c r="L1079" s="11">
        <f>allFYsTable[[#This Row],[DiffAmount]]/allFYsTable[[#This Row],[OriginalBudget]]</f>
        <v>0.84</v>
      </c>
    </row>
    <row r="1080" spans="1:12" x14ac:dyDescent="0.45">
      <c r="A1080" t="s">
        <v>1031</v>
      </c>
      <c r="B1080" t="s">
        <v>11</v>
      </c>
      <c r="C1080" t="s">
        <v>700</v>
      </c>
      <c r="D1080" t="s">
        <v>250</v>
      </c>
      <c r="E1080">
        <v>1255</v>
      </c>
      <c r="F1080">
        <v>1359</v>
      </c>
      <c r="G1080">
        <v>1354</v>
      </c>
      <c r="H1080">
        <v>5</v>
      </c>
      <c r="I1080">
        <v>2014</v>
      </c>
      <c r="J1080">
        <v>27</v>
      </c>
      <c r="K1080">
        <f>allFYsTable[[#This Row],[Actual]]-allFYsTable[[#This Row],[OriginalBudget]]</f>
        <v>99</v>
      </c>
      <c r="L1080" s="11">
        <f>allFYsTable[[#This Row],[DiffAmount]]/allFYsTable[[#This Row],[OriginalBudget]]</f>
        <v>7.8884462151394427E-2</v>
      </c>
    </row>
    <row r="1081" spans="1:12" x14ac:dyDescent="0.45">
      <c r="A1081" t="s">
        <v>1031</v>
      </c>
      <c r="B1081" t="s">
        <v>11</v>
      </c>
      <c r="C1081" t="s">
        <v>865</v>
      </c>
      <c r="D1081" t="s">
        <v>285</v>
      </c>
      <c r="E1081">
        <v>0</v>
      </c>
      <c r="F1081">
        <v>910</v>
      </c>
      <c r="G1081">
        <v>910</v>
      </c>
      <c r="H1081">
        <v>0</v>
      </c>
      <c r="I1081">
        <v>2014</v>
      </c>
      <c r="J1081">
        <v>28</v>
      </c>
      <c r="K1081">
        <f>allFYsTable[[#This Row],[Actual]]-allFYsTable[[#This Row],[OriginalBudget]]</f>
        <v>910</v>
      </c>
      <c r="L1081" s="11" t="e">
        <f>allFYsTable[[#This Row],[DiffAmount]]/allFYsTable[[#This Row],[OriginalBudget]]</f>
        <v>#DIV/0!</v>
      </c>
    </row>
    <row r="1082" spans="1:12" x14ac:dyDescent="0.45">
      <c r="A1082" t="s">
        <v>1031</v>
      </c>
      <c r="B1082" t="s">
        <v>286</v>
      </c>
      <c r="C1082" t="s">
        <v>743</v>
      </c>
      <c r="D1082" t="s">
        <v>920</v>
      </c>
      <c r="E1082">
        <v>13328</v>
      </c>
      <c r="F1082">
        <v>20052</v>
      </c>
      <c r="G1082">
        <v>18266</v>
      </c>
      <c r="H1082">
        <v>1786</v>
      </c>
      <c r="I1082">
        <v>2014</v>
      </c>
      <c r="J1082">
        <v>29</v>
      </c>
      <c r="K1082">
        <f>allFYsTable[[#This Row],[Actual]]-allFYsTable[[#This Row],[OriginalBudget]]</f>
        <v>4938</v>
      </c>
      <c r="L1082" s="11">
        <f>allFYsTable[[#This Row],[DiffAmount]]/allFYsTable[[#This Row],[OriginalBudget]]</f>
        <v>0.37049819927971189</v>
      </c>
    </row>
    <row r="1083" spans="1:12" x14ac:dyDescent="0.45">
      <c r="A1083" t="s">
        <v>1031</v>
      </c>
      <c r="B1083" t="s">
        <v>286</v>
      </c>
      <c r="C1083" t="s">
        <v>738</v>
      </c>
      <c r="D1083" t="s">
        <v>22</v>
      </c>
      <c r="E1083">
        <v>7464</v>
      </c>
      <c r="F1083">
        <v>8072</v>
      </c>
      <c r="G1083">
        <v>7734</v>
      </c>
      <c r="H1083">
        <v>338</v>
      </c>
      <c r="I1083">
        <v>2014</v>
      </c>
      <c r="J1083">
        <v>30</v>
      </c>
      <c r="K1083">
        <f>allFYsTable[[#This Row],[Actual]]-allFYsTable[[#This Row],[OriginalBudget]]</f>
        <v>270</v>
      </c>
      <c r="L1083" s="11">
        <f>allFYsTable[[#This Row],[DiffAmount]]/allFYsTable[[#This Row],[OriginalBudget]]</f>
        <v>3.6173633440514469E-2</v>
      </c>
    </row>
    <row r="1084" spans="1:12" x14ac:dyDescent="0.45">
      <c r="A1084" t="s">
        <v>1031</v>
      </c>
      <c r="B1084" t="s">
        <v>286</v>
      </c>
      <c r="C1084" t="s">
        <v>742</v>
      </c>
      <c r="D1084" t="s">
        <v>26</v>
      </c>
      <c r="E1084">
        <v>6481</v>
      </c>
      <c r="F1084">
        <v>10604</v>
      </c>
      <c r="G1084">
        <v>10013</v>
      </c>
      <c r="H1084">
        <v>591</v>
      </c>
      <c r="I1084">
        <v>2014</v>
      </c>
      <c r="J1084">
        <v>31</v>
      </c>
      <c r="K1084">
        <f>allFYsTable[[#This Row],[Actual]]-allFYsTable[[#This Row],[OriginalBudget]]</f>
        <v>3532</v>
      </c>
      <c r="L1084" s="11">
        <f>allFYsTable[[#This Row],[DiffAmount]]/allFYsTable[[#This Row],[OriginalBudget]]</f>
        <v>0.54497762690942753</v>
      </c>
    </row>
    <row r="1085" spans="1:12" x14ac:dyDescent="0.45">
      <c r="A1085" t="s">
        <v>1031</v>
      </c>
      <c r="B1085" t="s">
        <v>286</v>
      </c>
      <c r="C1085" t="s">
        <v>744</v>
      </c>
      <c r="D1085" t="s">
        <v>29</v>
      </c>
      <c r="E1085">
        <v>2628</v>
      </c>
      <c r="F1085">
        <v>2688</v>
      </c>
      <c r="G1085">
        <v>2666</v>
      </c>
      <c r="H1085">
        <v>22</v>
      </c>
      <c r="I1085">
        <v>2014</v>
      </c>
      <c r="J1085">
        <v>32</v>
      </c>
      <c r="K1085">
        <f>allFYsTable[[#This Row],[Actual]]-allFYsTable[[#This Row],[OriginalBudget]]</f>
        <v>38</v>
      </c>
      <c r="L1085" s="11">
        <f>allFYsTable[[#This Row],[DiffAmount]]/allFYsTable[[#This Row],[OriginalBudget]]</f>
        <v>1.4459665144596651E-2</v>
      </c>
    </row>
    <row r="1086" spans="1:12" x14ac:dyDescent="0.45">
      <c r="A1086" t="s">
        <v>1031</v>
      </c>
      <c r="B1086" t="s">
        <v>286</v>
      </c>
      <c r="C1086" t="s">
        <v>737</v>
      </c>
      <c r="D1086" t="s">
        <v>230</v>
      </c>
      <c r="E1086">
        <v>11054</v>
      </c>
      <c r="F1086">
        <v>11915</v>
      </c>
      <c r="G1086">
        <v>11569</v>
      </c>
      <c r="H1086">
        <v>346</v>
      </c>
      <c r="I1086">
        <v>2014</v>
      </c>
      <c r="J1086">
        <v>33</v>
      </c>
      <c r="K1086">
        <f>allFYsTable[[#This Row],[Actual]]-allFYsTable[[#This Row],[OriginalBudget]]</f>
        <v>515</v>
      </c>
      <c r="L1086" s="11">
        <f>allFYsTable[[#This Row],[DiffAmount]]/allFYsTable[[#This Row],[OriginalBudget]]</f>
        <v>4.6589469875158315E-2</v>
      </c>
    </row>
    <row r="1087" spans="1:12" x14ac:dyDescent="0.45">
      <c r="A1087" t="s">
        <v>1031</v>
      </c>
      <c r="B1087" t="s">
        <v>286</v>
      </c>
      <c r="C1087" t="s">
        <v>741</v>
      </c>
      <c r="D1087" t="s">
        <v>921</v>
      </c>
      <c r="E1087">
        <v>5065</v>
      </c>
      <c r="F1087">
        <v>890</v>
      </c>
      <c r="G1087">
        <v>812</v>
      </c>
      <c r="H1087">
        <v>78</v>
      </c>
      <c r="I1087">
        <v>2014</v>
      </c>
      <c r="J1087">
        <v>34</v>
      </c>
      <c r="K1087">
        <f>allFYsTable[[#This Row],[Actual]]-allFYsTable[[#This Row],[OriginalBudget]]</f>
        <v>-4253</v>
      </c>
      <c r="L1087" s="11">
        <f>allFYsTable[[#This Row],[DiffAmount]]/allFYsTable[[#This Row],[OriginalBudget]]</f>
        <v>-0.83968410661401782</v>
      </c>
    </row>
    <row r="1088" spans="1:12" x14ac:dyDescent="0.45">
      <c r="A1088" t="s">
        <v>1031</v>
      </c>
      <c r="B1088" t="s">
        <v>286</v>
      </c>
      <c r="C1088" t="s">
        <v>769</v>
      </c>
      <c r="D1088" t="s">
        <v>55</v>
      </c>
      <c r="E1088">
        <v>48162</v>
      </c>
      <c r="F1088">
        <v>51351</v>
      </c>
      <c r="G1088">
        <v>46058</v>
      </c>
      <c r="H1088">
        <v>5293</v>
      </c>
      <c r="I1088">
        <v>2014</v>
      </c>
      <c r="J1088">
        <v>35</v>
      </c>
      <c r="K1088">
        <f>allFYsTable[[#This Row],[Actual]]-allFYsTable[[#This Row],[OriginalBudget]]</f>
        <v>-2104</v>
      </c>
      <c r="L1088" s="11">
        <f>allFYsTable[[#This Row],[DiffAmount]]/allFYsTable[[#This Row],[OriginalBudget]]</f>
        <v>-4.3685893442963329E-2</v>
      </c>
    </row>
    <row r="1089" spans="1:12" x14ac:dyDescent="0.45">
      <c r="A1089" t="s">
        <v>1031</v>
      </c>
      <c r="B1089" t="s">
        <v>286</v>
      </c>
      <c r="C1089" t="s">
        <v>745</v>
      </c>
      <c r="D1089" t="s">
        <v>935</v>
      </c>
      <c r="E1089">
        <v>1684</v>
      </c>
      <c r="F1089">
        <v>1720</v>
      </c>
      <c r="G1089">
        <v>1423</v>
      </c>
      <c r="H1089">
        <v>297</v>
      </c>
      <c r="I1089">
        <v>2014</v>
      </c>
      <c r="J1089">
        <v>36</v>
      </c>
      <c r="K1089">
        <f>allFYsTable[[#This Row],[Actual]]-allFYsTable[[#This Row],[OriginalBudget]]</f>
        <v>-261</v>
      </c>
      <c r="L1089" s="11">
        <f>allFYsTable[[#This Row],[DiffAmount]]/allFYsTable[[#This Row],[OriginalBudget]]</f>
        <v>-0.15498812351543942</v>
      </c>
    </row>
    <row r="1090" spans="1:12" x14ac:dyDescent="0.45">
      <c r="A1090" t="s">
        <v>1031</v>
      </c>
      <c r="B1090" t="s">
        <v>286</v>
      </c>
      <c r="C1090" t="s">
        <v>797</v>
      </c>
      <c r="D1090" t="s">
        <v>252</v>
      </c>
      <c r="E1090">
        <v>14571</v>
      </c>
      <c r="F1090">
        <v>14680</v>
      </c>
      <c r="G1090">
        <v>13978</v>
      </c>
      <c r="H1090">
        <v>702</v>
      </c>
      <c r="I1090">
        <v>2014</v>
      </c>
      <c r="J1090">
        <v>37</v>
      </c>
      <c r="K1090">
        <f>allFYsTable[[#This Row],[Actual]]-allFYsTable[[#This Row],[OriginalBudget]]</f>
        <v>-593</v>
      </c>
      <c r="L1090" s="11">
        <f>allFYsTable[[#This Row],[DiffAmount]]/allFYsTable[[#This Row],[OriginalBudget]]</f>
        <v>-4.069727541006108E-2</v>
      </c>
    </row>
    <row r="1091" spans="1:12" x14ac:dyDescent="0.45">
      <c r="A1091" t="s">
        <v>1031</v>
      </c>
      <c r="B1091" t="s">
        <v>286</v>
      </c>
      <c r="C1091" t="s">
        <v>795</v>
      </c>
      <c r="D1091" t="s">
        <v>72</v>
      </c>
      <c r="E1091">
        <v>1170</v>
      </c>
      <c r="F1091">
        <v>1193</v>
      </c>
      <c r="G1091">
        <v>540</v>
      </c>
      <c r="H1091">
        <v>653</v>
      </c>
      <c r="I1091">
        <v>2014</v>
      </c>
      <c r="J1091">
        <v>38</v>
      </c>
      <c r="K1091">
        <f>allFYsTable[[#This Row],[Actual]]-allFYsTable[[#This Row],[OriginalBudget]]</f>
        <v>-630</v>
      </c>
      <c r="L1091" s="11">
        <f>allFYsTable[[#This Row],[DiffAmount]]/allFYsTable[[#This Row],[OriginalBudget]]</f>
        <v>-0.53846153846153844</v>
      </c>
    </row>
    <row r="1092" spans="1:12" x14ac:dyDescent="0.45">
      <c r="A1092" t="s">
        <v>1031</v>
      </c>
      <c r="B1092" t="s">
        <v>286</v>
      </c>
      <c r="C1092" t="s">
        <v>736</v>
      </c>
      <c r="D1092" t="s">
        <v>1049</v>
      </c>
      <c r="E1092">
        <v>10807</v>
      </c>
      <c r="F1092">
        <v>15143</v>
      </c>
      <c r="G1092">
        <v>14935</v>
      </c>
      <c r="H1092">
        <v>208</v>
      </c>
      <c r="I1092">
        <v>2014</v>
      </c>
      <c r="J1092">
        <v>39</v>
      </c>
      <c r="K1092">
        <f>allFYsTable[[#This Row],[Actual]]-allFYsTable[[#This Row],[OriginalBudget]]</f>
        <v>4128</v>
      </c>
      <c r="L1092" s="11">
        <f>allFYsTable[[#This Row],[DiffAmount]]/allFYsTable[[#This Row],[OriginalBudget]]</f>
        <v>0.38197464606273712</v>
      </c>
    </row>
    <row r="1093" spans="1:12" x14ac:dyDescent="0.45">
      <c r="A1093" t="s">
        <v>1031</v>
      </c>
      <c r="B1093" t="s">
        <v>286</v>
      </c>
      <c r="C1093" t="s">
        <v>739</v>
      </c>
      <c r="D1093" t="s">
        <v>23</v>
      </c>
      <c r="E1093">
        <v>38963</v>
      </c>
      <c r="F1093">
        <v>38963</v>
      </c>
      <c r="G1093">
        <v>34934</v>
      </c>
      <c r="H1093">
        <v>4029</v>
      </c>
      <c r="I1093">
        <v>2014</v>
      </c>
      <c r="J1093">
        <v>40</v>
      </c>
      <c r="K1093">
        <f>allFYsTable[[#This Row],[Actual]]-allFYsTable[[#This Row],[OriginalBudget]]</f>
        <v>-4029</v>
      </c>
      <c r="L1093" s="11">
        <f>allFYsTable[[#This Row],[DiffAmount]]/allFYsTable[[#This Row],[OriginalBudget]]</f>
        <v>-0.10340579524163951</v>
      </c>
    </row>
    <row r="1094" spans="1:12" x14ac:dyDescent="0.45">
      <c r="A1094" t="s">
        <v>1031</v>
      </c>
      <c r="B1094" t="s">
        <v>286</v>
      </c>
      <c r="C1094" t="s">
        <v>734</v>
      </c>
      <c r="D1094" t="s">
        <v>843</v>
      </c>
      <c r="E1094">
        <v>0</v>
      </c>
      <c r="F1094">
        <v>0</v>
      </c>
      <c r="G1094">
        <v>0</v>
      </c>
      <c r="H1094">
        <v>0</v>
      </c>
      <c r="I1094">
        <v>2014</v>
      </c>
      <c r="J1094">
        <v>41</v>
      </c>
      <c r="K1094">
        <f>allFYsTable[[#This Row],[Actual]]-allFYsTable[[#This Row],[OriginalBudget]]</f>
        <v>0</v>
      </c>
      <c r="L1094" s="11" t="e">
        <f>allFYsTable[[#This Row],[DiffAmount]]/allFYsTable[[#This Row],[OriginalBudget]]</f>
        <v>#DIV/0!</v>
      </c>
    </row>
    <row r="1095" spans="1:12" x14ac:dyDescent="0.45">
      <c r="A1095" t="s">
        <v>1031</v>
      </c>
      <c r="B1095" t="s">
        <v>286</v>
      </c>
      <c r="C1095" t="s">
        <v>740</v>
      </c>
      <c r="D1095" t="s">
        <v>24</v>
      </c>
      <c r="E1095">
        <v>0</v>
      </c>
      <c r="F1095">
        <v>38966</v>
      </c>
      <c r="G1095">
        <v>38966</v>
      </c>
      <c r="H1095">
        <v>0</v>
      </c>
      <c r="I1095">
        <v>2014</v>
      </c>
      <c r="J1095">
        <v>42</v>
      </c>
      <c r="K1095">
        <f>allFYsTable[[#This Row],[Actual]]-allFYsTable[[#This Row],[OriginalBudget]]</f>
        <v>38966</v>
      </c>
      <c r="L1095" s="11" t="e">
        <f>allFYsTable[[#This Row],[DiffAmount]]/allFYsTable[[#This Row],[OriginalBudget]]</f>
        <v>#DIV/0!</v>
      </c>
    </row>
    <row r="1096" spans="1:12" x14ac:dyDescent="0.45">
      <c r="A1096" t="s">
        <v>1031</v>
      </c>
      <c r="B1096" t="s">
        <v>286</v>
      </c>
      <c r="C1096" t="s">
        <v>839</v>
      </c>
      <c r="D1096" t="s">
        <v>287</v>
      </c>
      <c r="E1096">
        <v>2132</v>
      </c>
      <c r="F1096">
        <v>2400</v>
      </c>
      <c r="G1096">
        <v>2266</v>
      </c>
      <c r="H1096">
        <v>134</v>
      </c>
      <c r="I1096">
        <v>2014</v>
      </c>
      <c r="J1096">
        <v>43</v>
      </c>
      <c r="K1096">
        <f>allFYsTable[[#This Row],[Actual]]-allFYsTable[[#This Row],[OriginalBudget]]</f>
        <v>134</v>
      </c>
      <c r="L1096" s="11">
        <f>allFYsTable[[#This Row],[DiffAmount]]/allFYsTable[[#This Row],[OriginalBudget]]</f>
        <v>6.2851782363977482E-2</v>
      </c>
    </row>
    <row r="1097" spans="1:12" x14ac:dyDescent="0.45">
      <c r="A1097" t="s">
        <v>1031</v>
      </c>
      <c r="B1097" t="s">
        <v>286</v>
      </c>
      <c r="C1097" t="s">
        <v>806</v>
      </c>
      <c r="D1097" t="s">
        <v>82</v>
      </c>
      <c r="E1097">
        <v>0</v>
      </c>
      <c r="F1097">
        <v>0</v>
      </c>
      <c r="G1097">
        <v>0</v>
      </c>
      <c r="H1097">
        <v>0</v>
      </c>
      <c r="I1097">
        <v>2014</v>
      </c>
      <c r="J1097">
        <v>44</v>
      </c>
      <c r="K1097">
        <f>allFYsTable[[#This Row],[Actual]]-allFYsTable[[#This Row],[OriginalBudget]]</f>
        <v>0</v>
      </c>
      <c r="L1097" s="11" t="e">
        <f>allFYsTable[[#This Row],[DiffAmount]]/allFYsTable[[#This Row],[OriginalBudget]]</f>
        <v>#DIV/0!</v>
      </c>
    </row>
    <row r="1098" spans="1:12" x14ac:dyDescent="0.45">
      <c r="A1098" t="s">
        <v>1031</v>
      </c>
      <c r="B1098" t="s">
        <v>286</v>
      </c>
      <c r="C1098" t="s">
        <v>877</v>
      </c>
      <c r="D1098" t="s">
        <v>288</v>
      </c>
      <c r="E1098">
        <v>0</v>
      </c>
      <c r="F1098">
        <v>0</v>
      </c>
      <c r="G1098">
        <v>0</v>
      </c>
      <c r="H1098">
        <v>0</v>
      </c>
      <c r="I1098">
        <v>2014</v>
      </c>
      <c r="J1098">
        <v>45</v>
      </c>
      <c r="K1098">
        <f>allFYsTable[[#This Row],[Actual]]-allFYsTable[[#This Row],[OriginalBudget]]</f>
        <v>0</v>
      </c>
      <c r="L1098" s="11" t="e">
        <f>allFYsTable[[#This Row],[DiffAmount]]/allFYsTable[[#This Row],[OriginalBudget]]</f>
        <v>#DIV/0!</v>
      </c>
    </row>
    <row r="1099" spans="1:12" x14ac:dyDescent="0.45">
      <c r="A1099" t="s">
        <v>1031</v>
      </c>
      <c r="B1099" t="s">
        <v>286</v>
      </c>
      <c r="C1099" t="s">
        <v>805</v>
      </c>
      <c r="D1099" t="s">
        <v>922</v>
      </c>
      <c r="E1099">
        <v>0</v>
      </c>
      <c r="F1099">
        <v>0</v>
      </c>
      <c r="G1099">
        <v>0</v>
      </c>
      <c r="H1099">
        <v>0</v>
      </c>
      <c r="I1099">
        <v>2014</v>
      </c>
      <c r="J1099">
        <v>46</v>
      </c>
      <c r="K1099">
        <f>allFYsTable[[#This Row],[Actual]]-allFYsTable[[#This Row],[OriginalBudget]]</f>
        <v>0</v>
      </c>
      <c r="L1099" s="11" t="e">
        <f>allFYsTable[[#This Row],[DiffAmount]]/allFYsTable[[#This Row],[OriginalBudget]]</f>
        <v>#DIV/0!</v>
      </c>
    </row>
    <row r="1100" spans="1:12" x14ac:dyDescent="0.45">
      <c r="A1100" t="s">
        <v>1031</v>
      </c>
      <c r="B1100" t="s">
        <v>286</v>
      </c>
      <c r="C1100" t="s">
        <v>866</v>
      </c>
      <c r="D1100" t="s">
        <v>285</v>
      </c>
      <c r="E1100">
        <v>0</v>
      </c>
      <c r="F1100">
        <v>3798</v>
      </c>
      <c r="G1100">
        <v>3798</v>
      </c>
      <c r="H1100">
        <v>0</v>
      </c>
      <c r="I1100">
        <v>2014</v>
      </c>
      <c r="J1100">
        <v>47</v>
      </c>
      <c r="K1100">
        <f>allFYsTable[[#This Row],[Actual]]-allFYsTable[[#This Row],[OriginalBudget]]</f>
        <v>3798</v>
      </c>
      <c r="L1100" s="11" t="e">
        <f>allFYsTable[[#This Row],[DiffAmount]]/allFYsTable[[#This Row],[OriginalBudget]]</f>
        <v>#DIV/0!</v>
      </c>
    </row>
    <row r="1101" spans="1:12" x14ac:dyDescent="0.45">
      <c r="A1101" t="s">
        <v>1031</v>
      </c>
      <c r="B1101" t="s">
        <v>255</v>
      </c>
      <c r="C1101" t="s">
        <v>758</v>
      </c>
      <c r="D1101" t="s">
        <v>44</v>
      </c>
      <c r="E1101">
        <v>476289</v>
      </c>
      <c r="F1101">
        <v>491520</v>
      </c>
      <c r="G1101">
        <v>490703</v>
      </c>
      <c r="H1101">
        <v>817</v>
      </c>
      <c r="I1101">
        <v>2014</v>
      </c>
      <c r="J1101">
        <v>48</v>
      </c>
      <c r="K1101">
        <f>allFYsTable[[#This Row],[Actual]]-allFYsTable[[#This Row],[OriginalBudget]]</f>
        <v>14414</v>
      </c>
      <c r="L1101" s="11">
        <f>allFYsTable[[#This Row],[DiffAmount]]/allFYsTable[[#This Row],[OriginalBudget]]</f>
        <v>3.0263138556632634E-2</v>
      </c>
    </row>
    <row r="1102" spans="1:12" x14ac:dyDescent="0.45">
      <c r="A1102" t="s">
        <v>1031</v>
      </c>
      <c r="B1102" t="s">
        <v>255</v>
      </c>
      <c r="C1102" t="s">
        <v>755</v>
      </c>
      <c r="D1102" t="s">
        <v>131</v>
      </c>
      <c r="E1102">
        <v>197951</v>
      </c>
      <c r="F1102">
        <v>215700</v>
      </c>
      <c r="G1102">
        <v>215284</v>
      </c>
      <c r="H1102">
        <v>416</v>
      </c>
      <c r="I1102">
        <v>2014</v>
      </c>
      <c r="J1102">
        <v>49</v>
      </c>
      <c r="K1102">
        <f>allFYsTable[[#This Row],[Actual]]-allFYsTable[[#This Row],[OriginalBudget]]</f>
        <v>17333</v>
      </c>
      <c r="L1102" s="11">
        <f>allFYsTable[[#This Row],[DiffAmount]]/allFYsTable[[#This Row],[OriginalBudget]]</f>
        <v>8.7562073442417565E-2</v>
      </c>
    </row>
    <row r="1103" spans="1:12" x14ac:dyDescent="0.45">
      <c r="A1103" t="s">
        <v>1031</v>
      </c>
      <c r="B1103" t="s">
        <v>255</v>
      </c>
      <c r="C1103" t="s">
        <v>768</v>
      </c>
      <c r="D1103" t="s">
        <v>936</v>
      </c>
      <c r="E1103">
        <v>110766</v>
      </c>
      <c r="F1103">
        <v>110766</v>
      </c>
      <c r="G1103">
        <v>109199</v>
      </c>
      <c r="H1103">
        <v>1567</v>
      </c>
      <c r="I1103">
        <v>2014</v>
      </c>
      <c r="J1103">
        <v>50</v>
      </c>
      <c r="K1103">
        <f>allFYsTable[[#This Row],[Actual]]-allFYsTable[[#This Row],[OriginalBudget]]</f>
        <v>-1567</v>
      </c>
      <c r="L1103" s="11">
        <f>allFYsTable[[#This Row],[DiffAmount]]/allFYsTable[[#This Row],[OriginalBudget]]</f>
        <v>-1.4146940396872686E-2</v>
      </c>
    </row>
    <row r="1104" spans="1:12" x14ac:dyDescent="0.45">
      <c r="A1104" t="s">
        <v>1031</v>
      </c>
      <c r="B1104" t="s">
        <v>255</v>
      </c>
      <c r="C1104" t="s">
        <v>759</v>
      </c>
      <c r="D1104" t="s">
        <v>133</v>
      </c>
      <c r="E1104">
        <v>8232</v>
      </c>
      <c r="F1104">
        <v>7963</v>
      </c>
      <c r="G1104">
        <v>7183</v>
      </c>
      <c r="H1104">
        <v>780</v>
      </c>
      <c r="I1104">
        <v>2014</v>
      </c>
      <c r="J1104">
        <v>51</v>
      </c>
      <c r="K1104">
        <f>allFYsTable[[#This Row],[Actual]]-allFYsTable[[#This Row],[OriginalBudget]]</f>
        <v>-1049</v>
      </c>
      <c r="L1104" s="11">
        <f>allFYsTable[[#This Row],[DiffAmount]]/allFYsTable[[#This Row],[OriginalBudget]]</f>
        <v>-0.12742954324586978</v>
      </c>
    </row>
    <row r="1105" spans="1:12" x14ac:dyDescent="0.45">
      <c r="A1105" t="s">
        <v>1031</v>
      </c>
      <c r="B1105" t="s">
        <v>255</v>
      </c>
      <c r="C1105" t="s">
        <v>749</v>
      </c>
      <c r="D1105" t="s">
        <v>35</v>
      </c>
      <c r="E1105">
        <v>516</v>
      </c>
      <c r="F1105">
        <v>522</v>
      </c>
      <c r="G1105">
        <v>435</v>
      </c>
      <c r="H1105">
        <v>87</v>
      </c>
      <c r="I1105">
        <v>2014</v>
      </c>
      <c r="J1105">
        <v>52</v>
      </c>
      <c r="K1105">
        <f>allFYsTable[[#This Row],[Actual]]-allFYsTable[[#This Row],[OriginalBudget]]</f>
        <v>-81</v>
      </c>
      <c r="L1105" s="11">
        <f>allFYsTable[[#This Row],[DiffAmount]]/allFYsTable[[#This Row],[OriginalBudget]]</f>
        <v>-0.15697674418604651</v>
      </c>
    </row>
    <row r="1106" spans="1:12" x14ac:dyDescent="0.45">
      <c r="A1106" t="s">
        <v>1031</v>
      </c>
      <c r="B1106" t="s">
        <v>255</v>
      </c>
      <c r="C1106" t="s">
        <v>750</v>
      </c>
      <c r="D1106" t="s">
        <v>36</v>
      </c>
      <c r="E1106">
        <v>118803</v>
      </c>
      <c r="F1106">
        <v>117339</v>
      </c>
      <c r="G1106">
        <v>114521</v>
      </c>
      <c r="H1106">
        <v>2818</v>
      </c>
      <c r="I1106">
        <v>2014</v>
      </c>
      <c r="J1106">
        <v>53</v>
      </c>
      <c r="K1106">
        <f>allFYsTable[[#This Row],[Actual]]-allFYsTable[[#This Row],[OriginalBudget]]</f>
        <v>-4282</v>
      </c>
      <c r="L1106" s="11">
        <f>allFYsTable[[#This Row],[DiffAmount]]/allFYsTable[[#This Row],[OriginalBudget]]</f>
        <v>-3.6042860870516738E-2</v>
      </c>
    </row>
    <row r="1107" spans="1:12" x14ac:dyDescent="0.45">
      <c r="A1107" t="s">
        <v>1031</v>
      </c>
      <c r="B1107" t="s">
        <v>255</v>
      </c>
      <c r="C1107" t="s">
        <v>764</v>
      </c>
      <c r="D1107" t="s">
        <v>50</v>
      </c>
      <c r="E1107">
        <v>8790</v>
      </c>
      <c r="F1107">
        <v>9003</v>
      </c>
      <c r="G1107">
        <v>8392</v>
      </c>
      <c r="H1107">
        <v>611</v>
      </c>
      <c r="I1107">
        <v>2014</v>
      </c>
      <c r="J1107">
        <v>54</v>
      </c>
      <c r="K1107">
        <f>allFYsTable[[#This Row],[Actual]]-allFYsTable[[#This Row],[OriginalBudget]]</f>
        <v>-398</v>
      </c>
      <c r="L1107" s="11">
        <f>allFYsTable[[#This Row],[DiffAmount]]/allFYsTable[[#This Row],[OriginalBudget]]</f>
        <v>-4.5278725824800907E-2</v>
      </c>
    </row>
    <row r="1108" spans="1:12" x14ac:dyDescent="0.45">
      <c r="A1108" t="s">
        <v>1031</v>
      </c>
      <c r="B1108" t="s">
        <v>255</v>
      </c>
      <c r="C1108" t="s">
        <v>753</v>
      </c>
      <c r="D1108" t="s">
        <v>256</v>
      </c>
      <c r="E1108">
        <v>2941</v>
      </c>
      <c r="F1108">
        <v>3994</v>
      </c>
      <c r="G1108">
        <v>3898</v>
      </c>
      <c r="H1108">
        <v>96</v>
      </c>
      <c r="I1108">
        <v>2014</v>
      </c>
      <c r="J1108">
        <v>55</v>
      </c>
      <c r="K1108">
        <f>allFYsTable[[#This Row],[Actual]]-allFYsTable[[#This Row],[OriginalBudget]]</f>
        <v>957</v>
      </c>
      <c r="L1108" s="11">
        <f>allFYsTable[[#This Row],[DiffAmount]]/allFYsTable[[#This Row],[OriginalBudget]]</f>
        <v>0.32539952397143829</v>
      </c>
    </row>
    <row r="1109" spans="1:12" x14ac:dyDescent="0.45">
      <c r="A1109" t="s">
        <v>1031</v>
      </c>
      <c r="B1109" t="s">
        <v>255</v>
      </c>
      <c r="C1109" t="s">
        <v>756</v>
      </c>
      <c r="D1109" t="s">
        <v>257</v>
      </c>
      <c r="E1109">
        <v>2027</v>
      </c>
      <c r="F1109">
        <v>2075</v>
      </c>
      <c r="G1109">
        <v>2067</v>
      </c>
      <c r="H1109">
        <v>8</v>
      </c>
      <c r="I1109">
        <v>2014</v>
      </c>
      <c r="J1109">
        <v>56</v>
      </c>
      <c r="K1109">
        <f>allFYsTable[[#This Row],[Actual]]-allFYsTable[[#This Row],[OriginalBudget]]</f>
        <v>40</v>
      </c>
      <c r="L1109" s="11">
        <f>allFYsTable[[#This Row],[DiffAmount]]/allFYsTable[[#This Row],[OriginalBudget]]</f>
        <v>1.9733596447952639E-2</v>
      </c>
    </row>
    <row r="1110" spans="1:12" x14ac:dyDescent="0.45">
      <c r="A1110" t="s">
        <v>1031</v>
      </c>
      <c r="B1110" t="s">
        <v>255</v>
      </c>
      <c r="C1110" t="s">
        <v>746</v>
      </c>
      <c r="D1110" t="s">
        <v>258</v>
      </c>
      <c r="E1110">
        <v>0</v>
      </c>
      <c r="F1110">
        <v>0</v>
      </c>
      <c r="G1110">
        <v>0</v>
      </c>
      <c r="H1110">
        <v>0</v>
      </c>
      <c r="I1110">
        <v>2014</v>
      </c>
      <c r="J1110">
        <v>57</v>
      </c>
      <c r="K1110">
        <f>allFYsTable[[#This Row],[Actual]]-allFYsTable[[#This Row],[OriginalBudget]]</f>
        <v>0</v>
      </c>
      <c r="L1110" s="11" t="e">
        <f>allFYsTable[[#This Row],[DiffAmount]]/allFYsTable[[#This Row],[OriginalBudget]]</f>
        <v>#DIV/0!</v>
      </c>
    </row>
    <row r="1111" spans="1:12" x14ac:dyDescent="0.45">
      <c r="A1111" t="s">
        <v>1031</v>
      </c>
      <c r="B1111" t="s">
        <v>255</v>
      </c>
      <c r="C1111" t="s">
        <v>757</v>
      </c>
      <c r="D1111" t="s">
        <v>43</v>
      </c>
      <c r="E1111">
        <v>65</v>
      </c>
      <c r="F1111">
        <v>65</v>
      </c>
      <c r="G1111">
        <v>59</v>
      </c>
      <c r="H1111">
        <v>6</v>
      </c>
      <c r="I1111">
        <v>2014</v>
      </c>
      <c r="J1111">
        <v>58</v>
      </c>
      <c r="K1111">
        <f>allFYsTable[[#This Row],[Actual]]-allFYsTable[[#This Row],[OriginalBudget]]</f>
        <v>-6</v>
      </c>
      <c r="L1111" s="11">
        <f>allFYsTable[[#This Row],[DiffAmount]]/allFYsTable[[#This Row],[OriginalBudget]]</f>
        <v>-9.2307692307692313E-2</v>
      </c>
    </row>
    <row r="1112" spans="1:12" x14ac:dyDescent="0.45">
      <c r="A1112" t="s">
        <v>1031</v>
      </c>
      <c r="B1112" t="s">
        <v>255</v>
      </c>
      <c r="C1112" t="s">
        <v>762</v>
      </c>
      <c r="D1112" t="s">
        <v>48</v>
      </c>
      <c r="E1112">
        <v>2110</v>
      </c>
      <c r="F1112">
        <v>2169</v>
      </c>
      <c r="G1112">
        <v>2080</v>
      </c>
      <c r="H1112">
        <v>89</v>
      </c>
      <c r="I1112">
        <v>2014</v>
      </c>
      <c r="J1112">
        <v>59</v>
      </c>
      <c r="K1112">
        <f>allFYsTable[[#This Row],[Actual]]-allFYsTable[[#This Row],[OriginalBudget]]</f>
        <v>-30</v>
      </c>
      <c r="L1112" s="11">
        <f>allFYsTable[[#This Row],[DiffAmount]]/allFYsTable[[#This Row],[OriginalBudget]]</f>
        <v>-1.4218009478672985E-2</v>
      </c>
    </row>
    <row r="1113" spans="1:12" x14ac:dyDescent="0.45">
      <c r="A1113" t="s">
        <v>1031</v>
      </c>
      <c r="B1113" t="s">
        <v>255</v>
      </c>
      <c r="C1113" t="s">
        <v>766</v>
      </c>
      <c r="D1113" t="s">
        <v>52</v>
      </c>
      <c r="E1113">
        <v>27350</v>
      </c>
      <c r="F1113">
        <v>28097</v>
      </c>
      <c r="G1113">
        <v>28042</v>
      </c>
      <c r="H1113">
        <v>55</v>
      </c>
      <c r="I1113">
        <v>2014</v>
      </c>
      <c r="J1113">
        <v>60</v>
      </c>
      <c r="K1113">
        <f>allFYsTable[[#This Row],[Actual]]-allFYsTable[[#This Row],[OriginalBudget]]</f>
        <v>692</v>
      </c>
      <c r="L1113" s="11">
        <f>allFYsTable[[#This Row],[DiffAmount]]/allFYsTable[[#This Row],[OriginalBudget]]</f>
        <v>2.530164533820841E-2</v>
      </c>
    </row>
    <row r="1114" spans="1:12" x14ac:dyDescent="0.45">
      <c r="A1114" t="s">
        <v>1031</v>
      </c>
      <c r="B1114" t="s">
        <v>255</v>
      </c>
      <c r="C1114" t="s">
        <v>867</v>
      </c>
      <c r="D1114" t="s">
        <v>289</v>
      </c>
      <c r="E1114">
        <v>0</v>
      </c>
      <c r="F1114">
        <v>421</v>
      </c>
      <c r="G1114">
        <v>421</v>
      </c>
      <c r="H1114">
        <v>0</v>
      </c>
      <c r="I1114">
        <v>2014</v>
      </c>
      <c r="J1114">
        <v>61</v>
      </c>
      <c r="K1114">
        <f>allFYsTable[[#This Row],[Actual]]-allFYsTable[[#This Row],[OriginalBudget]]</f>
        <v>421</v>
      </c>
      <c r="L1114" s="11" t="e">
        <f>allFYsTable[[#This Row],[DiffAmount]]/allFYsTable[[#This Row],[OriginalBudget]]</f>
        <v>#DIV/0!</v>
      </c>
    </row>
    <row r="1115" spans="1:12" x14ac:dyDescent="0.45">
      <c r="A1115" t="s">
        <v>1031</v>
      </c>
      <c r="B1115" t="s">
        <v>255</v>
      </c>
      <c r="C1115" t="s">
        <v>754</v>
      </c>
      <c r="D1115" t="s">
        <v>290</v>
      </c>
      <c r="E1115">
        <v>1407</v>
      </c>
      <c r="F1115">
        <v>1439</v>
      </c>
      <c r="G1115">
        <v>1267</v>
      </c>
      <c r="H1115">
        <v>172</v>
      </c>
      <c r="I1115">
        <v>2014</v>
      </c>
      <c r="J1115">
        <v>62</v>
      </c>
      <c r="K1115">
        <f>allFYsTable[[#This Row],[Actual]]-allFYsTable[[#This Row],[OriginalBudget]]</f>
        <v>-140</v>
      </c>
      <c r="L1115" s="11">
        <f>allFYsTable[[#This Row],[DiffAmount]]/allFYsTable[[#This Row],[OriginalBudget]]</f>
        <v>-9.950248756218906E-2</v>
      </c>
    </row>
    <row r="1116" spans="1:12" x14ac:dyDescent="0.45">
      <c r="A1116" t="s">
        <v>1031</v>
      </c>
      <c r="B1116" t="s">
        <v>255</v>
      </c>
      <c r="C1116" t="s">
        <v>765</v>
      </c>
      <c r="D1116" t="s">
        <v>51</v>
      </c>
      <c r="E1116">
        <v>17783</v>
      </c>
      <c r="F1116">
        <v>18628</v>
      </c>
      <c r="G1116">
        <v>18348</v>
      </c>
      <c r="H1116">
        <v>280</v>
      </c>
      <c r="I1116">
        <v>2014</v>
      </c>
      <c r="J1116">
        <v>63</v>
      </c>
      <c r="K1116">
        <f>allFYsTable[[#This Row],[Actual]]-allFYsTable[[#This Row],[OriginalBudget]]</f>
        <v>565</v>
      </c>
      <c r="L1116" s="11">
        <f>allFYsTable[[#This Row],[DiffAmount]]/allFYsTable[[#This Row],[OriginalBudget]]</f>
        <v>3.1771916999381429E-2</v>
      </c>
    </row>
    <row r="1117" spans="1:12" x14ac:dyDescent="0.45">
      <c r="A1117" t="s">
        <v>1031</v>
      </c>
      <c r="B1117" t="s">
        <v>255</v>
      </c>
      <c r="C1117" t="s">
        <v>751</v>
      </c>
      <c r="D1117" t="s">
        <v>924</v>
      </c>
      <c r="E1117">
        <v>12391</v>
      </c>
      <c r="F1117">
        <v>12646</v>
      </c>
      <c r="G1117">
        <v>11856</v>
      </c>
      <c r="H1117">
        <v>790</v>
      </c>
      <c r="I1117">
        <v>2014</v>
      </c>
      <c r="J1117">
        <v>64</v>
      </c>
      <c r="K1117">
        <f>allFYsTable[[#This Row],[Actual]]-allFYsTable[[#This Row],[OriginalBudget]]</f>
        <v>-535</v>
      </c>
      <c r="L1117" s="11">
        <f>allFYsTable[[#This Row],[DiffAmount]]/allFYsTable[[#This Row],[OriginalBudget]]</f>
        <v>-4.3176499071907029E-2</v>
      </c>
    </row>
    <row r="1118" spans="1:12" x14ac:dyDescent="0.45">
      <c r="A1118" t="s">
        <v>1031</v>
      </c>
      <c r="B1118" t="s">
        <v>925</v>
      </c>
      <c r="C1118" t="s">
        <v>773</v>
      </c>
      <c r="D1118" t="s">
        <v>926</v>
      </c>
      <c r="E1118">
        <v>644437</v>
      </c>
      <c r="F1118">
        <v>644580</v>
      </c>
      <c r="G1118">
        <v>644563</v>
      </c>
      <c r="H1118">
        <v>17</v>
      </c>
      <c r="I1118">
        <v>2014</v>
      </c>
      <c r="J1118">
        <v>65</v>
      </c>
      <c r="K1118">
        <f>allFYsTable[[#This Row],[Actual]]-allFYsTable[[#This Row],[OriginalBudget]]</f>
        <v>126</v>
      </c>
      <c r="L1118" s="11">
        <f>allFYsTable[[#This Row],[DiffAmount]]/allFYsTable[[#This Row],[OriginalBudget]]</f>
        <v>1.9551949996663754E-4</v>
      </c>
    </row>
    <row r="1119" spans="1:12" x14ac:dyDescent="0.45">
      <c r="A1119" t="s">
        <v>1031</v>
      </c>
      <c r="B1119" t="s">
        <v>925</v>
      </c>
      <c r="C1119" t="s">
        <v>870</v>
      </c>
      <c r="D1119" t="s">
        <v>937</v>
      </c>
      <c r="E1119">
        <v>0</v>
      </c>
      <c r="F1119">
        <v>9237</v>
      </c>
      <c r="G1119">
        <v>9237</v>
      </c>
      <c r="H1119">
        <v>0</v>
      </c>
      <c r="I1119">
        <v>2014</v>
      </c>
      <c r="J1119">
        <v>66</v>
      </c>
      <c r="K1119">
        <f>allFYsTable[[#This Row],[Actual]]-allFYsTable[[#This Row],[OriginalBudget]]</f>
        <v>9237</v>
      </c>
      <c r="L1119" s="11" t="e">
        <f>allFYsTable[[#This Row],[DiffAmount]]/allFYsTable[[#This Row],[OriginalBudget]]</f>
        <v>#DIV/0!</v>
      </c>
    </row>
    <row r="1120" spans="1:12" x14ac:dyDescent="0.45">
      <c r="A1120" t="s">
        <v>1031</v>
      </c>
      <c r="B1120" t="s">
        <v>925</v>
      </c>
      <c r="C1120" t="s">
        <v>772</v>
      </c>
      <c r="D1120" t="s">
        <v>260</v>
      </c>
      <c r="E1120">
        <v>616499</v>
      </c>
      <c r="F1120">
        <v>426696</v>
      </c>
      <c r="G1120">
        <v>426696</v>
      </c>
      <c r="H1120">
        <v>0</v>
      </c>
      <c r="I1120">
        <v>2014</v>
      </c>
      <c r="J1120">
        <v>67</v>
      </c>
      <c r="K1120">
        <f>allFYsTable[[#This Row],[Actual]]-allFYsTable[[#This Row],[OriginalBudget]]</f>
        <v>-189803</v>
      </c>
      <c r="L1120" s="11">
        <f>allFYsTable[[#This Row],[DiffAmount]]/allFYsTable[[#This Row],[OriginalBudget]]</f>
        <v>-0.30787235664615836</v>
      </c>
    </row>
    <row r="1121" spans="1:12" x14ac:dyDescent="0.45">
      <c r="A1121" t="s">
        <v>1031</v>
      </c>
      <c r="B1121" t="s">
        <v>925</v>
      </c>
      <c r="C1121" t="s">
        <v>869</v>
      </c>
      <c r="D1121" t="s">
        <v>291</v>
      </c>
      <c r="E1121">
        <v>0</v>
      </c>
      <c r="F1121">
        <v>201283</v>
      </c>
      <c r="G1121">
        <v>201283</v>
      </c>
      <c r="H1121">
        <v>0</v>
      </c>
      <c r="I1121">
        <v>2014</v>
      </c>
      <c r="J1121">
        <v>68</v>
      </c>
      <c r="K1121">
        <f>allFYsTable[[#This Row],[Actual]]-allFYsTable[[#This Row],[OriginalBudget]]</f>
        <v>201283</v>
      </c>
      <c r="L1121" s="11" t="e">
        <f>allFYsTable[[#This Row],[DiffAmount]]/allFYsTable[[#This Row],[OriginalBudget]]</f>
        <v>#DIV/0!</v>
      </c>
    </row>
    <row r="1122" spans="1:12" x14ac:dyDescent="0.45">
      <c r="A1122" t="s">
        <v>1031</v>
      </c>
      <c r="B1122" t="s">
        <v>925</v>
      </c>
      <c r="C1122" t="s">
        <v>782</v>
      </c>
      <c r="D1122" t="s">
        <v>262</v>
      </c>
      <c r="E1122">
        <v>31636</v>
      </c>
      <c r="F1122">
        <v>31636</v>
      </c>
      <c r="G1122">
        <v>31573</v>
      </c>
      <c r="H1122">
        <v>63</v>
      </c>
      <c r="I1122">
        <v>2014</v>
      </c>
      <c r="J1122">
        <v>69</v>
      </c>
      <c r="K1122">
        <f>allFYsTable[[#This Row],[Actual]]-allFYsTable[[#This Row],[OriginalBudget]]</f>
        <v>-63</v>
      </c>
      <c r="L1122" s="11">
        <f>allFYsTable[[#This Row],[DiffAmount]]/allFYsTable[[#This Row],[OriginalBudget]]</f>
        <v>-1.9914022000252878E-3</v>
      </c>
    </row>
    <row r="1123" spans="1:12" x14ac:dyDescent="0.45">
      <c r="A1123" t="s">
        <v>1031</v>
      </c>
      <c r="B1123" t="s">
        <v>925</v>
      </c>
      <c r="C1123" t="s">
        <v>784</v>
      </c>
      <c r="D1123" t="s">
        <v>928</v>
      </c>
      <c r="E1123">
        <v>66691</v>
      </c>
      <c r="F1123">
        <v>66691</v>
      </c>
      <c r="G1123">
        <v>66691</v>
      </c>
      <c r="H1123">
        <v>0</v>
      </c>
      <c r="I1123">
        <v>2014</v>
      </c>
      <c r="J1123">
        <v>70</v>
      </c>
      <c r="K1123">
        <f>allFYsTable[[#This Row],[Actual]]-allFYsTable[[#This Row],[OriginalBudget]]</f>
        <v>0</v>
      </c>
      <c r="L1123" s="11">
        <f>allFYsTable[[#This Row],[DiffAmount]]/allFYsTable[[#This Row],[OriginalBudget]]</f>
        <v>0</v>
      </c>
    </row>
    <row r="1124" spans="1:12" x14ac:dyDescent="0.45">
      <c r="A1124" t="s">
        <v>1031</v>
      </c>
      <c r="B1124" t="s">
        <v>925</v>
      </c>
      <c r="C1124" t="s">
        <v>779</v>
      </c>
      <c r="D1124" t="s">
        <v>141</v>
      </c>
      <c r="E1124">
        <v>122143</v>
      </c>
      <c r="F1124">
        <v>133473</v>
      </c>
      <c r="G1124">
        <v>127661</v>
      </c>
      <c r="H1124">
        <v>5812</v>
      </c>
      <c r="I1124">
        <v>2014</v>
      </c>
      <c r="J1124">
        <v>71</v>
      </c>
      <c r="K1124">
        <f>allFYsTable[[#This Row],[Actual]]-allFYsTable[[#This Row],[OriginalBudget]]</f>
        <v>5518</v>
      </c>
      <c r="L1124" s="11">
        <f>allFYsTable[[#This Row],[DiffAmount]]/allFYsTable[[#This Row],[OriginalBudget]]</f>
        <v>4.5176555349058074E-2</v>
      </c>
    </row>
    <row r="1125" spans="1:12" x14ac:dyDescent="0.45">
      <c r="A1125" t="s">
        <v>1031</v>
      </c>
      <c r="B1125" t="s">
        <v>925</v>
      </c>
      <c r="C1125" t="s">
        <v>781</v>
      </c>
      <c r="D1125" t="s">
        <v>263</v>
      </c>
      <c r="E1125">
        <v>866</v>
      </c>
      <c r="F1125">
        <v>866</v>
      </c>
      <c r="G1125">
        <v>820</v>
      </c>
      <c r="H1125">
        <v>46</v>
      </c>
      <c r="I1125">
        <v>2014</v>
      </c>
      <c r="J1125">
        <v>72</v>
      </c>
      <c r="K1125">
        <f>allFYsTable[[#This Row],[Actual]]-allFYsTable[[#This Row],[OriginalBudget]]</f>
        <v>-46</v>
      </c>
      <c r="L1125" s="11">
        <f>allFYsTable[[#This Row],[DiffAmount]]/allFYsTable[[#This Row],[OriginalBudget]]</f>
        <v>-5.3117782909930716E-2</v>
      </c>
    </row>
    <row r="1126" spans="1:12" x14ac:dyDescent="0.45">
      <c r="A1126" t="s">
        <v>1031</v>
      </c>
      <c r="B1126" t="s">
        <v>925</v>
      </c>
      <c r="C1126" t="s">
        <v>774</v>
      </c>
      <c r="D1126" t="s">
        <v>264</v>
      </c>
      <c r="E1126">
        <v>52100</v>
      </c>
      <c r="F1126">
        <v>53466</v>
      </c>
      <c r="G1126">
        <v>53095</v>
      </c>
      <c r="H1126">
        <v>371</v>
      </c>
      <c r="I1126">
        <v>2014</v>
      </c>
      <c r="J1126">
        <v>73</v>
      </c>
      <c r="K1126">
        <f>allFYsTable[[#This Row],[Actual]]-allFYsTable[[#This Row],[OriginalBudget]]</f>
        <v>995</v>
      </c>
      <c r="L1126" s="11">
        <f>allFYsTable[[#This Row],[DiffAmount]]/allFYsTable[[#This Row],[OriginalBudget]]</f>
        <v>1.90978886756238E-2</v>
      </c>
    </row>
    <row r="1127" spans="1:12" x14ac:dyDescent="0.45">
      <c r="A1127" t="s">
        <v>1031</v>
      </c>
      <c r="B1127" t="s">
        <v>925</v>
      </c>
      <c r="C1127" t="s">
        <v>771</v>
      </c>
      <c r="D1127" t="s">
        <v>265</v>
      </c>
      <c r="E1127">
        <v>1161</v>
      </c>
      <c r="F1127">
        <v>1161</v>
      </c>
      <c r="G1127">
        <v>1159</v>
      </c>
      <c r="H1127">
        <v>2</v>
      </c>
      <c r="I1127">
        <v>2014</v>
      </c>
      <c r="J1127">
        <v>74</v>
      </c>
      <c r="K1127">
        <f>allFYsTable[[#This Row],[Actual]]-allFYsTable[[#This Row],[OriginalBudget]]</f>
        <v>-2</v>
      </c>
      <c r="L1127" s="11">
        <f>allFYsTable[[#This Row],[DiffAmount]]/allFYsTable[[#This Row],[OriginalBudget]]</f>
        <v>-1.7226528854435831E-3</v>
      </c>
    </row>
    <row r="1128" spans="1:12" x14ac:dyDescent="0.45">
      <c r="A1128" t="s">
        <v>1031</v>
      </c>
      <c r="B1128" t="s">
        <v>925</v>
      </c>
      <c r="C1128" t="s">
        <v>780</v>
      </c>
      <c r="D1128" t="s">
        <v>143</v>
      </c>
      <c r="E1128">
        <v>86688</v>
      </c>
      <c r="F1128">
        <v>87203</v>
      </c>
      <c r="G1128">
        <v>86052</v>
      </c>
      <c r="H1128">
        <v>1151</v>
      </c>
      <c r="I1128">
        <v>2014</v>
      </c>
      <c r="J1128">
        <v>75</v>
      </c>
      <c r="K1128">
        <f>allFYsTable[[#This Row],[Actual]]-allFYsTable[[#This Row],[OriginalBudget]]</f>
        <v>-636</v>
      </c>
      <c r="L1128" s="11">
        <f>allFYsTable[[#This Row],[DiffAmount]]/allFYsTable[[#This Row],[OriginalBudget]]</f>
        <v>-7.3366555924695457E-3</v>
      </c>
    </row>
    <row r="1129" spans="1:12" x14ac:dyDescent="0.45">
      <c r="A1129" t="s">
        <v>1031</v>
      </c>
      <c r="B1129" t="s">
        <v>925</v>
      </c>
      <c r="C1129" t="s">
        <v>777</v>
      </c>
      <c r="D1129" t="s">
        <v>266</v>
      </c>
      <c r="E1129">
        <v>79868</v>
      </c>
      <c r="F1129">
        <v>77415</v>
      </c>
      <c r="G1129">
        <v>77413</v>
      </c>
      <c r="H1129">
        <v>2</v>
      </c>
      <c r="I1129">
        <v>2014</v>
      </c>
      <c r="J1129">
        <v>76</v>
      </c>
      <c r="K1129">
        <f>allFYsTable[[#This Row],[Actual]]-allFYsTable[[#This Row],[OriginalBudget]]</f>
        <v>-2455</v>
      </c>
      <c r="L1129" s="11">
        <f>allFYsTable[[#This Row],[DiffAmount]]/allFYsTable[[#This Row],[OriginalBudget]]</f>
        <v>-3.0738218059798667E-2</v>
      </c>
    </row>
    <row r="1130" spans="1:12" x14ac:dyDescent="0.45">
      <c r="A1130" t="s">
        <v>1031</v>
      </c>
      <c r="B1130" t="s">
        <v>925</v>
      </c>
      <c r="C1130" t="s">
        <v>778</v>
      </c>
      <c r="D1130" t="s">
        <v>292</v>
      </c>
      <c r="E1130">
        <v>1826</v>
      </c>
      <c r="F1130">
        <v>2008</v>
      </c>
      <c r="G1130">
        <v>1860</v>
      </c>
      <c r="H1130">
        <v>148</v>
      </c>
      <c r="I1130">
        <v>2014</v>
      </c>
      <c r="J1130">
        <v>77</v>
      </c>
      <c r="K1130">
        <f>allFYsTable[[#This Row],[Actual]]-allFYsTable[[#This Row],[OriginalBudget]]</f>
        <v>34</v>
      </c>
      <c r="L1130" s="11">
        <f>allFYsTable[[#This Row],[DiffAmount]]/allFYsTable[[#This Row],[OriginalBudget]]</f>
        <v>1.8619934282584884E-2</v>
      </c>
    </row>
    <row r="1131" spans="1:12" x14ac:dyDescent="0.45">
      <c r="A1131" t="s">
        <v>1031</v>
      </c>
      <c r="B1131" t="s">
        <v>14</v>
      </c>
      <c r="C1131" t="s">
        <v>790</v>
      </c>
      <c r="D1131" t="s">
        <v>144</v>
      </c>
      <c r="E1131">
        <v>213684</v>
      </c>
      <c r="F1131">
        <v>216385</v>
      </c>
      <c r="G1131">
        <v>216068</v>
      </c>
      <c r="H1131">
        <v>317</v>
      </c>
      <c r="I1131">
        <v>2014</v>
      </c>
      <c r="J1131">
        <v>78</v>
      </c>
      <c r="K1131">
        <f>allFYsTable[[#This Row],[Actual]]-allFYsTable[[#This Row],[OriginalBudget]]</f>
        <v>2384</v>
      </c>
      <c r="L1131" s="11">
        <f>allFYsTable[[#This Row],[DiffAmount]]/allFYsTable[[#This Row],[OriginalBudget]]</f>
        <v>1.115666123808989E-2</v>
      </c>
    </row>
    <row r="1132" spans="1:12" x14ac:dyDescent="0.45">
      <c r="A1132" t="s">
        <v>1031</v>
      </c>
      <c r="B1132" t="s">
        <v>14</v>
      </c>
      <c r="C1132" t="s">
        <v>788</v>
      </c>
      <c r="D1132" t="s">
        <v>145</v>
      </c>
      <c r="E1132">
        <v>69402</v>
      </c>
      <c r="F1132">
        <v>69533</v>
      </c>
      <c r="G1132">
        <v>67584</v>
      </c>
      <c r="H1132">
        <v>1949</v>
      </c>
      <c r="I1132">
        <v>2014</v>
      </c>
      <c r="J1132">
        <v>79</v>
      </c>
      <c r="K1132">
        <f>allFYsTable[[#This Row],[Actual]]-allFYsTable[[#This Row],[OriginalBudget]]</f>
        <v>-1818</v>
      </c>
      <c r="L1132" s="11">
        <f>allFYsTable[[#This Row],[DiffAmount]]/allFYsTable[[#This Row],[OriginalBudget]]</f>
        <v>-2.6195210512665341E-2</v>
      </c>
    </row>
    <row r="1133" spans="1:12" x14ac:dyDescent="0.45">
      <c r="A1133" t="s">
        <v>1031</v>
      </c>
      <c r="B1133" t="s">
        <v>14</v>
      </c>
      <c r="C1133" t="s">
        <v>770</v>
      </c>
      <c r="D1133" t="s">
        <v>56</v>
      </c>
      <c r="E1133">
        <v>34850</v>
      </c>
      <c r="F1133">
        <v>36582</v>
      </c>
      <c r="G1133">
        <v>34593</v>
      </c>
      <c r="H1133">
        <v>1989</v>
      </c>
      <c r="I1133">
        <v>2014</v>
      </c>
      <c r="J1133">
        <v>80</v>
      </c>
      <c r="K1133">
        <f>allFYsTable[[#This Row],[Actual]]-allFYsTable[[#This Row],[OriginalBudget]]</f>
        <v>-257</v>
      </c>
      <c r="L1133" s="11">
        <f>allFYsTable[[#This Row],[DiffAmount]]/allFYsTable[[#This Row],[OriginalBudget]]</f>
        <v>-7.3744619799139171E-3</v>
      </c>
    </row>
    <row r="1134" spans="1:12" x14ac:dyDescent="0.45">
      <c r="A1134" t="s">
        <v>1031</v>
      </c>
      <c r="B1134" t="s">
        <v>14</v>
      </c>
      <c r="C1134" t="s">
        <v>786</v>
      </c>
      <c r="D1134" t="s">
        <v>268</v>
      </c>
      <c r="E1134">
        <v>25957</v>
      </c>
      <c r="F1134">
        <v>28757</v>
      </c>
      <c r="G1134">
        <v>27884</v>
      </c>
      <c r="H1134">
        <v>873</v>
      </c>
      <c r="I1134">
        <v>2014</v>
      </c>
      <c r="J1134">
        <v>81</v>
      </c>
      <c r="K1134">
        <f>allFYsTable[[#This Row],[Actual]]-allFYsTable[[#This Row],[OriginalBudget]]</f>
        <v>1927</v>
      </c>
      <c r="L1134" s="11">
        <f>allFYsTable[[#This Row],[DiffAmount]]/allFYsTable[[#This Row],[OriginalBudget]]</f>
        <v>7.423816311592249E-2</v>
      </c>
    </row>
    <row r="1135" spans="1:12" x14ac:dyDescent="0.45">
      <c r="A1135" t="s">
        <v>1031</v>
      </c>
      <c r="B1135" t="s">
        <v>14</v>
      </c>
      <c r="C1135" t="s">
        <v>783</v>
      </c>
      <c r="D1135" t="s">
        <v>70</v>
      </c>
      <c r="E1135">
        <v>6887</v>
      </c>
      <c r="F1135">
        <v>6887</v>
      </c>
      <c r="G1135">
        <v>6620</v>
      </c>
      <c r="H1135">
        <v>267</v>
      </c>
      <c r="I1135">
        <v>2014</v>
      </c>
      <c r="J1135">
        <v>82</v>
      </c>
      <c r="K1135">
        <f>allFYsTable[[#This Row],[Actual]]-allFYsTable[[#This Row],[OriginalBudget]]</f>
        <v>-267</v>
      </c>
      <c r="L1135" s="11">
        <f>allFYsTable[[#This Row],[DiffAmount]]/allFYsTable[[#This Row],[OriginalBudget]]</f>
        <v>-3.8768694642079278E-2</v>
      </c>
    </row>
    <row r="1136" spans="1:12" x14ac:dyDescent="0.45">
      <c r="A1136" t="s">
        <v>1031</v>
      </c>
      <c r="B1136" t="s">
        <v>14</v>
      </c>
      <c r="C1136" t="s">
        <v>706</v>
      </c>
      <c r="D1136" t="s">
        <v>269</v>
      </c>
      <c r="E1136">
        <v>20021</v>
      </c>
      <c r="F1136">
        <v>21330</v>
      </c>
      <c r="G1136">
        <v>21330</v>
      </c>
      <c r="H1136">
        <v>0</v>
      </c>
      <c r="I1136">
        <v>2014</v>
      </c>
      <c r="J1136">
        <v>83</v>
      </c>
      <c r="K1136">
        <f>allFYsTable[[#This Row],[Actual]]-allFYsTable[[#This Row],[OriginalBudget]]</f>
        <v>1309</v>
      </c>
      <c r="L1136" s="11">
        <f>allFYsTable[[#This Row],[DiffAmount]]/allFYsTable[[#This Row],[OriginalBudget]]</f>
        <v>6.5381349582937912E-2</v>
      </c>
    </row>
    <row r="1137" spans="1:12" x14ac:dyDescent="0.45">
      <c r="A1137" t="s">
        <v>1031</v>
      </c>
      <c r="B1137" t="s">
        <v>14</v>
      </c>
      <c r="C1137" t="s">
        <v>760</v>
      </c>
      <c r="D1137" t="s">
        <v>46</v>
      </c>
      <c r="E1137">
        <v>2595</v>
      </c>
      <c r="F1137">
        <v>2710</v>
      </c>
      <c r="G1137">
        <v>2710</v>
      </c>
      <c r="H1137">
        <v>0</v>
      </c>
      <c r="I1137">
        <v>2014</v>
      </c>
      <c r="J1137">
        <v>84</v>
      </c>
      <c r="K1137">
        <f>allFYsTable[[#This Row],[Actual]]-allFYsTable[[#This Row],[OriginalBudget]]</f>
        <v>115</v>
      </c>
      <c r="L1137" s="11">
        <f>allFYsTable[[#This Row],[DiffAmount]]/allFYsTable[[#This Row],[OriginalBudget]]</f>
        <v>4.4315992292870907E-2</v>
      </c>
    </row>
    <row r="1138" spans="1:12" x14ac:dyDescent="0.45">
      <c r="A1138" t="s">
        <v>1031</v>
      </c>
      <c r="B1138" t="s">
        <v>14</v>
      </c>
      <c r="C1138" t="s">
        <v>729</v>
      </c>
      <c r="D1138" t="s">
        <v>270</v>
      </c>
      <c r="E1138">
        <v>2695</v>
      </c>
      <c r="F1138">
        <v>2719</v>
      </c>
      <c r="G1138">
        <v>2697</v>
      </c>
      <c r="H1138">
        <v>22</v>
      </c>
      <c r="I1138">
        <v>2014</v>
      </c>
      <c r="J1138">
        <v>85</v>
      </c>
      <c r="K1138">
        <f>allFYsTable[[#This Row],[Actual]]-allFYsTable[[#This Row],[OriginalBudget]]</f>
        <v>2</v>
      </c>
      <c r="L1138" s="11">
        <f>allFYsTable[[#This Row],[DiffAmount]]/allFYsTable[[#This Row],[OriginalBudget]]</f>
        <v>7.4211502782931351E-4</v>
      </c>
    </row>
    <row r="1139" spans="1:12" x14ac:dyDescent="0.45">
      <c r="A1139" t="s">
        <v>1031</v>
      </c>
      <c r="B1139" t="s">
        <v>14</v>
      </c>
      <c r="C1139" t="s">
        <v>828</v>
      </c>
      <c r="D1139" t="s">
        <v>219</v>
      </c>
      <c r="E1139">
        <v>3000</v>
      </c>
      <c r="F1139">
        <v>11400</v>
      </c>
      <c r="G1139">
        <v>11400</v>
      </c>
      <c r="H1139">
        <v>0</v>
      </c>
      <c r="I1139">
        <v>2014</v>
      </c>
      <c r="J1139">
        <v>86</v>
      </c>
      <c r="K1139">
        <f>allFYsTable[[#This Row],[Actual]]-allFYsTable[[#This Row],[OriginalBudget]]</f>
        <v>8400</v>
      </c>
      <c r="L1139" s="11">
        <f>allFYsTable[[#This Row],[DiffAmount]]/allFYsTable[[#This Row],[OriginalBudget]]</f>
        <v>2.8</v>
      </c>
    </row>
    <row r="1140" spans="1:12" x14ac:dyDescent="0.45">
      <c r="A1140" t="s">
        <v>1031</v>
      </c>
      <c r="B1140" t="s">
        <v>14</v>
      </c>
      <c r="C1140" t="s">
        <v>785</v>
      </c>
      <c r="D1140" t="s">
        <v>147</v>
      </c>
      <c r="E1140">
        <v>170893</v>
      </c>
      <c r="F1140">
        <v>164576</v>
      </c>
      <c r="G1140">
        <v>156889</v>
      </c>
      <c r="H1140">
        <v>7687</v>
      </c>
      <c r="I1140">
        <v>2014</v>
      </c>
      <c r="J1140">
        <v>87</v>
      </c>
      <c r="K1140">
        <f>allFYsTable[[#This Row],[Actual]]-allFYsTable[[#This Row],[OriginalBudget]]</f>
        <v>-14004</v>
      </c>
      <c r="L1140" s="11">
        <f>allFYsTable[[#This Row],[DiffAmount]]/allFYsTable[[#This Row],[OriginalBudget]]</f>
        <v>-8.1946013002287987E-2</v>
      </c>
    </row>
    <row r="1141" spans="1:12" x14ac:dyDescent="0.45">
      <c r="A1141" t="s">
        <v>1031</v>
      </c>
      <c r="B1141" t="s">
        <v>14</v>
      </c>
      <c r="C1141" t="s">
        <v>875</v>
      </c>
      <c r="D1141" t="s">
        <v>285</v>
      </c>
      <c r="E1141">
        <v>0</v>
      </c>
      <c r="F1141">
        <v>147</v>
      </c>
      <c r="G1141">
        <v>147</v>
      </c>
      <c r="H1141">
        <v>0</v>
      </c>
      <c r="I1141">
        <v>2014</v>
      </c>
      <c r="J1141">
        <v>88</v>
      </c>
      <c r="K1141">
        <f>allFYsTable[[#This Row],[Actual]]-allFYsTable[[#This Row],[OriginalBudget]]</f>
        <v>147</v>
      </c>
      <c r="L1141" s="11" t="e">
        <f>allFYsTable[[#This Row],[DiffAmount]]/allFYsTable[[#This Row],[OriginalBudget]]</f>
        <v>#DIV/0!</v>
      </c>
    </row>
    <row r="1142" spans="1:12" x14ac:dyDescent="0.45">
      <c r="A1142" t="s">
        <v>1031</v>
      </c>
      <c r="B1142" t="s">
        <v>14</v>
      </c>
      <c r="C1142" t="s">
        <v>787</v>
      </c>
      <c r="D1142" t="s">
        <v>938</v>
      </c>
      <c r="E1142">
        <v>204830</v>
      </c>
      <c r="F1142">
        <v>207502</v>
      </c>
      <c r="G1142">
        <v>205866</v>
      </c>
      <c r="H1142">
        <v>1636</v>
      </c>
      <c r="I1142">
        <v>2014</v>
      </c>
      <c r="J1142">
        <v>89</v>
      </c>
      <c r="K1142">
        <f>allFYsTable[[#This Row],[Actual]]-allFYsTable[[#This Row],[OriginalBudget]]</f>
        <v>1036</v>
      </c>
      <c r="L1142" s="11">
        <f>allFYsTable[[#This Row],[DiffAmount]]/allFYsTable[[#This Row],[OriginalBudget]]</f>
        <v>5.0578528535859006E-3</v>
      </c>
    </row>
    <row r="1143" spans="1:12" x14ac:dyDescent="0.45">
      <c r="A1143" t="s">
        <v>1031</v>
      </c>
      <c r="B1143" t="s">
        <v>14</v>
      </c>
      <c r="C1143" t="s">
        <v>728</v>
      </c>
      <c r="D1143" t="s">
        <v>272</v>
      </c>
      <c r="E1143">
        <v>785</v>
      </c>
      <c r="F1143">
        <v>802</v>
      </c>
      <c r="G1143">
        <v>783</v>
      </c>
      <c r="H1143">
        <v>19</v>
      </c>
      <c r="I1143">
        <v>2014</v>
      </c>
      <c r="J1143">
        <v>90</v>
      </c>
      <c r="K1143">
        <f>allFYsTable[[#This Row],[Actual]]-allFYsTable[[#This Row],[OriginalBudget]]</f>
        <v>-2</v>
      </c>
      <c r="L1143" s="11">
        <f>allFYsTable[[#This Row],[DiffAmount]]/allFYsTable[[#This Row],[OriginalBudget]]</f>
        <v>-2.5477707006369425E-3</v>
      </c>
    </row>
    <row r="1144" spans="1:12" x14ac:dyDescent="0.45">
      <c r="A1144" t="s">
        <v>1031</v>
      </c>
      <c r="B1144" t="s">
        <v>14</v>
      </c>
      <c r="C1144" t="s">
        <v>727</v>
      </c>
      <c r="D1144" t="s">
        <v>273</v>
      </c>
      <c r="E1144">
        <v>386</v>
      </c>
      <c r="F1144">
        <v>446</v>
      </c>
      <c r="G1144">
        <v>406</v>
      </c>
      <c r="H1144">
        <v>40</v>
      </c>
      <c r="I1144">
        <v>2014</v>
      </c>
      <c r="J1144">
        <v>91</v>
      </c>
      <c r="K1144">
        <f>allFYsTable[[#This Row],[Actual]]-allFYsTable[[#This Row],[OriginalBudget]]</f>
        <v>20</v>
      </c>
      <c r="L1144" s="11">
        <f>allFYsTable[[#This Row],[DiffAmount]]/allFYsTable[[#This Row],[OriginalBudget]]</f>
        <v>5.181347150259067E-2</v>
      </c>
    </row>
    <row r="1145" spans="1:12" x14ac:dyDescent="0.45">
      <c r="A1145" t="s">
        <v>1031</v>
      </c>
      <c r="B1145" t="s">
        <v>14</v>
      </c>
      <c r="C1145" t="s">
        <v>752</v>
      </c>
      <c r="D1145" t="s">
        <v>293</v>
      </c>
      <c r="E1145">
        <v>104890</v>
      </c>
      <c r="F1145">
        <v>106128</v>
      </c>
      <c r="G1145">
        <v>99826</v>
      </c>
      <c r="H1145">
        <v>6302</v>
      </c>
      <c r="I1145">
        <v>2014</v>
      </c>
      <c r="J1145">
        <v>92</v>
      </c>
      <c r="K1145">
        <f>allFYsTable[[#This Row],[Actual]]-allFYsTable[[#This Row],[OriginalBudget]]</f>
        <v>-5064</v>
      </c>
      <c r="L1145" s="11">
        <f>allFYsTable[[#This Row],[DiffAmount]]/allFYsTable[[#This Row],[OriginalBudget]]</f>
        <v>-4.8279149585279818E-2</v>
      </c>
    </row>
    <row r="1146" spans="1:12" x14ac:dyDescent="0.45">
      <c r="A1146" t="s">
        <v>1031</v>
      </c>
      <c r="B1146" t="s">
        <v>14</v>
      </c>
      <c r="C1146" t="s">
        <v>791</v>
      </c>
      <c r="D1146" t="s">
        <v>930</v>
      </c>
      <c r="E1146">
        <v>55204</v>
      </c>
      <c r="F1146">
        <v>59140</v>
      </c>
      <c r="G1146">
        <v>57216</v>
      </c>
      <c r="H1146">
        <v>1924</v>
      </c>
      <c r="I1146">
        <v>2014</v>
      </c>
      <c r="J1146">
        <v>93</v>
      </c>
      <c r="K1146">
        <f>allFYsTable[[#This Row],[Actual]]-allFYsTable[[#This Row],[OriginalBudget]]</f>
        <v>2012</v>
      </c>
      <c r="L1146" s="11">
        <f>allFYsTable[[#This Row],[DiffAmount]]/allFYsTable[[#This Row],[OriginalBudget]]</f>
        <v>3.6446634301862187E-2</v>
      </c>
    </row>
    <row r="1147" spans="1:12" x14ac:dyDescent="0.45">
      <c r="A1147" t="s">
        <v>1031</v>
      </c>
      <c r="B1147" t="s">
        <v>14</v>
      </c>
      <c r="C1147" t="s">
        <v>789</v>
      </c>
      <c r="D1147" t="s">
        <v>939</v>
      </c>
      <c r="E1147">
        <v>800638</v>
      </c>
      <c r="F1147">
        <v>803678</v>
      </c>
      <c r="G1147">
        <v>781555</v>
      </c>
      <c r="H1147">
        <v>22123</v>
      </c>
      <c r="I1147">
        <v>2014</v>
      </c>
      <c r="J1147">
        <v>94</v>
      </c>
      <c r="K1147">
        <f>allFYsTable[[#This Row],[Actual]]-allFYsTable[[#This Row],[OriginalBudget]]</f>
        <v>-19083</v>
      </c>
      <c r="L1147" s="11">
        <f>allFYsTable[[#This Row],[DiffAmount]]/allFYsTable[[#This Row],[OriginalBudget]]</f>
        <v>-2.3834741793419746E-2</v>
      </c>
    </row>
    <row r="1148" spans="1:12" x14ac:dyDescent="0.45">
      <c r="A1148" t="s">
        <v>1031</v>
      </c>
      <c r="B1148" t="s">
        <v>14</v>
      </c>
      <c r="C1148" t="s">
        <v>793</v>
      </c>
      <c r="D1148" t="s">
        <v>932</v>
      </c>
      <c r="E1148">
        <v>1945</v>
      </c>
      <c r="F1148">
        <v>1210</v>
      </c>
      <c r="G1148">
        <v>1126</v>
      </c>
      <c r="H1148">
        <v>84</v>
      </c>
      <c r="I1148">
        <v>2014</v>
      </c>
      <c r="J1148">
        <v>95</v>
      </c>
      <c r="K1148">
        <f>allFYsTable[[#This Row],[Actual]]-allFYsTable[[#This Row],[OriginalBudget]]</f>
        <v>-819</v>
      </c>
      <c r="L1148" s="11">
        <f>allFYsTable[[#This Row],[DiffAmount]]/allFYsTable[[#This Row],[OriginalBudget]]</f>
        <v>-0.42107969151670949</v>
      </c>
    </row>
    <row r="1149" spans="1:12" x14ac:dyDescent="0.45">
      <c r="A1149" t="s">
        <v>1031</v>
      </c>
      <c r="B1149" t="s">
        <v>14</v>
      </c>
      <c r="C1149" t="s">
        <v>792</v>
      </c>
      <c r="D1149" t="s">
        <v>237</v>
      </c>
      <c r="E1149">
        <v>0</v>
      </c>
      <c r="F1149">
        <v>14841</v>
      </c>
      <c r="G1149">
        <v>14841</v>
      </c>
      <c r="H1149">
        <v>0</v>
      </c>
      <c r="I1149">
        <v>2014</v>
      </c>
      <c r="J1149">
        <v>96</v>
      </c>
      <c r="K1149">
        <f>allFYsTable[[#This Row],[Actual]]-allFYsTable[[#This Row],[OriginalBudget]]</f>
        <v>14841</v>
      </c>
      <c r="L1149" s="11" t="e">
        <f>allFYsTable[[#This Row],[DiffAmount]]/allFYsTable[[#This Row],[OriginalBudget]]</f>
        <v>#DIV/0!</v>
      </c>
    </row>
    <row r="1150" spans="1:12" x14ac:dyDescent="0.45">
      <c r="A1150" t="s">
        <v>1031</v>
      </c>
      <c r="B1150" t="s">
        <v>530</v>
      </c>
      <c r="C1150" t="s">
        <v>802</v>
      </c>
      <c r="D1150" t="s">
        <v>78</v>
      </c>
      <c r="E1150">
        <v>111484</v>
      </c>
      <c r="F1150">
        <v>132492</v>
      </c>
      <c r="G1150">
        <v>131933</v>
      </c>
      <c r="H1150">
        <v>559</v>
      </c>
      <c r="I1150">
        <v>2014</v>
      </c>
      <c r="J1150">
        <v>97</v>
      </c>
      <c r="K1150">
        <f>allFYsTable[[#This Row],[Actual]]-allFYsTable[[#This Row],[OriginalBudget]]</f>
        <v>20449</v>
      </c>
      <c r="L1150" s="11">
        <f>allFYsTable[[#This Row],[DiffAmount]]/allFYsTable[[#This Row],[OriginalBudget]]</f>
        <v>0.18342542427612932</v>
      </c>
    </row>
    <row r="1151" spans="1:12" x14ac:dyDescent="0.45">
      <c r="A1151" t="s">
        <v>1031</v>
      </c>
      <c r="B1151" t="s">
        <v>530</v>
      </c>
      <c r="C1151" t="s">
        <v>803</v>
      </c>
      <c r="D1151" t="s">
        <v>155</v>
      </c>
      <c r="E1151">
        <v>76713</v>
      </c>
      <c r="F1151">
        <v>79723</v>
      </c>
      <c r="G1151">
        <v>74187</v>
      </c>
      <c r="H1151">
        <v>5536</v>
      </c>
      <c r="I1151">
        <v>2014</v>
      </c>
      <c r="J1151">
        <v>98</v>
      </c>
      <c r="K1151">
        <f>allFYsTable[[#This Row],[Actual]]-allFYsTable[[#This Row],[OriginalBudget]]</f>
        <v>-2526</v>
      </c>
      <c r="L1151" s="11">
        <f>allFYsTable[[#This Row],[DiffAmount]]/allFYsTable[[#This Row],[OriginalBudget]]</f>
        <v>-3.2927926166360331E-2</v>
      </c>
    </row>
    <row r="1152" spans="1:12" x14ac:dyDescent="0.45">
      <c r="A1152" t="s">
        <v>1031</v>
      </c>
      <c r="B1152" t="s">
        <v>530</v>
      </c>
      <c r="C1152" t="s">
        <v>799</v>
      </c>
      <c r="D1152" t="s">
        <v>206</v>
      </c>
      <c r="E1152">
        <v>0</v>
      </c>
      <c r="F1152">
        <v>150</v>
      </c>
      <c r="G1152">
        <v>150</v>
      </c>
      <c r="H1152">
        <v>0</v>
      </c>
      <c r="I1152">
        <v>2014</v>
      </c>
      <c r="J1152">
        <v>99</v>
      </c>
      <c r="K1152">
        <f>allFYsTable[[#This Row],[Actual]]-allFYsTable[[#This Row],[OriginalBudget]]</f>
        <v>150</v>
      </c>
      <c r="L1152" s="11" t="e">
        <f>allFYsTable[[#This Row],[DiffAmount]]/allFYsTable[[#This Row],[OriginalBudget]]</f>
        <v>#DIV/0!</v>
      </c>
    </row>
    <row r="1153" spans="1:12" x14ac:dyDescent="0.45">
      <c r="A1153" t="s">
        <v>1031</v>
      </c>
      <c r="B1153" t="s">
        <v>530</v>
      </c>
      <c r="C1153" t="s">
        <v>801</v>
      </c>
      <c r="D1153" t="s">
        <v>77</v>
      </c>
      <c r="E1153">
        <v>27153</v>
      </c>
      <c r="F1153">
        <v>27866</v>
      </c>
      <c r="G1153">
        <v>26900</v>
      </c>
      <c r="H1153">
        <v>966</v>
      </c>
      <c r="I1153">
        <v>2014</v>
      </c>
      <c r="J1153">
        <v>100</v>
      </c>
      <c r="K1153">
        <f>allFYsTable[[#This Row],[Actual]]-allFYsTable[[#This Row],[OriginalBudget]]</f>
        <v>-253</v>
      </c>
      <c r="L1153" s="11">
        <f>allFYsTable[[#This Row],[DiffAmount]]/allFYsTable[[#This Row],[OriginalBudget]]</f>
        <v>-9.3175708024895963E-3</v>
      </c>
    </row>
    <row r="1154" spans="1:12" x14ac:dyDescent="0.45">
      <c r="A1154" t="s">
        <v>1031</v>
      </c>
      <c r="B1154" t="s">
        <v>530</v>
      </c>
      <c r="C1154" t="s">
        <v>808</v>
      </c>
      <c r="D1154" t="s">
        <v>274</v>
      </c>
      <c r="E1154">
        <v>126</v>
      </c>
      <c r="F1154">
        <v>126</v>
      </c>
      <c r="G1154">
        <v>126</v>
      </c>
      <c r="H1154">
        <v>0</v>
      </c>
      <c r="I1154">
        <v>2014</v>
      </c>
      <c r="J1154">
        <v>101</v>
      </c>
      <c r="K1154">
        <f>allFYsTable[[#This Row],[Actual]]-allFYsTable[[#This Row],[OriginalBudget]]</f>
        <v>0</v>
      </c>
      <c r="L1154" s="11">
        <f>allFYsTable[[#This Row],[DiffAmount]]/allFYsTable[[#This Row],[OriginalBudget]]</f>
        <v>0</v>
      </c>
    </row>
    <row r="1155" spans="1:12" x14ac:dyDescent="0.45">
      <c r="A1155" t="s">
        <v>1031</v>
      </c>
      <c r="B1155" t="s">
        <v>530</v>
      </c>
      <c r="C1155" t="s">
        <v>807</v>
      </c>
      <c r="D1155" t="s">
        <v>157</v>
      </c>
      <c r="E1155">
        <v>259930</v>
      </c>
      <c r="F1155">
        <v>271977</v>
      </c>
      <c r="G1155">
        <v>267795</v>
      </c>
      <c r="H1155">
        <v>4182</v>
      </c>
      <c r="I1155">
        <v>2014</v>
      </c>
      <c r="J1155">
        <v>102</v>
      </c>
      <c r="K1155">
        <f>allFYsTable[[#This Row],[Actual]]-allFYsTable[[#This Row],[OriginalBudget]]</f>
        <v>7865</v>
      </c>
      <c r="L1155" s="11">
        <f>allFYsTable[[#This Row],[DiffAmount]]/allFYsTable[[#This Row],[OriginalBudget]]</f>
        <v>3.0258146424037242E-2</v>
      </c>
    </row>
    <row r="1156" spans="1:12" x14ac:dyDescent="0.45">
      <c r="A1156" t="s">
        <v>1031</v>
      </c>
      <c r="B1156" t="s">
        <v>530</v>
      </c>
      <c r="C1156" t="s">
        <v>798</v>
      </c>
      <c r="D1156" t="s">
        <v>275</v>
      </c>
      <c r="E1156">
        <v>17200</v>
      </c>
      <c r="F1156">
        <v>17668</v>
      </c>
      <c r="G1156">
        <v>17384</v>
      </c>
      <c r="H1156">
        <v>284</v>
      </c>
      <c r="I1156">
        <v>2014</v>
      </c>
      <c r="J1156">
        <v>103</v>
      </c>
      <c r="K1156">
        <f>allFYsTable[[#This Row],[Actual]]-allFYsTable[[#This Row],[OriginalBudget]]</f>
        <v>184</v>
      </c>
      <c r="L1156" s="11">
        <f>allFYsTable[[#This Row],[DiffAmount]]/allFYsTable[[#This Row],[OriginalBudget]]</f>
        <v>1.0697674418604652E-2</v>
      </c>
    </row>
    <row r="1157" spans="1:12" x14ac:dyDescent="0.45">
      <c r="A1157" t="s">
        <v>1031</v>
      </c>
      <c r="B1157" t="s">
        <v>10</v>
      </c>
      <c r="C1157" t="s">
        <v>775</v>
      </c>
      <c r="D1157" t="s">
        <v>18</v>
      </c>
      <c r="E1157">
        <v>519354</v>
      </c>
      <c r="F1157">
        <v>503179</v>
      </c>
      <c r="G1157">
        <v>497173</v>
      </c>
      <c r="H1157">
        <v>6006</v>
      </c>
      <c r="I1157">
        <v>2014</v>
      </c>
      <c r="J1157">
        <v>104</v>
      </c>
      <c r="K1157">
        <f>allFYsTable[[#This Row],[Actual]]-allFYsTable[[#This Row],[OriginalBudget]]</f>
        <v>-22181</v>
      </c>
      <c r="L1157" s="11">
        <f>allFYsTable[[#This Row],[DiffAmount]]/allFYsTable[[#This Row],[OriginalBudget]]</f>
        <v>-4.2708826734751251E-2</v>
      </c>
    </row>
    <row r="1158" spans="1:12" x14ac:dyDescent="0.45">
      <c r="A1158" t="s">
        <v>1031</v>
      </c>
      <c r="B1158" t="s">
        <v>10</v>
      </c>
      <c r="C1158" t="s">
        <v>817</v>
      </c>
      <c r="D1158" t="s">
        <v>294</v>
      </c>
      <c r="E1158">
        <v>6000</v>
      </c>
      <c r="F1158">
        <v>6000</v>
      </c>
      <c r="G1158">
        <v>983</v>
      </c>
      <c r="H1158">
        <v>5017</v>
      </c>
      <c r="I1158">
        <v>2014</v>
      </c>
      <c r="J1158">
        <v>105</v>
      </c>
      <c r="K1158">
        <f>allFYsTable[[#This Row],[Actual]]-allFYsTable[[#This Row],[OriginalBudget]]</f>
        <v>-5017</v>
      </c>
      <c r="L1158" s="11">
        <f>allFYsTable[[#This Row],[DiffAmount]]/allFYsTable[[#This Row],[OriginalBudget]]</f>
        <v>-0.83616666666666661</v>
      </c>
    </row>
    <row r="1159" spans="1:12" x14ac:dyDescent="0.45">
      <c r="A1159" t="s">
        <v>1031</v>
      </c>
      <c r="B1159" t="s">
        <v>10</v>
      </c>
      <c r="C1159" t="s">
        <v>830</v>
      </c>
      <c r="D1159" t="s">
        <v>295</v>
      </c>
      <c r="E1159">
        <v>3675</v>
      </c>
      <c r="F1159">
        <v>3675</v>
      </c>
      <c r="G1159">
        <v>943</v>
      </c>
      <c r="H1159">
        <v>2732</v>
      </c>
      <c r="I1159">
        <v>2014</v>
      </c>
      <c r="J1159">
        <v>106</v>
      </c>
      <c r="K1159">
        <f>allFYsTable[[#This Row],[Actual]]-allFYsTable[[#This Row],[OriginalBudget]]</f>
        <v>-2732</v>
      </c>
      <c r="L1159" s="11">
        <f>allFYsTable[[#This Row],[DiffAmount]]/allFYsTable[[#This Row],[OriginalBudget]]</f>
        <v>-0.74340136054421768</v>
      </c>
    </row>
    <row r="1160" spans="1:12" x14ac:dyDescent="0.45">
      <c r="A1160" t="s">
        <v>1031</v>
      </c>
      <c r="B1160" t="s">
        <v>10</v>
      </c>
      <c r="C1160" t="s">
        <v>819</v>
      </c>
      <c r="D1160" t="s">
        <v>278</v>
      </c>
      <c r="E1160">
        <v>21292</v>
      </c>
      <c r="F1160">
        <v>21292</v>
      </c>
      <c r="G1160">
        <v>21292</v>
      </c>
      <c r="H1160">
        <v>0</v>
      </c>
      <c r="I1160">
        <v>2014</v>
      </c>
      <c r="J1160">
        <v>107</v>
      </c>
      <c r="K1160">
        <f>allFYsTable[[#This Row],[Actual]]-allFYsTable[[#This Row],[OriginalBudget]]</f>
        <v>0</v>
      </c>
      <c r="L1160" s="11">
        <f>allFYsTable[[#This Row],[DiffAmount]]/allFYsTable[[#This Row],[OriginalBudget]]</f>
        <v>0</v>
      </c>
    </row>
    <row r="1161" spans="1:12" x14ac:dyDescent="0.45">
      <c r="A1161" t="s">
        <v>1031</v>
      </c>
      <c r="B1161" t="s">
        <v>10</v>
      </c>
      <c r="C1161" t="s">
        <v>814</v>
      </c>
      <c r="D1161" t="s">
        <v>85</v>
      </c>
      <c r="E1161">
        <v>4495</v>
      </c>
      <c r="F1161">
        <v>4495</v>
      </c>
      <c r="G1161">
        <v>3926</v>
      </c>
      <c r="H1161">
        <v>569</v>
      </c>
      <c r="I1161">
        <v>2014</v>
      </c>
      <c r="J1161">
        <v>108</v>
      </c>
      <c r="K1161">
        <f>allFYsTable[[#This Row],[Actual]]-allFYsTable[[#This Row],[OriginalBudget]]</f>
        <v>-569</v>
      </c>
      <c r="L1161" s="11">
        <f>allFYsTable[[#This Row],[DiffAmount]]/allFYsTable[[#This Row],[OriginalBudget]]</f>
        <v>-0.12658509454949946</v>
      </c>
    </row>
    <row r="1162" spans="1:12" x14ac:dyDescent="0.45">
      <c r="A1162" t="s">
        <v>1031</v>
      </c>
      <c r="B1162" t="s">
        <v>10</v>
      </c>
      <c r="C1162" t="s">
        <v>833</v>
      </c>
      <c r="D1162" t="s">
        <v>223</v>
      </c>
      <c r="E1162">
        <v>11863</v>
      </c>
      <c r="F1162">
        <v>11863</v>
      </c>
      <c r="G1162">
        <v>11863</v>
      </c>
      <c r="H1162">
        <v>0</v>
      </c>
      <c r="I1162">
        <v>2014</v>
      </c>
      <c r="J1162">
        <v>109</v>
      </c>
      <c r="K1162">
        <f>allFYsTable[[#This Row],[Actual]]-allFYsTable[[#This Row],[OriginalBudget]]</f>
        <v>0</v>
      </c>
      <c r="L1162" s="11">
        <f>allFYsTable[[#This Row],[DiffAmount]]/allFYsTable[[#This Row],[OriginalBudget]]</f>
        <v>0</v>
      </c>
    </row>
    <row r="1163" spans="1:12" x14ac:dyDescent="0.45">
      <c r="A1163" t="s">
        <v>1031</v>
      </c>
      <c r="B1163" t="s">
        <v>10</v>
      </c>
      <c r="C1163" t="s">
        <v>811</v>
      </c>
      <c r="D1163" t="s">
        <v>933</v>
      </c>
      <c r="E1163">
        <v>107800</v>
      </c>
      <c r="F1163">
        <v>86600</v>
      </c>
      <c r="G1163">
        <v>86600</v>
      </c>
      <c r="H1163">
        <v>0</v>
      </c>
      <c r="I1163">
        <v>2014</v>
      </c>
      <c r="J1163">
        <v>110</v>
      </c>
      <c r="K1163">
        <f>allFYsTable[[#This Row],[Actual]]-allFYsTable[[#This Row],[OriginalBudget]]</f>
        <v>-21200</v>
      </c>
      <c r="L1163" s="11">
        <f>allFYsTable[[#This Row],[DiffAmount]]/allFYsTable[[#This Row],[OriginalBudget]]</f>
        <v>-0.19666048237476808</v>
      </c>
    </row>
    <row r="1164" spans="1:12" x14ac:dyDescent="0.45">
      <c r="A1164" t="s">
        <v>1031</v>
      </c>
      <c r="B1164" t="s">
        <v>10</v>
      </c>
      <c r="C1164" t="s">
        <v>829</v>
      </c>
      <c r="D1164" t="s">
        <v>87</v>
      </c>
      <c r="E1164">
        <v>7824</v>
      </c>
      <c r="F1164">
        <v>7824</v>
      </c>
      <c r="G1164">
        <v>7824</v>
      </c>
      <c r="H1164">
        <v>0</v>
      </c>
      <c r="I1164">
        <v>2014</v>
      </c>
      <c r="J1164">
        <v>111</v>
      </c>
      <c r="K1164">
        <f>allFYsTable[[#This Row],[Actual]]-allFYsTable[[#This Row],[OriginalBudget]]</f>
        <v>0</v>
      </c>
      <c r="L1164" s="11">
        <f>allFYsTable[[#This Row],[DiffAmount]]/allFYsTable[[#This Row],[OriginalBudget]]</f>
        <v>0</v>
      </c>
    </row>
    <row r="1165" spans="1:12" x14ac:dyDescent="0.45">
      <c r="A1165" t="s">
        <v>1031</v>
      </c>
      <c r="B1165" t="s">
        <v>10</v>
      </c>
      <c r="C1165" t="s">
        <v>831</v>
      </c>
      <c r="D1165" t="s">
        <v>280</v>
      </c>
      <c r="E1165">
        <v>24619</v>
      </c>
      <c r="F1165">
        <v>24619</v>
      </c>
      <c r="G1165">
        <v>22623</v>
      </c>
      <c r="H1165">
        <v>1996</v>
      </c>
      <c r="I1165">
        <v>2014</v>
      </c>
      <c r="J1165">
        <v>112</v>
      </c>
      <c r="K1165">
        <f>allFYsTable[[#This Row],[Actual]]-allFYsTable[[#This Row],[OriginalBudget]]</f>
        <v>-1996</v>
      </c>
      <c r="L1165" s="11">
        <f>allFYsTable[[#This Row],[DiffAmount]]/allFYsTable[[#This Row],[OriginalBudget]]</f>
        <v>-8.1075592022421705E-2</v>
      </c>
    </row>
    <row r="1166" spans="1:12" x14ac:dyDescent="0.45">
      <c r="A1166" t="s">
        <v>1031</v>
      </c>
      <c r="B1166" t="s">
        <v>10</v>
      </c>
      <c r="C1166" t="s">
        <v>810</v>
      </c>
      <c r="D1166" t="s">
        <v>296</v>
      </c>
      <c r="E1166">
        <v>118995</v>
      </c>
      <c r="F1166">
        <v>111002</v>
      </c>
      <c r="G1166">
        <v>108701</v>
      </c>
      <c r="H1166">
        <v>2301</v>
      </c>
      <c r="I1166">
        <v>2014</v>
      </c>
      <c r="J1166">
        <v>113</v>
      </c>
      <c r="K1166">
        <f>allFYsTable[[#This Row],[Actual]]-allFYsTable[[#This Row],[OriginalBudget]]</f>
        <v>-10294</v>
      </c>
      <c r="L1166" s="11">
        <f>allFYsTable[[#This Row],[DiffAmount]]/allFYsTable[[#This Row],[OriginalBudget]]</f>
        <v>-8.6507836463716958E-2</v>
      </c>
    </row>
    <row r="1167" spans="1:12" x14ac:dyDescent="0.45">
      <c r="A1167" t="s">
        <v>1031</v>
      </c>
      <c r="B1167" t="s">
        <v>10</v>
      </c>
      <c r="C1167" t="s">
        <v>813</v>
      </c>
      <c r="D1167" t="s">
        <v>297</v>
      </c>
      <c r="E1167">
        <v>21780</v>
      </c>
      <c r="F1167">
        <v>22962</v>
      </c>
      <c r="G1167">
        <v>22962</v>
      </c>
      <c r="H1167">
        <v>0</v>
      </c>
      <c r="I1167">
        <v>2014</v>
      </c>
      <c r="J1167">
        <v>114</v>
      </c>
      <c r="K1167">
        <f>allFYsTable[[#This Row],[Actual]]-allFYsTable[[#This Row],[OriginalBudget]]</f>
        <v>1182</v>
      </c>
      <c r="L1167" s="11">
        <f>allFYsTable[[#This Row],[DiffAmount]]/allFYsTable[[#This Row],[OriginalBudget]]</f>
        <v>5.4269972451790632E-2</v>
      </c>
    </row>
    <row r="1168" spans="1:12" x14ac:dyDescent="0.45">
      <c r="A1168" t="s">
        <v>1031</v>
      </c>
      <c r="B1168" t="s">
        <v>10</v>
      </c>
      <c r="C1168" t="s">
        <v>844</v>
      </c>
      <c r="D1168" t="s">
        <v>281</v>
      </c>
      <c r="E1168">
        <v>0</v>
      </c>
      <c r="F1168">
        <v>15127</v>
      </c>
      <c r="G1168">
        <v>12627</v>
      </c>
      <c r="H1168">
        <v>2500</v>
      </c>
      <c r="I1168">
        <v>2014</v>
      </c>
      <c r="J1168">
        <v>115</v>
      </c>
      <c r="K1168">
        <f>allFYsTable[[#This Row],[Actual]]-allFYsTable[[#This Row],[OriginalBudget]]</f>
        <v>12627</v>
      </c>
      <c r="L1168" s="11" t="e">
        <f>allFYsTable[[#This Row],[DiffAmount]]/allFYsTable[[#This Row],[OriginalBudget]]</f>
        <v>#DIV/0!</v>
      </c>
    </row>
    <row r="1169" spans="1:12" x14ac:dyDescent="0.45">
      <c r="A1169" t="s">
        <v>1031</v>
      </c>
      <c r="B1169" t="s">
        <v>10</v>
      </c>
      <c r="C1169" t="s">
        <v>812</v>
      </c>
      <c r="D1169" t="s">
        <v>90</v>
      </c>
      <c r="E1169">
        <v>0</v>
      </c>
      <c r="F1169">
        <v>0</v>
      </c>
      <c r="G1169">
        <v>0</v>
      </c>
      <c r="H1169">
        <v>0</v>
      </c>
      <c r="I1169">
        <v>2014</v>
      </c>
      <c r="J1169">
        <v>116</v>
      </c>
      <c r="K1169">
        <f>allFYsTable[[#This Row],[Actual]]-allFYsTable[[#This Row],[OriginalBudget]]</f>
        <v>0</v>
      </c>
      <c r="L1169" s="11" t="e">
        <f>allFYsTable[[#This Row],[DiffAmount]]/allFYsTable[[#This Row],[OriginalBudget]]</f>
        <v>#DIV/0!</v>
      </c>
    </row>
    <row r="1170" spans="1:12" x14ac:dyDescent="0.45">
      <c r="A1170" t="s">
        <v>1031</v>
      </c>
      <c r="B1170" t="s">
        <v>10</v>
      </c>
      <c r="C1170" t="s">
        <v>821</v>
      </c>
      <c r="D1170" t="s">
        <v>91</v>
      </c>
      <c r="E1170">
        <v>59442</v>
      </c>
      <c r="F1170">
        <v>4305</v>
      </c>
      <c r="G1170">
        <v>0</v>
      </c>
      <c r="H1170">
        <v>4305</v>
      </c>
      <c r="I1170">
        <v>2014</v>
      </c>
      <c r="J1170">
        <v>117</v>
      </c>
      <c r="K1170">
        <f>allFYsTable[[#This Row],[Actual]]-allFYsTable[[#This Row],[OriginalBudget]]</f>
        <v>-59442</v>
      </c>
      <c r="L1170" s="11">
        <f>allFYsTable[[#This Row],[DiffAmount]]/allFYsTable[[#This Row],[OriginalBudget]]</f>
        <v>-1</v>
      </c>
    </row>
    <row r="1171" spans="1:12" x14ac:dyDescent="0.45">
      <c r="A1171" t="s">
        <v>1031</v>
      </c>
      <c r="B1171" t="s">
        <v>10</v>
      </c>
      <c r="C1171" t="s">
        <v>832</v>
      </c>
      <c r="D1171" t="s">
        <v>200</v>
      </c>
      <c r="E1171">
        <v>42677</v>
      </c>
      <c r="F1171">
        <v>45636</v>
      </c>
      <c r="G1171">
        <v>45617</v>
      </c>
      <c r="H1171">
        <v>19</v>
      </c>
      <c r="I1171">
        <v>2014</v>
      </c>
      <c r="J1171">
        <v>118</v>
      </c>
      <c r="K1171">
        <f>allFYsTable[[#This Row],[Actual]]-allFYsTable[[#This Row],[OriginalBudget]]</f>
        <v>2940</v>
      </c>
      <c r="L1171" s="11">
        <f>allFYsTable[[#This Row],[DiffAmount]]/allFYsTable[[#This Row],[OriginalBudget]]</f>
        <v>6.8889565808280803E-2</v>
      </c>
    </row>
    <row r="1172" spans="1:12" x14ac:dyDescent="0.45">
      <c r="A1172" t="s">
        <v>1031</v>
      </c>
      <c r="B1172" t="s">
        <v>10</v>
      </c>
      <c r="C1172" t="s">
        <v>847</v>
      </c>
      <c r="D1172" t="s">
        <v>282</v>
      </c>
      <c r="E1172">
        <v>5500</v>
      </c>
      <c r="F1172">
        <v>23512</v>
      </c>
      <c r="G1172">
        <v>0</v>
      </c>
      <c r="H1172">
        <v>23512</v>
      </c>
      <c r="I1172">
        <v>2014</v>
      </c>
      <c r="J1172">
        <v>119</v>
      </c>
      <c r="K1172">
        <f>allFYsTable[[#This Row],[Actual]]-allFYsTable[[#This Row],[OriginalBudget]]</f>
        <v>-5500</v>
      </c>
      <c r="L1172" s="11">
        <f>allFYsTable[[#This Row],[DiffAmount]]/allFYsTable[[#This Row],[OriginalBudget]]</f>
        <v>-1</v>
      </c>
    </row>
    <row r="1173" spans="1:12" x14ac:dyDescent="0.45">
      <c r="A1173" t="s">
        <v>1031</v>
      </c>
      <c r="B1173" t="s">
        <v>10</v>
      </c>
      <c r="C1173" t="s">
        <v>816</v>
      </c>
      <c r="D1173" t="s">
        <v>93</v>
      </c>
      <c r="E1173">
        <v>18860</v>
      </c>
      <c r="F1173">
        <v>26415</v>
      </c>
      <c r="G1173">
        <v>26415</v>
      </c>
      <c r="H1173">
        <v>0</v>
      </c>
      <c r="I1173">
        <v>2014</v>
      </c>
      <c r="J1173">
        <v>120</v>
      </c>
      <c r="K1173">
        <f>allFYsTable[[#This Row],[Actual]]-allFYsTable[[#This Row],[OriginalBudget]]</f>
        <v>7555</v>
      </c>
      <c r="L1173" s="11">
        <f>allFYsTable[[#This Row],[DiffAmount]]/allFYsTable[[#This Row],[OriginalBudget]]</f>
        <v>0.40058324496288439</v>
      </c>
    </row>
    <row r="1174" spans="1:12" x14ac:dyDescent="0.45">
      <c r="A1174" t="s">
        <v>1031</v>
      </c>
      <c r="B1174" t="s">
        <v>10</v>
      </c>
      <c r="C1174" t="s">
        <v>815</v>
      </c>
      <c r="D1174" t="s">
        <v>934</v>
      </c>
      <c r="E1174">
        <v>3000</v>
      </c>
      <c r="F1174">
        <v>0</v>
      </c>
      <c r="G1174">
        <v>0</v>
      </c>
      <c r="H1174">
        <v>0</v>
      </c>
      <c r="I1174">
        <v>2014</v>
      </c>
      <c r="J1174">
        <v>121</v>
      </c>
      <c r="K1174">
        <f>allFYsTable[[#This Row],[Actual]]-allFYsTable[[#This Row],[OriginalBudget]]</f>
        <v>-3000</v>
      </c>
      <c r="L1174" s="11">
        <f>allFYsTable[[#This Row],[DiffAmount]]/allFYsTable[[#This Row],[OriginalBudget]]</f>
        <v>-1</v>
      </c>
    </row>
    <row r="1175" spans="1:12" x14ac:dyDescent="0.45">
      <c r="A1175" t="s">
        <v>1031</v>
      </c>
      <c r="B1175" t="s">
        <v>10</v>
      </c>
      <c r="C1175" t="s">
        <v>825</v>
      </c>
      <c r="D1175" t="s">
        <v>298</v>
      </c>
      <c r="E1175">
        <v>0</v>
      </c>
      <c r="F1175">
        <v>0</v>
      </c>
      <c r="G1175">
        <v>0</v>
      </c>
      <c r="H1175">
        <v>0</v>
      </c>
      <c r="I1175">
        <v>2014</v>
      </c>
      <c r="J1175">
        <v>122</v>
      </c>
      <c r="K1175">
        <f>allFYsTable[[#This Row],[Actual]]-allFYsTable[[#This Row],[OriginalBudget]]</f>
        <v>0</v>
      </c>
      <c r="L1175" s="11" t="e">
        <f>allFYsTable[[#This Row],[DiffAmount]]/allFYsTable[[#This Row],[OriginalBudget]]</f>
        <v>#DIV/0!</v>
      </c>
    </row>
    <row r="1176" spans="1:12" x14ac:dyDescent="0.45">
      <c r="A1176" t="s">
        <v>1031</v>
      </c>
      <c r="B1176" t="s">
        <v>10</v>
      </c>
      <c r="C1176" t="s">
        <v>824</v>
      </c>
      <c r="D1176" t="s">
        <v>299</v>
      </c>
      <c r="E1176">
        <v>0</v>
      </c>
      <c r="F1176">
        <v>0</v>
      </c>
      <c r="G1176">
        <v>0</v>
      </c>
      <c r="H1176">
        <v>0</v>
      </c>
      <c r="I1176">
        <v>2014</v>
      </c>
      <c r="J1176">
        <v>123</v>
      </c>
      <c r="K1176">
        <f>allFYsTable[[#This Row],[Actual]]-allFYsTable[[#This Row],[OriginalBudget]]</f>
        <v>0</v>
      </c>
      <c r="L1176" s="11" t="e">
        <f>allFYsTable[[#This Row],[DiffAmount]]/allFYsTable[[#This Row],[OriginalBudget]]</f>
        <v>#DIV/0!</v>
      </c>
    </row>
    <row r="1177" spans="1:12" x14ac:dyDescent="0.45">
      <c r="A1177" t="s">
        <v>1030</v>
      </c>
      <c r="B1177" t="s">
        <v>11</v>
      </c>
      <c r="C1177" t="s">
        <v>703</v>
      </c>
      <c r="D1177" t="s">
        <v>96</v>
      </c>
      <c r="E1177">
        <v>22505</v>
      </c>
      <c r="F1177">
        <v>19511</v>
      </c>
      <c r="G1177">
        <v>19511</v>
      </c>
      <c r="H1177">
        <v>0</v>
      </c>
      <c r="I1177">
        <v>2015</v>
      </c>
      <c r="J1177">
        <v>1</v>
      </c>
      <c r="K1177">
        <f>allFYsTable[[#This Row],[Actual]]-allFYsTable[[#This Row],[OriginalBudget]]</f>
        <v>-2994</v>
      </c>
      <c r="L1177" s="11">
        <f>allFYsTable[[#This Row],[DiffAmount]]/allFYsTable[[#This Row],[OriginalBudget]]</f>
        <v>-0.13303710286602977</v>
      </c>
    </row>
    <row r="1178" spans="1:12" x14ac:dyDescent="0.45">
      <c r="A1178" t="s">
        <v>1030</v>
      </c>
      <c r="B1178" t="s">
        <v>11</v>
      </c>
      <c r="C1178" t="s">
        <v>723</v>
      </c>
      <c r="D1178" t="s">
        <v>919</v>
      </c>
      <c r="E1178">
        <v>4241</v>
      </c>
      <c r="F1178">
        <v>4673</v>
      </c>
      <c r="G1178">
        <v>4460</v>
      </c>
      <c r="H1178">
        <v>213</v>
      </c>
      <c r="I1178">
        <v>2015</v>
      </c>
      <c r="J1178">
        <v>2</v>
      </c>
      <c r="K1178">
        <f>allFYsTable[[#This Row],[Actual]]-allFYsTable[[#This Row],[OriginalBudget]]</f>
        <v>219</v>
      </c>
      <c r="L1178" s="11">
        <f>allFYsTable[[#This Row],[DiffAmount]]/allFYsTable[[#This Row],[OriginalBudget]]</f>
        <v>5.1638764442348502E-2</v>
      </c>
    </row>
    <row r="1179" spans="1:12" x14ac:dyDescent="0.45">
      <c r="A1179" t="s">
        <v>1030</v>
      </c>
      <c r="B1179" t="s">
        <v>11</v>
      </c>
      <c r="C1179" t="s">
        <v>731</v>
      </c>
      <c r="D1179" t="s">
        <v>225</v>
      </c>
      <c r="E1179">
        <v>226</v>
      </c>
      <c r="F1179">
        <v>137</v>
      </c>
      <c r="G1179">
        <v>137</v>
      </c>
      <c r="H1179">
        <v>0</v>
      </c>
      <c r="I1179">
        <v>2015</v>
      </c>
      <c r="J1179">
        <v>3</v>
      </c>
      <c r="K1179">
        <f>allFYsTable[[#This Row],[Actual]]-allFYsTable[[#This Row],[OriginalBudget]]</f>
        <v>-89</v>
      </c>
      <c r="L1179" s="11">
        <f>allFYsTable[[#This Row],[DiffAmount]]/allFYsTable[[#This Row],[OriginalBudget]]</f>
        <v>-0.39380530973451328</v>
      </c>
    </row>
    <row r="1180" spans="1:12" x14ac:dyDescent="0.45">
      <c r="A1180" t="s">
        <v>1030</v>
      </c>
      <c r="B1180" t="s">
        <v>11</v>
      </c>
      <c r="C1180" t="s">
        <v>711</v>
      </c>
      <c r="D1180" t="s">
        <v>162</v>
      </c>
      <c r="E1180">
        <v>924</v>
      </c>
      <c r="F1180">
        <v>924</v>
      </c>
      <c r="G1180">
        <v>825</v>
      </c>
      <c r="H1180">
        <v>99</v>
      </c>
      <c r="I1180">
        <v>2015</v>
      </c>
      <c r="J1180">
        <v>4</v>
      </c>
      <c r="K1180">
        <f>allFYsTable[[#This Row],[Actual]]-allFYsTable[[#This Row],[OriginalBudget]]</f>
        <v>-99</v>
      </c>
      <c r="L1180" s="11">
        <f>allFYsTable[[#This Row],[DiffAmount]]/allFYsTable[[#This Row],[OriginalBudget]]</f>
        <v>-0.10714285714285714</v>
      </c>
    </row>
    <row r="1181" spans="1:12" x14ac:dyDescent="0.45">
      <c r="A1181" t="s">
        <v>1030</v>
      </c>
      <c r="B1181" t="s">
        <v>11</v>
      </c>
      <c r="C1181" t="s">
        <v>707</v>
      </c>
      <c r="D1181" t="s">
        <v>163</v>
      </c>
      <c r="E1181">
        <v>9322</v>
      </c>
      <c r="F1181">
        <v>10058</v>
      </c>
      <c r="G1181">
        <v>10021</v>
      </c>
      <c r="H1181">
        <v>37</v>
      </c>
      <c r="I1181">
        <v>2015</v>
      </c>
      <c r="J1181">
        <v>5</v>
      </c>
      <c r="K1181">
        <f>allFYsTable[[#This Row],[Actual]]-allFYsTable[[#This Row],[OriginalBudget]]</f>
        <v>699</v>
      </c>
      <c r="L1181" s="11">
        <f>allFYsTable[[#This Row],[DiffAmount]]/allFYsTable[[#This Row],[OriginalBudget]]</f>
        <v>7.4983909032396476E-2</v>
      </c>
    </row>
    <row r="1182" spans="1:12" x14ac:dyDescent="0.45">
      <c r="A1182" t="s">
        <v>1030</v>
      </c>
      <c r="B1182" t="s">
        <v>11</v>
      </c>
      <c r="C1182" t="s">
        <v>725</v>
      </c>
      <c r="D1182" t="s">
        <v>104</v>
      </c>
      <c r="E1182">
        <v>2915</v>
      </c>
      <c r="F1182">
        <v>3341</v>
      </c>
      <c r="G1182">
        <v>3151</v>
      </c>
      <c r="H1182">
        <v>190</v>
      </c>
      <c r="I1182">
        <v>2015</v>
      </c>
      <c r="J1182">
        <v>6</v>
      </c>
      <c r="K1182">
        <f>allFYsTable[[#This Row],[Actual]]-allFYsTable[[#This Row],[OriginalBudget]]</f>
        <v>236</v>
      </c>
      <c r="L1182" s="11">
        <f>allFYsTable[[#This Row],[DiffAmount]]/allFYsTable[[#This Row],[OriginalBudget]]</f>
        <v>8.0960548885077185E-2</v>
      </c>
    </row>
    <row r="1183" spans="1:12" x14ac:dyDescent="0.45">
      <c r="A1183" t="s">
        <v>1030</v>
      </c>
      <c r="B1183" t="s">
        <v>11</v>
      </c>
      <c r="C1183" t="s">
        <v>724</v>
      </c>
      <c r="D1183" t="s">
        <v>240</v>
      </c>
      <c r="E1183">
        <v>14348</v>
      </c>
      <c r="F1183">
        <v>14348</v>
      </c>
      <c r="G1183">
        <v>14009</v>
      </c>
      <c r="H1183">
        <v>339</v>
      </c>
      <c r="I1183">
        <v>2015</v>
      </c>
      <c r="J1183">
        <v>7</v>
      </c>
      <c r="K1183">
        <f>allFYsTable[[#This Row],[Actual]]-allFYsTable[[#This Row],[OriginalBudget]]</f>
        <v>-339</v>
      </c>
      <c r="L1183" s="11">
        <f>allFYsTable[[#This Row],[DiffAmount]]/allFYsTable[[#This Row],[OriginalBudget]]</f>
        <v>-2.3626986339559522E-2</v>
      </c>
    </row>
    <row r="1184" spans="1:12" x14ac:dyDescent="0.45">
      <c r="A1184" t="s">
        <v>1030</v>
      </c>
      <c r="B1184" t="s">
        <v>11</v>
      </c>
      <c r="C1184" t="s">
        <v>701</v>
      </c>
      <c r="D1184" t="s">
        <v>106</v>
      </c>
      <c r="E1184">
        <v>1545</v>
      </c>
      <c r="F1184">
        <v>2211</v>
      </c>
      <c r="G1184">
        <v>2211</v>
      </c>
      <c r="H1184">
        <v>0</v>
      </c>
      <c r="I1184">
        <v>2015</v>
      </c>
      <c r="J1184">
        <v>8</v>
      </c>
      <c r="K1184">
        <f>allFYsTable[[#This Row],[Actual]]-allFYsTable[[#This Row],[OriginalBudget]]</f>
        <v>666</v>
      </c>
      <c r="L1184" s="11">
        <f>allFYsTable[[#This Row],[DiffAmount]]/allFYsTable[[#This Row],[OriginalBudget]]</f>
        <v>0.43106796116504853</v>
      </c>
    </row>
    <row r="1185" spans="1:12" x14ac:dyDescent="0.45">
      <c r="A1185" t="s">
        <v>1030</v>
      </c>
      <c r="B1185" t="s">
        <v>11</v>
      </c>
      <c r="C1185" t="s">
        <v>722</v>
      </c>
      <c r="D1185" t="s">
        <v>241</v>
      </c>
      <c r="E1185">
        <v>3714</v>
      </c>
      <c r="F1185">
        <v>3980</v>
      </c>
      <c r="G1185">
        <v>3980</v>
      </c>
      <c r="H1185">
        <v>0</v>
      </c>
      <c r="I1185">
        <v>2015</v>
      </c>
      <c r="J1185">
        <v>9</v>
      </c>
      <c r="K1185">
        <f>allFYsTable[[#This Row],[Actual]]-allFYsTable[[#This Row],[OriginalBudget]]</f>
        <v>266</v>
      </c>
      <c r="L1185" s="11">
        <f>allFYsTable[[#This Row],[DiffAmount]]/allFYsTable[[#This Row],[OriginalBudget]]</f>
        <v>7.1620893914916536E-2</v>
      </c>
    </row>
    <row r="1186" spans="1:12" x14ac:dyDescent="0.45">
      <c r="A1186" t="s">
        <v>1030</v>
      </c>
      <c r="B1186" t="s">
        <v>11</v>
      </c>
      <c r="C1186" t="s">
        <v>704</v>
      </c>
      <c r="D1186" t="s">
        <v>242</v>
      </c>
      <c r="E1186">
        <v>8385</v>
      </c>
      <c r="F1186">
        <v>8683</v>
      </c>
      <c r="G1186">
        <v>8497</v>
      </c>
      <c r="H1186">
        <v>186</v>
      </c>
      <c r="I1186">
        <v>2015</v>
      </c>
      <c r="J1186">
        <v>10</v>
      </c>
      <c r="K1186">
        <f>allFYsTable[[#This Row],[Actual]]-allFYsTable[[#This Row],[OriginalBudget]]</f>
        <v>112</v>
      </c>
      <c r="L1186" s="11">
        <f>allFYsTable[[#This Row],[DiffAmount]]/allFYsTable[[#This Row],[OriginalBudget]]</f>
        <v>1.3357185450208706E-2</v>
      </c>
    </row>
    <row r="1187" spans="1:12" x14ac:dyDescent="0.45">
      <c r="A1187" t="s">
        <v>1030</v>
      </c>
      <c r="B1187" t="s">
        <v>11</v>
      </c>
      <c r="C1187" t="s">
        <v>716</v>
      </c>
      <c r="D1187" t="s">
        <v>243</v>
      </c>
      <c r="E1187">
        <v>21203</v>
      </c>
      <c r="F1187">
        <v>21203</v>
      </c>
      <c r="G1187">
        <v>18999</v>
      </c>
      <c r="H1187">
        <v>2204</v>
      </c>
      <c r="I1187">
        <v>2015</v>
      </c>
      <c r="J1187">
        <v>11</v>
      </c>
      <c r="K1187">
        <f>allFYsTable[[#This Row],[Actual]]-allFYsTable[[#This Row],[OriginalBudget]]</f>
        <v>-2204</v>
      </c>
      <c r="L1187" s="11">
        <f>allFYsTable[[#This Row],[DiffAmount]]/allFYsTable[[#This Row],[OriginalBudget]]</f>
        <v>-0.10394755459133141</v>
      </c>
    </row>
    <row r="1188" spans="1:12" x14ac:dyDescent="0.45">
      <c r="A1188" t="s">
        <v>1030</v>
      </c>
      <c r="B1188" t="s">
        <v>11</v>
      </c>
      <c r="C1188" t="s">
        <v>705</v>
      </c>
      <c r="D1188" t="s">
        <v>110</v>
      </c>
      <c r="E1188">
        <v>300860</v>
      </c>
      <c r="F1188">
        <v>295645</v>
      </c>
      <c r="G1188">
        <v>286950</v>
      </c>
      <c r="H1188">
        <v>8695</v>
      </c>
      <c r="I1188">
        <v>2015</v>
      </c>
      <c r="J1188">
        <v>12</v>
      </c>
      <c r="K1188">
        <f>allFYsTable[[#This Row],[Actual]]-allFYsTable[[#This Row],[OriginalBudget]]</f>
        <v>-13910</v>
      </c>
      <c r="L1188" s="11">
        <f>allFYsTable[[#This Row],[DiffAmount]]/allFYsTable[[#This Row],[OriginalBudget]]</f>
        <v>-4.6234128830685367E-2</v>
      </c>
    </row>
    <row r="1189" spans="1:12" x14ac:dyDescent="0.45">
      <c r="A1189" t="s">
        <v>1030</v>
      </c>
      <c r="B1189" t="s">
        <v>11</v>
      </c>
      <c r="C1189" t="s">
        <v>713</v>
      </c>
      <c r="D1189" t="s">
        <v>111</v>
      </c>
      <c r="E1189">
        <v>17270</v>
      </c>
      <c r="F1189">
        <v>16343</v>
      </c>
      <c r="G1189">
        <v>16123</v>
      </c>
      <c r="H1189">
        <v>220</v>
      </c>
      <c r="I1189">
        <v>2015</v>
      </c>
      <c r="J1189">
        <v>13</v>
      </c>
      <c r="K1189">
        <f>allFYsTable[[#This Row],[Actual]]-allFYsTable[[#This Row],[OriginalBudget]]</f>
        <v>-1147</v>
      </c>
      <c r="L1189" s="11">
        <f>allFYsTable[[#This Row],[DiffAmount]]/allFYsTable[[#This Row],[OriginalBudget]]</f>
        <v>-6.6415749855240305E-2</v>
      </c>
    </row>
    <row r="1190" spans="1:12" x14ac:dyDescent="0.45">
      <c r="A1190" t="s">
        <v>1030</v>
      </c>
      <c r="B1190" t="s">
        <v>11</v>
      </c>
      <c r="C1190" t="s">
        <v>702</v>
      </c>
      <c r="D1190" t="s">
        <v>112</v>
      </c>
      <c r="E1190">
        <v>1426</v>
      </c>
      <c r="F1190">
        <v>1297</v>
      </c>
      <c r="G1190">
        <v>1201</v>
      </c>
      <c r="H1190">
        <v>96</v>
      </c>
      <c r="I1190">
        <v>2015</v>
      </c>
      <c r="J1190">
        <v>14</v>
      </c>
      <c r="K1190">
        <f>allFYsTable[[#This Row],[Actual]]-allFYsTable[[#This Row],[OriginalBudget]]</f>
        <v>-225</v>
      </c>
      <c r="L1190" s="11">
        <f>allFYsTable[[#This Row],[DiffAmount]]/allFYsTable[[#This Row],[OriginalBudget]]</f>
        <v>-0.15778401122019636</v>
      </c>
    </row>
    <row r="1191" spans="1:12" x14ac:dyDescent="0.45">
      <c r="A1191" t="s">
        <v>1030</v>
      </c>
      <c r="B1191" t="s">
        <v>11</v>
      </c>
      <c r="C1191" t="s">
        <v>720</v>
      </c>
      <c r="D1191" t="s">
        <v>244</v>
      </c>
      <c r="E1191">
        <v>114378</v>
      </c>
      <c r="F1191">
        <v>113856</v>
      </c>
      <c r="G1191">
        <v>113840</v>
      </c>
      <c r="H1191">
        <v>16</v>
      </c>
      <c r="I1191">
        <v>2015</v>
      </c>
      <c r="J1191">
        <v>15</v>
      </c>
      <c r="K1191">
        <f>allFYsTable[[#This Row],[Actual]]-allFYsTable[[#This Row],[OriginalBudget]]</f>
        <v>-538</v>
      </c>
      <c r="L1191" s="11">
        <f>allFYsTable[[#This Row],[DiffAmount]]/allFYsTable[[#This Row],[OriginalBudget]]</f>
        <v>-4.7037017608281316E-3</v>
      </c>
    </row>
    <row r="1192" spans="1:12" x14ac:dyDescent="0.45">
      <c r="A1192" t="s">
        <v>1030</v>
      </c>
      <c r="B1192" t="s">
        <v>11</v>
      </c>
      <c r="C1192" t="s">
        <v>719</v>
      </c>
      <c r="D1192" t="s">
        <v>245</v>
      </c>
      <c r="E1192">
        <v>65987</v>
      </c>
      <c r="F1192">
        <v>66754</v>
      </c>
      <c r="G1192">
        <v>64039</v>
      </c>
      <c r="H1192">
        <v>2715</v>
      </c>
      <c r="I1192">
        <v>2015</v>
      </c>
      <c r="J1192">
        <v>16</v>
      </c>
      <c r="K1192">
        <f>allFYsTable[[#This Row],[Actual]]-allFYsTable[[#This Row],[OriginalBudget]]</f>
        <v>-1948</v>
      </c>
      <c r="L1192" s="11">
        <f>allFYsTable[[#This Row],[DiffAmount]]/allFYsTable[[#This Row],[OriginalBudget]]</f>
        <v>-2.9520966250928211E-2</v>
      </c>
    </row>
    <row r="1193" spans="1:12" x14ac:dyDescent="0.45">
      <c r="A1193" t="s">
        <v>1030</v>
      </c>
      <c r="B1193" t="s">
        <v>11</v>
      </c>
      <c r="C1193" t="s">
        <v>718</v>
      </c>
      <c r="D1193" t="s">
        <v>115</v>
      </c>
      <c r="E1193">
        <v>3124</v>
      </c>
      <c r="F1193">
        <v>3578</v>
      </c>
      <c r="G1193">
        <v>3380</v>
      </c>
      <c r="H1193">
        <v>198</v>
      </c>
      <c r="I1193">
        <v>2015</v>
      </c>
      <c r="J1193">
        <v>17</v>
      </c>
      <c r="K1193">
        <f>allFYsTable[[#This Row],[Actual]]-allFYsTable[[#This Row],[OriginalBudget]]</f>
        <v>256</v>
      </c>
      <c r="L1193" s="11">
        <f>allFYsTable[[#This Row],[DiffAmount]]/allFYsTable[[#This Row],[OriginalBudget]]</f>
        <v>8.1946222791293211E-2</v>
      </c>
    </row>
    <row r="1194" spans="1:12" x14ac:dyDescent="0.45">
      <c r="A1194" t="s">
        <v>1030</v>
      </c>
      <c r="B1194" t="s">
        <v>11</v>
      </c>
      <c r="C1194" t="s">
        <v>714</v>
      </c>
      <c r="D1194" t="s">
        <v>246</v>
      </c>
      <c r="E1194">
        <v>1043</v>
      </c>
      <c r="F1194">
        <v>1043</v>
      </c>
      <c r="G1194">
        <v>980</v>
      </c>
      <c r="H1194">
        <v>63</v>
      </c>
      <c r="I1194">
        <v>2015</v>
      </c>
      <c r="J1194">
        <v>18</v>
      </c>
      <c r="K1194">
        <f>allFYsTable[[#This Row],[Actual]]-allFYsTable[[#This Row],[OriginalBudget]]</f>
        <v>-63</v>
      </c>
      <c r="L1194" s="11">
        <f>allFYsTable[[#This Row],[DiffAmount]]/allFYsTable[[#This Row],[OriginalBudget]]</f>
        <v>-6.0402684563758392E-2</v>
      </c>
    </row>
    <row r="1195" spans="1:12" x14ac:dyDescent="0.45">
      <c r="A1195" t="s">
        <v>1030</v>
      </c>
      <c r="B1195" t="s">
        <v>11</v>
      </c>
      <c r="C1195" t="s">
        <v>733</v>
      </c>
      <c r="D1195" t="s">
        <v>117</v>
      </c>
      <c r="E1195">
        <v>50</v>
      </c>
      <c r="F1195">
        <v>50</v>
      </c>
      <c r="G1195">
        <v>41</v>
      </c>
      <c r="H1195">
        <v>9</v>
      </c>
      <c r="I1195">
        <v>2015</v>
      </c>
      <c r="J1195">
        <v>19</v>
      </c>
      <c r="K1195">
        <f>allFYsTable[[#This Row],[Actual]]-allFYsTable[[#This Row],[OriginalBudget]]</f>
        <v>-9</v>
      </c>
      <c r="L1195" s="11">
        <f>allFYsTable[[#This Row],[DiffAmount]]/allFYsTable[[#This Row],[OriginalBudget]]</f>
        <v>-0.18</v>
      </c>
    </row>
    <row r="1196" spans="1:12" x14ac:dyDescent="0.45">
      <c r="A1196" t="s">
        <v>1030</v>
      </c>
      <c r="B1196" t="s">
        <v>11</v>
      </c>
      <c r="C1196" t="s">
        <v>721</v>
      </c>
      <c r="D1196" t="s">
        <v>247</v>
      </c>
      <c r="E1196">
        <v>56268</v>
      </c>
      <c r="F1196">
        <v>56692</v>
      </c>
      <c r="G1196">
        <v>55750</v>
      </c>
      <c r="H1196">
        <v>942</v>
      </c>
      <c r="I1196">
        <v>2015</v>
      </c>
      <c r="J1196">
        <v>20</v>
      </c>
      <c r="K1196">
        <f>allFYsTable[[#This Row],[Actual]]-allFYsTable[[#This Row],[OriginalBudget]]</f>
        <v>-518</v>
      </c>
      <c r="L1196" s="11">
        <f>allFYsTable[[#This Row],[DiffAmount]]/allFYsTable[[#This Row],[OriginalBudget]]</f>
        <v>-9.2059429871330055E-3</v>
      </c>
    </row>
    <row r="1197" spans="1:12" x14ac:dyDescent="0.45">
      <c r="A1197" t="s">
        <v>1030</v>
      </c>
      <c r="B1197" t="s">
        <v>11</v>
      </c>
      <c r="C1197" t="s">
        <v>699</v>
      </c>
      <c r="D1197" t="s">
        <v>119</v>
      </c>
      <c r="E1197">
        <v>7240</v>
      </c>
      <c r="F1197">
        <v>7731</v>
      </c>
      <c r="G1197">
        <v>7485</v>
      </c>
      <c r="H1197">
        <v>246</v>
      </c>
      <c r="I1197">
        <v>2015</v>
      </c>
      <c r="J1197">
        <v>21</v>
      </c>
      <c r="K1197">
        <f>allFYsTable[[#This Row],[Actual]]-allFYsTable[[#This Row],[OriginalBudget]]</f>
        <v>245</v>
      </c>
      <c r="L1197" s="11">
        <f>allFYsTable[[#This Row],[DiffAmount]]/allFYsTable[[#This Row],[OriginalBudget]]</f>
        <v>3.3839779005524859E-2</v>
      </c>
    </row>
    <row r="1198" spans="1:12" x14ac:dyDescent="0.45">
      <c r="A1198" t="s">
        <v>1030</v>
      </c>
      <c r="B1198" t="s">
        <v>11</v>
      </c>
      <c r="C1198" t="s">
        <v>712</v>
      </c>
      <c r="D1198" t="s">
        <v>248</v>
      </c>
      <c r="E1198">
        <v>2798</v>
      </c>
      <c r="F1198">
        <v>2465</v>
      </c>
      <c r="G1198">
        <v>2439</v>
      </c>
      <c r="H1198">
        <v>26</v>
      </c>
      <c r="I1198">
        <v>2015</v>
      </c>
      <c r="J1198">
        <v>22</v>
      </c>
      <c r="K1198">
        <f>allFYsTable[[#This Row],[Actual]]-allFYsTable[[#This Row],[OriginalBudget]]</f>
        <v>-359</v>
      </c>
      <c r="L1198" s="11">
        <f>allFYsTable[[#This Row],[DiffAmount]]/allFYsTable[[#This Row],[OriginalBudget]]</f>
        <v>-0.1283059328091494</v>
      </c>
    </row>
    <row r="1199" spans="1:12" x14ac:dyDescent="0.45">
      <c r="A1199" t="s">
        <v>1030</v>
      </c>
      <c r="B1199" t="s">
        <v>11</v>
      </c>
      <c r="C1199" t="s">
        <v>730</v>
      </c>
      <c r="D1199" t="s">
        <v>125</v>
      </c>
      <c r="E1199">
        <v>1253</v>
      </c>
      <c r="F1199">
        <v>1347</v>
      </c>
      <c r="G1199">
        <v>1311</v>
      </c>
      <c r="H1199">
        <v>36</v>
      </c>
      <c r="I1199">
        <v>2015</v>
      </c>
      <c r="J1199">
        <v>23</v>
      </c>
      <c r="K1199">
        <f>allFYsTable[[#This Row],[Actual]]-allFYsTable[[#This Row],[OriginalBudget]]</f>
        <v>58</v>
      </c>
      <c r="L1199" s="11">
        <f>allFYsTable[[#This Row],[DiffAmount]]/allFYsTable[[#This Row],[OriginalBudget]]</f>
        <v>4.6288906624102157E-2</v>
      </c>
    </row>
    <row r="1200" spans="1:12" x14ac:dyDescent="0.45">
      <c r="A1200" t="s">
        <v>1030</v>
      </c>
      <c r="B1200" t="s">
        <v>11</v>
      </c>
      <c r="C1200" t="s">
        <v>715</v>
      </c>
      <c r="D1200" t="s">
        <v>126</v>
      </c>
      <c r="E1200">
        <v>1570</v>
      </c>
      <c r="F1200">
        <v>1570</v>
      </c>
      <c r="G1200">
        <v>1525</v>
      </c>
      <c r="H1200">
        <v>45</v>
      </c>
      <c r="I1200">
        <v>2015</v>
      </c>
      <c r="J1200">
        <v>24</v>
      </c>
      <c r="K1200">
        <f>allFYsTable[[#This Row],[Actual]]-allFYsTable[[#This Row],[OriginalBudget]]</f>
        <v>-45</v>
      </c>
      <c r="L1200" s="11">
        <f>allFYsTable[[#This Row],[DiffAmount]]/allFYsTable[[#This Row],[OriginalBudget]]</f>
        <v>-2.8662420382165606E-2</v>
      </c>
    </row>
    <row r="1201" spans="1:12" x14ac:dyDescent="0.45">
      <c r="A1201" t="s">
        <v>1030</v>
      </c>
      <c r="B1201" t="s">
        <v>11</v>
      </c>
      <c r="C1201" t="s">
        <v>709</v>
      </c>
      <c r="D1201" t="s">
        <v>249</v>
      </c>
      <c r="E1201">
        <v>450</v>
      </c>
      <c r="F1201">
        <v>450</v>
      </c>
      <c r="G1201">
        <v>450</v>
      </c>
      <c r="H1201">
        <v>0</v>
      </c>
      <c r="I1201">
        <v>2015</v>
      </c>
      <c r="J1201">
        <v>25</v>
      </c>
      <c r="K1201">
        <f>allFYsTable[[#This Row],[Actual]]-allFYsTable[[#This Row],[OriginalBudget]]</f>
        <v>0</v>
      </c>
      <c r="L1201" s="11">
        <f>allFYsTable[[#This Row],[DiffAmount]]/allFYsTable[[#This Row],[OriginalBudget]]</f>
        <v>0</v>
      </c>
    </row>
    <row r="1202" spans="1:12" x14ac:dyDescent="0.45">
      <c r="A1202" t="s">
        <v>1030</v>
      </c>
      <c r="B1202" t="s">
        <v>11</v>
      </c>
      <c r="C1202" t="s">
        <v>700</v>
      </c>
      <c r="D1202" t="s">
        <v>250</v>
      </c>
      <c r="E1202">
        <v>1438</v>
      </c>
      <c r="F1202">
        <v>1438</v>
      </c>
      <c r="G1202">
        <v>1409</v>
      </c>
      <c r="H1202">
        <v>29</v>
      </c>
      <c r="I1202">
        <v>2015</v>
      </c>
      <c r="J1202">
        <v>26</v>
      </c>
      <c r="K1202">
        <f>allFYsTable[[#This Row],[Actual]]-allFYsTable[[#This Row],[OriginalBudget]]</f>
        <v>-29</v>
      </c>
      <c r="L1202" s="11">
        <f>allFYsTable[[#This Row],[DiffAmount]]/allFYsTable[[#This Row],[OriginalBudget]]</f>
        <v>-2.0166898470097356E-2</v>
      </c>
    </row>
    <row r="1203" spans="1:12" x14ac:dyDescent="0.45">
      <c r="A1203" t="s">
        <v>1030</v>
      </c>
      <c r="B1203" t="s">
        <v>251</v>
      </c>
      <c r="C1203" t="s">
        <v>743</v>
      </c>
      <c r="D1203" t="s">
        <v>920</v>
      </c>
      <c r="E1203">
        <v>21049</v>
      </c>
      <c r="F1203">
        <v>20912</v>
      </c>
      <c r="G1203">
        <v>20186</v>
      </c>
      <c r="H1203">
        <v>726</v>
      </c>
      <c r="I1203">
        <v>2015</v>
      </c>
      <c r="J1203">
        <v>27</v>
      </c>
      <c r="K1203">
        <f>allFYsTable[[#This Row],[Actual]]-allFYsTable[[#This Row],[OriginalBudget]]</f>
        <v>-863</v>
      </c>
      <c r="L1203" s="11">
        <f>allFYsTable[[#This Row],[DiffAmount]]/allFYsTable[[#This Row],[OriginalBudget]]</f>
        <v>-4.0999572426243525E-2</v>
      </c>
    </row>
    <row r="1204" spans="1:12" x14ac:dyDescent="0.45">
      <c r="A1204" t="s">
        <v>1030</v>
      </c>
      <c r="B1204" t="s">
        <v>251</v>
      </c>
      <c r="C1204" t="s">
        <v>738</v>
      </c>
      <c r="D1204" t="s">
        <v>22</v>
      </c>
      <c r="E1204">
        <v>8985</v>
      </c>
      <c r="F1204">
        <v>8807</v>
      </c>
      <c r="G1204">
        <v>8524</v>
      </c>
      <c r="H1204">
        <v>283</v>
      </c>
      <c r="I1204">
        <v>2015</v>
      </c>
      <c r="J1204">
        <v>28</v>
      </c>
      <c r="K1204">
        <f>allFYsTable[[#This Row],[Actual]]-allFYsTable[[#This Row],[OriginalBudget]]</f>
        <v>-461</v>
      </c>
      <c r="L1204" s="11">
        <f>allFYsTable[[#This Row],[DiffAmount]]/allFYsTable[[#This Row],[OriginalBudget]]</f>
        <v>-5.1307735114079017E-2</v>
      </c>
    </row>
    <row r="1205" spans="1:12" x14ac:dyDescent="0.45">
      <c r="A1205" t="s">
        <v>1030</v>
      </c>
      <c r="B1205" t="s">
        <v>251</v>
      </c>
      <c r="C1205" t="s">
        <v>742</v>
      </c>
      <c r="D1205" t="s">
        <v>26</v>
      </c>
      <c r="E1205">
        <v>9359</v>
      </c>
      <c r="F1205">
        <v>9450</v>
      </c>
      <c r="G1205">
        <v>9329</v>
      </c>
      <c r="H1205">
        <v>121</v>
      </c>
      <c r="I1205">
        <v>2015</v>
      </c>
      <c r="J1205">
        <v>29</v>
      </c>
      <c r="K1205">
        <f>allFYsTable[[#This Row],[Actual]]-allFYsTable[[#This Row],[OriginalBudget]]</f>
        <v>-30</v>
      </c>
      <c r="L1205" s="11">
        <f>allFYsTable[[#This Row],[DiffAmount]]/allFYsTable[[#This Row],[OriginalBudget]]</f>
        <v>-3.2054706699433701E-3</v>
      </c>
    </row>
    <row r="1206" spans="1:12" x14ac:dyDescent="0.45">
      <c r="A1206" t="s">
        <v>1030</v>
      </c>
      <c r="B1206" t="s">
        <v>251</v>
      </c>
      <c r="C1206" t="s">
        <v>744</v>
      </c>
      <c r="D1206" t="s">
        <v>29</v>
      </c>
      <c r="E1206">
        <v>2705</v>
      </c>
      <c r="F1206">
        <v>2704</v>
      </c>
      <c r="G1206">
        <v>2625</v>
      </c>
      <c r="H1206">
        <v>79</v>
      </c>
      <c r="I1206">
        <v>2015</v>
      </c>
      <c r="J1206">
        <v>30</v>
      </c>
      <c r="K1206">
        <f>allFYsTable[[#This Row],[Actual]]-allFYsTable[[#This Row],[OriginalBudget]]</f>
        <v>-80</v>
      </c>
      <c r="L1206" s="11">
        <f>allFYsTable[[#This Row],[DiffAmount]]/allFYsTable[[#This Row],[OriginalBudget]]</f>
        <v>-2.9574861367837338E-2</v>
      </c>
    </row>
    <row r="1207" spans="1:12" x14ac:dyDescent="0.45">
      <c r="A1207" t="s">
        <v>1030</v>
      </c>
      <c r="B1207" t="s">
        <v>251</v>
      </c>
      <c r="C1207" t="s">
        <v>737</v>
      </c>
      <c r="D1207" t="s">
        <v>230</v>
      </c>
      <c r="E1207">
        <v>15125</v>
      </c>
      <c r="F1207">
        <v>15306</v>
      </c>
      <c r="G1207">
        <v>10472</v>
      </c>
      <c r="H1207">
        <v>4834</v>
      </c>
      <c r="I1207">
        <v>2015</v>
      </c>
      <c r="J1207">
        <v>31</v>
      </c>
      <c r="K1207">
        <f>allFYsTable[[#This Row],[Actual]]-allFYsTable[[#This Row],[OriginalBudget]]</f>
        <v>-4653</v>
      </c>
      <c r="L1207" s="11">
        <f>allFYsTable[[#This Row],[DiffAmount]]/allFYsTable[[#This Row],[OriginalBudget]]</f>
        <v>-0.30763636363636365</v>
      </c>
    </row>
    <row r="1208" spans="1:12" x14ac:dyDescent="0.45">
      <c r="A1208" t="s">
        <v>1030</v>
      </c>
      <c r="B1208" t="s">
        <v>251</v>
      </c>
      <c r="C1208" t="s">
        <v>741</v>
      </c>
      <c r="D1208" t="s">
        <v>921</v>
      </c>
      <c r="E1208">
        <v>3605</v>
      </c>
      <c r="F1208">
        <v>834</v>
      </c>
      <c r="G1208">
        <v>782</v>
      </c>
      <c r="H1208">
        <v>52</v>
      </c>
      <c r="I1208">
        <v>2015</v>
      </c>
      <c r="J1208">
        <v>32</v>
      </c>
      <c r="K1208">
        <f>allFYsTable[[#This Row],[Actual]]-allFYsTable[[#This Row],[OriginalBudget]]</f>
        <v>-2823</v>
      </c>
      <c r="L1208" s="11">
        <f>allFYsTable[[#This Row],[DiffAmount]]/allFYsTable[[#This Row],[OriginalBudget]]</f>
        <v>-0.78307905686546464</v>
      </c>
    </row>
    <row r="1209" spans="1:12" x14ac:dyDescent="0.45">
      <c r="A1209" t="s">
        <v>1030</v>
      </c>
      <c r="B1209" t="s">
        <v>251</v>
      </c>
      <c r="C1209" t="s">
        <v>769</v>
      </c>
      <c r="D1209" t="s">
        <v>55</v>
      </c>
      <c r="E1209">
        <v>54903</v>
      </c>
      <c r="F1209">
        <v>59582</v>
      </c>
      <c r="G1209">
        <v>56819</v>
      </c>
      <c r="H1209">
        <v>2763</v>
      </c>
      <c r="I1209">
        <v>2015</v>
      </c>
      <c r="J1209">
        <v>33</v>
      </c>
      <c r="K1209">
        <f>allFYsTable[[#This Row],[Actual]]-allFYsTable[[#This Row],[OriginalBudget]]</f>
        <v>1916</v>
      </c>
      <c r="L1209" s="11">
        <f>allFYsTable[[#This Row],[DiffAmount]]/allFYsTable[[#This Row],[OriginalBudget]]</f>
        <v>3.4897910860972992E-2</v>
      </c>
    </row>
    <row r="1210" spans="1:12" x14ac:dyDescent="0.45">
      <c r="A1210" t="s">
        <v>1030</v>
      </c>
      <c r="B1210" t="s">
        <v>251</v>
      </c>
      <c r="C1210" t="s">
        <v>745</v>
      </c>
      <c r="D1210" t="s">
        <v>30</v>
      </c>
      <c r="E1210">
        <v>1749</v>
      </c>
      <c r="F1210">
        <v>1749</v>
      </c>
      <c r="G1210">
        <v>1680</v>
      </c>
      <c r="H1210">
        <v>69</v>
      </c>
      <c r="I1210">
        <v>2015</v>
      </c>
      <c r="J1210">
        <v>34</v>
      </c>
      <c r="K1210">
        <f>allFYsTable[[#This Row],[Actual]]-allFYsTable[[#This Row],[OriginalBudget]]</f>
        <v>-69</v>
      </c>
      <c r="L1210" s="11">
        <f>allFYsTable[[#This Row],[DiffAmount]]/allFYsTable[[#This Row],[OriginalBudget]]</f>
        <v>-3.9451114922813037E-2</v>
      </c>
    </row>
    <row r="1211" spans="1:12" x14ac:dyDescent="0.45">
      <c r="A1211" t="s">
        <v>1030</v>
      </c>
      <c r="B1211" t="s">
        <v>251</v>
      </c>
      <c r="C1211" t="s">
        <v>797</v>
      </c>
      <c r="D1211" t="s">
        <v>252</v>
      </c>
      <c r="E1211">
        <v>14400</v>
      </c>
      <c r="F1211">
        <v>14273</v>
      </c>
      <c r="G1211">
        <v>13804</v>
      </c>
      <c r="H1211">
        <v>469</v>
      </c>
      <c r="I1211">
        <v>2015</v>
      </c>
      <c r="J1211">
        <v>35</v>
      </c>
      <c r="K1211">
        <f>allFYsTable[[#This Row],[Actual]]-allFYsTable[[#This Row],[OriginalBudget]]</f>
        <v>-596</v>
      </c>
      <c r="L1211" s="11">
        <f>allFYsTable[[#This Row],[DiffAmount]]/allFYsTable[[#This Row],[OriginalBudget]]</f>
        <v>-4.1388888888888892E-2</v>
      </c>
    </row>
    <row r="1212" spans="1:12" x14ac:dyDescent="0.45">
      <c r="A1212" t="s">
        <v>1030</v>
      </c>
      <c r="B1212" t="s">
        <v>251</v>
      </c>
      <c r="C1212" t="s">
        <v>795</v>
      </c>
      <c r="D1212" t="s">
        <v>72</v>
      </c>
      <c r="E1212">
        <v>1170</v>
      </c>
      <c r="F1212">
        <v>1170</v>
      </c>
      <c r="G1212">
        <v>925</v>
      </c>
      <c r="H1212">
        <v>245</v>
      </c>
      <c r="I1212">
        <v>2015</v>
      </c>
      <c r="J1212">
        <v>36</v>
      </c>
      <c r="K1212">
        <f>allFYsTable[[#This Row],[Actual]]-allFYsTable[[#This Row],[OriginalBudget]]</f>
        <v>-245</v>
      </c>
      <c r="L1212" s="11">
        <f>allFYsTable[[#This Row],[DiffAmount]]/allFYsTable[[#This Row],[OriginalBudget]]</f>
        <v>-0.20940170940170941</v>
      </c>
    </row>
    <row r="1213" spans="1:12" x14ac:dyDescent="0.45">
      <c r="A1213" t="s">
        <v>1030</v>
      </c>
      <c r="B1213" t="s">
        <v>251</v>
      </c>
      <c r="C1213" t="s">
        <v>736</v>
      </c>
      <c r="D1213" t="s">
        <v>1049</v>
      </c>
      <c r="E1213">
        <v>15603</v>
      </c>
      <c r="F1213">
        <v>14403</v>
      </c>
      <c r="G1213">
        <v>13640</v>
      </c>
      <c r="H1213">
        <v>763</v>
      </c>
      <c r="I1213">
        <v>2015</v>
      </c>
      <c r="J1213">
        <v>37</v>
      </c>
      <c r="K1213">
        <f>allFYsTable[[#This Row],[Actual]]-allFYsTable[[#This Row],[OriginalBudget]]</f>
        <v>-1963</v>
      </c>
      <c r="L1213" s="11">
        <f>allFYsTable[[#This Row],[DiffAmount]]/allFYsTable[[#This Row],[OriginalBudget]]</f>
        <v>-0.12580913926808948</v>
      </c>
    </row>
    <row r="1214" spans="1:12" x14ac:dyDescent="0.45">
      <c r="A1214" t="s">
        <v>1030</v>
      </c>
      <c r="B1214" t="s">
        <v>251</v>
      </c>
      <c r="C1214" t="s">
        <v>739</v>
      </c>
      <c r="D1214" t="s">
        <v>23</v>
      </c>
      <c r="E1214">
        <v>45963</v>
      </c>
      <c r="F1214">
        <v>37763</v>
      </c>
      <c r="G1214">
        <v>37699</v>
      </c>
      <c r="H1214">
        <v>64</v>
      </c>
      <c r="I1214">
        <v>2015</v>
      </c>
      <c r="J1214">
        <v>38</v>
      </c>
      <c r="K1214">
        <f>allFYsTable[[#This Row],[Actual]]-allFYsTable[[#This Row],[OriginalBudget]]</f>
        <v>-8264</v>
      </c>
      <c r="L1214" s="11">
        <f>allFYsTable[[#This Row],[DiffAmount]]/allFYsTable[[#This Row],[OriginalBudget]]</f>
        <v>-0.17979679307268889</v>
      </c>
    </row>
    <row r="1215" spans="1:12" x14ac:dyDescent="0.45">
      <c r="A1215" t="s">
        <v>1030</v>
      </c>
      <c r="B1215" t="s">
        <v>251</v>
      </c>
      <c r="C1215" t="s">
        <v>734</v>
      </c>
      <c r="D1215" t="s">
        <v>843</v>
      </c>
      <c r="E1215">
        <v>0</v>
      </c>
      <c r="F1215">
        <v>0</v>
      </c>
      <c r="G1215">
        <v>0</v>
      </c>
      <c r="H1215">
        <v>0</v>
      </c>
      <c r="I1215">
        <v>2015</v>
      </c>
      <c r="J1215">
        <v>39</v>
      </c>
      <c r="K1215">
        <f>allFYsTable[[#This Row],[Actual]]-allFYsTable[[#This Row],[OriginalBudget]]</f>
        <v>0</v>
      </c>
      <c r="L1215" s="11" t="e">
        <f>allFYsTable[[#This Row],[DiffAmount]]/allFYsTable[[#This Row],[OriginalBudget]]</f>
        <v>#DIV/0!</v>
      </c>
    </row>
    <row r="1216" spans="1:12" x14ac:dyDescent="0.45">
      <c r="A1216" t="s">
        <v>1030</v>
      </c>
      <c r="B1216" t="s">
        <v>251</v>
      </c>
      <c r="C1216" t="s">
        <v>839</v>
      </c>
      <c r="D1216" t="s">
        <v>28</v>
      </c>
      <c r="E1216">
        <v>2488</v>
      </c>
      <c r="F1216">
        <v>2291</v>
      </c>
      <c r="G1216">
        <v>2191</v>
      </c>
      <c r="H1216">
        <v>100</v>
      </c>
      <c r="I1216">
        <v>2015</v>
      </c>
      <c r="J1216">
        <v>40</v>
      </c>
      <c r="K1216">
        <f>allFYsTable[[#This Row],[Actual]]-allFYsTable[[#This Row],[OriginalBudget]]</f>
        <v>-297</v>
      </c>
      <c r="L1216" s="11">
        <f>allFYsTable[[#This Row],[DiffAmount]]/allFYsTable[[#This Row],[OriginalBudget]]</f>
        <v>-0.11937299035369775</v>
      </c>
    </row>
    <row r="1217" spans="1:12" x14ac:dyDescent="0.45">
      <c r="A1217" t="s">
        <v>1030</v>
      </c>
      <c r="B1217" t="s">
        <v>251</v>
      </c>
      <c r="C1217" t="s">
        <v>806</v>
      </c>
      <c r="D1217" t="s">
        <v>253</v>
      </c>
      <c r="E1217">
        <v>0</v>
      </c>
      <c r="F1217">
        <v>0</v>
      </c>
      <c r="G1217">
        <v>0</v>
      </c>
      <c r="H1217">
        <v>0</v>
      </c>
      <c r="I1217">
        <v>2015</v>
      </c>
      <c r="J1217">
        <v>41</v>
      </c>
      <c r="K1217">
        <f>allFYsTable[[#This Row],[Actual]]-allFYsTable[[#This Row],[OriginalBudget]]</f>
        <v>0</v>
      </c>
      <c r="L1217" s="11" t="e">
        <f>allFYsTable[[#This Row],[DiffAmount]]/allFYsTable[[#This Row],[OriginalBudget]]</f>
        <v>#DIV/0!</v>
      </c>
    </row>
    <row r="1218" spans="1:12" x14ac:dyDescent="0.45">
      <c r="A1218" t="s">
        <v>1030</v>
      </c>
      <c r="B1218" t="s">
        <v>251</v>
      </c>
      <c r="C1218" t="s">
        <v>800</v>
      </c>
      <c r="D1218" t="s">
        <v>254</v>
      </c>
      <c r="E1218">
        <v>0</v>
      </c>
      <c r="F1218">
        <v>0</v>
      </c>
      <c r="G1218">
        <v>0</v>
      </c>
      <c r="H1218">
        <v>0</v>
      </c>
      <c r="I1218">
        <v>2015</v>
      </c>
      <c r="J1218">
        <v>42</v>
      </c>
      <c r="K1218">
        <f>allFYsTable[[#This Row],[Actual]]-allFYsTable[[#This Row],[OriginalBudget]]</f>
        <v>0</v>
      </c>
      <c r="L1218" s="11" t="e">
        <f>allFYsTable[[#This Row],[DiffAmount]]/allFYsTable[[#This Row],[OriginalBudget]]</f>
        <v>#DIV/0!</v>
      </c>
    </row>
    <row r="1219" spans="1:12" x14ac:dyDescent="0.45">
      <c r="A1219" t="s">
        <v>1030</v>
      </c>
      <c r="B1219" t="s">
        <v>251</v>
      </c>
      <c r="C1219" t="s">
        <v>805</v>
      </c>
      <c r="D1219" t="s">
        <v>922</v>
      </c>
      <c r="E1219">
        <v>0</v>
      </c>
      <c r="F1219">
        <v>0</v>
      </c>
      <c r="G1219">
        <v>0</v>
      </c>
      <c r="H1219">
        <v>0</v>
      </c>
      <c r="I1219">
        <v>2015</v>
      </c>
      <c r="J1219">
        <v>43</v>
      </c>
      <c r="K1219">
        <f>allFYsTable[[#This Row],[Actual]]-allFYsTable[[#This Row],[OriginalBudget]]</f>
        <v>0</v>
      </c>
      <c r="L1219" s="11" t="e">
        <f>allFYsTable[[#This Row],[DiffAmount]]/allFYsTable[[#This Row],[OriginalBudget]]</f>
        <v>#DIV/0!</v>
      </c>
    </row>
    <row r="1220" spans="1:12" x14ac:dyDescent="0.45">
      <c r="A1220" t="s">
        <v>1030</v>
      </c>
      <c r="B1220" t="s">
        <v>255</v>
      </c>
      <c r="C1220" t="s">
        <v>758</v>
      </c>
      <c r="D1220" t="s">
        <v>44</v>
      </c>
      <c r="E1220">
        <v>477500</v>
      </c>
      <c r="F1220">
        <v>482001</v>
      </c>
      <c r="G1220">
        <v>478360</v>
      </c>
      <c r="H1220">
        <v>3641</v>
      </c>
      <c r="I1220">
        <v>2015</v>
      </c>
      <c r="J1220">
        <v>44</v>
      </c>
      <c r="K1220">
        <f>allFYsTable[[#This Row],[Actual]]-allFYsTable[[#This Row],[OriginalBudget]]</f>
        <v>860</v>
      </c>
      <c r="L1220" s="11">
        <f>allFYsTable[[#This Row],[DiffAmount]]/allFYsTable[[#This Row],[OriginalBudget]]</f>
        <v>1.8010471204188481E-3</v>
      </c>
    </row>
    <row r="1221" spans="1:12" x14ac:dyDescent="0.45">
      <c r="A1221" t="s">
        <v>1030</v>
      </c>
      <c r="B1221" t="s">
        <v>255</v>
      </c>
      <c r="C1221" t="s">
        <v>755</v>
      </c>
      <c r="D1221" t="s">
        <v>131</v>
      </c>
      <c r="E1221">
        <v>201563</v>
      </c>
      <c r="F1221">
        <v>216825</v>
      </c>
      <c r="G1221">
        <v>216672</v>
      </c>
      <c r="H1221">
        <v>153</v>
      </c>
      <c r="I1221">
        <v>2015</v>
      </c>
      <c r="J1221">
        <v>45</v>
      </c>
      <c r="K1221">
        <f>allFYsTable[[#This Row],[Actual]]-allFYsTable[[#This Row],[OriginalBudget]]</f>
        <v>15109</v>
      </c>
      <c r="L1221" s="11">
        <f>allFYsTable[[#This Row],[DiffAmount]]/allFYsTable[[#This Row],[OriginalBudget]]</f>
        <v>7.4959193899674051E-2</v>
      </c>
    </row>
    <row r="1222" spans="1:12" x14ac:dyDescent="0.45">
      <c r="A1222" t="s">
        <v>1030</v>
      </c>
      <c r="B1222" t="s">
        <v>255</v>
      </c>
      <c r="C1222" t="s">
        <v>768</v>
      </c>
      <c r="D1222" t="s">
        <v>923</v>
      </c>
      <c r="E1222">
        <v>111330</v>
      </c>
      <c r="F1222">
        <v>111330</v>
      </c>
      <c r="G1222">
        <v>103430</v>
      </c>
      <c r="H1222">
        <v>7900</v>
      </c>
      <c r="I1222">
        <v>2015</v>
      </c>
      <c r="J1222">
        <v>46</v>
      </c>
      <c r="K1222">
        <f>allFYsTable[[#This Row],[Actual]]-allFYsTable[[#This Row],[OriginalBudget]]</f>
        <v>-7900</v>
      </c>
      <c r="L1222" s="11">
        <f>allFYsTable[[#This Row],[DiffAmount]]/allFYsTable[[#This Row],[OriginalBudget]]</f>
        <v>-7.0960208389472743E-2</v>
      </c>
    </row>
    <row r="1223" spans="1:12" x14ac:dyDescent="0.45">
      <c r="A1223" t="s">
        <v>1030</v>
      </c>
      <c r="B1223" t="s">
        <v>255</v>
      </c>
      <c r="C1223" t="s">
        <v>759</v>
      </c>
      <c r="D1223" t="s">
        <v>133</v>
      </c>
      <c r="E1223">
        <v>8703</v>
      </c>
      <c r="F1223">
        <v>8260</v>
      </c>
      <c r="G1223">
        <v>8124</v>
      </c>
      <c r="H1223">
        <v>136</v>
      </c>
      <c r="I1223">
        <v>2015</v>
      </c>
      <c r="J1223">
        <v>47</v>
      </c>
      <c r="K1223">
        <f>allFYsTable[[#This Row],[Actual]]-allFYsTable[[#This Row],[OriginalBudget]]</f>
        <v>-579</v>
      </c>
      <c r="L1223" s="11">
        <f>allFYsTable[[#This Row],[DiffAmount]]/allFYsTable[[#This Row],[OriginalBudget]]</f>
        <v>-6.652878317821441E-2</v>
      </c>
    </row>
    <row r="1224" spans="1:12" x14ac:dyDescent="0.45">
      <c r="A1224" t="s">
        <v>1030</v>
      </c>
      <c r="B1224" t="s">
        <v>255</v>
      </c>
      <c r="C1224" t="s">
        <v>749</v>
      </c>
      <c r="D1224" t="s">
        <v>35</v>
      </c>
      <c r="E1224">
        <v>526</v>
      </c>
      <c r="F1224">
        <v>526</v>
      </c>
      <c r="G1224">
        <v>515</v>
      </c>
      <c r="H1224">
        <v>11</v>
      </c>
      <c r="I1224">
        <v>2015</v>
      </c>
      <c r="J1224">
        <v>48</v>
      </c>
      <c r="K1224">
        <f>allFYsTable[[#This Row],[Actual]]-allFYsTable[[#This Row],[OriginalBudget]]</f>
        <v>-11</v>
      </c>
      <c r="L1224" s="11">
        <f>allFYsTable[[#This Row],[DiffAmount]]/allFYsTable[[#This Row],[OriginalBudget]]</f>
        <v>-2.0912547528517109E-2</v>
      </c>
    </row>
    <row r="1225" spans="1:12" x14ac:dyDescent="0.45">
      <c r="A1225" t="s">
        <v>1030</v>
      </c>
      <c r="B1225" t="s">
        <v>255</v>
      </c>
      <c r="C1225" t="s">
        <v>750</v>
      </c>
      <c r="D1225" t="s">
        <v>36</v>
      </c>
      <c r="E1225">
        <v>123149</v>
      </c>
      <c r="F1225">
        <v>118496</v>
      </c>
      <c r="G1225">
        <v>117540</v>
      </c>
      <c r="H1225">
        <v>956</v>
      </c>
      <c r="I1225">
        <v>2015</v>
      </c>
      <c r="J1225">
        <v>49</v>
      </c>
      <c r="K1225">
        <f>allFYsTable[[#This Row],[Actual]]-allFYsTable[[#This Row],[OriginalBudget]]</f>
        <v>-5609</v>
      </c>
      <c r="L1225" s="11">
        <f>allFYsTable[[#This Row],[DiffAmount]]/allFYsTable[[#This Row],[OriginalBudget]]</f>
        <v>-4.5546451859129998E-2</v>
      </c>
    </row>
    <row r="1226" spans="1:12" x14ac:dyDescent="0.45">
      <c r="A1226" t="s">
        <v>1030</v>
      </c>
      <c r="B1226" t="s">
        <v>255</v>
      </c>
      <c r="C1226" t="s">
        <v>764</v>
      </c>
      <c r="D1226" t="s">
        <v>50</v>
      </c>
      <c r="E1226">
        <v>9519</v>
      </c>
      <c r="F1226">
        <v>9458</v>
      </c>
      <c r="G1226">
        <v>9245</v>
      </c>
      <c r="H1226">
        <v>213</v>
      </c>
      <c r="I1226">
        <v>2015</v>
      </c>
      <c r="J1226">
        <v>50</v>
      </c>
      <c r="K1226">
        <f>allFYsTable[[#This Row],[Actual]]-allFYsTable[[#This Row],[OriginalBudget]]</f>
        <v>-274</v>
      </c>
      <c r="L1226" s="11">
        <f>allFYsTable[[#This Row],[DiffAmount]]/allFYsTable[[#This Row],[OriginalBudget]]</f>
        <v>-2.8784536190776342E-2</v>
      </c>
    </row>
    <row r="1227" spans="1:12" x14ac:dyDescent="0.45">
      <c r="A1227" t="s">
        <v>1030</v>
      </c>
      <c r="B1227" t="s">
        <v>255</v>
      </c>
      <c r="C1227" t="s">
        <v>753</v>
      </c>
      <c r="D1227" t="s">
        <v>256</v>
      </c>
      <c r="E1227">
        <v>5066</v>
      </c>
      <c r="F1227">
        <v>4806</v>
      </c>
      <c r="G1227">
        <v>4273</v>
      </c>
      <c r="H1227">
        <v>533</v>
      </c>
      <c r="I1227">
        <v>2015</v>
      </c>
      <c r="J1227">
        <v>51</v>
      </c>
      <c r="K1227">
        <f>allFYsTable[[#This Row],[Actual]]-allFYsTable[[#This Row],[OriginalBudget]]</f>
        <v>-793</v>
      </c>
      <c r="L1227" s="11">
        <f>allFYsTable[[#This Row],[DiffAmount]]/allFYsTable[[#This Row],[OriginalBudget]]</f>
        <v>-0.15653375444137385</v>
      </c>
    </row>
    <row r="1228" spans="1:12" x14ac:dyDescent="0.45">
      <c r="A1228" t="s">
        <v>1030</v>
      </c>
      <c r="B1228" t="s">
        <v>255</v>
      </c>
      <c r="C1228" t="s">
        <v>756</v>
      </c>
      <c r="D1228" t="s">
        <v>257</v>
      </c>
      <c r="E1228">
        <v>2085</v>
      </c>
      <c r="F1228">
        <v>3735</v>
      </c>
      <c r="G1228">
        <v>3725</v>
      </c>
      <c r="H1228">
        <v>10</v>
      </c>
      <c r="I1228">
        <v>2015</v>
      </c>
      <c r="J1228">
        <v>52</v>
      </c>
      <c r="K1228">
        <f>allFYsTable[[#This Row],[Actual]]-allFYsTable[[#This Row],[OriginalBudget]]</f>
        <v>1640</v>
      </c>
      <c r="L1228" s="11">
        <f>allFYsTable[[#This Row],[DiffAmount]]/allFYsTable[[#This Row],[OriginalBudget]]</f>
        <v>0.78657074340527577</v>
      </c>
    </row>
    <row r="1229" spans="1:12" x14ac:dyDescent="0.45">
      <c r="A1229" t="s">
        <v>1030</v>
      </c>
      <c r="B1229" t="s">
        <v>255</v>
      </c>
      <c r="C1229" t="s">
        <v>746</v>
      </c>
      <c r="D1229" t="s">
        <v>258</v>
      </c>
      <c r="E1229">
        <v>0</v>
      </c>
      <c r="F1229">
        <v>0</v>
      </c>
      <c r="G1229">
        <v>0</v>
      </c>
      <c r="H1229">
        <v>0</v>
      </c>
      <c r="I1229">
        <v>2015</v>
      </c>
      <c r="J1229">
        <v>53</v>
      </c>
      <c r="K1229">
        <f>allFYsTable[[#This Row],[Actual]]-allFYsTable[[#This Row],[OriginalBudget]]</f>
        <v>0</v>
      </c>
      <c r="L1229" s="11" t="e">
        <f>allFYsTable[[#This Row],[DiffAmount]]/allFYsTable[[#This Row],[OriginalBudget]]</f>
        <v>#DIV/0!</v>
      </c>
    </row>
    <row r="1230" spans="1:12" x14ac:dyDescent="0.45">
      <c r="A1230" t="s">
        <v>1030</v>
      </c>
      <c r="B1230" t="s">
        <v>255</v>
      </c>
      <c r="C1230" t="s">
        <v>757</v>
      </c>
      <c r="D1230" t="s">
        <v>43</v>
      </c>
      <c r="E1230">
        <v>0</v>
      </c>
      <c r="F1230">
        <v>0</v>
      </c>
      <c r="G1230">
        <v>0</v>
      </c>
      <c r="H1230">
        <v>0</v>
      </c>
      <c r="I1230">
        <v>2015</v>
      </c>
      <c r="J1230">
        <v>54</v>
      </c>
      <c r="K1230">
        <f>allFYsTable[[#This Row],[Actual]]-allFYsTable[[#This Row],[OriginalBudget]]</f>
        <v>0</v>
      </c>
      <c r="L1230" s="11" t="e">
        <f>allFYsTable[[#This Row],[DiffAmount]]/allFYsTable[[#This Row],[OriginalBudget]]</f>
        <v>#DIV/0!</v>
      </c>
    </row>
    <row r="1231" spans="1:12" x14ac:dyDescent="0.45">
      <c r="A1231" t="s">
        <v>1030</v>
      </c>
      <c r="B1231" t="s">
        <v>255</v>
      </c>
      <c r="C1231" t="s">
        <v>762</v>
      </c>
      <c r="D1231" t="s">
        <v>48</v>
      </c>
      <c r="E1231">
        <v>2241</v>
      </c>
      <c r="F1231">
        <v>2241</v>
      </c>
      <c r="G1231">
        <v>2133</v>
      </c>
      <c r="H1231">
        <v>108</v>
      </c>
      <c r="I1231">
        <v>2015</v>
      </c>
      <c r="J1231">
        <v>55</v>
      </c>
      <c r="K1231">
        <f>allFYsTable[[#This Row],[Actual]]-allFYsTable[[#This Row],[OriginalBudget]]</f>
        <v>-108</v>
      </c>
      <c r="L1231" s="11">
        <f>allFYsTable[[#This Row],[DiffAmount]]/allFYsTable[[#This Row],[OriginalBudget]]</f>
        <v>-4.8192771084337352E-2</v>
      </c>
    </row>
    <row r="1232" spans="1:12" x14ac:dyDescent="0.45">
      <c r="A1232" t="s">
        <v>1030</v>
      </c>
      <c r="B1232" t="s">
        <v>255</v>
      </c>
      <c r="C1232" t="s">
        <v>766</v>
      </c>
      <c r="D1232" t="s">
        <v>52</v>
      </c>
      <c r="E1232">
        <v>28250</v>
      </c>
      <c r="F1232">
        <v>27353</v>
      </c>
      <c r="G1232">
        <v>27090</v>
      </c>
      <c r="H1232">
        <v>263</v>
      </c>
      <c r="I1232">
        <v>2015</v>
      </c>
      <c r="J1232">
        <v>56</v>
      </c>
      <c r="K1232">
        <f>allFYsTable[[#This Row],[Actual]]-allFYsTable[[#This Row],[OriginalBudget]]</f>
        <v>-1160</v>
      </c>
      <c r="L1232" s="11">
        <f>allFYsTable[[#This Row],[DiffAmount]]/allFYsTable[[#This Row],[OriginalBudget]]</f>
        <v>-4.1061946902654869E-2</v>
      </c>
    </row>
    <row r="1233" spans="1:12" x14ac:dyDescent="0.45">
      <c r="A1233" t="s">
        <v>1030</v>
      </c>
      <c r="B1233" t="s">
        <v>255</v>
      </c>
      <c r="C1233" t="s">
        <v>754</v>
      </c>
      <c r="D1233" t="s">
        <v>259</v>
      </c>
      <c r="E1233">
        <v>1401</v>
      </c>
      <c r="F1233">
        <v>1466</v>
      </c>
      <c r="G1233">
        <v>1412</v>
      </c>
      <c r="H1233">
        <v>54</v>
      </c>
      <c r="I1233">
        <v>2015</v>
      </c>
      <c r="J1233">
        <v>57</v>
      </c>
      <c r="K1233">
        <f>allFYsTable[[#This Row],[Actual]]-allFYsTable[[#This Row],[OriginalBudget]]</f>
        <v>11</v>
      </c>
      <c r="L1233" s="11">
        <f>allFYsTable[[#This Row],[DiffAmount]]/allFYsTable[[#This Row],[OriginalBudget]]</f>
        <v>7.8515346181299069E-3</v>
      </c>
    </row>
    <row r="1234" spans="1:12" x14ac:dyDescent="0.45">
      <c r="A1234" t="s">
        <v>1030</v>
      </c>
      <c r="B1234" t="s">
        <v>255</v>
      </c>
      <c r="C1234" t="s">
        <v>765</v>
      </c>
      <c r="D1234" t="s">
        <v>51</v>
      </c>
      <c r="E1234">
        <v>20472</v>
      </c>
      <c r="F1234">
        <v>19916</v>
      </c>
      <c r="G1234">
        <v>19517</v>
      </c>
      <c r="H1234">
        <v>399</v>
      </c>
      <c r="I1234">
        <v>2015</v>
      </c>
      <c r="J1234">
        <v>58</v>
      </c>
      <c r="K1234">
        <f>allFYsTable[[#This Row],[Actual]]-allFYsTable[[#This Row],[OriginalBudget]]</f>
        <v>-955</v>
      </c>
      <c r="L1234" s="11">
        <f>allFYsTable[[#This Row],[DiffAmount]]/allFYsTable[[#This Row],[OriginalBudget]]</f>
        <v>-4.6649081672528334E-2</v>
      </c>
    </row>
    <row r="1235" spans="1:12" x14ac:dyDescent="0.45">
      <c r="A1235" t="s">
        <v>1030</v>
      </c>
      <c r="B1235" t="s">
        <v>255</v>
      </c>
      <c r="C1235" t="s">
        <v>751</v>
      </c>
      <c r="D1235" t="s">
        <v>924</v>
      </c>
      <c r="E1235">
        <v>14472</v>
      </c>
      <c r="F1235">
        <v>15277</v>
      </c>
      <c r="G1235">
        <v>15205</v>
      </c>
      <c r="H1235">
        <v>72</v>
      </c>
      <c r="I1235">
        <v>2015</v>
      </c>
      <c r="J1235">
        <v>59</v>
      </c>
      <c r="K1235">
        <f>allFYsTable[[#This Row],[Actual]]-allFYsTable[[#This Row],[OriginalBudget]]</f>
        <v>733</v>
      </c>
      <c r="L1235" s="11">
        <f>allFYsTable[[#This Row],[DiffAmount]]/allFYsTable[[#This Row],[OriginalBudget]]</f>
        <v>5.0649530127142066E-2</v>
      </c>
    </row>
    <row r="1236" spans="1:12" x14ac:dyDescent="0.45">
      <c r="A1236" t="s">
        <v>1030</v>
      </c>
      <c r="B1236" t="s">
        <v>925</v>
      </c>
      <c r="C1236" t="s">
        <v>773</v>
      </c>
      <c r="D1236" t="s">
        <v>926</v>
      </c>
      <c r="E1236">
        <v>702145</v>
      </c>
      <c r="F1236">
        <v>695398</v>
      </c>
      <c r="G1236">
        <v>695390</v>
      </c>
      <c r="H1236">
        <v>8</v>
      </c>
      <c r="I1236">
        <v>2015</v>
      </c>
      <c r="J1236">
        <v>60</v>
      </c>
      <c r="K1236">
        <f>allFYsTable[[#This Row],[Actual]]-allFYsTable[[#This Row],[OriginalBudget]]</f>
        <v>-6755</v>
      </c>
      <c r="L1236" s="11">
        <f>allFYsTable[[#This Row],[DiffAmount]]/allFYsTable[[#This Row],[OriginalBudget]]</f>
        <v>-9.6205199780672081E-3</v>
      </c>
    </row>
    <row r="1237" spans="1:12" x14ac:dyDescent="0.45">
      <c r="A1237" t="s">
        <v>1030</v>
      </c>
      <c r="B1237" t="s">
        <v>925</v>
      </c>
      <c r="C1237" t="s">
        <v>870</v>
      </c>
      <c r="D1237" t="s">
        <v>927</v>
      </c>
      <c r="E1237">
        <v>0</v>
      </c>
      <c r="F1237">
        <v>12697</v>
      </c>
      <c r="G1237">
        <v>12697</v>
      </c>
      <c r="H1237">
        <v>0</v>
      </c>
      <c r="I1237">
        <v>2015</v>
      </c>
      <c r="J1237">
        <v>61</v>
      </c>
      <c r="K1237">
        <f>allFYsTable[[#This Row],[Actual]]-allFYsTable[[#This Row],[OriginalBudget]]</f>
        <v>12697</v>
      </c>
      <c r="L1237" s="11" t="e">
        <f>allFYsTable[[#This Row],[DiffAmount]]/allFYsTable[[#This Row],[OriginalBudget]]</f>
        <v>#DIV/0!</v>
      </c>
    </row>
    <row r="1238" spans="1:12" x14ac:dyDescent="0.45">
      <c r="A1238" t="s">
        <v>1030</v>
      </c>
      <c r="B1238" t="s">
        <v>925</v>
      </c>
      <c r="C1238" t="s">
        <v>772</v>
      </c>
      <c r="D1238" t="s">
        <v>260</v>
      </c>
      <c r="E1238">
        <v>675408</v>
      </c>
      <c r="F1238">
        <v>458690</v>
      </c>
      <c r="G1238">
        <v>458690</v>
      </c>
      <c r="H1238">
        <v>0</v>
      </c>
      <c r="I1238">
        <v>2015</v>
      </c>
      <c r="J1238">
        <v>62</v>
      </c>
      <c r="K1238">
        <f>allFYsTable[[#This Row],[Actual]]-allFYsTable[[#This Row],[OriginalBudget]]</f>
        <v>-216718</v>
      </c>
      <c r="L1238" s="11">
        <f>allFYsTable[[#This Row],[DiffAmount]]/allFYsTable[[#This Row],[OriginalBudget]]</f>
        <v>-0.32086975576244287</v>
      </c>
    </row>
    <row r="1239" spans="1:12" x14ac:dyDescent="0.45">
      <c r="A1239" t="s">
        <v>1030</v>
      </c>
      <c r="B1239" t="s">
        <v>925</v>
      </c>
      <c r="C1239" t="s">
        <v>869</v>
      </c>
      <c r="D1239" t="s">
        <v>261</v>
      </c>
      <c r="E1239">
        <v>0</v>
      </c>
      <c r="F1239">
        <v>202384</v>
      </c>
      <c r="G1239">
        <v>202384</v>
      </c>
      <c r="H1239">
        <v>0</v>
      </c>
      <c r="I1239">
        <v>2015</v>
      </c>
      <c r="J1239">
        <v>63</v>
      </c>
      <c r="K1239">
        <f>allFYsTable[[#This Row],[Actual]]-allFYsTable[[#This Row],[OriginalBudget]]</f>
        <v>202384</v>
      </c>
      <c r="L1239" s="11" t="e">
        <f>allFYsTable[[#This Row],[DiffAmount]]/allFYsTable[[#This Row],[OriginalBudget]]</f>
        <v>#DIV/0!</v>
      </c>
    </row>
    <row r="1240" spans="1:12" x14ac:dyDescent="0.45">
      <c r="A1240" t="s">
        <v>1030</v>
      </c>
      <c r="B1240" t="s">
        <v>925</v>
      </c>
      <c r="C1240" t="s">
        <v>782</v>
      </c>
      <c r="D1240" t="s">
        <v>262</v>
      </c>
      <c r="E1240">
        <v>39513</v>
      </c>
      <c r="F1240">
        <v>39513</v>
      </c>
      <c r="G1240">
        <v>39443</v>
      </c>
      <c r="H1240">
        <v>70</v>
      </c>
      <c r="I1240">
        <v>2015</v>
      </c>
      <c r="J1240">
        <v>64</v>
      </c>
      <c r="K1240">
        <f>allFYsTable[[#This Row],[Actual]]-allFYsTable[[#This Row],[OriginalBudget]]</f>
        <v>-70</v>
      </c>
      <c r="L1240" s="11">
        <f>allFYsTable[[#This Row],[DiffAmount]]/allFYsTable[[#This Row],[OriginalBudget]]</f>
        <v>-1.7715688507579784E-3</v>
      </c>
    </row>
    <row r="1241" spans="1:12" x14ac:dyDescent="0.45">
      <c r="A1241" t="s">
        <v>1030</v>
      </c>
      <c r="B1241" t="s">
        <v>925</v>
      </c>
      <c r="C1241" t="s">
        <v>784</v>
      </c>
      <c r="D1241" t="s">
        <v>928</v>
      </c>
      <c r="E1241">
        <v>72458</v>
      </c>
      <c r="F1241">
        <v>73458</v>
      </c>
      <c r="G1241">
        <v>73458</v>
      </c>
      <c r="H1241">
        <v>0</v>
      </c>
      <c r="I1241">
        <v>2015</v>
      </c>
      <c r="J1241">
        <v>65</v>
      </c>
      <c r="K1241">
        <f>allFYsTable[[#This Row],[Actual]]-allFYsTable[[#This Row],[OriginalBudget]]</f>
        <v>1000</v>
      </c>
      <c r="L1241" s="11">
        <f>allFYsTable[[#This Row],[DiffAmount]]/allFYsTable[[#This Row],[OriginalBudget]]</f>
        <v>1.3801098567445968E-2</v>
      </c>
    </row>
    <row r="1242" spans="1:12" x14ac:dyDescent="0.45">
      <c r="A1242" t="s">
        <v>1030</v>
      </c>
      <c r="B1242" t="s">
        <v>925</v>
      </c>
      <c r="C1242" t="s">
        <v>779</v>
      </c>
      <c r="D1242" t="s">
        <v>141</v>
      </c>
      <c r="E1242">
        <v>142097</v>
      </c>
      <c r="F1242">
        <v>146707</v>
      </c>
      <c r="G1242">
        <v>142704</v>
      </c>
      <c r="H1242">
        <v>4003</v>
      </c>
      <c r="I1242">
        <v>2015</v>
      </c>
      <c r="J1242">
        <v>66</v>
      </c>
      <c r="K1242">
        <f>allFYsTable[[#This Row],[Actual]]-allFYsTable[[#This Row],[OriginalBudget]]</f>
        <v>607</v>
      </c>
      <c r="L1242" s="11">
        <f>allFYsTable[[#This Row],[DiffAmount]]/allFYsTable[[#This Row],[OriginalBudget]]</f>
        <v>4.2717298746630826E-3</v>
      </c>
    </row>
    <row r="1243" spans="1:12" x14ac:dyDescent="0.45">
      <c r="A1243" t="s">
        <v>1030</v>
      </c>
      <c r="B1243" t="s">
        <v>925</v>
      </c>
      <c r="C1243" t="s">
        <v>781</v>
      </c>
      <c r="D1243" t="s">
        <v>263</v>
      </c>
      <c r="E1243">
        <v>1152</v>
      </c>
      <c r="F1243">
        <v>1142</v>
      </c>
      <c r="G1243">
        <v>990</v>
      </c>
      <c r="H1243">
        <v>152</v>
      </c>
      <c r="I1243">
        <v>2015</v>
      </c>
      <c r="J1243">
        <v>67</v>
      </c>
      <c r="K1243">
        <f>allFYsTable[[#This Row],[Actual]]-allFYsTable[[#This Row],[OriginalBudget]]</f>
        <v>-162</v>
      </c>
      <c r="L1243" s="11">
        <f>allFYsTable[[#This Row],[DiffAmount]]/allFYsTable[[#This Row],[OriginalBudget]]</f>
        <v>-0.140625</v>
      </c>
    </row>
    <row r="1244" spans="1:12" x14ac:dyDescent="0.45">
      <c r="A1244" t="s">
        <v>1030</v>
      </c>
      <c r="B1244" t="s">
        <v>925</v>
      </c>
      <c r="C1244" t="s">
        <v>774</v>
      </c>
      <c r="D1244" t="s">
        <v>264</v>
      </c>
      <c r="E1244">
        <v>56285</v>
      </c>
      <c r="F1244">
        <v>56792</v>
      </c>
      <c r="G1244">
        <v>56206</v>
      </c>
      <c r="H1244">
        <v>586</v>
      </c>
      <c r="I1244">
        <v>2015</v>
      </c>
      <c r="J1244">
        <v>68</v>
      </c>
      <c r="K1244">
        <f>allFYsTable[[#This Row],[Actual]]-allFYsTable[[#This Row],[OriginalBudget]]</f>
        <v>-79</v>
      </c>
      <c r="L1244" s="11">
        <f>allFYsTable[[#This Row],[DiffAmount]]/allFYsTable[[#This Row],[OriginalBudget]]</f>
        <v>-1.4035711113085192E-3</v>
      </c>
    </row>
    <row r="1245" spans="1:12" x14ac:dyDescent="0.45">
      <c r="A1245" t="s">
        <v>1030</v>
      </c>
      <c r="B1245" t="s">
        <v>925</v>
      </c>
      <c r="C1245" t="s">
        <v>771</v>
      </c>
      <c r="D1245" t="s">
        <v>265</v>
      </c>
      <c r="E1245">
        <v>0</v>
      </c>
      <c r="F1245">
        <v>0</v>
      </c>
      <c r="G1245">
        <v>0</v>
      </c>
      <c r="H1245">
        <v>0</v>
      </c>
      <c r="I1245">
        <v>2015</v>
      </c>
      <c r="J1245">
        <v>69</v>
      </c>
      <c r="K1245">
        <f>allFYsTable[[#This Row],[Actual]]-allFYsTable[[#This Row],[OriginalBudget]]</f>
        <v>0</v>
      </c>
      <c r="L1245" s="11" t="e">
        <f>allFYsTable[[#This Row],[DiffAmount]]/allFYsTable[[#This Row],[OriginalBudget]]</f>
        <v>#DIV/0!</v>
      </c>
    </row>
    <row r="1246" spans="1:12" x14ac:dyDescent="0.45">
      <c r="A1246" t="s">
        <v>1030</v>
      </c>
      <c r="B1246" t="s">
        <v>925</v>
      </c>
      <c r="C1246" t="s">
        <v>780</v>
      </c>
      <c r="D1246" t="s">
        <v>143</v>
      </c>
      <c r="E1246">
        <v>93562</v>
      </c>
      <c r="F1246">
        <v>87957</v>
      </c>
      <c r="G1246">
        <v>86222</v>
      </c>
      <c r="H1246">
        <v>1735</v>
      </c>
      <c r="I1246">
        <v>2015</v>
      </c>
      <c r="J1246">
        <v>70</v>
      </c>
      <c r="K1246">
        <f>allFYsTable[[#This Row],[Actual]]-allFYsTable[[#This Row],[OriginalBudget]]</f>
        <v>-7340</v>
      </c>
      <c r="L1246" s="11">
        <f>allFYsTable[[#This Row],[DiffAmount]]/allFYsTable[[#This Row],[OriginalBudget]]</f>
        <v>-7.8450653042902038E-2</v>
      </c>
    </row>
    <row r="1247" spans="1:12" x14ac:dyDescent="0.45">
      <c r="A1247" t="s">
        <v>1030</v>
      </c>
      <c r="B1247" t="s">
        <v>925</v>
      </c>
      <c r="C1247" t="s">
        <v>777</v>
      </c>
      <c r="D1247" t="s">
        <v>266</v>
      </c>
      <c r="E1247">
        <v>74340</v>
      </c>
      <c r="F1247">
        <v>74340</v>
      </c>
      <c r="G1247">
        <v>74340</v>
      </c>
      <c r="H1247">
        <v>0</v>
      </c>
      <c r="I1247">
        <v>2015</v>
      </c>
      <c r="J1247">
        <v>71</v>
      </c>
      <c r="K1247">
        <f>allFYsTable[[#This Row],[Actual]]-allFYsTable[[#This Row],[OriginalBudget]]</f>
        <v>0</v>
      </c>
      <c r="L1247" s="11">
        <f>allFYsTable[[#This Row],[DiffAmount]]/allFYsTable[[#This Row],[OriginalBudget]]</f>
        <v>0</v>
      </c>
    </row>
    <row r="1248" spans="1:12" x14ac:dyDescent="0.45">
      <c r="A1248" t="s">
        <v>1030</v>
      </c>
      <c r="B1248" t="s">
        <v>925</v>
      </c>
      <c r="C1248" t="s">
        <v>778</v>
      </c>
      <c r="D1248" t="s">
        <v>267</v>
      </c>
      <c r="E1248">
        <v>6917</v>
      </c>
      <c r="F1248">
        <v>3061</v>
      </c>
      <c r="G1248">
        <v>2850</v>
      </c>
      <c r="H1248">
        <v>211</v>
      </c>
      <c r="I1248">
        <v>2015</v>
      </c>
      <c r="J1248">
        <v>72</v>
      </c>
      <c r="K1248">
        <f>allFYsTable[[#This Row],[Actual]]-allFYsTable[[#This Row],[OriginalBudget]]</f>
        <v>-4067</v>
      </c>
      <c r="L1248" s="11">
        <f>allFYsTable[[#This Row],[DiffAmount]]/allFYsTable[[#This Row],[OriginalBudget]]</f>
        <v>-0.58797166401619194</v>
      </c>
    </row>
    <row r="1249" spans="1:12" x14ac:dyDescent="0.45">
      <c r="A1249" t="s">
        <v>1030</v>
      </c>
      <c r="B1249" t="s">
        <v>14</v>
      </c>
      <c r="C1249" t="s">
        <v>790</v>
      </c>
      <c r="D1249" t="s">
        <v>144</v>
      </c>
      <c r="E1249">
        <v>236547</v>
      </c>
      <c r="F1249">
        <v>235628</v>
      </c>
      <c r="G1249">
        <v>233116</v>
      </c>
      <c r="H1249">
        <v>2512</v>
      </c>
      <c r="I1249">
        <v>2015</v>
      </c>
      <c r="J1249">
        <v>73</v>
      </c>
      <c r="K1249">
        <f>allFYsTable[[#This Row],[Actual]]-allFYsTable[[#This Row],[OriginalBudget]]</f>
        <v>-3431</v>
      </c>
      <c r="L1249" s="11">
        <f>allFYsTable[[#This Row],[DiffAmount]]/allFYsTable[[#This Row],[OriginalBudget]]</f>
        <v>-1.4504517072717049E-2</v>
      </c>
    </row>
    <row r="1250" spans="1:12" x14ac:dyDescent="0.45">
      <c r="A1250" t="s">
        <v>1030</v>
      </c>
      <c r="B1250" t="s">
        <v>14</v>
      </c>
      <c r="C1250" t="s">
        <v>788</v>
      </c>
      <c r="D1250" t="s">
        <v>145</v>
      </c>
      <c r="E1250">
        <v>79603</v>
      </c>
      <c r="F1250">
        <v>78149</v>
      </c>
      <c r="G1250">
        <v>77647</v>
      </c>
      <c r="H1250">
        <v>502</v>
      </c>
      <c r="I1250">
        <v>2015</v>
      </c>
      <c r="J1250">
        <v>74</v>
      </c>
      <c r="K1250">
        <f>allFYsTable[[#This Row],[Actual]]-allFYsTable[[#This Row],[OriginalBudget]]</f>
        <v>-1956</v>
      </c>
      <c r="L1250" s="11">
        <f>allFYsTable[[#This Row],[DiffAmount]]/allFYsTable[[#This Row],[OriginalBudget]]</f>
        <v>-2.4571938243533535E-2</v>
      </c>
    </row>
    <row r="1251" spans="1:12" x14ac:dyDescent="0.45">
      <c r="A1251" t="s">
        <v>1030</v>
      </c>
      <c r="B1251" t="s">
        <v>14</v>
      </c>
      <c r="C1251" t="s">
        <v>770</v>
      </c>
      <c r="D1251" t="s">
        <v>56</v>
      </c>
      <c r="E1251">
        <v>40877</v>
      </c>
      <c r="F1251">
        <v>39238</v>
      </c>
      <c r="G1251">
        <v>38994</v>
      </c>
      <c r="H1251">
        <v>244</v>
      </c>
      <c r="I1251">
        <v>2015</v>
      </c>
      <c r="J1251">
        <v>75</v>
      </c>
      <c r="K1251">
        <f>allFYsTable[[#This Row],[Actual]]-allFYsTable[[#This Row],[OriginalBudget]]</f>
        <v>-1883</v>
      </c>
      <c r="L1251" s="11">
        <f>allFYsTable[[#This Row],[DiffAmount]]/allFYsTable[[#This Row],[OriginalBudget]]</f>
        <v>-4.6065024341316631E-2</v>
      </c>
    </row>
    <row r="1252" spans="1:12" x14ac:dyDescent="0.45">
      <c r="A1252" t="s">
        <v>1030</v>
      </c>
      <c r="B1252" t="s">
        <v>14</v>
      </c>
      <c r="C1252" t="s">
        <v>786</v>
      </c>
      <c r="D1252" t="s">
        <v>268</v>
      </c>
      <c r="E1252">
        <v>32974</v>
      </c>
      <c r="F1252">
        <v>32334</v>
      </c>
      <c r="G1252">
        <v>31633</v>
      </c>
      <c r="H1252">
        <v>701</v>
      </c>
      <c r="I1252">
        <v>2015</v>
      </c>
      <c r="J1252">
        <v>76</v>
      </c>
      <c r="K1252">
        <f>allFYsTable[[#This Row],[Actual]]-allFYsTable[[#This Row],[OriginalBudget]]</f>
        <v>-1341</v>
      </c>
      <c r="L1252" s="11">
        <f>allFYsTable[[#This Row],[DiffAmount]]/allFYsTable[[#This Row],[OriginalBudget]]</f>
        <v>-4.0668405410323287E-2</v>
      </c>
    </row>
    <row r="1253" spans="1:12" x14ac:dyDescent="0.45">
      <c r="A1253" t="s">
        <v>1030</v>
      </c>
      <c r="B1253" t="s">
        <v>14</v>
      </c>
      <c r="C1253" t="s">
        <v>783</v>
      </c>
      <c r="D1253" t="s">
        <v>70</v>
      </c>
      <c r="E1253">
        <v>6887</v>
      </c>
      <c r="F1253">
        <v>5087</v>
      </c>
      <c r="G1253">
        <v>5065</v>
      </c>
      <c r="H1253">
        <v>22</v>
      </c>
      <c r="I1253">
        <v>2015</v>
      </c>
      <c r="J1253">
        <v>77</v>
      </c>
      <c r="K1253">
        <f>allFYsTable[[#This Row],[Actual]]-allFYsTable[[#This Row],[OriginalBudget]]</f>
        <v>-1822</v>
      </c>
      <c r="L1253" s="11">
        <f>allFYsTable[[#This Row],[DiffAmount]]/allFYsTable[[#This Row],[OriginalBudget]]</f>
        <v>-0.26455641062872076</v>
      </c>
    </row>
    <row r="1254" spans="1:12" x14ac:dyDescent="0.45">
      <c r="A1254" t="s">
        <v>1030</v>
      </c>
      <c r="B1254" t="s">
        <v>14</v>
      </c>
      <c r="C1254" t="s">
        <v>706</v>
      </c>
      <c r="D1254" t="s">
        <v>269</v>
      </c>
      <c r="E1254">
        <v>20221</v>
      </c>
      <c r="F1254">
        <v>19886</v>
      </c>
      <c r="G1254">
        <v>19886</v>
      </c>
      <c r="H1254">
        <v>0</v>
      </c>
      <c r="I1254">
        <v>2015</v>
      </c>
      <c r="J1254">
        <v>78</v>
      </c>
      <c r="K1254">
        <f>allFYsTable[[#This Row],[Actual]]-allFYsTable[[#This Row],[OriginalBudget]]</f>
        <v>-335</v>
      </c>
      <c r="L1254" s="11">
        <f>allFYsTable[[#This Row],[DiffAmount]]/allFYsTable[[#This Row],[OriginalBudget]]</f>
        <v>-1.6566935364225311E-2</v>
      </c>
    </row>
    <row r="1255" spans="1:12" x14ac:dyDescent="0.45">
      <c r="A1255" t="s">
        <v>1030</v>
      </c>
      <c r="B1255" t="s">
        <v>14</v>
      </c>
      <c r="C1255" t="s">
        <v>760</v>
      </c>
      <c r="D1255" t="s">
        <v>46</v>
      </c>
      <c r="E1255">
        <v>3138</v>
      </c>
      <c r="F1255">
        <v>3134</v>
      </c>
      <c r="G1255">
        <v>3134</v>
      </c>
      <c r="H1255">
        <v>0</v>
      </c>
      <c r="I1255">
        <v>2015</v>
      </c>
      <c r="J1255">
        <v>79</v>
      </c>
      <c r="K1255">
        <f>allFYsTable[[#This Row],[Actual]]-allFYsTable[[#This Row],[OriginalBudget]]</f>
        <v>-4</v>
      </c>
      <c r="L1255" s="11">
        <f>allFYsTable[[#This Row],[DiffAmount]]/allFYsTable[[#This Row],[OriginalBudget]]</f>
        <v>-1.2746972594008922E-3</v>
      </c>
    </row>
    <row r="1256" spans="1:12" x14ac:dyDescent="0.45">
      <c r="A1256" t="s">
        <v>1030</v>
      </c>
      <c r="B1256" t="s">
        <v>14</v>
      </c>
      <c r="C1256" t="s">
        <v>729</v>
      </c>
      <c r="D1256" t="s">
        <v>270</v>
      </c>
      <c r="E1256">
        <v>2769</v>
      </c>
      <c r="F1256">
        <v>2759</v>
      </c>
      <c r="G1256">
        <v>2670</v>
      </c>
      <c r="H1256">
        <v>89</v>
      </c>
      <c r="I1256">
        <v>2015</v>
      </c>
      <c r="J1256">
        <v>80</v>
      </c>
      <c r="K1256">
        <f>allFYsTable[[#This Row],[Actual]]-allFYsTable[[#This Row],[OriginalBudget]]</f>
        <v>-99</v>
      </c>
      <c r="L1256" s="11">
        <f>allFYsTable[[#This Row],[DiffAmount]]/allFYsTable[[#This Row],[OriginalBudget]]</f>
        <v>-3.5752979414951244E-2</v>
      </c>
    </row>
    <row r="1257" spans="1:12" x14ac:dyDescent="0.45">
      <c r="A1257" t="s">
        <v>1030</v>
      </c>
      <c r="B1257" t="s">
        <v>14</v>
      </c>
      <c r="C1257" t="s">
        <v>828</v>
      </c>
      <c r="D1257" t="s">
        <v>219</v>
      </c>
      <c r="E1257">
        <v>3000</v>
      </c>
      <c r="F1257">
        <v>7000</v>
      </c>
      <c r="G1257">
        <v>7000</v>
      </c>
      <c r="H1257">
        <v>0</v>
      </c>
      <c r="I1257">
        <v>2015</v>
      </c>
      <c r="J1257">
        <v>81</v>
      </c>
      <c r="K1257">
        <f>allFYsTable[[#This Row],[Actual]]-allFYsTable[[#This Row],[OriginalBudget]]</f>
        <v>4000</v>
      </c>
      <c r="L1257" s="11">
        <f>allFYsTable[[#This Row],[DiffAmount]]/allFYsTable[[#This Row],[OriginalBudget]]</f>
        <v>1.3333333333333333</v>
      </c>
    </row>
    <row r="1258" spans="1:12" x14ac:dyDescent="0.45">
      <c r="A1258" t="s">
        <v>1030</v>
      </c>
      <c r="B1258" t="s">
        <v>14</v>
      </c>
      <c r="C1258" t="s">
        <v>842</v>
      </c>
      <c r="D1258" t="s">
        <v>271</v>
      </c>
      <c r="E1258">
        <v>28751</v>
      </c>
      <c r="F1258">
        <v>0</v>
      </c>
      <c r="G1258">
        <v>0</v>
      </c>
      <c r="H1258">
        <v>0</v>
      </c>
      <c r="I1258">
        <v>2015</v>
      </c>
      <c r="J1258">
        <v>82</v>
      </c>
      <c r="K1258">
        <f>allFYsTable[[#This Row],[Actual]]-allFYsTable[[#This Row],[OriginalBudget]]</f>
        <v>-28751</v>
      </c>
      <c r="L1258" s="11">
        <f>allFYsTable[[#This Row],[DiffAmount]]/allFYsTable[[#This Row],[OriginalBudget]]</f>
        <v>-1</v>
      </c>
    </row>
    <row r="1259" spans="1:12" x14ac:dyDescent="0.45">
      <c r="A1259" t="s">
        <v>1030</v>
      </c>
      <c r="B1259" t="s">
        <v>14</v>
      </c>
      <c r="C1259" t="s">
        <v>785</v>
      </c>
      <c r="D1259" t="s">
        <v>147</v>
      </c>
      <c r="E1259">
        <v>168378</v>
      </c>
      <c r="F1259">
        <v>167791</v>
      </c>
      <c r="G1259">
        <v>164796</v>
      </c>
      <c r="H1259">
        <v>2995</v>
      </c>
      <c r="I1259">
        <v>2015</v>
      </c>
      <c r="J1259">
        <v>83</v>
      </c>
      <c r="K1259">
        <f>allFYsTable[[#This Row],[Actual]]-allFYsTable[[#This Row],[OriginalBudget]]</f>
        <v>-3582</v>
      </c>
      <c r="L1259" s="11">
        <f>allFYsTable[[#This Row],[DiffAmount]]/allFYsTable[[#This Row],[OriginalBudget]]</f>
        <v>-2.127356305455582E-2</v>
      </c>
    </row>
    <row r="1260" spans="1:12" x14ac:dyDescent="0.45">
      <c r="A1260" t="s">
        <v>1030</v>
      </c>
      <c r="B1260" t="s">
        <v>14</v>
      </c>
      <c r="C1260" t="s">
        <v>787</v>
      </c>
      <c r="D1260" t="s">
        <v>929</v>
      </c>
      <c r="E1260">
        <v>231857</v>
      </c>
      <c r="F1260">
        <v>235478</v>
      </c>
      <c r="G1260">
        <v>227869</v>
      </c>
      <c r="H1260">
        <v>7609</v>
      </c>
      <c r="I1260">
        <v>2015</v>
      </c>
      <c r="J1260">
        <v>84</v>
      </c>
      <c r="K1260">
        <f>allFYsTable[[#This Row],[Actual]]-allFYsTable[[#This Row],[OriginalBudget]]</f>
        <v>-3988</v>
      </c>
      <c r="L1260" s="11">
        <f>allFYsTable[[#This Row],[DiffAmount]]/allFYsTable[[#This Row],[OriginalBudget]]</f>
        <v>-1.7200257054995106E-2</v>
      </c>
    </row>
    <row r="1261" spans="1:12" x14ac:dyDescent="0.45">
      <c r="A1261" t="s">
        <v>1030</v>
      </c>
      <c r="B1261" t="s">
        <v>14</v>
      </c>
      <c r="C1261" t="s">
        <v>728</v>
      </c>
      <c r="D1261" t="s">
        <v>272</v>
      </c>
      <c r="E1261">
        <v>943</v>
      </c>
      <c r="F1261">
        <v>971</v>
      </c>
      <c r="G1261">
        <v>946</v>
      </c>
      <c r="H1261">
        <v>25</v>
      </c>
      <c r="I1261">
        <v>2015</v>
      </c>
      <c r="J1261">
        <v>85</v>
      </c>
      <c r="K1261">
        <f>allFYsTable[[#This Row],[Actual]]-allFYsTable[[#This Row],[OriginalBudget]]</f>
        <v>3</v>
      </c>
      <c r="L1261" s="11">
        <f>allFYsTable[[#This Row],[DiffAmount]]/allFYsTable[[#This Row],[OriginalBudget]]</f>
        <v>3.1813361611876989E-3</v>
      </c>
    </row>
    <row r="1262" spans="1:12" x14ac:dyDescent="0.45">
      <c r="A1262" t="s">
        <v>1030</v>
      </c>
      <c r="B1262" t="s">
        <v>14</v>
      </c>
      <c r="C1262" t="s">
        <v>727</v>
      </c>
      <c r="D1262" t="s">
        <v>273</v>
      </c>
      <c r="E1262">
        <v>411</v>
      </c>
      <c r="F1262">
        <v>429</v>
      </c>
      <c r="G1262">
        <v>323</v>
      </c>
      <c r="H1262">
        <v>106</v>
      </c>
      <c r="I1262">
        <v>2015</v>
      </c>
      <c r="J1262">
        <v>86</v>
      </c>
      <c r="K1262">
        <f>allFYsTable[[#This Row],[Actual]]-allFYsTable[[#This Row],[OriginalBudget]]</f>
        <v>-88</v>
      </c>
      <c r="L1262" s="11">
        <f>allFYsTable[[#This Row],[DiffAmount]]/allFYsTable[[#This Row],[OriginalBudget]]</f>
        <v>-0.21411192214111921</v>
      </c>
    </row>
    <row r="1263" spans="1:12" x14ac:dyDescent="0.45">
      <c r="A1263" t="s">
        <v>1030</v>
      </c>
      <c r="B1263" t="s">
        <v>14</v>
      </c>
      <c r="C1263" t="s">
        <v>752</v>
      </c>
      <c r="D1263" t="s">
        <v>38</v>
      </c>
      <c r="E1263">
        <v>105899</v>
      </c>
      <c r="F1263">
        <v>98104</v>
      </c>
      <c r="G1263">
        <v>94967</v>
      </c>
      <c r="H1263">
        <v>3137</v>
      </c>
      <c r="I1263">
        <v>2015</v>
      </c>
      <c r="J1263">
        <v>87</v>
      </c>
      <c r="K1263">
        <f>allFYsTable[[#This Row],[Actual]]-allFYsTable[[#This Row],[OriginalBudget]]</f>
        <v>-10932</v>
      </c>
      <c r="L1263" s="11">
        <f>allFYsTable[[#This Row],[DiffAmount]]/allFYsTable[[#This Row],[OriginalBudget]]</f>
        <v>-0.10323043654803161</v>
      </c>
    </row>
    <row r="1264" spans="1:12" x14ac:dyDescent="0.45">
      <c r="A1264" t="s">
        <v>1030</v>
      </c>
      <c r="B1264" t="s">
        <v>14</v>
      </c>
      <c r="C1264" t="s">
        <v>791</v>
      </c>
      <c r="D1264" t="s">
        <v>930</v>
      </c>
      <c r="E1264">
        <v>115930</v>
      </c>
      <c r="F1264">
        <v>114746</v>
      </c>
      <c r="G1264">
        <v>113724</v>
      </c>
      <c r="H1264">
        <v>1022</v>
      </c>
      <c r="I1264">
        <v>2015</v>
      </c>
      <c r="J1264">
        <v>88</v>
      </c>
      <c r="K1264">
        <f>allFYsTable[[#This Row],[Actual]]-allFYsTable[[#This Row],[OriginalBudget]]</f>
        <v>-2206</v>
      </c>
      <c r="L1264" s="11">
        <f>allFYsTable[[#This Row],[DiffAmount]]/allFYsTable[[#This Row],[OriginalBudget]]</f>
        <v>-1.9028724230138877E-2</v>
      </c>
    </row>
    <row r="1265" spans="1:12" x14ac:dyDescent="0.45">
      <c r="A1265" t="s">
        <v>1030</v>
      </c>
      <c r="B1265" t="s">
        <v>14</v>
      </c>
      <c r="C1265" t="s">
        <v>789</v>
      </c>
      <c r="D1265" t="s">
        <v>931</v>
      </c>
      <c r="E1265">
        <v>782431</v>
      </c>
      <c r="F1265">
        <v>809064</v>
      </c>
      <c r="G1265">
        <v>802035</v>
      </c>
      <c r="H1265">
        <v>7029</v>
      </c>
      <c r="I1265">
        <v>2015</v>
      </c>
      <c r="J1265">
        <v>89</v>
      </c>
      <c r="K1265">
        <f>allFYsTable[[#This Row],[Actual]]-allFYsTable[[#This Row],[OriginalBudget]]</f>
        <v>19604</v>
      </c>
      <c r="L1265" s="11">
        <f>allFYsTable[[#This Row],[DiffAmount]]/allFYsTable[[#This Row],[OriginalBudget]]</f>
        <v>2.5055244488012361E-2</v>
      </c>
    </row>
    <row r="1266" spans="1:12" x14ac:dyDescent="0.45">
      <c r="A1266" t="s">
        <v>1030</v>
      </c>
      <c r="B1266" t="s">
        <v>14</v>
      </c>
      <c r="C1266" t="s">
        <v>793</v>
      </c>
      <c r="D1266" t="s">
        <v>932</v>
      </c>
      <c r="E1266">
        <v>1172</v>
      </c>
      <c r="F1266">
        <v>1312</v>
      </c>
      <c r="G1266">
        <v>1261</v>
      </c>
      <c r="H1266">
        <v>51</v>
      </c>
      <c r="I1266">
        <v>2015</v>
      </c>
      <c r="J1266">
        <v>90</v>
      </c>
      <c r="K1266">
        <f>allFYsTable[[#This Row],[Actual]]-allFYsTable[[#This Row],[OriginalBudget]]</f>
        <v>89</v>
      </c>
      <c r="L1266" s="11">
        <f>allFYsTable[[#This Row],[DiffAmount]]/allFYsTable[[#This Row],[OriginalBudget]]</f>
        <v>7.593856655290103E-2</v>
      </c>
    </row>
    <row r="1267" spans="1:12" x14ac:dyDescent="0.45">
      <c r="A1267" t="s">
        <v>1030</v>
      </c>
      <c r="B1267" t="s">
        <v>14</v>
      </c>
      <c r="C1267" t="s">
        <v>792</v>
      </c>
      <c r="D1267" t="s">
        <v>237</v>
      </c>
      <c r="E1267">
        <v>0</v>
      </c>
      <c r="F1267">
        <v>7000</v>
      </c>
      <c r="G1267">
        <v>7000</v>
      </c>
      <c r="H1267">
        <v>0</v>
      </c>
      <c r="I1267">
        <v>2015</v>
      </c>
      <c r="J1267">
        <v>91</v>
      </c>
      <c r="K1267">
        <f>allFYsTable[[#This Row],[Actual]]-allFYsTable[[#This Row],[OriginalBudget]]</f>
        <v>7000</v>
      </c>
      <c r="L1267" s="11" t="e">
        <f>allFYsTable[[#This Row],[DiffAmount]]/allFYsTable[[#This Row],[OriginalBudget]]</f>
        <v>#DIV/0!</v>
      </c>
    </row>
    <row r="1268" spans="1:12" x14ac:dyDescent="0.45">
      <c r="A1268" t="s">
        <v>1030</v>
      </c>
      <c r="B1268" t="s">
        <v>530</v>
      </c>
      <c r="C1268" t="s">
        <v>802</v>
      </c>
      <c r="D1268" t="s">
        <v>78</v>
      </c>
      <c r="E1268">
        <v>120659</v>
      </c>
      <c r="F1268">
        <v>125054</v>
      </c>
      <c r="G1268">
        <v>124804</v>
      </c>
      <c r="H1268">
        <v>250</v>
      </c>
      <c r="I1268">
        <v>2015</v>
      </c>
      <c r="J1268">
        <v>92</v>
      </c>
      <c r="K1268">
        <f>allFYsTable[[#This Row],[Actual]]-allFYsTable[[#This Row],[OriginalBudget]]</f>
        <v>4145</v>
      </c>
      <c r="L1268" s="11">
        <f>allFYsTable[[#This Row],[DiffAmount]]/allFYsTable[[#This Row],[OriginalBudget]]</f>
        <v>3.4353011379176027E-2</v>
      </c>
    </row>
    <row r="1269" spans="1:12" x14ac:dyDescent="0.45">
      <c r="A1269" t="s">
        <v>1030</v>
      </c>
      <c r="B1269" t="s">
        <v>530</v>
      </c>
      <c r="C1269" t="s">
        <v>803</v>
      </c>
      <c r="D1269" t="s">
        <v>155</v>
      </c>
      <c r="E1269">
        <v>80786</v>
      </c>
      <c r="F1269">
        <v>76645</v>
      </c>
      <c r="G1269">
        <v>75050</v>
      </c>
      <c r="H1269">
        <v>1595</v>
      </c>
      <c r="I1269">
        <v>2015</v>
      </c>
      <c r="J1269">
        <v>93</v>
      </c>
      <c r="K1269">
        <f>allFYsTable[[#This Row],[Actual]]-allFYsTable[[#This Row],[OriginalBudget]]</f>
        <v>-5736</v>
      </c>
      <c r="L1269" s="11">
        <f>allFYsTable[[#This Row],[DiffAmount]]/allFYsTable[[#This Row],[OriginalBudget]]</f>
        <v>-7.1002401406184246E-2</v>
      </c>
    </row>
    <row r="1270" spans="1:12" x14ac:dyDescent="0.45">
      <c r="A1270" t="s">
        <v>1030</v>
      </c>
      <c r="B1270" t="s">
        <v>530</v>
      </c>
      <c r="C1270" t="s">
        <v>799</v>
      </c>
      <c r="D1270" t="s">
        <v>206</v>
      </c>
      <c r="E1270">
        <v>1000</v>
      </c>
      <c r="F1270">
        <v>1000</v>
      </c>
      <c r="G1270">
        <v>963</v>
      </c>
      <c r="H1270">
        <v>37</v>
      </c>
      <c r="I1270">
        <v>2015</v>
      </c>
      <c r="J1270">
        <v>94</v>
      </c>
      <c r="K1270">
        <f>allFYsTable[[#This Row],[Actual]]-allFYsTable[[#This Row],[OriginalBudget]]</f>
        <v>-37</v>
      </c>
      <c r="L1270" s="11">
        <f>allFYsTable[[#This Row],[DiffAmount]]/allFYsTable[[#This Row],[OriginalBudget]]</f>
        <v>-3.6999999999999998E-2</v>
      </c>
    </row>
    <row r="1271" spans="1:12" x14ac:dyDescent="0.45">
      <c r="A1271" t="s">
        <v>1030</v>
      </c>
      <c r="B1271" t="s">
        <v>530</v>
      </c>
      <c r="C1271" t="s">
        <v>801</v>
      </c>
      <c r="D1271" t="s">
        <v>77</v>
      </c>
      <c r="E1271">
        <v>28732</v>
      </c>
      <c r="F1271">
        <v>26101</v>
      </c>
      <c r="G1271">
        <v>26049</v>
      </c>
      <c r="H1271">
        <v>52</v>
      </c>
      <c r="I1271">
        <v>2015</v>
      </c>
      <c r="J1271">
        <v>95</v>
      </c>
      <c r="K1271">
        <f>allFYsTable[[#This Row],[Actual]]-allFYsTable[[#This Row],[OriginalBudget]]</f>
        <v>-2683</v>
      </c>
      <c r="L1271" s="11">
        <f>allFYsTable[[#This Row],[DiffAmount]]/allFYsTable[[#This Row],[OriginalBudget]]</f>
        <v>-9.3380203257691766E-2</v>
      </c>
    </row>
    <row r="1272" spans="1:12" x14ac:dyDescent="0.45">
      <c r="A1272" t="s">
        <v>1030</v>
      </c>
      <c r="B1272" t="s">
        <v>530</v>
      </c>
      <c r="C1272" t="s">
        <v>808</v>
      </c>
      <c r="D1272" t="s">
        <v>274</v>
      </c>
      <c r="E1272">
        <v>127</v>
      </c>
      <c r="F1272">
        <v>127</v>
      </c>
      <c r="G1272">
        <v>127</v>
      </c>
      <c r="H1272">
        <v>0</v>
      </c>
      <c r="I1272">
        <v>2015</v>
      </c>
      <c r="J1272">
        <v>96</v>
      </c>
      <c r="K1272">
        <f>allFYsTable[[#This Row],[Actual]]-allFYsTable[[#This Row],[OriginalBudget]]</f>
        <v>0</v>
      </c>
      <c r="L1272" s="11">
        <f>allFYsTable[[#This Row],[DiffAmount]]/allFYsTable[[#This Row],[OriginalBudget]]</f>
        <v>0</v>
      </c>
    </row>
    <row r="1273" spans="1:12" x14ac:dyDescent="0.45">
      <c r="A1273" t="s">
        <v>1030</v>
      </c>
      <c r="B1273" t="s">
        <v>530</v>
      </c>
      <c r="C1273" t="s">
        <v>807</v>
      </c>
      <c r="D1273" t="s">
        <v>157</v>
      </c>
      <c r="E1273">
        <v>284003</v>
      </c>
      <c r="F1273">
        <v>294415</v>
      </c>
      <c r="G1273">
        <v>292965</v>
      </c>
      <c r="H1273">
        <v>1450</v>
      </c>
      <c r="I1273">
        <v>2015</v>
      </c>
      <c r="J1273">
        <v>97</v>
      </c>
      <c r="K1273">
        <f>allFYsTable[[#This Row],[Actual]]-allFYsTable[[#This Row],[OriginalBudget]]</f>
        <v>8962</v>
      </c>
      <c r="L1273" s="11">
        <f>allFYsTable[[#This Row],[DiffAmount]]/allFYsTable[[#This Row],[OriginalBudget]]</f>
        <v>3.1556004690091302E-2</v>
      </c>
    </row>
    <row r="1274" spans="1:12" x14ac:dyDescent="0.45">
      <c r="A1274" t="s">
        <v>1030</v>
      </c>
      <c r="B1274" t="s">
        <v>530</v>
      </c>
      <c r="C1274" t="s">
        <v>798</v>
      </c>
      <c r="D1274" t="s">
        <v>275</v>
      </c>
      <c r="E1274">
        <v>18537</v>
      </c>
      <c r="F1274">
        <v>18890</v>
      </c>
      <c r="G1274">
        <v>18727</v>
      </c>
      <c r="H1274">
        <v>163</v>
      </c>
      <c r="I1274">
        <v>2015</v>
      </c>
      <c r="J1274">
        <v>98</v>
      </c>
      <c r="K1274">
        <f>allFYsTable[[#This Row],[Actual]]-allFYsTable[[#This Row],[OriginalBudget]]</f>
        <v>190</v>
      </c>
      <c r="L1274" s="11">
        <f>allFYsTable[[#This Row],[DiffAmount]]/allFYsTable[[#This Row],[OriginalBudget]]</f>
        <v>1.0249770728812646E-2</v>
      </c>
    </row>
    <row r="1275" spans="1:12" x14ac:dyDescent="0.45">
      <c r="A1275" t="s">
        <v>1030</v>
      </c>
      <c r="B1275" t="s">
        <v>10</v>
      </c>
      <c r="C1275" t="s">
        <v>775</v>
      </c>
      <c r="D1275" t="s">
        <v>18</v>
      </c>
      <c r="E1275">
        <v>570776</v>
      </c>
      <c r="F1275">
        <v>538213</v>
      </c>
      <c r="G1275">
        <v>538213</v>
      </c>
      <c r="H1275">
        <v>0</v>
      </c>
      <c r="I1275">
        <v>2015</v>
      </c>
      <c r="J1275">
        <v>99</v>
      </c>
      <c r="K1275">
        <f>allFYsTable[[#This Row],[Actual]]-allFYsTable[[#This Row],[OriginalBudget]]</f>
        <v>-32563</v>
      </c>
      <c r="L1275" s="11">
        <f>allFYsTable[[#This Row],[DiffAmount]]/allFYsTable[[#This Row],[OriginalBudget]]</f>
        <v>-5.7050401558579898E-2</v>
      </c>
    </row>
    <row r="1276" spans="1:12" x14ac:dyDescent="0.45">
      <c r="A1276" t="s">
        <v>1030</v>
      </c>
      <c r="B1276" t="s">
        <v>10</v>
      </c>
      <c r="C1276" t="s">
        <v>817</v>
      </c>
      <c r="D1276" t="s">
        <v>276</v>
      </c>
      <c r="E1276">
        <v>6000</v>
      </c>
      <c r="F1276">
        <v>6000</v>
      </c>
      <c r="G1276">
        <v>5638</v>
      </c>
      <c r="H1276">
        <v>362</v>
      </c>
      <c r="I1276">
        <v>2015</v>
      </c>
      <c r="J1276">
        <v>100</v>
      </c>
      <c r="K1276">
        <f>allFYsTable[[#This Row],[Actual]]-allFYsTable[[#This Row],[OriginalBudget]]</f>
        <v>-362</v>
      </c>
      <c r="L1276" s="11">
        <f>allFYsTable[[#This Row],[DiffAmount]]/allFYsTable[[#This Row],[OriginalBudget]]</f>
        <v>-6.0333333333333336E-2</v>
      </c>
    </row>
    <row r="1277" spans="1:12" x14ac:dyDescent="0.45">
      <c r="A1277" t="s">
        <v>1030</v>
      </c>
      <c r="B1277" t="s">
        <v>10</v>
      </c>
      <c r="C1277" t="s">
        <v>830</v>
      </c>
      <c r="D1277" t="s">
        <v>277</v>
      </c>
      <c r="E1277">
        <v>2500</v>
      </c>
      <c r="F1277">
        <v>723</v>
      </c>
      <c r="G1277">
        <v>723</v>
      </c>
      <c r="H1277">
        <v>0</v>
      </c>
      <c r="I1277">
        <v>2015</v>
      </c>
      <c r="J1277">
        <v>101</v>
      </c>
      <c r="K1277">
        <f>allFYsTable[[#This Row],[Actual]]-allFYsTable[[#This Row],[OriginalBudget]]</f>
        <v>-1777</v>
      </c>
      <c r="L1277" s="11">
        <f>allFYsTable[[#This Row],[DiffAmount]]/allFYsTable[[#This Row],[OriginalBudget]]</f>
        <v>-0.71079999999999999</v>
      </c>
    </row>
    <row r="1278" spans="1:12" x14ac:dyDescent="0.45">
      <c r="A1278" t="s">
        <v>1030</v>
      </c>
      <c r="B1278" t="s">
        <v>10</v>
      </c>
      <c r="C1278" t="s">
        <v>819</v>
      </c>
      <c r="D1278" t="s">
        <v>278</v>
      </c>
      <c r="E1278">
        <v>21292</v>
      </c>
      <c r="F1278">
        <v>21292</v>
      </c>
      <c r="G1278">
        <v>17222</v>
      </c>
      <c r="H1278">
        <v>4070</v>
      </c>
      <c r="I1278">
        <v>2015</v>
      </c>
      <c r="J1278">
        <v>102</v>
      </c>
      <c r="K1278">
        <f>allFYsTable[[#This Row],[Actual]]-allFYsTable[[#This Row],[OriginalBudget]]</f>
        <v>-4070</v>
      </c>
      <c r="L1278" s="11">
        <f>allFYsTable[[#This Row],[DiffAmount]]/allFYsTable[[#This Row],[OriginalBudget]]</f>
        <v>-0.19115160623708435</v>
      </c>
    </row>
    <row r="1279" spans="1:12" x14ac:dyDescent="0.45">
      <c r="A1279" t="s">
        <v>1030</v>
      </c>
      <c r="B1279" t="s">
        <v>10</v>
      </c>
      <c r="C1279" t="s">
        <v>865</v>
      </c>
      <c r="D1279" t="s">
        <v>279</v>
      </c>
      <c r="E1279">
        <v>0</v>
      </c>
      <c r="F1279">
        <v>0</v>
      </c>
      <c r="G1279">
        <v>0</v>
      </c>
      <c r="H1279">
        <v>0</v>
      </c>
      <c r="I1279">
        <v>2015</v>
      </c>
      <c r="J1279">
        <v>103</v>
      </c>
      <c r="K1279">
        <f>allFYsTable[[#This Row],[Actual]]-allFYsTable[[#This Row],[OriginalBudget]]</f>
        <v>0</v>
      </c>
      <c r="L1279" s="11" t="e">
        <f>allFYsTable[[#This Row],[DiffAmount]]/allFYsTable[[#This Row],[OriginalBudget]]</f>
        <v>#DIV/0!</v>
      </c>
    </row>
    <row r="1280" spans="1:12" x14ac:dyDescent="0.45">
      <c r="A1280" t="s">
        <v>1030</v>
      </c>
      <c r="B1280" t="s">
        <v>10</v>
      </c>
      <c r="C1280" t="s">
        <v>814</v>
      </c>
      <c r="D1280" t="s">
        <v>85</v>
      </c>
      <c r="E1280">
        <v>4469</v>
      </c>
      <c r="F1280">
        <v>4469</v>
      </c>
      <c r="G1280">
        <v>4336</v>
      </c>
      <c r="H1280">
        <v>133</v>
      </c>
      <c r="I1280">
        <v>2015</v>
      </c>
      <c r="J1280">
        <v>104</v>
      </c>
      <c r="K1280">
        <f>allFYsTable[[#This Row],[Actual]]-allFYsTable[[#This Row],[OriginalBudget]]</f>
        <v>-133</v>
      </c>
      <c r="L1280" s="11">
        <f>allFYsTable[[#This Row],[DiffAmount]]/allFYsTable[[#This Row],[OriginalBudget]]</f>
        <v>-2.9760572835086149E-2</v>
      </c>
    </row>
    <row r="1281" spans="1:12" x14ac:dyDescent="0.45">
      <c r="A1281" t="s">
        <v>1030</v>
      </c>
      <c r="B1281" t="s">
        <v>10</v>
      </c>
      <c r="C1281" t="s">
        <v>833</v>
      </c>
      <c r="D1281" t="s">
        <v>223</v>
      </c>
      <c r="E1281">
        <v>11412</v>
      </c>
      <c r="F1281">
        <v>11412</v>
      </c>
      <c r="G1281">
        <v>11412</v>
      </c>
      <c r="H1281">
        <v>0</v>
      </c>
      <c r="I1281">
        <v>2015</v>
      </c>
      <c r="J1281">
        <v>105</v>
      </c>
      <c r="K1281">
        <f>allFYsTable[[#This Row],[Actual]]-allFYsTable[[#This Row],[OriginalBudget]]</f>
        <v>0</v>
      </c>
      <c r="L1281" s="11">
        <f>allFYsTable[[#This Row],[DiffAmount]]/allFYsTable[[#This Row],[OriginalBudget]]</f>
        <v>0</v>
      </c>
    </row>
    <row r="1282" spans="1:12" x14ac:dyDescent="0.45">
      <c r="A1282" t="s">
        <v>1030</v>
      </c>
      <c r="B1282" t="s">
        <v>10</v>
      </c>
      <c r="C1282" t="s">
        <v>811</v>
      </c>
      <c r="D1282" t="s">
        <v>933</v>
      </c>
      <c r="E1282">
        <v>91400</v>
      </c>
      <c r="F1282">
        <v>91400</v>
      </c>
      <c r="G1282">
        <v>91400</v>
      </c>
      <c r="H1282">
        <v>0</v>
      </c>
      <c r="I1282">
        <v>2015</v>
      </c>
      <c r="J1282">
        <v>106</v>
      </c>
      <c r="K1282">
        <f>allFYsTable[[#This Row],[Actual]]-allFYsTable[[#This Row],[OriginalBudget]]</f>
        <v>0</v>
      </c>
      <c r="L1282" s="11">
        <f>allFYsTable[[#This Row],[DiffAmount]]/allFYsTable[[#This Row],[OriginalBudget]]</f>
        <v>0</v>
      </c>
    </row>
    <row r="1283" spans="1:12" x14ac:dyDescent="0.45">
      <c r="A1283" t="s">
        <v>1030</v>
      </c>
      <c r="B1283" t="s">
        <v>10</v>
      </c>
      <c r="C1283" t="s">
        <v>829</v>
      </c>
      <c r="D1283" t="s">
        <v>87</v>
      </c>
      <c r="E1283">
        <v>7839</v>
      </c>
      <c r="F1283">
        <v>7829</v>
      </c>
      <c r="G1283">
        <v>7829</v>
      </c>
      <c r="H1283">
        <v>0</v>
      </c>
      <c r="I1283">
        <v>2015</v>
      </c>
      <c r="J1283">
        <v>107</v>
      </c>
      <c r="K1283">
        <f>allFYsTable[[#This Row],[Actual]]-allFYsTable[[#This Row],[OriginalBudget]]</f>
        <v>-10</v>
      </c>
      <c r="L1283" s="11">
        <f>allFYsTable[[#This Row],[DiffAmount]]/allFYsTable[[#This Row],[OriginalBudget]]</f>
        <v>-1.2756729174639623E-3</v>
      </c>
    </row>
    <row r="1284" spans="1:12" x14ac:dyDescent="0.45">
      <c r="A1284" t="s">
        <v>1030</v>
      </c>
      <c r="B1284" t="s">
        <v>10</v>
      </c>
      <c r="C1284" t="s">
        <v>831</v>
      </c>
      <c r="D1284" t="s">
        <v>280</v>
      </c>
      <c r="E1284">
        <v>22670</v>
      </c>
      <c r="F1284">
        <v>0</v>
      </c>
      <c r="G1284">
        <v>0</v>
      </c>
      <c r="H1284">
        <v>0</v>
      </c>
      <c r="I1284">
        <v>2015</v>
      </c>
      <c r="J1284">
        <v>108</v>
      </c>
      <c r="K1284">
        <f>allFYsTable[[#This Row],[Actual]]-allFYsTable[[#This Row],[OriginalBudget]]</f>
        <v>-22670</v>
      </c>
      <c r="L1284" s="11">
        <f>allFYsTable[[#This Row],[DiffAmount]]/allFYsTable[[#This Row],[OriginalBudget]]</f>
        <v>-1</v>
      </c>
    </row>
    <row r="1285" spans="1:12" x14ac:dyDescent="0.45">
      <c r="A1285" t="s">
        <v>1030</v>
      </c>
      <c r="B1285" t="s">
        <v>10</v>
      </c>
      <c r="C1285" t="s">
        <v>810</v>
      </c>
      <c r="D1285" t="s">
        <v>88</v>
      </c>
      <c r="E1285">
        <v>115719</v>
      </c>
      <c r="F1285">
        <v>121000</v>
      </c>
      <c r="G1285">
        <v>120448</v>
      </c>
      <c r="H1285">
        <v>552</v>
      </c>
      <c r="I1285">
        <v>2015</v>
      </c>
      <c r="J1285">
        <v>109</v>
      </c>
      <c r="K1285">
        <f>allFYsTable[[#This Row],[Actual]]-allFYsTable[[#This Row],[OriginalBudget]]</f>
        <v>4729</v>
      </c>
      <c r="L1285" s="11">
        <f>allFYsTable[[#This Row],[DiffAmount]]/allFYsTable[[#This Row],[OriginalBudget]]</f>
        <v>4.0866236313829192E-2</v>
      </c>
    </row>
    <row r="1286" spans="1:12" x14ac:dyDescent="0.45">
      <c r="A1286" t="s">
        <v>1030</v>
      </c>
      <c r="B1286" t="s">
        <v>10</v>
      </c>
      <c r="C1286" t="s">
        <v>813</v>
      </c>
      <c r="D1286" t="s">
        <v>89</v>
      </c>
      <c r="E1286">
        <v>22167</v>
      </c>
      <c r="F1286">
        <v>27392</v>
      </c>
      <c r="G1286">
        <v>25256</v>
      </c>
      <c r="H1286">
        <v>2136</v>
      </c>
      <c r="I1286">
        <v>2015</v>
      </c>
      <c r="J1286">
        <v>110</v>
      </c>
      <c r="K1286">
        <f>allFYsTable[[#This Row],[Actual]]-allFYsTable[[#This Row],[OriginalBudget]]</f>
        <v>3089</v>
      </c>
      <c r="L1286" s="11">
        <f>allFYsTable[[#This Row],[DiffAmount]]/allFYsTable[[#This Row],[OriginalBudget]]</f>
        <v>0.13935128795055712</v>
      </c>
    </row>
    <row r="1287" spans="1:12" x14ac:dyDescent="0.45">
      <c r="A1287" t="s">
        <v>1030</v>
      </c>
      <c r="B1287" t="s">
        <v>10</v>
      </c>
      <c r="C1287" t="s">
        <v>844</v>
      </c>
      <c r="D1287" t="s">
        <v>281</v>
      </c>
      <c r="E1287">
        <v>0</v>
      </c>
      <c r="F1287">
        <v>9907</v>
      </c>
      <c r="G1287">
        <v>0</v>
      </c>
      <c r="H1287">
        <v>9907</v>
      </c>
      <c r="I1287">
        <v>2015</v>
      </c>
      <c r="J1287">
        <v>111</v>
      </c>
      <c r="K1287">
        <f>allFYsTable[[#This Row],[Actual]]-allFYsTable[[#This Row],[OriginalBudget]]</f>
        <v>0</v>
      </c>
      <c r="L1287" s="11" t="e">
        <f>allFYsTable[[#This Row],[DiffAmount]]/allFYsTable[[#This Row],[OriginalBudget]]</f>
        <v>#DIV/0!</v>
      </c>
    </row>
    <row r="1288" spans="1:12" x14ac:dyDescent="0.45">
      <c r="A1288" t="s">
        <v>1030</v>
      </c>
      <c r="B1288" t="s">
        <v>10</v>
      </c>
      <c r="C1288" t="s">
        <v>812</v>
      </c>
      <c r="D1288" t="s">
        <v>90</v>
      </c>
      <c r="E1288">
        <v>0</v>
      </c>
      <c r="F1288">
        <v>0</v>
      </c>
      <c r="G1288">
        <v>0</v>
      </c>
      <c r="H1288">
        <v>0</v>
      </c>
      <c r="I1288">
        <v>2015</v>
      </c>
      <c r="J1288">
        <v>112</v>
      </c>
      <c r="K1288">
        <f>allFYsTable[[#This Row],[Actual]]-allFYsTable[[#This Row],[OriginalBudget]]</f>
        <v>0</v>
      </c>
      <c r="L1288" s="11" t="e">
        <f>allFYsTable[[#This Row],[DiffAmount]]/allFYsTable[[#This Row],[OriginalBudget]]</f>
        <v>#DIV/0!</v>
      </c>
    </row>
    <row r="1289" spans="1:12" x14ac:dyDescent="0.45">
      <c r="A1289" t="s">
        <v>1030</v>
      </c>
      <c r="B1289" t="s">
        <v>10</v>
      </c>
      <c r="C1289" t="s">
        <v>821</v>
      </c>
      <c r="D1289" t="s">
        <v>91</v>
      </c>
      <c r="E1289">
        <v>42052</v>
      </c>
      <c r="F1289">
        <v>98</v>
      </c>
      <c r="G1289">
        <v>0</v>
      </c>
      <c r="H1289">
        <v>98</v>
      </c>
      <c r="I1289">
        <v>2015</v>
      </c>
      <c r="J1289">
        <v>113</v>
      </c>
      <c r="K1289">
        <f>allFYsTable[[#This Row],[Actual]]-allFYsTable[[#This Row],[OriginalBudget]]</f>
        <v>-42052</v>
      </c>
      <c r="L1289" s="11">
        <f>allFYsTable[[#This Row],[DiffAmount]]/allFYsTable[[#This Row],[OriginalBudget]]</f>
        <v>-1</v>
      </c>
    </row>
    <row r="1290" spans="1:12" x14ac:dyDescent="0.45">
      <c r="A1290" t="s">
        <v>1030</v>
      </c>
      <c r="B1290" t="s">
        <v>10</v>
      </c>
      <c r="C1290" t="s">
        <v>832</v>
      </c>
      <c r="D1290" t="s">
        <v>200</v>
      </c>
      <c r="E1290">
        <v>51548</v>
      </c>
      <c r="F1290">
        <v>43778</v>
      </c>
      <c r="G1290">
        <v>43778</v>
      </c>
      <c r="H1290">
        <v>0</v>
      </c>
      <c r="I1290">
        <v>2015</v>
      </c>
      <c r="J1290">
        <v>114</v>
      </c>
      <c r="K1290">
        <f>allFYsTable[[#This Row],[Actual]]-allFYsTable[[#This Row],[OriginalBudget]]</f>
        <v>-7770</v>
      </c>
      <c r="L1290" s="11">
        <f>allFYsTable[[#This Row],[DiffAmount]]/allFYsTable[[#This Row],[OriginalBudget]]</f>
        <v>-0.15073329712112982</v>
      </c>
    </row>
    <row r="1291" spans="1:12" x14ac:dyDescent="0.45">
      <c r="A1291" t="s">
        <v>1030</v>
      </c>
      <c r="B1291" t="s">
        <v>10</v>
      </c>
      <c r="C1291" t="s">
        <v>847</v>
      </c>
      <c r="D1291" t="s">
        <v>282</v>
      </c>
      <c r="E1291">
        <v>0</v>
      </c>
      <c r="F1291">
        <v>61067</v>
      </c>
      <c r="G1291">
        <v>0</v>
      </c>
      <c r="H1291">
        <v>61067</v>
      </c>
      <c r="I1291">
        <v>2015</v>
      </c>
      <c r="J1291">
        <v>115</v>
      </c>
      <c r="K1291">
        <f>allFYsTable[[#This Row],[Actual]]-allFYsTable[[#This Row],[OriginalBudget]]</f>
        <v>0</v>
      </c>
      <c r="L1291" s="11" t="e">
        <f>allFYsTable[[#This Row],[DiffAmount]]/allFYsTable[[#This Row],[OriginalBudget]]</f>
        <v>#DIV/0!</v>
      </c>
    </row>
    <row r="1292" spans="1:12" x14ac:dyDescent="0.45">
      <c r="A1292" t="s">
        <v>1030</v>
      </c>
      <c r="B1292" t="s">
        <v>10</v>
      </c>
      <c r="C1292" t="s">
        <v>816</v>
      </c>
      <c r="D1292" t="s">
        <v>93</v>
      </c>
      <c r="E1292">
        <v>5200</v>
      </c>
      <c r="F1292">
        <v>98238</v>
      </c>
      <c r="G1292">
        <v>98238</v>
      </c>
      <c r="H1292">
        <v>0</v>
      </c>
      <c r="I1292">
        <v>2015</v>
      </c>
      <c r="J1292">
        <v>116</v>
      </c>
      <c r="K1292">
        <f>allFYsTable[[#This Row],[Actual]]-allFYsTable[[#This Row],[OriginalBudget]]</f>
        <v>93038</v>
      </c>
      <c r="L1292" s="11">
        <f>allFYsTable[[#This Row],[DiffAmount]]/allFYsTable[[#This Row],[OriginalBudget]]</f>
        <v>17.891923076923078</v>
      </c>
    </row>
    <row r="1293" spans="1:12" x14ac:dyDescent="0.45">
      <c r="A1293" t="s">
        <v>1030</v>
      </c>
      <c r="B1293" t="s">
        <v>10</v>
      </c>
      <c r="C1293" t="s">
        <v>815</v>
      </c>
      <c r="D1293" t="s">
        <v>934</v>
      </c>
      <c r="E1293">
        <v>3000</v>
      </c>
      <c r="F1293">
        <v>21</v>
      </c>
      <c r="G1293">
        <v>0</v>
      </c>
      <c r="H1293">
        <v>21</v>
      </c>
      <c r="I1293">
        <v>2015</v>
      </c>
      <c r="J1293">
        <v>117</v>
      </c>
      <c r="K1293">
        <f>allFYsTable[[#This Row],[Actual]]-allFYsTable[[#This Row],[OriginalBudget]]</f>
        <v>-3000</v>
      </c>
      <c r="L1293" s="11">
        <f>allFYsTable[[#This Row],[DiffAmount]]/allFYsTable[[#This Row],[OriginalBudget]]</f>
        <v>-1</v>
      </c>
    </row>
    <row r="1294" spans="1:12" x14ac:dyDescent="0.45">
      <c r="A1294" t="s">
        <v>1029</v>
      </c>
      <c r="B1294" t="s">
        <v>11</v>
      </c>
      <c r="C1294" t="s">
        <v>703</v>
      </c>
      <c r="D1294" t="s">
        <v>96</v>
      </c>
      <c r="E1294">
        <v>22321</v>
      </c>
      <c r="F1294">
        <v>21174</v>
      </c>
      <c r="G1294">
        <v>21174</v>
      </c>
      <c r="H1294">
        <v>0</v>
      </c>
      <c r="I1294">
        <v>2016</v>
      </c>
      <c r="J1294">
        <v>1</v>
      </c>
      <c r="K1294">
        <f>allFYsTable[[#This Row],[Actual]]-allFYsTable[[#This Row],[OriginalBudget]]</f>
        <v>-1147</v>
      </c>
      <c r="L1294" s="11">
        <f>allFYsTable[[#This Row],[DiffAmount]]/allFYsTable[[#This Row],[OriginalBudget]]</f>
        <v>-5.1386586622463148E-2</v>
      </c>
    </row>
    <row r="1295" spans="1:12" x14ac:dyDescent="0.45">
      <c r="A1295" t="s">
        <v>1029</v>
      </c>
      <c r="B1295" t="s">
        <v>11</v>
      </c>
      <c r="C1295" t="s">
        <v>723</v>
      </c>
      <c r="D1295" t="s">
        <v>224</v>
      </c>
      <c r="E1295">
        <v>4663</v>
      </c>
      <c r="F1295">
        <v>4709</v>
      </c>
      <c r="G1295">
        <v>4549</v>
      </c>
      <c r="H1295">
        <v>160</v>
      </c>
      <c r="I1295">
        <v>2016</v>
      </c>
      <c r="J1295">
        <v>2</v>
      </c>
      <c r="K1295">
        <f>allFYsTable[[#This Row],[Actual]]-allFYsTable[[#This Row],[OriginalBudget]]</f>
        <v>-114</v>
      </c>
      <c r="L1295" s="11">
        <f>allFYsTable[[#This Row],[DiffAmount]]/allFYsTable[[#This Row],[OriginalBudget]]</f>
        <v>-2.4447780398884837E-2</v>
      </c>
    </row>
    <row r="1296" spans="1:12" x14ac:dyDescent="0.45">
      <c r="A1296" t="s">
        <v>1029</v>
      </c>
      <c r="B1296" t="s">
        <v>11</v>
      </c>
      <c r="C1296" t="s">
        <v>731</v>
      </c>
      <c r="D1296" t="s">
        <v>225</v>
      </c>
      <c r="E1296">
        <v>230</v>
      </c>
      <c r="F1296">
        <v>290</v>
      </c>
      <c r="G1296">
        <v>290</v>
      </c>
      <c r="H1296">
        <v>0</v>
      </c>
      <c r="I1296">
        <v>2016</v>
      </c>
      <c r="J1296">
        <v>3</v>
      </c>
      <c r="K1296">
        <f>allFYsTable[[#This Row],[Actual]]-allFYsTable[[#This Row],[OriginalBudget]]</f>
        <v>60</v>
      </c>
      <c r="L1296" s="11">
        <f>allFYsTable[[#This Row],[DiffAmount]]/allFYsTable[[#This Row],[OriginalBudget]]</f>
        <v>0.2608695652173913</v>
      </c>
    </row>
    <row r="1297" spans="1:12" x14ac:dyDescent="0.45">
      <c r="A1297" t="s">
        <v>1029</v>
      </c>
      <c r="B1297" t="s">
        <v>11</v>
      </c>
      <c r="C1297" t="s">
        <v>711</v>
      </c>
      <c r="D1297" t="s">
        <v>162</v>
      </c>
      <c r="E1297">
        <v>927</v>
      </c>
      <c r="F1297">
        <v>927</v>
      </c>
      <c r="G1297">
        <v>788</v>
      </c>
      <c r="H1297">
        <v>139</v>
      </c>
      <c r="I1297">
        <v>2016</v>
      </c>
      <c r="J1297">
        <v>4</v>
      </c>
      <c r="K1297">
        <f>allFYsTable[[#This Row],[Actual]]-allFYsTable[[#This Row],[OriginalBudget]]</f>
        <v>-139</v>
      </c>
      <c r="L1297" s="11">
        <f>allFYsTable[[#This Row],[DiffAmount]]/allFYsTable[[#This Row],[OriginalBudget]]</f>
        <v>-0.1499460625674218</v>
      </c>
    </row>
    <row r="1298" spans="1:12" x14ac:dyDescent="0.45">
      <c r="A1298" t="s">
        <v>1029</v>
      </c>
      <c r="B1298" t="s">
        <v>11</v>
      </c>
      <c r="C1298" t="s">
        <v>707</v>
      </c>
      <c r="D1298" t="s">
        <v>163</v>
      </c>
      <c r="E1298">
        <v>7825</v>
      </c>
      <c r="F1298">
        <v>7970</v>
      </c>
      <c r="G1298">
        <v>7891</v>
      </c>
      <c r="H1298">
        <v>79</v>
      </c>
      <c r="I1298">
        <v>2016</v>
      </c>
      <c r="J1298">
        <v>5</v>
      </c>
      <c r="K1298">
        <f>allFYsTable[[#This Row],[Actual]]-allFYsTable[[#This Row],[OriginalBudget]]</f>
        <v>66</v>
      </c>
      <c r="L1298" s="11">
        <f>allFYsTable[[#This Row],[DiffAmount]]/allFYsTable[[#This Row],[OriginalBudget]]</f>
        <v>8.4345047923322682E-3</v>
      </c>
    </row>
    <row r="1299" spans="1:12" x14ac:dyDescent="0.45">
      <c r="A1299" t="s">
        <v>1029</v>
      </c>
      <c r="B1299" t="s">
        <v>11</v>
      </c>
      <c r="C1299" t="s">
        <v>708</v>
      </c>
      <c r="D1299" t="s">
        <v>102</v>
      </c>
      <c r="E1299">
        <v>1596</v>
      </c>
      <c r="F1299">
        <v>1096</v>
      </c>
      <c r="G1299">
        <v>1092</v>
      </c>
      <c r="H1299">
        <v>4</v>
      </c>
      <c r="I1299">
        <v>2016</v>
      </c>
      <c r="J1299">
        <v>6</v>
      </c>
      <c r="K1299">
        <f>allFYsTable[[#This Row],[Actual]]-allFYsTable[[#This Row],[OriginalBudget]]</f>
        <v>-504</v>
      </c>
      <c r="L1299" s="11">
        <f>allFYsTable[[#This Row],[DiffAmount]]/allFYsTable[[#This Row],[OriginalBudget]]</f>
        <v>-0.31578947368421051</v>
      </c>
    </row>
    <row r="1300" spans="1:12" x14ac:dyDescent="0.45">
      <c r="A1300" t="s">
        <v>1029</v>
      </c>
      <c r="B1300" t="s">
        <v>11</v>
      </c>
      <c r="C1300" t="s">
        <v>726</v>
      </c>
      <c r="D1300" t="s">
        <v>210</v>
      </c>
      <c r="E1300">
        <v>1894</v>
      </c>
      <c r="F1300">
        <v>1894</v>
      </c>
      <c r="G1300">
        <v>1877</v>
      </c>
      <c r="H1300">
        <v>17</v>
      </c>
      <c r="I1300">
        <v>2016</v>
      </c>
      <c r="J1300">
        <v>7</v>
      </c>
      <c r="K1300">
        <f>allFYsTable[[#This Row],[Actual]]-allFYsTable[[#This Row],[OriginalBudget]]</f>
        <v>-17</v>
      </c>
      <c r="L1300" s="11">
        <f>allFYsTable[[#This Row],[DiffAmount]]/allFYsTable[[#This Row],[OriginalBudget]]</f>
        <v>-8.9757127771911294E-3</v>
      </c>
    </row>
    <row r="1301" spans="1:12" x14ac:dyDescent="0.45">
      <c r="A1301" t="s">
        <v>1029</v>
      </c>
      <c r="B1301" t="s">
        <v>11</v>
      </c>
      <c r="C1301" t="s">
        <v>725</v>
      </c>
      <c r="D1301" t="s">
        <v>104</v>
      </c>
      <c r="E1301">
        <v>1963</v>
      </c>
      <c r="F1301">
        <v>2565</v>
      </c>
      <c r="G1301">
        <v>2555</v>
      </c>
      <c r="H1301">
        <v>10</v>
      </c>
      <c r="I1301">
        <v>2016</v>
      </c>
      <c r="J1301">
        <v>8</v>
      </c>
      <c r="K1301">
        <f>allFYsTable[[#This Row],[Actual]]-allFYsTable[[#This Row],[OriginalBudget]]</f>
        <v>592</v>
      </c>
      <c r="L1301" s="11">
        <f>allFYsTable[[#This Row],[DiffAmount]]/allFYsTable[[#This Row],[OriginalBudget]]</f>
        <v>0.30157921548650024</v>
      </c>
    </row>
    <row r="1302" spans="1:12" x14ac:dyDescent="0.45">
      <c r="A1302" t="s">
        <v>1029</v>
      </c>
      <c r="B1302" t="s">
        <v>11</v>
      </c>
      <c r="C1302" t="s">
        <v>724</v>
      </c>
      <c r="D1302" t="s">
        <v>105</v>
      </c>
      <c r="E1302">
        <v>14595</v>
      </c>
      <c r="F1302">
        <v>13334</v>
      </c>
      <c r="G1302">
        <v>12591</v>
      </c>
      <c r="H1302">
        <v>743</v>
      </c>
      <c r="I1302">
        <v>2016</v>
      </c>
      <c r="J1302">
        <v>9</v>
      </c>
      <c r="K1302">
        <f>allFYsTable[[#This Row],[Actual]]-allFYsTable[[#This Row],[OriginalBudget]]</f>
        <v>-2004</v>
      </c>
      <c r="L1302" s="11">
        <f>allFYsTable[[#This Row],[DiffAmount]]/allFYsTable[[#This Row],[OriginalBudget]]</f>
        <v>-0.13730729701952724</v>
      </c>
    </row>
    <row r="1303" spans="1:12" x14ac:dyDescent="0.45">
      <c r="A1303" t="s">
        <v>1029</v>
      </c>
      <c r="B1303" t="s">
        <v>11</v>
      </c>
      <c r="C1303" t="s">
        <v>701</v>
      </c>
      <c r="D1303" t="s">
        <v>106</v>
      </c>
      <c r="E1303">
        <v>1422</v>
      </c>
      <c r="F1303">
        <v>2008</v>
      </c>
      <c r="G1303">
        <v>2007</v>
      </c>
      <c r="H1303">
        <v>1</v>
      </c>
      <c r="I1303">
        <v>2016</v>
      </c>
      <c r="J1303">
        <v>10</v>
      </c>
      <c r="K1303">
        <f>allFYsTable[[#This Row],[Actual]]-allFYsTable[[#This Row],[OriginalBudget]]</f>
        <v>585</v>
      </c>
      <c r="L1303" s="11">
        <f>allFYsTable[[#This Row],[DiffAmount]]/allFYsTable[[#This Row],[OriginalBudget]]</f>
        <v>0.41139240506329117</v>
      </c>
    </row>
    <row r="1304" spans="1:12" x14ac:dyDescent="0.45">
      <c r="A1304" t="s">
        <v>1029</v>
      </c>
      <c r="B1304" t="s">
        <v>11</v>
      </c>
      <c r="C1304" t="s">
        <v>722</v>
      </c>
      <c r="D1304" t="s">
        <v>164</v>
      </c>
      <c r="E1304">
        <v>6129</v>
      </c>
      <c r="F1304">
        <v>5924</v>
      </c>
      <c r="G1304">
        <v>5555</v>
      </c>
      <c r="H1304">
        <v>369</v>
      </c>
      <c r="I1304">
        <v>2016</v>
      </c>
      <c r="J1304">
        <v>11</v>
      </c>
      <c r="K1304">
        <f>allFYsTable[[#This Row],[Actual]]-allFYsTable[[#This Row],[OriginalBudget]]</f>
        <v>-574</v>
      </c>
      <c r="L1304" s="11">
        <f>allFYsTable[[#This Row],[DiffAmount]]/allFYsTable[[#This Row],[OriginalBudget]]</f>
        <v>-9.36531244901289E-2</v>
      </c>
    </row>
    <row r="1305" spans="1:12" x14ac:dyDescent="0.45">
      <c r="A1305" t="s">
        <v>1029</v>
      </c>
      <c r="B1305" t="s">
        <v>11</v>
      </c>
      <c r="C1305" t="s">
        <v>704</v>
      </c>
      <c r="D1305" t="s">
        <v>226</v>
      </c>
      <c r="E1305">
        <v>8175</v>
      </c>
      <c r="F1305">
        <v>9440</v>
      </c>
      <c r="G1305">
        <v>9381</v>
      </c>
      <c r="H1305">
        <v>59</v>
      </c>
      <c r="I1305">
        <v>2016</v>
      </c>
      <c r="J1305">
        <v>12</v>
      </c>
      <c r="K1305">
        <f>allFYsTable[[#This Row],[Actual]]-allFYsTable[[#This Row],[OriginalBudget]]</f>
        <v>1206</v>
      </c>
      <c r="L1305" s="11">
        <f>allFYsTable[[#This Row],[DiffAmount]]/allFYsTable[[#This Row],[OriginalBudget]]</f>
        <v>0.14752293577981651</v>
      </c>
    </row>
    <row r="1306" spans="1:12" x14ac:dyDescent="0.45">
      <c r="A1306" t="s">
        <v>1029</v>
      </c>
      <c r="B1306" t="s">
        <v>11</v>
      </c>
      <c r="C1306" t="s">
        <v>716</v>
      </c>
      <c r="D1306" t="s">
        <v>184</v>
      </c>
      <c r="E1306">
        <v>21572</v>
      </c>
      <c r="F1306">
        <v>21222</v>
      </c>
      <c r="G1306">
        <v>20800</v>
      </c>
      <c r="H1306">
        <v>422</v>
      </c>
      <c r="I1306">
        <v>2016</v>
      </c>
      <c r="J1306">
        <v>13</v>
      </c>
      <c r="K1306">
        <f>allFYsTable[[#This Row],[Actual]]-allFYsTable[[#This Row],[OriginalBudget]]</f>
        <v>-772</v>
      </c>
      <c r="L1306" s="11">
        <f>allFYsTable[[#This Row],[DiffAmount]]/allFYsTable[[#This Row],[OriginalBudget]]</f>
        <v>-3.5787131466716117E-2</v>
      </c>
    </row>
    <row r="1307" spans="1:12" x14ac:dyDescent="0.45">
      <c r="A1307" t="s">
        <v>1029</v>
      </c>
      <c r="B1307" t="s">
        <v>11</v>
      </c>
      <c r="C1307" t="s">
        <v>705</v>
      </c>
      <c r="D1307" t="s">
        <v>110</v>
      </c>
      <c r="E1307">
        <v>317877</v>
      </c>
      <c r="F1307">
        <v>320039</v>
      </c>
      <c r="G1307">
        <v>318410</v>
      </c>
      <c r="H1307">
        <v>1629</v>
      </c>
      <c r="I1307">
        <v>2016</v>
      </c>
      <c r="J1307">
        <v>14</v>
      </c>
      <c r="K1307">
        <f>allFYsTable[[#This Row],[Actual]]-allFYsTable[[#This Row],[OriginalBudget]]</f>
        <v>533</v>
      </c>
      <c r="L1307" s="11">
        <f>allFYsTable[[#This Row],[DiffAmount]]/allFYsTable[[#This Row],[OriginalBudget]]</f>
        <v>1.676749182860037E-3</v>
      </c>
    </row>
    <row r="1308" spans="1:12" x14ac:dyDescent="0.45">
      <c r="A1308" t="s">
        <v>1029</v>
      </c>
      <c r="B1308" t="s">
        <v>11</v>
      </c>
      <c r="C1308" t="s">
        <v>713</v>
      </c>
      <c r="D1308" t="s">
        <v>111</v>
      </c>
      <c r="E1308">
        <v>20968</v>
      </c>
      <c r="F1308">
        <v>58418</v>
      </c>
      <c r="G1308">
        <v>58338</v>
      </c>
      <c r="H1308">
        <v>80</v>
      </c>
      <c r="I1308">
        <v>2016</v>
      </c>
      <c r="J1308">
        <v>15</v>
      </c>
      <c r="K1308">
        <f>allFYsTable[[#This Row],[Actual]]-allFYsTable[[#This Row],[OriginalBudget]]</f>
        <v>37370</v>
      </c>
      <c r="L1308" s="11">
        <f>allFYsTable[[#This Row],[DiffAmount]]/allFYsTable[[#This Row],[OriginalBudget]]</f>
        <v>1.7822396032048837</v>
      </c>
    </row>
    <row r="1309" spans="1:12" x14ac:dyDescent="0.45">
      <c r="A1309" t="s">
        <v>1029</v>
      </c>
      <c r="B1309" t="s">
        <v>11</v>
      </c>
      <c r="C1309" t="s">
        <v>702</v>
      </c>
      <c r="D1309" t="s">
        <v>112</v>
      </c>
      <c r="E1309">
        <v>1449</v>
      </c>
      <c r="F1309">
        <v>1449</v>
      </c>
      <c r="G1309">
        <v>1378</v>
      </c>
      <c r="H1309">
        <v>71</v>
      </c>
      <c r="I1309">
        <v>2016</v>
      </c>
      <c r="J1309">
        <v>16</v>
      </c>
      <c r="K1309">
        <f>allFYsTable[[#This Row],[Actual]]-allFYsTable[[#This Row],[OriginalBudget]]</f>
        <v>-71</v>
      </c>
      <c r="L1309" s="11">
        <f>allFYsTable[[#This Row],[DiffAmount]]/allFYsTable[[#This Row],[OriginalBudget]]</f>
        <v>-4.8999309868875088E-2</v>
      </c>
    </row>
    <row r="1310" spans="1:12" x14ac:dyDescent="0.45">
      <c r="A1310" t="s">
        <v>1029</v>
      </c>
      <c r="B1310" t="s">
        <v>11</v>
      </c>
      <c r="C1310" t="s">
        <v>720</v>
      </c>
      <c r="D1310" t="s">
        <v>113</v>
      </c>
      <c r="E1310">
        <v>118144</v>
      </c>
      <c r="F1310">
        <v>118144</v>
      </c>
      <c r="G1310">
        <v>118045</v>
      </c>
      <c r="H1310">
        <v>99</v>
      </c>
      <c r="I1310">
        <v>2016</v>
      </c>
      <c r="J1310">
        <v>17</v>
      </c>
      <c r="K1310">
        <f>allFYsTable[[#This Row],[Actual]]-allFYsTable[[#This Row],[OriginalBudget]]</f>
        <v>-99</v>
      </c>
      <c r="L1310" s="11">
        <f>allFYsTable[[#This Row],[DiffAmount]]/allFYsTable[[#This Row],[OriginalBudget]]</f>
        <v>-8.3796045503791979E-4</v>
      </c>
    </row>
    <row r="1311" spans="1:12" x14ac:dyDescent="0.45">
      <c r="A1311" t="s">
        <v>1029</v>
      </c>
      <c r="B1311" t="s">
        <v>11</v>
      </c>
      <c r="C1311" t="s">
        <v>719</v>
      </c>
      <c r="D1311" t="s">
        <v>114</v>
      </c>
      <c r="E1311">
        <v>57124</v>
      </c>
      <c r="F1311">
        <v>56473</v>
      </c>
      <c r="G1311">
        <v>53937</v>
      </c>
      <c r="H1311">
        <v>2536</v>
      </c>
      <c r="I1311">
        <v>2016</v>
      </c>
      <c r="J1311">
        <v>18</v>
      </c>
      <c r="K1311">
        <f>allFYsTable[[#This Row],[Actual]]-allFYsTable[[#This Row],[OriginalBudget]]</f>
        <v>-3187</v>
      </c>
      <c r="L1311" s="11">
        <f>allFYsTable[[#This Row],[DiffAmount]]/allFYsTable[[#This Row],[OriginalBudget]]</f>
        <v>-5.579091100063021E-2</v>
      </c>
    </row>
    <row r="1312" spans="1:12" x14ac:dyDescent="0.45">
      <c r="A1312" t="s">
        <v>1029</v>
      </c>
      <c r="B1312" t="s">
        <v>11</v>
      </c>
      <c r="C1312" t="s">
        <v>718</v>
      </c>
      <c r="D1312" t="s">
        <v>115</v>
      </c>
      <c r="E1312">
        <v>2923</v>
      </c>
      <c r="F1312">
        <v>3299</v>
      </c>
      <c r="G1312">
        <v>3221</v>
      </c>
      <c r="H1312">
        <v>78</v>
      </c>
      <c r="I1312">
        <v>2016</v>
      </c>
      <c r="J1312">
        <v>19</v>
      </c>
      <c r="K1312">
        <f>allFYsTable[[#This Row],[Actual]]-allFYsTable[[#This Row],[OriginalBudget]]</f>
        <v>298</v>
      </c>
      <c r="L1312" s="11">
        <f>allFYsTable[[#This Row],[DiffAmount]]/allFYsTable[[#This Row],[OriginalBudget]]</f>
        <v>0.10195005131713993</v>
      </c>
    </row>
    <row r="1313" spans="1:12" x14ac:dyDescent="0.45">
      <c r="A1313" t="s">
        <v>1029</v>
      </c>
      <c r="B1313" t="s">
        <v>11</v>
      </c>
      <c r="C1313" t="s">
        <v>714</v>
      </c>
      <c r="D1313" t="s">
        <v>116</v>
      </c>
      <c r="E1313">
        <v>1070</v>
      </c>
      <c r="F1313">
        <v>1070</v>
      </c>
      <c r="G1313">
        <v>983</v>
      </c>
      <c r="H1313">
        <v>87</v>
      </c>
      <c r="I1313">
        <v>2016</v>
      </c>
      <c r="J1313">
        <v>20</v>
      </c>
      <c r="K1313">
        <f>allFYsTable[[#This Row],[Actual]]-allFYsTable[[#This Row],[OriginalBudget]]</f>
        <v>-87</v>
      </c>
      <c r="L1313" s="11">
        <f>allFYsTable[[#This Row],[DiffAmount]]/allFYsTable[[#This Row],[OriginalBudget]]</f>
        <v>-8.1308411214953275E-2</v>
      </c>
    </row>
    <row r="1314" spans="1:12" x14ac:dyDescent="0.45">
      <c r="A1314" t="s">
        <v>1029</v>
      </c>
      <c r="B1314" t="s">
        <v>11</v>
      </c>
      <c r="C1314" t="s">
        <v>733</v>
      </c>
      <c r="D1314" t="s">
        <v>117</v>
      </c>
      <c r="E1314">
        <v>50</v>
      </c>
      <c r="F1314">
        <v>50</v>
      </c>
      <c r="G1314">
        <v>48</v>
      </c>
      <c r="H1314">
        <v>2</v>
      </c>
      <c r="I1314">
        <v>2016</v>
      </c>
      <c r="J1314">
        <v>21</v>
      </c>
      <c r="K1314">
        <f>allFYsTable[[#This Row],[Actual]]-allFYsTable[[#This Row],[OriginalBudget]]</f>
        <v>-2</v>
      </c>
      <c r="L1314" s="11">
        <f>allFYsTable[[#This Row],[DiffAmount]]/allFYsTable[[#This Row],[OriginalBudget]]</f>
        <v>-0.04</v>
      </c>
    </row>
    <row r="1315" spans="1:12" x14ac:dyDescent="0.45">
      <c r="A1315" t="s">
        <v>1029</v>
      </c>
      <c r="B1315" t="s">
        <v>11</v>
      </c>
      <c r="C1315" t="s">
        <v>721</v>
      </c>
      <c r="D1315" t="s">
        <v>118</v>
      </c>
      <c r="E1315">
        <v>58268</v>
      </c>
      <c r="F1315">
        <v>55893</v>
      </c>
      <c r="G1315">
        <v>55353</v>
      </c>
      <c r="H1315">
        <v>540</v>
      </c>
      <c r="I1315">
        <v>2016</v>
      </c>
      <c r="J1315">
        <v>22</v>
      </c>
      <c r="K1315">
        <f>allFYsTable[[#This Row],[Actual]]-allFYsTable[[#This Row],[OriginalBudget]]</f>
        <v>-2915</v>
      </c>
      <c r="L1315" s="11">
        <f>allFYsTable[[#This Row],[DiffAmount]]/allFYsTable[[#This Row],[OriginalBudget]]</f>
        <v>-5.0027459325873547E-2</v>
      </c>
    </row>
    <row r="1316" spans="1:12" x14ac:dyDescent="0.45">
      <c r="A1316" t="s">
        <v>1029</v>
      </c>
      <c r="B1316" t="s">
        <v>11</v>
      </c>
      <c r="C1316" t="s">
        <v>699</v>
      </c>
      <c r="D1316" t="s">
        <v>119</v>
      </c>
      <c r="E1316">
        <v>7390</v>
      </c>
      <c r="F1316">
        <v>7390</v>
      </c>
      <c r="G1316">
        <v>7114</v>
      </c>
      <c r="H1316">
        <v>276</v>
      </c>
      <c r="I1316">
        <v>2016</v>
      </c>
      <c r="J1316">
        <v>23</v>
      </c>
      <c r="K1316">
        <f>allFYsTable[[#This Row],[Actual]]-allFYsTable[[#This Row],[OriginalBudget]]</f>
        <v>-276</v>
      </c>
      <c r="L1316" s="11">
        <f>allFYsTable[[#This Row],[DiffAmount]]/allFYsTable[[#This Row],[OriginalBudget]]</f>
        <v>-3.7347767253044652E-2</v>
      </c>
    </row>
    <row r="1317" spans="1:12" x14ac:dyDescent="0.45">
      <c r="A1317" t="s">
        <v>1029</v>
      </c>
      <c r="B1317" t="s">
        <v>11</v>
      </c>
      <c r="C1317" t="s">
        <v>712</v>
      </c>
      <c r="D1317" t="s">
        <v>120</v>
      </c>
      <c r="E1317">
        <v>2704</v>
      </c>
      <c r="F1317">
        <v>2704</v>
      </c>
      <c r="G1317">
        <v>2590</v>
      </c>
      <c r="H1317">
        <v>114</v>
      </c>
      <c r="I1317">
        <v>2016</v>
      </c>
      <c r="J1317">
        <v>24</v>
      </c>
      <c r="K1317">
        <f>allFYsTable[[#This Row],[Actual]]-allFYsTable[[#This Row],[OriginalBudget]]</f>
        <v>-114</v>
      </c>
      <c r="L1317" s="11">
        <f>allFYsTable[[#This Row],[DiffAmount]]/allFYsTable[[#This Row],[OriginalBudget]]</f>
        <v>-4.2159763313609468E-2</v>
      </c>
    </row>
    <row r="1318" spans="1:12" x14ac:dyDescent="0.45">
      <c r="A1318" t="s">
        <v>1029</v>
      </c>
      <c r="B1318" t="s">
        <v>11</v>
      </c>
      <c r="C1318" t="s">
        <v>730</v>
      </c>
      <c r="D1318" t="s">
        <v>125</v>
      </c>
      <c r="E1318">
        <v>1274</v>
      </c>
      <c r="F1318">
        <v>1274</v>
      </c>
      <c r="G1318">
        <v>1251</v>
      </c>
      <c r="H1318">
        <v>23</v>
      </c>
      <c r="I1318">
        <v>2016</v>
      </c>
      <c r="J1318">
        <v>25</v>
      </c>
      <c r="K1318">
        <f>allFYsTable[[#This Row],[Actual]]-allFYsTable[[#This Row],[OriginalBudget]]</f>
        <v>-23</v>
      </c>
      <c r="L1318" s="11">
        <f>allFYsTable[[#This Row],[DiffAmount]]/allFYsTable[[#This Row],[OriginalBudget]]</f>
        <v>-1.8053375196232339E-2</v>
      </c>
    </row>
    <row r="1319" spans="1:12" x14ac:dyDescent="0.45">
      <c r="A1319" t="s">
        <v>1029</v>
      </c>
      <c r="B1319" t="s">
        <v>11</v>
      </c>
      <c r="C1319" t="s">
        <v>715</v>
      </c>
      <c r="D1319" t="s">
        <v>126</v>
      </c>
      <c r="E1319">
        <v>1745</v>
      </c>
      <c r="F1319">
        <v>1745</v>
      </c>
      <c r="G1319">
        <v>1684</v>
      </c>
      <c r="H1319">
        <v>61</v>
      </c>
      <c r="I1319">
        <v>2016</v>
      </c>
      <c r="J1319">
        <v>26</v>
      </c>
      <c r="K1319">
        <f>allFYsTable[[#This Row],[Actual]]-allFYsTable[[#This Row],[OriginalBudget]]</f>
        <v>-61</v>
      </c>
      <c r="L1319" s="11">
        <f>allFYsTable[[#This Row],[DiffAmount]]/allFYsTable[[#This Row],[OriginalBudget]]</f>
        <v>-3.4957020057306588E-2</v>
      </c>
    </row>
    <row r="1320" spans="1:12" x14ac:dyDescent="0.45">
      <c r="A1320" t="s">
        <v>1029</v>
      </c>
      <c r="B1320" t="s">
        <v>11</v>
      </c>
      <c r="C1320" t="s">
        <v>709</v>
      </c>
      <c r="D1320" t="s">
        <v>227</v>
      </c>
      <c r="E1320">
        <v>472</v>
      </c>
      <c r="F1320">
        <v>472</v>
      </c>
      <c r="G1320">
        <v>472</v>
      </c>
      <c r="H1320">
        <v>0</v>
      </c>
      <c r="I1320">
        <v>2016</v>
      </c>
      <c r="J1320">
        <v>27</v>
      </c>
      <c r="K1320">
        <f>allFYsTable[[#This Row],[Actual]]-allFYsTable[[#This Row],[OriginalBudget]]</f>
        <v>0</v>
      </c>
      <c r="L1320" s="11">
        <f>allFYsTable[[#This Row],[DiffAmount]]/allFYsTable[[#This Row],[OriginalBudget]]</f>
        <v>0</v>
      </c>
    </row>
    <row r="1321" spans="1:12" x14ac:dyDescent="0.45">
      <c r="A1321" t="s">
        <v>1029</v>
      </c>
      <c r="B1321" t="s">
        <v>11</v>
      </c>
      <c r="C1321" t="s">
        <v>840</v>
      </c>
      <c r="D1321" t="s">
        <v>185</v>
      </c>
      <c r="E1321">
        <v>698</v>
      </c>
      <c r="F1321">
        <v>673</v>
      </c>
      <c r="G1321">
        <v>672</v>
      </c>
      <c r="H1321">
        <v>1</v>
      </c>
      <c r="I1321">
        <v>2016</v>
      </c>
      <c r="J1321">
        <v>28</v>
      </c>
      <c r="K1321">
        <f>allFYsTable[[#This Row],[Actual]]-allFYsTable[[#This Row],[OriginalBudget]]</f>
        <v>-26</v>
      </c>
      <c r="L1321" s="11">
        <f>allFYsTable[[#This Row],[DiffAmount]]/allFYsTable[[#This Row],[OriginalBudget]]</f>
        <v>-3.7249283667621778E-2</v>
      </c>
    </row>
    <row r="1322" spans="1:12" x14ac:dyDescent="0.45">
      <c r="A1322" t="s">
        <v>1029</v>
      </c>
      <c r="B1322" t="s">
        <v>11</v>
      </c>
      <c r="C1322" t="s">
        <v>700</v>
      </c>
      <c r="D1322" t="s">
        <v>228</v>
      </c>
      <c r="E1322">
        <v>1684</v>
      </c>
      <c r="F1322">
        <v>1684</v>
      </c>
      <c r="G1322">
        <v>1683</v>
      </c>
      <c r="H1322">
        <v>1</v>
      </c>
      <c r="I1322">
        <v>2016</v>
      </c>
      <c r="J1322">
        <v>29</v>
      </c>
      <c r="K1322">
        <f>allFYsTable[[#This Row],[Actual]]-allFYsTable[[#This Row],[OriginalBudget]]</f>
        <v>-1</v>
      </c>
      <c r="L1322" s="11">
        <f>allFYsTable[[#This Row],[DiffAmount]]/allFYsTable[[#This Row],[OriginalBudget]]</f>
        <v>-5.9382422802850359E-4</v>
      </c>
    </row>
    <row r="1323" spans="1:12" x14ac:dyDescent="0.45">
      <c r="A1323" t="s">
        <v>1029</v>
      </c>
      <c r="B1323" t="s">
        <v>11</v>
      </c>
      <c r="C1323" t="s">
        <v>865</v>
      </c>
      <c r="D1323" t="s">
        <v>202</v>
      </c>
      <c r="E1323">
        <v>0</v>
      </c>
      <c r="F1323">
        <v>9000</v>
      </c>
      <c r="G1323">
        <v>9000</v>
      </c>
      <c r="H1323">
        <v>0</v>
      </c>
      <c r="I1323">
        <v>2016</v>
      </c>
      <c r="J1323">
        <v>30</v>
      </c>
      <c r="K1323">
        <f>allFYsTable[[#This Row],[Actual]]-allFYsTable[[#This Row],[OriginalBudget]]</f>
        <v>9000</v>
      </c>
      <c r="L1323" s="11" t="e">
        <f>allFYsTable[[#This Row],[DiffAmount]]/allFYsTable[[#This Row],[OriginalBudget]]</f>
        <v>#DIV/0!</v>
      </c>
    </row>
    <row r="1324" spans="1:12" x14ac:dyDescent="0.45">
      <c r="A1324" t="s">
        <v>1029</v>
      </c>
      <c r="B1324" t="s">
        <v>229</v>
      </c>
      <c r="C1324" t="s">
        <v>743</v>
      </c>
      <c r="D1324" t="s">
        <v>187</v>
      </c>
      <c r="E1324">
        <v>17550</v>
      </c>
      <c r="F1324">
        <v>17423</v>
      </c>
      <c r="G1324">
        <v>17171</v>
      </c>
      <c r="H1324">
        <v>252</v>
      </c>
      <c r="I1324">
        <v>2016</v>
      </c>
      <c r="J1324">
        <v>31</v>
      </c>
      <c r="K1324">
        <f>allFYsTable[[#This Row],[Actual]]-allFYsTable[[#This Row],[OriginalBudget]]</f>
        <v>-379</v>
      </c>
      <c r="L1324" s="11">
        <f>allFYsTable[[#This Row],[DiffAmount]]/allFYsTable[[#This Row],[OriginalBudget]]</f>
        <v>-2.1595441595441595E-2</v>
      </c>
    </row>
    <row r="1325" spans="1:12" x14ac:dyDescent="0.45">
      <c r="A1325" t="s">
        <v>1029</v>
      </c>
      <c r="B1325" t="s">
        <v>229</v>
      </c>
      <c r="C1325" t="s">
        <v>738</v>
      </c>
      <c r="D1325" t="s">
        <v>22</v>
      </c>
      <c r="E1325">
        <v>9642</v>
      </c>
      <c r="F1325">
        <v>9342</v>
      </c>
      <c r="G1325">
        <v>9122</v>
      </c>
      <c r="H1325">
        <v>220</v>
      </c>
      <c r="I1325">
        <v>2016</v>
      </c>
      <c r="J1325">
        <v>32</v>
      </c>
      <c r="K1325">
        <f>allFYsTable[[#This Row],[Actual]]-allFYsTable[[#This Row],[OriginalBudget]]</f>
        <v>-520</v>
      </c>
      <c r="L1325" s="11">
        <f>allFYsTable[[#This Row],[DiffAmount]]/allFYsTable[[#This Row],[OriginalBudget]]</f>
        <v>-5.3930719767683051E-2</v>
      </c>
    </row>
    <row r="1326" spans="1:12" x14ac:dyDescent="0.45">
      <c r="A1326" t="s">
        <v>1029</v>
      </c>
      <c r="B1326" t="s">
        <v>229</v>
      </c>
      <c r="C1326" t="s">
        <v>742</v>
      </c>
      <c r="D1326" t="s">
        <v>26</v>
      </c>
      <c r="E1326">
        <v>9362</v>
      </c>
      <c r="F1326">
        <v>9613</v>
      </c>
      <c r="G1326">
        <v>9116</v>
      </c>
      <c r="H1326">
        <v>497</v>
      </c>
      <c r="I1326">
        <v>2016</v>
      </c>
      <c r="J1326">
        <v>33</v>
      </c>
      <c r="K1326">
        <f>allFYsTable[[#This Row],[Actual]]-allFYsTable[[#This Row],[OriginalBudget]]</f>
        <v>-246</v>
      </c>
      <c r="L1326" s="11">
        <f>allFYsTable[[#This Row],[DiffAmount]]/allFYsTable[[#This Row],[OriginalBudget]]</f>
        <v>-2.6276436658833582E-2</v>
      </c>
    </row>
    <row r="1327" spans="1:12" x14ac:dyDescent="0.45">
      <c r="A1327" t="s">
        <v>1029</v>
      </c>
      <c r="B1327" t="s">
        <v>229</v>
      </c>
      <c r="C1327" t="s">
        <v>744</v>
      </c>
      <c r="D1327" t="s">
        <v>29</v>
      </c>
      <c r="E1327">
        <v>2606</v>
      </c>
      <c r="F1327">
        <v>2830</v>
      </c>
      <c r="G1327">
        <v>2817</v>
      </c>
      <c r="H1327">
        <v>13</v>
      </c>
      <c r="I1327">
        <v>2016</v>
      </c>
      <c r="J1327">
        <v>34</v>
      </c>
      <c r="K1327">
        <f>allFYsTable[[#This Row],[Actual]]-allFYsTable[[#This Row],[OriginalBudget]]</f>
        <v>211</v>
      </c>
      <c r="L1327" s="11">
        <f>allFYsTable[[#This Row],[DiffAmount]]/allFYsTable[[#This Row],[OriginalBudget]]</f>
        <v>8.096699923254029E-2</v>
      </c>
    </row>
    <row r="1328" spans="1:12" x14ac:dyDescent="0.45">
      <c r="A1328" t="s">
        <v>1029</v>
      </c>
      <c r="B1328" t="s">
        <v>229</v>
      </c>
      <c r="C1328" t="s">
        <v>737</v>
      </c>
      <c r="D1328" t="s">
        <v>230</v>
      </c>
      <c r="E1328">
        <v>12619</v>
      </c>
      <c r="F1328">
        <v>21184</v>
      </c>
      <c r="G1328">
        <v>20853</v>
      </c>
      <c r="H1328">
        <v>331</v>
      </c>
      <c r="I1328">
        <v>2016</v>
      </c>
      <c r="J1328">
        <v>35</v>
      </c>
      <c r="K1328">
        <f>allFYsTable[[#This Row],[Actual]]-allFYsTable[[#This Row],[OriginalBudget]]</f>
        <v>8234</v>
      </c>
      <c r="L1328" s="11">
        <f>allFYsTable[[#This Row],[DiffAmount]]/allFYsTable[[#This Row],[OriginalBudget]]</f>
        <v>0.65250812267216107</v>
      </c>
    </row>
    <row r="1329" spans="1:12" x14ac:dyDescent="0.45">
      <c r="A1329" t="s">
        <v>1029</v>
      </c>
      <c r="B1329" t="s">
        <v>229</v>
      </c>
      <c r="C1329" t="s">
        <v>741</v>
      </c>
      <c r="D1329" t="s">
        <v>188</v>
      </c>
      <c r="E1329">
        <v>3405</v>
      </c>
      <c r="F1329">
        <v>1356</v>
      </c>
      <c r="G1329">
        <v>1342</v>
      </c>
      <c r="H1329">
        <v>14</v>
      </c>
      <c r="I1329">
        <v>2016</v>
      </c>
      <c r="J1329">
        <v>36</v>
      </c>
      <c r="K1329">
        <f>allFYsTable[[#This Row],[Actual]]-allFYsTable[[#This Row],[OriginalBudget]]</f>
        <v>-2063</v>
      </c>
      <c r="L1329" s="11">
        <f>allFYsTable[[#This Row],[DiffAmount]]/allFYsTable[[#This Row],[OriginalBudget]]</f>
        <v>-0.60587371512481647</v>
      </c>
    </row>
    <row r="1330" spans="1:12" x14ac:dyDescent="0.45">
      <c r="A1330" t="s">
        <v>1029</v>
      </c>
      <c r="B1330" t="s">
        <v>229</v>
      </c>
      <c r="C1330" t="s">
        <v>769</v>
      </c>
      <c r="D1330" t="s">
        <v>55</v>
      </c>
      <c r="E1330">
        <v>59191</v>
      </c>
      <c r="F1330">
        <v>60067</v>
      </c>
      <c r="G1330">
        <v>58145</v>
      </c>
      <c r="H1330">
        <v>1922</v>
      </c>
      <c r="I1330">
        <v>2016</v>
      </c>
      <c r="J1330">
        <v>37</v>
      </c>
      <c r="K1330">
        <f>allFYsTable[[#This Row],[Actual]]-allFYsTable[[#This Row],[OriginalBudget]]</f>
        <v>-1046</v>
      </c>
      <c r="L1330" s="11">
        <f>allFYsTable[[#This Row],[DiffAmount]]/allFYsTable[[#This Row],[OriginalBudget]]</f>
        <v>-1.7671605480562923E-2</v>
      </c>
    </row>
    <row r="1331" spans="1:12" x14ac:dyDescent="0.45">
      <c r="A1331" t="s">
        <v>1029</v>
      </c>
      <c r="B1331" t="s">
        <v>229</v>
      </c>
      <c r="C1331" t="s">
        <v>745</v>
      </c>
      <c r="D1331" t="s">
        <v>30</v>
      </c>
      <c r="E1331">
        <v>1636</v>
      </c>
      <c r="F1331">
        <v>1676</v>
      </c>
      <c r="G1331">
        <v>1643</v>
      </c>
      <c r="H1331">
        <v>33</v>
      </c>
      <c r="I1331">
        <v>2016</v>
      </c>
      <c r="J1331">
        <v>38</v>
      </c>
      <c r="K1331">
        <f>allFYsTable[[#This Row],[Actual]]-allFYsTable[[#This Row],[OriginalBudget]]</f>
        <v>7</v>
      </c>
      <c r="L1331" s="11">
        <f>allFYsTable[[#This Row],[DiffAmount]]/allFYsTable[[#This Row],[OriginalBudget]]</f>
        <v>4.278728606356968E-3</v>
      </c>
    </row>
    <row r="1332" spans="1:12" x14ac:dyDescent="0.45">
      <c r="A1332" t="s">
        <v>1029</v>
      </c>
      <c r="B1332" t="s">
        <v>229</v>
      </c>
      <c r="C1332" t="s">
        <v>797</v>
      </c>
      <c r="D1332" t="s">
        <v>231</v>
      </c>
      <c r="E1332">
        <v>15052</v>
      </c>
      <c r="F1332">
        <v>17321</v>
      </c>
      <c r="G1332">
        <v>17222</v>
      </c>
      <c r="H1332">
        <v>99</v>
      </c>
      <c r="I1332">
        <v>2016</v>
      </c>
      <c r="J1332">
        <v>39</v>
      </c>
      <c r="K1332">
        <f>allFYsTable[[#This Row],[Actual]]-allFYsTable[[#This Row],[OriginalBudget]]</f>
        <v>2170</v>
      </c>
      <c r="L1332" s="11">
        <f>allFYsTable[[#This Row],[DiffAmount]]/allFYsTable[[#This Row],[OriginalBudget]]</f>
        <v>0.14416688812117992</v>
      </c>
    </row>
    <row r="1333" spans="1:12" x14ac:dyDescent="0.45">
      <c r="A1333" t="s">
        <v>1029</v>
      </c>
      <c r="B1333" t="s">
        <v>229</v>
      </c>
      <c r="C1333" t="s">
        <v>795</v>
      </c>
      <c r="D1333" t="s">
        <v>72</v>
      </c>
      <c r="E1333">
        <v>1170</v>
      </c>
      <c r="F1333">
        <v>1170</v>
      </c>
      <c r="G1333">
        <v>1170</v>
      </c>
      <c r="H1333">
        <v>0</v>
      </c>
      <c r="I1333">
        <v>2016</v>
      </c>
      <c r="J1333">
        <v>40</v>
      </c>
      <c r="K1333">
        <f>allFYsTable[[#This Row],[Actual]]-allFYsTable[[#This Row],[OriginalBudget]]</f>
        <v>0</v>
      </c>
      <c r="L1333" s="11">
        <f>allFYsTable[[#This Row],[DiffAmount]]/allFYsTable[[#This Row],[OriginalBudget]]</f>
        <v>0</v>
      </c>
    </row>
    <row r="1334" spans="1:12" x14ac:dyDescent="0.45">
      <c r="A1334" t="s">
        <v>1029</v>
      </c>
      <c r="B1334" t="s">
        <v>229</v>
      </c>
      <c r="C1334" t="s">
        <v>736</v>
      </c>
      <c r="D1334" t="s">
        <v>190</v>
      </c>
      <c r="E1334">
        <v>14696</v>
      </c>
      <c r="F1334">
        <v>14629</v>
      </c>
      <c r="G1334">
        <v>14336</v>
      </c>
      <c r="H1334">
        <v>293</v>
      </c>
      <c r="I1334">
        <v>2016</v>
      </c>
      <c r="J1334">
        <v>41</v>
      </c>
      <c r="K1334">
        <f>allFYsTable[[#This Row],[Actual]]-allFYsTable[[#This Row],[OriginalBudget]]</f>
        <v>-360</v>
      </c>
      <c r="L1334" s="11">
        <f>allFYsTable[[#This Row],[DiffAmount]]/allFYsTable[[#This Row],[OriginalBudget]]</f>
        <v>-2.4496461622210124E-2</v>
      </c>
    </row>
    <row r="1335" spans="1:12" x14ac:dyDescent="0.45">
      <c r="A1335" t="s">
        <v>1029</v>
      </c>
      <c r="B1335" t="s">
        <v>229</v>
      </c>
      <c r="C1335" t="s">
        <v>739</v>
      </c>
      <c r="D1335" t="s">
        <v>23</v>
      </c>
      <c r="E1335">
        <v>59425</v>
      </c>
      <c r="F1335">
        <v>55695</v>
      </c>
      <c r="G1335">
        <v>55695</v>
      </c>
      <c r="H1335">
        <v>0</v>
      </c>
      <c r="I1335">
        <v>2016</v>
      </c>
      <c r="J1335">
        <v>42</v>
      </c>
      <c r="K1335">
        <f>allFYsTable[[#This Row],[Actual]]-allFYsTable[[#This Row],[OriginalBudget]]</f>
        <v>-3730</v>
      </c>
      <c r="L1335" s="11">
        <f>allFYsTable[[#This Row],[DiffAmount]]/allFYsTable[[#This Row],[OriginalBudget]]</f>
        <v>-6.2768195204038701E-2</v>
      </c>
    </row>
    <row r="1336" spans="1:12" x14ac:dyDescent="0.45">
      <c r="A1336" t="s">
        <v>1029</v>
      </c>
      <c r="B1336" t="s">
        <v>229</v>
      </c>
      <c r="C1336" t="s">
        <v>740</v>
      </c>
      <c r="D1336" t="s">
        <v>24</v>
      </c>
      <c r="E1336">
        <v>50179</v>
      </c>
      <c r="F1336">
        <v>90179</v>
      </c>
      <c r="G1336">
        <v>90179</v>
      </c>
      <c r="H1336">
        <v>0</v>
      </c>
      <c r="I1336">
        <v>2016</v>
      </c>
      <c r="J1336">
        <v>43</v>
      </c>
      <c r="K1336">
        <f>allFYsTable[[#This Row],[Actual]]-allFYsTable[[#This Row],[OriginalBudget]]</f>
        <v>40000</v>
      </c>
      <c r="L1336" s="11">
        <f>allFYsTable[[#This Row],[DiffAmount]]/allFYsTable[[#This Row],[OriginalBudget]]</f>
        <v>0.79714621654476969</v>
      </c>
    </row>
    <row r="1337" spans="1:12" x14ac:dyDescent="0.45">
      <c r="A1337" t="s">
        <v>1029</v>
      </c>
      <c r="B1337" t="s">
        <v>229</v>
      </c>
      <c r="C1337" t="s">
        <v>839</v>
      </c>
      <c r="D1337" t="s">
        <v>28</v>
      </c>
      <c r="E1337">
        <v>2788</v>
      </c>
      <c r="F1337">
        <v>2800</v>
      </c>
      <c r="G1337">
        <v>2738</v>
      </c>
      <c r="H1337">
        <v>62</v>
      </c>
      <c r="I1337">
        <v>2016</v>
      </c>
      <c r="J1337">
        <v>44</v>
      </c>
      <c r="K1337">
        <f>allFYsTable[[#This Row],[Actual]]-allFYsTable[[#This Row],[OriginalBudget]]</f>
        <v>-50</v>
      </c>
      <c r="L1337" s="11">
        <f>allFYsTable[[#This Row],[DiffAmount]]/allFYsTable[[#This Row],[OriginalBudget]]</f>
        <v>-1.7934002869440458E-2</v>
      </c>
    </row>
    <row r="1338" spans="1:12" x14ac:dyDescent="0.45">
      <c r="A1338" t="s">
        <v>1029</v>
      </c>
      <c r="B1338" t="s">
        <v>229</v>
      </c>
      <c r="C1338" t="s">
        <v>806</v>
      </c>
      <c r="D1338" t="s">
        <v>82</v>
      </c>
      <c r="E1338">
        <v>0</v>
      </c>
      <c r="F1338">
        <v>0</v>
      </c>
      <c r="G1338">
        <v>0</v>
      </c>
      <c r="H1338">
        <v>0</v>
      </c>
      <c r="I1338">
        <v>2016</v>
      </c>
      <c r="J1338">
        <v>45</v>
      </c>
      <c r="K1338">
        <f>allFYsTable[[#This Row],[Actual]]-allFYsTable[[#This Row],[OriginalBudget]]</f>
        <v>0</v>
      </c>
      <c r="L1338" s="11" t="e">
        <f>allFYsTable[[#This Row],[DiffAmount]]/allFYsTable[[#This Row],[OriginalBudget]]</f>
        <v>#DIV/0!</v>
      </c>
    </row>
    <row r="1339" spans="1:12" x14ac:dyDescent="0.45">
      <c r="A1339" t="s">
        <v>1029</v>
      </c>
      <c r="B1339" t="s">
        <v>229</v>
      </c>
      <c r="C1339" t="s">
        <v>800</v>
      </c>
      <c r="D1339" t="s">
        <v>76</v>
      </c>
      <c r="E1339">
        <v>0</v>
      </c>
      <c r="F1339">
        <v>0</v>
      </c>
      <c r="G1339">
        <v>0</v>
      </c>
      <c r="H1339">
        <v>0</v>
      </c>
      <c r="I1339">
        <v>2016</v>
      </c>
      <c r="J1339">
        <v>46</v>
      </c>
      <c r="K1339">
        <f>allFYsTable[[#This Row],[Actual]]-allFYsTable[[#This Row],[OriginalBudget]]</f>
        <v>0</v>
      </c>
      <c r="L1339" s="11" t="e">
        <f>allFYsTable[[#This Row],[DiffAmount]]/allFYsTable[[#This Row],[OriginalBudget]]</f>
        <v>#DIV/0!</v>
      </c>
    </row>
    <row r="1340" spans="1:12" ht="28.5" x14ac:dyDescent="0.45">
      <c r="A1340" t="s">
        <v>1029</v>
      </c>
      <c r="B1340" t="s">
        <v>229</v>
      </c>
      <c r="C1340" t="s">
        <v>866</v>
      </c>
      <c r="D1340" s="1" t="s">
        <v>916</v>
      </c>
      <c r="E1340">
        <v>0</v>
      </c>
      <c r="F1340">
        <v>938</v>
      </c>
      <c r="G1340">
        <v>938</v>
      </c>
      <c r="H1340">
        <v>0</v>
      </c>
      <c r="I1340">
        <v>2016</v>
      </c>
      <c r="J1340">
        <v>47</v>
      </c>
      <c r="K1340">
        <f>allFYsTable[[#This Row],[Actual]]-allFYsTable[[#This Row],[OriginalBudget]]</f>
        <v>938</v>
      </c>
      <c r="L1340" s="11" t="e">
        <f>allFYsTable[[#This Row],[DiffAmount]]/allFYsTable[[#This Row],[OriginalBudget]]</f>
        <v>#DIV/0!</v>
      </c>
    </row>
    <row r="1341" spans="1:12" x14ac:dyDescent="0.45">
      <c r="A1341" t="s">
        <v>1029</v>
      </c>
      <c r="B1341" t="s">
        <v>6</v>
      </c>
      <c r="C1341" t="s">
        <v>758</v>
      </c>
      <c r="D1341" t="s">
        <v>44</v>
      </c>
      <c r="E1341">
        <v>505837</v>
      </c>
      <c r="F1341">
        <v>497141</v>
      </c>
      <c r="G1341">
        <v>496864</v>
      </c>
      <c r="H1341">
        <v>277</v>
      </c>
      <c r="I1341">
        <v>2016</v>
      </c>
      <c r="J1341">
        <v>48</v>
      </c>
      <c r="K1341">
        <f>allFYsTable[[#This Row],[Actual]]-allFYsTable[[#This Row],[OriginalBudget]]</f>
        <v>-8973</v>
      </c>
      <c r="L1341" s="11">
        <f>allFYsTable[[#This Row],[DiffAmount]]/allFYsTable[[#This Row],[OriginalBudget]]</f>
        <v>-1.7738915895832055E-2</v>
      </c>
    </row>
    <row r="1342" spans="1:12" x14ac:dyDescent="0.45">
      <c r="A1342" t="s">
        <v>1029</v>
      </c>
      <c r="B1342" t="s">
        <v>6</v>
      </c>
      <c r="C1342" t="s">
        <v>755</v>
      </c>
      <c r="D1342" t="s">
        <v>131</v>
      </c>
      <c r="E1342">
        <v>230278</v>
      </c>
      <c r="F1342">
        <v>239670</v>
      </c>
      <c r="G1342">
        <v>239097</v>
      </c>
      <c r="H1342">
        <v>573</v>
      </c>
      <c r="I1342">
        <v>2016</v>
      </c>
      <c r="J1342">
        <v>49</v>
      </c>
      <c r="K1342">
        <f>allFYsTable[[#This Row],[Actual]]-allFYsTable[[#This Row],[OriginalBudget]]</f>
        <v>8819</v>
      </c>
      <c r="L1342" s="11">
        <f>allFYsTable[[#This Row],[DiffAmount]]/allFYsTable[[#This Row],[OriginalBudget]]</f>
        <v>3.8297188615499529E-2</v>
      </c>
    </row>
    <row r="1343" spans="1:12" x14ac:dyDescent="0.45">
      <c r="A1343" t="s">
        <v>1029</v>
      </c>
      <c r="B1343" t="s">
        <v>6</v>
      </c>
      <c r="C1343" t="s">
        <v>768</v>
      </c>
      <c r="D1343" t="s">
        <v>917</v>
      </c>
      <c r="E1343">
        <v>136115</v>
      </c>
      <c r="F1343">
        <v>136115</v>
      </c>
      <c r="G1343">
        <v>135577</v>
      </c>
      <c r="H1343">
        <v>538</v>
      </c>
      <c r="I1343">
        <v>2016</v>
      </c>
      <c r="J1343">
        <v>50</v>
      </c>
      <c r="K1343">
        <f>allFYsTable[[#This Row],[Actual]]-allFYsTable[[#This Row],[OriginalBudget]]</f>
        <v>-538</v>
      </c>
      <c r="L1343" s="11">
        <f>allFYsTable[[#This Row],[DiffAmount]]/allFYsTable[[#This Row],[OriginalBudget]]</f>
        <v>-3.9525401315064464E-3</v>
      </c>
    </row>
    <row r="1344" spans="1:12" x14ac:dyDescent="0.45">
      <c r="A1344" t="s">
        <v>1029</v>
      </c>
      <c r="B1344" t="s">
        <v>6</v>
      </c>
      <c r="C1344" t="s">
        <v>759</v>
      </c>
      <c r="D1344" t="s">
        <v>133</v>
      </c>
      <c r="E1344">
        <v>8805</v>
      </c>
      <c r="F1344">
        <v>8701</v>
      </c>
      <c r="G1344">
        <v>8312</v>
      </c>
      <c r="H1344">
        <v>389</v>
      </c>
      <c r="I1344">
        <v>2016</v>
      </c>
      <c r="J1344">
        <v>51</v>
      </c>
      <c r="K1344">
        <f>allFYsTable[[#This Row],[Actual]]-allFYsTable[[#This Row],[OriginalBudget]]</f>
        <v>-493</v>
      </c>
      <c r="L1344" s="11">
        <f>allFYsTable[[#This Row],[DiffAmount]]/allFYsTable[[#This Row],[OriginalBudget]]</f>
        <v>-5.5990914253265189E-2</v>
      </c>
    </row>
    <row r="1345" spans="1:12" x14ac:dyDescent="0.45">
      <c r="A1345" t="s">
        <v>1029</v>
      </c>
      <c r="B1345" t="s">
        <v>6</v>
      </c>
      <c r="C1345" t="s">
        <v>749</v>
      </c>
      <c r="D1345" t="s">
        <v>35</v>
      </c>
      <c r="E1345">
        <v>1167</v>
      </c>
      <c r="F1345">
        <v>1092</v>
      </c>
      <c r="G1345">
        <v>896</v>
      </c>
      <c r="H1345">
        <v>196</v>
      </c>
      <c r="I1345">
        <v>2016</v>
      </c>
      <c r="J1345">
        <v>52</v>
      </c>
      <c r="K1345">
        <f>allFYsTable[[#This Row],[Actual]]-allFYsTable[[#This Row],[OriginalBudget]]</f>
        <v>-271</v>
      </c>
      <c r="L1345" s="11">
        <f>allFYsTable[[#This Row],[DiffAmount]]/allFYsTable[[#This Row],[OriginalBudget]]</f>
        <v>-0.23221936589545844</v>
      </c>
    </row>
    <row r="1346" spans="1:12" x14ac:dyDescent="0.45">
      <c r="A1346" t="s">
        <v>1029</v>
      </c>
      <c r="B1346" t="s">
        <v>6</v>
      </c>
      <c r="C1346" t="s">
        <v>747</v>
      </c>
      <c r="D1346" t="s">
        <v>33</v>
      </c>
      <c r="E1346">
        <v>482</v>
      </c>
      <c r="F1346">
        <v>482</v>
      </c>
      <c r="G1346">
        <v>441</v>
      </c>
      <c r="H1346">
        <v>41</v>
      </c>
      <c r="I1346">
        <v>2016</v>
      </c>
      <c r="J1346">
        <v>53</v>
      </c>
      <c r="K1346">
        <f>allFYsTable[[#This Row],[Actual]]-allFYsTable[[#This Row],[OriginalBudget]]</f>
        <v>-41</v>
      </c>
      <c r="L1346" s="11">
        <f>allFYsTable[[#This Row],[DiffAmount]]/allFYsTable[[#This Row],[OriginalBudget]]</f>
        <v>-8.5062240663900418E-2</v>
      </c>
    </row>
    <row r="1347" spans="1:12" x14ac:dyDescent="0.45">
      <c r="A1347" t="s">
        <v>1029</v>
      </c>
      <c r="B1347" t="s">
        <v>6</v>
      </c>
      <c r="C1347" t="s">
        <v>750</v>
      </c>
      <c r="D1347" t="s">
        <v>36</v>
      </c>
      <c r="E1347">
        <v>122176</v>
      </c>
      <c r="F1347">
        <v>123176</v>
      </c>
      <c r="G1347">
        <v>123167</v>
      </c>
      <c r="H1347">
        <v>9</v>
      </c>
      <c r="I1347">
        <v>2016</v>
      </c>
      <c r="J1347">
        <v>54</v>
      </c>
      <c r="K1347">
        <f>allFYsTable[[#This Row],[Actual]]-allFYsTable[[#This Row],[OriginalBudget]]</f>
        <v>991</v>
      </c>
      <c r="L1347" s="11">
        <f>allFYsTable[[#This Row],[DiffAmount]]/allFYsTable[[#This Row],[OriginalBudget]]</f>
        <v>8.1112493452069143E-3</v>
      </c>
    </row>
    <row r="1348" spans="1:12" x14ac:dyDescent="0.45">
      <c r="A1348" t="s">
        <v>1029</v>
      </c>
      <c r="B1348" t="s">
        <v>6</v>
      </c>
      <c r="C1348" t="s">
        <v>764</v>
      </c>
      <c r="D1348" t="s">
        <v>50</v>
      </c>
      <c r="E1348">
        <v>10828</v>
      </c>
      <c r="F1348">
        <v>10900</v>
      </c>
      <c r="G1348">
        <v>10849</v>
      </c>
      <c r="H1348">
        <v>51</v>
      </c>
      <c r="I1348">
        <v>2016</v>
      </c>
      <c r="J1348">
        <v>55</v>
      </c>
      <c r="K1348">
        <f>allFYsTable[[#This Row],[Actual]]-allFYsTable[[#This Row],[OriginalBudget]]</f>
        <v>21</v>
      </c>
      <c r="L1348" s="11">
        <f>allFYsTable[[#This Row],[DiffAmount]]/allFYsTable[[#This Row],[OriginalBudget]]</f>
        <v>1.9394163280384189E-3</v>
      </c>
    </row>
    <row r="1349" spans="1:12" x14ac:dyDescent="0.45">
      <c r="A1349" t="s">
        <v>1029</v>
      </c>
      <c r="B1349" t="s">
        <v>6</v>
      </c>
      <c r="C1349" t="s">
        <v>753</v>
      </c>
      <c r="D1349" t="s">
        <v>169</v>
      </c>
      <c r="E1349">
        <v>5026</v>
      </c>
      <c r="F1349">
        <v>5026</v>
      </c>
      <c r="G1349">
        <v>4651</v>
      </c>
      <c r="H1349">
        <v>375</v>
      </c>
      <c r="I1349">
        <v>2016</v>
      </c>
      <c r="J1349">
        <v>56</v>
      </c>
      <c r="K1349">
        <f>allFYsTable[[#This Row],[Actual]]-allFYsTable[[#This Row],[OriginalBudget]]</f>
        <v>-375</v>
      </c>
      <c r="L1349" s="11">
        <f>allFYsTable[[#This Row],[DiffAmount]]/allFYsTable[[#This Row],[OriginalBudget]]</f>
        <v>-7.4612017508953438E-2</v>
      </c>
    </row>
    <row r="1350" spans="1:12" x14ac:dyDescent="0.45">
      <c r="A1350" t="s">
        <v>1029</v>
      </c>
      <c r="B1350" t="s">
        <v>6</v>
      </c>
      <c r="C1350" t="s">
        <v>756</v>
      </c>
      <c r="D1350" t="s">
        <v>42</v>
      </c>
      <c r="E1350">
        <v>4552</v>
      </c>
      <c r="F1350">
        <v>4552</v>
      </c>
      <c r="G1350">
        <v>4550</v>
      </c>
      <c r="H1350">
        <v>2</v>
      </c>
      <c r="I1350">
        <v>2016</v>
      </c>
      <c r="J1350">
        <v>57</v>
      </c>
      <c r="K1350">
        <f>allFYsTable[[#This Row],[Actual]]-allFYsTable[[#This Row],[OriginalBudget]]</f>
        <v>-2</v>
      </c>
      <c r="L1350" s="11">
        <f>allFYsTable[[#This Row],[DiffAmount]]/allFYsTable[[#This Row],[OriginalBudget]]</f>
        <v>-4.3936731107205621E-4</v>
      </c>
    </row>
    <row r="1351" spans="1:12" x14ac:dyDescent="0.45">
      <c r="A1351" t="s">
        <v>1029</v>
      </c>
      <c r="B1351" t="s">
        <v>6</v>
      </c>
      <c r="C1351" t="s">
        <v>746</v>
      </c>
      <c r="D1351" t="s">
        <v>32</v>
      </c>
      <c r="E1351">
        <v>0</v>
      </c>
      <c r="F1351">
        <v>0</v>
      </c>
      <c r="G1351">
        <v>0</v>
      </c>
      <c r="H1351">
        <v>0</v>
      </c>
      <c r="I1351">
        <v>2016</v>
      </c>
      <c r="J1351">
        <v>58</v>
      </c>
      <c r="K1351">
        <f>allFYsTable[[#This Row],[Actual]]-allFYsTable[[#This Row],[OriginalBudget]]</f>
        <v>0</v>
      </c>
      <c r="L1351" s="11" t="e">
        <f>allFYsTable[[#This Row],[DiffAmount]]/allFYsTable[[#This Row],[OriginalBudget]]</f>
        <v>#DIV/0!</v>
      </c>
    </row>
    <row r="1352" spans="1:12" x14ac:dyDescent="0.45">
      <c r="A1352" t="s">
        <v>1029</v>
      </c>
      <c r="B1352" t="s">
        <v>6</v>
      </c>
      <c r="C1352" t="s">
        <v>757</v>
      </c>
      <c r="D1352" t="s">
        <v>43</v>
      </c>
      <c r="E1352">
        <v>0</v>
      </c>
      <c r="F1352">
        <v>0</v>
      </c>
      <c r="G1352">
        <v>0</v>
      </c>
      <c r="H1352">
        <v>0</v>
      </c>
      <c r="I1352">
        <v>2016</v>
      </c>
      <c r="J1352">
        <v>59</v>
      </c>
      <c r="K1352">
        <f>allFYsTable[[#This Row],[Actual]]-allFYsTable[[#This Row],[OriginalBudget]]</f>
        <v>0</v>
      </c>
      <c r="L1352" s="11" t="e">
        <f>allFYsTable[[#This Row],[DiffAmount]]/allFYsTable[[#This Row],[OriginalBudget]]</f>
        <v>#DIV/0!</v>
      </c>
    </row>
    <row r="1353" spans="1:12" x14ac:dyDescent="0.45">
      <c r="A1353" t="s">
        <v>1029</v>
      </c>
      <c r="B1353" t="s">
        <v>6</v>
      </c>
      <c r="C1353" t="s">
        <v>762</v>
      </c>
      <c r="D1353" t="s">
        <v>48</v>
      </c>
      <c r="E1353">
        <v>2292</v>
      </c>
      <c r="F1353">
        <v>2292</v>
      </c>
      <c r="G1353">
        <v>2110</v>
      </c>
      <c r="H1353">
        <v>182</v>
      </c>
      <c r="I1353">
        <v>2016</v>
      </c>
      <c r="J1353">
        <v>60</v>
      </c>
      <c r="K1353">
        <f>allFYsTable[[#This Row],[Actual]]-allFYsTable[[#This Row],[OriginalBudget]]</f>
        <v>-182</v>
      </c>
      <c r="L1353" s="11">
        <f>allFYsTable[[#This Row],[DiffAmount]]/allFYsTable[[#This Row],[OriginalBudget]]</f>
        <v>-7.940663176265271E-2</v>
      </c>
    </row>
    <row r="1354" spans="1:12" x14ac:dyDescent="0.45">
      <c r="A1354" t="s">
        <v>1029</v>
      </c>
      <c r="B1354" t="s">
        <v>6</v>
      </c>
      <c r="C1354" t="s">
        <v>766</v>
      </c>
      <c r="D1354" t="s">
        <v>52</v>
      </c>
      <c r="E1354">
        <v>28197</v>
      </c>
      <c r="F1354">
        <v>29097</v>
      </c>
      <c r="G1354">
        <v>28750</v>
      </c>
      <c r="H1354">
        <v>347</v>
      </c>
      <c r="I1354">
        <v>2016</v>
      </c>
      <c r="J1354">
        <v>61</v>
      </c>
      <c r="K1354">
        <f>allFYsTable[[#This Row],[Actual]]-allFYsTable[[#This Row],[OriginalBudget]]</f>
        <v>553</v>
      </c>
      <c r="L1354" s="11">
        <f>allFYsTable[[#This Row],[DiffAmount]]/allFYsTable[[#This Row],[OriginalBudget]]</f>
        <v>1.9612015462637869E-2</v>
      </c>
    </row>
    <row r="1355" spans="1:12" x14ac:dyDescent="0.45">
      <c r="A1355" t="s">
        <v>1029</v>
      </c>
      <c r="B1355" t="s">
        <v>6</v>
      </c>
      <c r="C1355" t="s">
        <v>841</v>
      </c>
      <c r="D1355" t="s">
        <v>194</v>
      </c>
      <c r="E1355">
        <v>20799</v>
      </c>
      <c r="F1355">
        <v>20779</v>
      </c>
      <c r="G1355">
        <v>20442</v>
      </c>
      <c r="H1355">
        <v>337</v>
      </c>
      <c r="I1355">
        <v>2016</v>
      </c>
      <c r="J1355">
        <v>62</v>
      </c>
      <c r="K1355">
        <f>allFYsTable[[#This Row],[Actual]]-allFYsTable[[#This Row],[OriginalBudget]]</f>
        <v>-357</v>
      </c>
      <c r="L1355" s="11">
        <f>allFYsTable[[#This Row],[DiffAmount]]/allFYsTable[[#This Row],[OriginalBudget]]</f>
        <v>-1.7164286744555026E-2</v>
      </c>
    </row>
    <row r="1356" spans="1:12" x14ac:dyDescent="0.45">
      <c r="A1356" t="s">
        <v>1029</v>
      </c>
      <c r="B1356" t="s">
        <v>6</v>
      </c>
      <c r="C1356" t="s">
        <v>867</v>
      </c>
      <c r="D1356" t="s">
        <v>214</v>
      </c>
      <c r="E1356">
        <v>0</v>
      </c>
      <c r="F1356">
        <v>89938</v>
      </c>
      <c r="G1356">
        <v>89938</v>
      </c>
      <c r="H1356">
        <v>0</v>
      </c>
      <c r="I1356">
        <v>2016</v>
      </c>
      <c r="J1356">
        <v>63</v>
      </c>
      <c r="K1356">
        <f>allFYsTable[[#This Row],[Actual]]-allFYsTable[[#This Row],[OriginalBudget]]</f>
        <v>89938</v>
      </c>
      <c r="L1356" s="11" t="e">
        <f>allFYsTable[[#This Row],[DiffAmount]]/allFYsTable[[#This Row],[OriginalBudget]]</f>
        <v>#DIV/0!</v>
      </c>
    </row>
    <row r="1357" spans="1:12" x14ac:dyDescent="0.45">
      <c r="A1357" t="s">
        <v>1029</v>
      </c>
      <c r="B1357" t="s">
        <v>6</v>
      </c>
      <c r="C1357" t="s">
        <v>754</v>
      </c>
      <c r="D1357" t="s">
        <v>170</v>
      </c>
      <c r="E1357">
        <v>1610</v>
      </c>
      <c r="F1357">
        <v>1610</v>
      </c>
      <c r="G1357">
        <v>1498</v>
      </c>
      <c r="H1357">
        <v>112</v>
      </c>
      <c r="I1357">
        <v>2016</v>
      </c>
      <c r="J1357">
        <v>64</v>
      </c>
      <c r="K1357">
        <f>allFYsTable[[#This Row],[Actual]]-allFYsTable[[#This Row],[OriginalBudget]]</f>
        <v>-112</v>
      </c>
      <c r="L1357" s="11">
        <f>allFYsTable[[#This Row],[DiffAmount]]/allFYsTable[[#This Row],[OriginalBudget]]</f>
        <v>-6.9565217391304349E-2</v>
      </c>
    </row>
    <row r="1358" spans="1:12" x14ac:dyDescent="0.45">
      <c r="A1358" t="s">
        <v>1029</v>
      </c>
      <c r="B1358" t="s">
        <v>6</v>
      </c>
      <c r="C1358" t="s">
        <v>765</v>
      </c>
      <c r="D1358" t="s">
        <v>232</v>
      </c>
      <c r="E1358">
        <v>846</v>
      </c>
      <c r="F1358">
        <v>846</v>
      </c>
      <c r="G1358">
        <v>683</v>
      </c>
      <c r="H1358">
        <v>163</v>
      </c>
      <c r="I1358">
        <v>2016</v>
      </c>
      <c r="J1358">
        <v>65</v>
      </c>
      <c r="K1358">
        <f>allFYsTable[[#This Row],[Actual]]-allFYsTable[[#This Row],[OriginalBudget]]</f>
        <v>-163</v>
      </c>
      <c r="L1358" s="11">
        <f>allFYsTable[[#This Row],[DiffAmount]]/allFYsTable[[#This Row],[OriginalBudget]]</f>
        <v>-0.19267139479905437</v>
      </c>
    </row>
    <row r="1359" spans="1:12" x14ac:dyDescent="0.45">
      <c r="A1359" t="s">
        <v>1029</v>
      </c>
      <c r="B1359" t="s">
        <v>6</v>
      </c>
      <c r="C1359" t="s">
        <v>751</v>
      </c>
      <c r="D1359" t="s">
        <v>37</v>
      </c>
      <c r="E1359">
        <v>22500</v>
      </c>
      <c r="F1359">
        <v>20900</v>
      </c>
      <c r="G1359">
        <v>20865</v>
      </c>
      <c r="H1359">
        <v>35</v>
      </c>
      <c r="I1359">
        <v>2016</v>
      </c>
      <c r="J1359">
        <v>66</v>
      </c>
      <c r="K1359">
        <f>allFYsTable[[#This Row],[Actual]]-allFYsTable[[#This Row],[OriginalBudget]]</f>
        <v>-1635</v>
      </c>
      <c r="L1359" s="11">
        <f>allFYsTable[[#This Row],[DiffAmount]]/allFYsTable[[#This Row],[OriginalBudget]]</f>
        <v>-7.2666666666666671E-2</v>
      </c>
    </row>
    <row r="1360" spans="1:12" x14ac:dyDescent="0.45">
      <c r="A1360" t="s">
        <v>1029</v>
      </c>
      <c r="B1360" t="s">
        <v>136</v>
      </c>
      <c r="C1360" t="s">
        <v>773</v>
      </c>
      <c r="D1360" t="s">
        <v>215</v>
      </c>
      <c r="E1360">
        <v>727492</v>
      </c>
      <c r="F1360">
        <v>717715</v>
      </c>
      <c r="G1360">
        <v>717674</v>
      </c>
      <c r="H1360">
        <v>41</v>
      </c>
      <c r="I1360">
        <v>2016</v>
      </c>
      <c r="J1360">
        <v>67</v>
      </c>
      <c r="K1360">
        <f>allFYsTable[[#This Row],[Actual]]-allFYsTable[[#This Row],[OriginalBudget]]</f>
        <v>-9818</v>
      </c>
      <c r="L1360" s="11">
        <f>allFYsTable[[#This Row],[DiffAmount]]/allFYsTable[[#This Row],[OriginalBudget]]</f>
        <v>-1.3495681052162773E-2</v>
      </c>
    </row>
    <row r="1361" spans="1:12" x14ac:dyDescent="0.45">
      <c r="A1361" t="s">
        <v>1029</v>
      </c>
      <c r="B1361" t="s">
        <v>136</v>
      </c>
      <c r="C1361" t="s">
        <v>870</v>
      </c>
      <c r="D1361" t="s">
        <v>233</v>
      </c>
      <c r="E1361">
        <v>0</v>
      </c>
      <c r="F1361">
        <v>11113</v>
      </c>
      <c r="G1361">
        <v>11113</v>
      </c>
      <c r="H1361">
        <v>0</v>
      </c>
      <c r="I1361">
        <v>2016</v>
      </c>
      <c r="J1361">
        <v>68</v>
      </c>
      <c r="K1361">
        <f>allFYsTable[[#This Row],[Actual]]-allFYsTable[[#This Row],[OriginalBudget]]</f>
        <v>11113</v>
      </c>
      <c r="L1361" s="11" t="e">
        <f>allFYsTable[[#This Row],[DiffAmount]]/allFYsTable[[#This Row],[OriginalBudget]]</f>
        <v>#DIV/0!</v>
      </c>
    </row>
    <row r="1362" spans="1:12" x14ac:dyDescent="0.45">
      <c r="A1362" t="s">
        <v>1029</v>
      </c>
      <c r="B1362" t="s">
        <v>136</v>
      </c>
      <c r="C1362" t="s">
        <v>772</v>
      </c>
      <c r="D1362" t="s">
        <v>173</v>
      </c>
      <c r="E1362">
        <v>677744</v>
      </c>
      <c r="F1362">
        <v>485705</v>
      </c>
      <c r="G1362">
        <v>485700</v>
      </c>
      <c r="H1362">
        <v>5</v>
      </c>
      <c r="I1362">
        <v>2016</v>
      </c>
      <c r="J1362">
        <v>69</v>
      </c>
      <c r="K1362">
        <f>allFYsTable[[#This Row],[Actual]]-allFYsTable[[#This Row],[OriginalBudget]]</f>
        <v>-192044</v>
      </c>
      <c r="L1362" s="11">
        <f>allFYsTable[[#This Row],[DiffAmount]]/allFYsTable[[#This Row],[OriginalBudget]]</f>
        <v>-0.28335772799169007</v>
      </c>
    </row>
    <row r="1363" spans="1:12" x14ac:dyDescent="0.45">
      <c r="A1363" t="s">
        <v>1029</v>
      </c>
      <c r="B1363" t="s">
        <v>136</v>
      </c>
      <c r="C1363" t="s">
        <v>869</v>
      </c>
      <c r="D1363" t="s">
        <v>234</v>
      </c>
      <c r="E1363">
        <v>0</v>
      </c>
      <c r="F1363">
        <v>253144</v>
      </c>
      <c r="G1363">
        <v>253144</v>
      </c>
      <c r="H1363">
        <v>0</v>
      </c>
      <c r="I1363">
        <v>2016</v>
      </c>
      <c r="J1363">
        <v>70</v>
      </c>
      <c r="K1363">
        <f>allFYsTable[[#This Row],[Actual]]-allFYsTable[[#This Row],[OriginalBudget]]</f>
        <v>253144</v>
      </c>
      <c r="L1363" s="11" t="e">
        <f>allFYsTable[[#This Row],[DiffAmount]]/allFYsTable[[#This Row],[OriginalBudget]]</f>
        <v>#DIV/0!</v>
      </c>
    </row>
    <row r="1364" spans="1:12" x14ac:dyDescent="0.45">
      <c r="A1364" t="s">
        <v>1029</v>
      </c>
      <c r="B1364" t="s">
        <v>136</v>
      </c>
      <c r="C1364" t="s">
        <v>782</v>
      </c>
      <c r="D1364" t="s">
        <v>918</v>
      </c>
      <c r="E1364">
        <v>44469</v>
      </c>
      <c r="F1364">
        <v>44469</v>
      </c>
      <c r="G1364">
        <v>44359</v>
      </c>
      <c r="H1364">
        <v>110</v>
      </c>
      <c r="I1364">
        <v>2016</v>
      </c>
      <c r="J1364">
        <v>71</v>
      </c>
      <c r="K1364">
        <f>allFYsTable[[#This Row],[Actual]]-allFYsTable[[#This Row],[OriginalBudget]]</f>
        <v>-110</v>
      </c>
      <c r="L1364" s="11">
        <f>allFYsTable[[#This Row],[DiffAmount]]/allFYsTable[[#This Row],[OriginalBudget]]</f>
        <v>-2.4736333175920302E-3</v>
      </c>
    </row>
    <row r="1365" spans="1:12" x14ac:dyDescent="0.45">
      <c r="A1365" t="s">
        <v>1029</v>
      </c>
      <c r="B1365" t="s">
        <v>136</v>
      </c>
      <c r="C1365" t="s">
        <v>784</v>
      </c>
      <c r="D1365" t="s">
        <v>140</v>
      </c>
      <c r="E1365">
        <v>70942</v>
      </c>
      <c r="F1365">
        <v>71942</v>
      </c>
      <c r="G1365">
        <v>71942</v>
      </c>
      <c r="H1365">
        <v>0</v>
      </c>
      <c r="I1365">
        <v>2016</v>
      </c>
      <c r="J1365">
        <v>72</v>
      </c>
      <c r="K1365">
        <f>allFYsTable[[#This Row],[Actual]]-allFYsTable[[#This Row],[OriginalBudget]]</f>
        <v>1000</v>
      </c>
      <c r="L1365" s="11">
        <f>allFYsTable[[#This Row],[DiffAmount]]/allFYsTable[[#This Row],[OriginalBudget]]</f>
        <v>1.4096022102562656E-2</v>
      </c>
    </row>
    <row r="1366" spans="1:12" x14ac:dyDescent="0.45">
      <c r="A1366" t="s">
        <v>1029</v>
      </c>
      <c r="B1366" t="s">
        <v>136</v>
      </c>
      <c r="C1366" t="s">
        <v>779</v>
      </c>
      <c r="D1366" t="s">
        <v>141</v>
      </c>
      <c r="E1366">
        <v>142265</v>
      </c>
      <c r="F1366">
        <v>134562</v>
      </c>
      <c r="G1366">
        <v>131094</v>
      </c>
      <c r="H1366">
        <v>3468</v>
      </c>
      <c r="I1366">
        <v>2016</v>
      </c>
      <c r="J1366">
        <v>73</v>
      </c>
      <c r="K1366">
        <f>allFYsTable[[#This Row],[Actual]]-allFYsTable[[#This Row],[OriginalBudget]]</f>
        <v>-11171</v>
      </c>
      <c r="L1366" s="11">
        <f>allFYsTable[[#This Row],[DiffAmount]]/allFYsTable[[#This Row],[OriginalBudget]]</f>
        <v>-7.8522475661617408E-2</v>
      </c>
    </row>
    <row r="1367" spans="1:12" x14ac:dyDescent="0.45">
      <c r="A1367" t="s">
        <v>1029</v>
      </c>
      <c r="B1367" t="s">
        <v>136</v>
      </c>
      <c r="C1367" t="s">
        <v>781</v>
      </c>
      <c r="D1367" t="s">
        <v>235</v>
      </c>
      <c r="E1367">
        <v>1154</v>
      </c>
      <c r="F1367">
        <v>1154</v>
      </c>
      <c r="G1367">
        <v>1017</v>
      </c>
      <c r="H1367">
        <v>137</v>
      </c>
      <c r="I1367">
        <v>2016</v>
      </c>
      <c r="J1367">
        <v>74</v>
      </c>
      <c r="K1367">
        <f>allFYsTable[[#This Row],[Actual]]-allFYsTable[[#This Row],[OriginalBudget]]</f>
        <v>-137</v>
      </c>
      <c r="L1367" s="11">
        <f>allFYsTable[[#This Row],[DiffAmount]]/allFYsTable[[#This Row],[OriginalBudget]]</f>
        <v>-0.11871750433275563</v>
      </c>
    </row>
    <row r="1368" spans="1:12" x14ac:dyDescent="0.45">
      <c r="A1368" t="s">
        <v>1029</v>
      </c>
      <c r="B1368" t="s">
        <v>136</v>
      </c>
      <c r="C1368" t="s">
        <v>774</v>
      </c>
      <c r="D1368" t="s">
        <v>177</v>
      </c>
      <c r="E1368">
        <v>55927</v>
      </c>
      <c r="F1368">
        <v>55404</v>
      </c>
      <c r="G1368">
        <v>55074</v>
      </c>
      <c r="H1368">
        <v>330</v>
      </c>
      <c r="I1368">
        <v>2016</v>
      </c>
      <c r="J1368">
        <v>75</v>
      </c>
      <c r="K1368">
        <f>allFYsTable[[#This Row],[Actual]]-allFYsTable[[#This Row],[OriginalBudget]]</f>
        <v>-853</v>
      </c>
      <c r="L1368" s="11">
        <f>allFYsTable[[#This Row],[DiffAmount]]/allFYsTable[[#This Row],[OriginalBudget]]</f>
        <v>-1.5252024961110019E-2</v>
      </c>
    </row>
    <row r="1369" spans="1:12" x14ac:dyDescent="0.45">
      <c r="A1369" t="s">
        <v>1029</v>
      </c>
      <c r="B1369" t="s">
        <v>136</v>
      </c>
      <c r="C1369" t="s">
        <v>771</v>
      </c>
      <c r="D1369" t="s">
        <v>178</v>
      </c>
      <c r="E1369">
        <v>0</v>
      </c>
      <c r="F1369">
        <v>0</v>
      </c>
      <c r="G1369">
        <v>0</v>
      </c>
      <c r="H1369">
        <v>0</v>
      </c>
      <c r="I1369">
        <v>2016</v>
      </c>
      <c r="J1369">
        <v>76</v>
      </c>
      <c r="K1369">
        <f>allFYsTable[[#This Row],[Actual]]-allFYsTable[[#This Row],[OriginalBudget]]</f>
        <v>0</v>
      </c>
      <c r="L1369" s="11" t="e">
        <f>allFYsTable[[#This Row],[DiffAmount]]/allFYsTable[[#This Row],[OriginalBudget]]</f>
        <v>#DIV/0!</v>
      </c>
    </row>
    <row r="1370" spans="1:12" x14ac:dyDescent="0.45">
      <c r="A1370" t="s">
        <v>1029</v>
      </c>
      <c r="B1370" t="s">
        <v>136</v>
      </c>
      <c r="C1370" t="s">
        <v>780</v>
      </c>
      <c r="D1370" t="s">
        <v>143</v>
      </c>
      <c r="E1370">
        <v>93805</v>
      </c>
      <c r="F1370">
        <v>86571</v>
      </c>
      <c r="G1370">
        <v>85649</v>
      </c>
      <c r="H1370">
        <v>922</v>
      </c>
      <c r="I1370">
        <v>2016</v>
      </c>
      <c r="J1370">
        <v>77</v>
      </c>
      <c r="K1370">
        <f>allFYsTable[[#This Row],[Actual]]-allFYsTable[[#This Row],[OriginalBudget]]</f>
        <v>-8156</v>
      </c>
      <c r="L1370" s="11">
        <f>allFYsTable[[#This Row],[DiffAmount]]/allFYsTable[[#This Row],[OriginalBudget]]</f>
        <v>-8.6946324822770635E-2</v>
      </c>
    </row>
    <row r="1371" spans="1:12" x14ac:dyDescent="0.45">
      <c r="A1371" t="s">
        <v>1029</v>
      </c>
      <c r="B1371" t="s">
        <v>136</v>
      </c>
      <c r="C1371" t="s">
        <v>777</v>
      </c>
      <c r="D1371" t="s">
        <v>64</v>
      </c>
      <c r="E1371">
        <v>74415</v>
      </c>
      <c r="F1371">
        <v>66415</v>
      </c>
      <c r="G1371">
        <v>66092</v>
      </c>
      <c r="H1371">
        <v>323</v>
      </c>
      <c r="I1371">
        <v>2016</v>
      </c>
      <c r="J1371">
        <v>78</v>
      </c>
      <c r="K1371">
        <f>allFYsTable[[#This Row],[Actual]]-allFYsTable[[#This Row],[OriginalBudget]]</f>
        <v>-8323</v>
      </c>
      <c r="L1371" s="11">
        <f>allFYsTable[[#This Row],[DiffAmount]]/allFYsTable[[#This Row],[OriginalBudget]]</f>
        <v>-0.1118457300275482</v>
      </c>
    </row>
    <row r="1372" spans="1:12" x14ac:dyDescent="0.45">
      <c r="A1372" t="s">
        <v>1029</v>
      </c>
      <c r="B1372" t="s">
        <v>136</v>
      </c>
      <c r="C1372" t="s">
        <v>778</v>
      </c>
      <c r="D1372" t="s">
        <v>65</v>
      </c>
      <c r="E1372">
        <v>3571</v>
      </c>
      <c r="F1372">
        <v>3285</v>
      </c>
      <c r="G1372">
        <v>3285</v>
      </c>
      <c r="H1372">
        <v>0</v>
      </c>
      <c r="I1372">
        <v>2016</v>
      </c>
      <c r="J1372">
        <v>79</v>
      </c>
      <c r="K1372">
        <f>allFYsTable[[#This Row],[Actual]]-allFYsTable[[#This Row],[OriginalBudget]]</f>
        <v>-286</v>
      </c>
      <c r="L1372" s="11">
        <f>allFYsTable[[#This Row],[DiffAmount]]/allFYsTable[[#This Row],[OriginalBudget]]</f>
        <v>-8.0089610753290394E-2</v>
      </c>
    </row>
    <row r="1373" spans="1:12" x14ac:dyDescent="0.45">
      <c r="A1373" t="s">
        <v>1029</v>
      </c>
      <c r="B1373" t="s">
        <v>14</v>
      </c>
      <c r="C1373" t="s">
        <v>790</v>
      </c>
      <c r="D1373" t="s">
        <v>144</v>
      </c>
      <c r="E1373">
        <v>270601</v>
      </c>
      <c r="F1373">
        <v>269317</v>
      </c>
      <c r="G1373">
        <v>268511</v>
      </c>
      <c r="H1373">
        <v>806</v>
      </c>
      <c r="I1373">
        <v>2016</v>
      </c>
      <c r="J1373">
        <v>80</v>
      </c>
      <c r="K1373">
        <f>allFYsTable[[#This Row],[Actual]]-allFYsTable[[#This Row],[OriginalBudget]]</f>
        <v>-2090</v>
      </c>
      <c r="L1373" s="11">
        <f>allFYsTable[[#This Row],[DiffAmount]]/allFYsTable[[#This Row],[OriginalBudget]]</f>
        <v>-7.7235486934638083E-3</v>
      </c>
    </row>
    <row r="1374" spans="1:12" x14ac:dyDescent="0.45">
      <c r="A1374" t="s">
        <v>1029</v>
      </c>
      <c r="B1374" t="s">
        <v>14</v>
      </c>
      <c r="C1374" t="s">
        <v>788</v>
      </c>
      <c r="D1374" t="s">
        <v>145</v>
      </c>
      <c r="E1374">
        <v>78870</v>
      </c>
      <c r="F1374">
        <v>78586</v>
      </c>
      <c r="G1374">
        <v>74485</v>
      </c>
      <c r="H1374">
        <v>4101</v>
      </c>
      <c r="I1374">
        <v>2016</v>
      </c>
      <c r="J1374">
        <v>81</v>
      </c>
      <c r="K1374">
        <f>allFYsTable[[#This Row],[Actual]]-allFYsTable[[#This Row],[OriginalBudget]]</f>
        <v>-4385</v>
      </c>
      <c r="L1374" s="11">
        <f>allFYsTable[[#This Row],[DiffAmount]]/allFYsTable[[#This Row],[OriginalBudget]]</f>
        <v>-5.5597819196145558E-2</v>
      </c>
    </row>
    <row r="1375" spans="1:12" x14ac:dyDescent="0.45">
      <c r="A1375" t="s">
        <v>1029</v>
      </c>
      <c r="B1375" t="s">
        <v>14</v>
      </c>
      <c r="C1375" t="s">
        <v>770</v>
      </c>
      <c r="D1375" t="s">
        <v>56</v>
      </c>
      <c r="E1375">
        <v>41685</v>
      </c>
      <c r="F1375">
        <v>42908</v>
      </c>
      <c r="G1375">
        <v>42537</v>
      </c>
      <c r="H1375">
        <v>371</v>
      </c>
      <c r="I1375">
        <v>2016</v>
      </c>
      <c r="J1375">
        <v>82</v>
      </c>
      <c r="K1375">
        <f>allFYsTable[[#This Row],[Actual]]-allFYsTable[[#This Row],[OriginalBudget]]</f>
        <v>852</v>
      </c>
      <c r="L1375" s="11">
        <f>allFYsTable[[#This Row],[DiffAmount]]/allFYsTable[[#This Row],[OriginalBudget]]</f>
        <v>2.0439006836991725E-2</v>
      </c>
    </row>
    <row r="1376" spans="1:12" x14ac:dyDescent="0.45">
      <c r="A1376" t="s">
        <v>1029</v>
      </c>
      <c r="B1376" t="s">
        <v>14</v>
      </c>
      <c r="C1376" t="s">
        <v>786</v>
      </c>
      <c r="D1376" t="s">
        <v>197</v>
      </c>
      <c r="E1376">
        <v>31369</v>
      </c>
      <c r="F1376">
        <v>31269</v>
      </c>
      <c r="G1376">
        <v>31011</v>
      </c>
      <c r="H1376">
        <v>258</v>
      </c>
      <c r="I1376">
        <v>2016</v>
      </c>
      <c r="J1376">
        <v>83</v>
      </c>
      <c r="K1376">
        <f>allFYsTable[[#This Row],[Actual]]-allFYsTable[[#This Row],[OriginalBudget]]</f>
        <v>-358</v>
      </c>
      <c r="L1376" s="11">
        <f>allFYsTable[[#This Row],[DiffAmount]]/allFYsTable[[#This Row],[OriginalBudget]]</f>
        <v>-1.1412541043705569E-2</v>
      </c>
    </row>
    <row r="1377" spans="1:12" x14ac:dyDescent="0.45">
      <c r="A1377" t="s">
        <v>1029</v>
      </c>
      <c r="B1377" t="s">
        <v>14</v>
      </c>
      <c r="C1377" t="s">
        <v>783</v>
      </c>
      <c r="D1377" t="s">
        <v>70</v>
      </c>
      <c r="E1377">
        <v>6887</v>
      </c>
      <c r="F1377">
        <v>4587</v>
      </c>
      <c r="G1377">
        <v>4508</v>
      </c>
      <c r="H1377">
        <v>79</v>
      </c>
      <c r="I1377">
        <v>2016</v>
      </c>
      <c r="J1377">
        <v>84</v>
      </c>
      <c r="K1377">
        <f>allFYsTable[[#This Row],[Actual]]-allFYsTable[[#This Row],[OriginalBudget]]</f>
        <v>-2379</v>
      </c>
      <c r="L1377" s="11">
        <f>allFYsTable[[#This Row],[DiffAmount]]/allFYsTable[[#This Row],[OriginalBudget]]</f>
        <v>-0.34543342529403226</v>
      </c>
    </row>
    <row r="1378" spans="1:12" x14ac:dyDescent="0.45">
      <c r="A1378" t="s">
        <v>1029</v>
      </c>
      <c r="B1378" t="s">
        <v>14</v>
      </c>
      <c r="C1378" t="s">
        <v>706</v>
      </c>
      <c r="D1378" t="s">
        <v>122</v>
      </c>
      <c r="E1378">
        <v>20221</v>
      </c>
      <c r="F1378">
        <v>25281</v>
      </c>
      <c r="G1378">
        <v>25281</v>
      </c>
      <c r="H1378">
        <v>0</v>
      </c>
      <c r="I1378">
        <v>2016</v>
      </c>
      <c r="J1378">
        <v>85</v>
      </c>
      <c r="K1378">
        <f>allFYsTable[[#This Row],[Actual]]-allFYsTable[[#This Row],[OriginalBudget]]</f>
        <v>5060</v>
      </c>
      <c r="L1378" s="11">
        <f>allFYsTable[[#This Row],[DiffAmount]]/allFYsTable[[#This Row],[OriginalBudget]]</f>
        <v>0.25023490430740319</v>
      </c>
    </row>
    <row r="1379" spans="1:12" x14ac:dyDescent="0.45">
      <c r="A1379" t="s">
        <v>1029</v>
      </c>
      <c r="B1379" t="s">
        <v>14</v>
      </c>
      <c r="C1379" t="s">
        <v>760</v>
      </c>
      <c r="D1379" t="s">
        <v>46</v>
      </c>
      <c r="E1379">
        <v>3741</v>
      </c>
      <c r="F1379">
        <v>3741</v>
      </c>
      <c r="G1379">
        <v>3734</v>
      </c>
      <c r="H1379">
        <v>7</v>
      </c>
      <c r="I1379">
        <v>2016</v>
      </c>
      <c r="J1379">
        <v>86</v>
      </c>
      <c r="K1379">
        <f>allFYsTable[[#This Row],[Actual]]-allFYsTable[[#This Row],[OriginalBudget]]</f>
        <v>-7</v>
      </c>
      <c r="L1379" s="11">
        <f>allFYsTable[[#This Row],[DiffAmount]]/allFYsTable[[#This Row],[OriginalBudget]]</f>
        <v>-1.8711574445335472E-3</v>
      </c>
    </row>
    <row r="1380" spans="1:12" x14ac:dyDescent="0.45">
      <c r="A1380" t="s">
        <v>1029</v>
      </c>
      <c r="B1380" t="s">
        <v>14</v>
      </c>
      <c r="C1380" t="s">
        <v>729</v>
      </c>
      <c r="D1380" t="s">
        <v>123</v>
      </c>
      <c r="E1380">
        <v>2782</v>
      </c>
      <c r="F1380">
        <v>2782</v>
      </c>
      <c r="G1380">
        <v>2709</v>
      </c>
      <c r="H1380">
        <v>73</v>
      </c>
      <c r="I1380">
        <v>2016</v>
      </c>
      <c r="J1380">
        <v>87</v>
      </c>
      <c r="K1380">
        <f>allFYsTable[[#This Row],[Actual]]-allFYsTable[[#This Row],[OriginalBudget]]</f>
        <v>-73</v>
      </c>
      <c r="L1380" s="11">
        <f>allFYsTable[[#This Row],[DiffAmount]]/allFYsTable[[#This Row],[OriginalBudget]]</f>
        <v>-2.6240115025161753E-2</v>
      </c>
    </row>
    <row r="1381" spans="1:12" x14ac:dyDescent="0.45">
      <c r="A1381" t="s">
        <v>1029</v>
      </c>
      <c r="B1381" t="s">
        <v>14</v>
      </c>
      <c r="C1381" t="s">
        <v>828</v>
      </c>
      <c r="D1381" t="s">
        <v>219</v>
      </c>
      <c r="E1381">
        <v>5510</v>
      </c>
      <c r="F1381">
        <v>7510</v>
      </c>
      <c r="G1381">
        <v>7510</v>
      </c>
      <c r="H1381">
        <v>0</v>
      </c>
      <c r="I1381">
        <v>2016</v>
      </c>
      <c r="J1381">
        <v>88</v>
      </c>
      <c r="K1381">
        <f>allFYsTable[[#This Row],[Actual]]-allFYsTable[[#This Row],[OriginalBudget]]</f>
        <v>2000</v>
      </c>
      <c r="L1381" s="11">
        <f>allFYsTable[[#This Row],[DiffAmount]]/allFYsTable[[#This Row],[OriginalBudget]]</f>
        <v>0.36297640653357532</v>
      </c>
    </row>
    <row r="1382" spans="1:12" x14ac:dyDescent="0.45">
      <c r="A1382" t="s">
        <v>1029</v>
      </c>
      <c r="B1382" t="s">
        <v>14</v>
      </c>
      <c r="C1382" t="s">
        <v>842</v>
      </c>
      <c r="D1382" t="s">
        <v>236</v>
      </c>
      <c r="E1382">
        <v>29614</v>
      </c>
      <c r="F1382">
        <v>0</v>
      </c>
      <c r="G1382">
        <v>0</v>
      </c>
      <c r="H1382">
        <v>0</v>
      </c>
      <c r="I1382">
        <v>2016</v>
      </c>
      <c r="J1382">
        <v>89</v>
      </c>
      <c r="K1382">
        <f>allFYsTable[[#This Row],[Actual]]-allFYsTable[[#This Row],[OriginalBudget]]</f>
        <v>-29614</v>
      </c>
      <c r="L1382" s="11">
        <f>allFYsTable[[#This Row],[DiffAmount]]/allFYsTable[[#This Row],[OriginalBudget]]</f>
        <v>-1</v>
      </c>
    </row>
    <row r="1383" spans="1:12" x14ac:dyDescent="0.45">
      <c r="A1383" t="s">
        <v>1029</v>
      </c>
      <c r="B1383" t="s">
        <v>14</v>
      </c>
      <c r="C1383" t="s">
        <v>785</v>
      </c>
      <c r="D1383" t="s">
        <v>147</v>
      </c>
      <c r="E1383">
        <v>163995</v>
      </c>
      <c r="F1383">
        <v>159145</v>
      </c>
      <c r="G1383">
        <v>155353</v>
      </c>
      <c r="H1383">
        <v>3792</v>
      </c>
      <c r="I1383">
        <v>2016</v>
      </c>
      <c r="J1383">
        <v>90</v>
      </c>
      <c r="K1383">
        <f>allFYsTable[[#This Row],[Actual]]-allFYsTable[[#This Row],[OriginalBudget]]</f>
        <v>-8642</v>
      </c>
      <c r="L1383" s="11">
        <f>allFYsTable[[#This Row],[DiffAmount]]/allFYsTable[[#This Row],[OriginalBudget]]</f>
        <v>-5.2696728558797527E-2</v>
      </c>
    </row>
    <row r="1384" spans="1:12" x14ac:dyDescent="0.45">
      <c r="A1384" t="s">
        <v>1029</v>
      </c>
      <c r="B1384" t="s">
        <v>14</v>
      </c>
      <c r="C1384" t="s">
        <v>787</v>
      </c>
      <c r="D1384" t="s">
        <v>148</v>
      </c>
      <c r="E1384">
        <v>226856</v>
      </c>
      <c r="F1384">
        <v>228435</v>
      </c>
      <c r="G1384">
        <v>228301</v>
      </c>
      <c r="H1384">
        <v>134</v>
      </c>
      <c r="I1384">
        <v>2016</v>
      </c>
      <c r="J1384">
        <v>91</v>
      </c>
      <c r="K1384">
        <f>allFYsTable[[#This Row],[Actual]]-allFYsTable[[#This Row],[OriginalBudget]]</f>
        <v>1445</v>
      </c>
      <c r="L1384" s="11">
        <f>allFYsTable[[#This Row],[DiffAmount]]/allFYsTable[[#This Row],[OriginalBudget]]</f>
        <v>6.369679444228938E-3</v>
      </c>
    </row>
    <row r="1385" spans="1:12" x14ac:dyDescent="0.45">
      <c r="A1385" t="s">
        <v>1029</v>
      </c>
      <c r="B1385" t="s">
        <v>14</v>
      </c>
      <c r="C1385" t="s">
        <v>728</v>
      </c>
      <c r="D1385" t="s">
        <v>121</v>
      </c>
      <c r="E1385">
        <v>835</v>
      </c>
      <c r="F1385">
        <v>749</v>
      </c>
      <c r="G1385">
        <v>749</v>
      </c>
      <c r="H1385">
        <v>0</v>
      </c>
      <c r="I1385">
        <v>2016</v>
      </c>
      <c r="J1385">
        <v>92</v>
      </c>
      <c r="K1385">
        <f>allFYsTable[[#This Row],[Actual]]-allFYsTable[[#This Row],[OriginalBudget]]</f>
        <v>-86</v>
      </c>
      <c r="L1385" s="11">
        <f>allFYsTable[[#This Row],[DiffAmount]]/allFYsTable[[#This Row],[OriginalBudget]]</f>
        <v>-0.10299401197604791</v>
      </c>
    </row>
    <row r="1386" spans="1:12" x14ac:dyDescent="0.45">
      <c r="A1386" t="s">
        <v>1029</v>
      </c>
      <c r="B1386" t="s">
        <v>14</v>
      </c>
      <c r="C1386" t="s">
        <v>727</v>
      </c>
      <c r="D1386" t="s">
        <v>180</v>
      </c>
      <c r="E1386">
        <v>414</v>
      </c>
      <c r="F1386">
        <v>374</v>
      </c>
      <c r="G1386">
        <v>353</v>
      </c>
      <c r="H1386">
        <v>21</v>
      </c>
      <c r="I1386">
        <v>2016</v>
      </c>
      <c r="J1386">
        <v>93</v>
      </c>
      <c r="K1386">
        <f>allFYsTable[[#This Row],[Actual]]-allFYsTable[[#This Row],[OriginalBudget]]</f>
        <v>-61</v>
      </c>
      <c r="L1386" s="11">
        <f>allFYsTable[[#This Row],[DiffAmount]]/allFYsTable[[#This Row],[OriginalBudget]]</f>
        <v>-0.14734299516908211</v>
      </c>
    </row>
    <row r="1387" spans="1:12" x14ac:dyDescent="0.45">
      <c r="A1387" t="s">
        <v>1029</v>
      </c>
      <c r="B1387" t="s">
        <v>14</v>
      </c>
      <c r="C1387" t="s">
        <v>752</v>
      </c>
      <c r="D1387" t="s">
        <v>38</v>
      </c>
      <c r="E1387">
        <v>105676</v>
      </c>
      <c r="F1387">
        <v>99676</v>
      </c>
      <c r="G1387">
        <v>98823</v>
      </c>
      <c r="H1387">
        <v>853</v>
      </c>
      <c r="I1387">
        <v>2016</v>
      </c>
      <c r="J1387">
        <v>94</v>
      </c>
      <c r="K1387">
        <f>allFYsTable[[#This Row],[Actual]]-allFYsTable[[#This Row],[OriginalBudget]]</f>
        <v>-6853</v>
      </c>
      <c r="L1387" s="11">
        <f>allFYsTable[[#This Row],[DiffAmount]]/allFYsTable[[#This Row],[OriginalBudget]]</f>
        <v>-6.4849161588250881E-2</v>
      </c>
    </row>
    <row r="1388" spans="1:12" x14ac:dyDescent="0.45">
      <c r="A1388" t="s">
        <v>1029</v>
      </c>
      <c r="B1388" t="s">
        <v>14</v>
      </c>
      <c r="C1388" t="s">
        <v>791</v>
      </c>
      <c r="D1388" t="s">
        <v>149</v>
      </c>
      <c r="E1388">
        <v>117625</v>
      </c>
      <c r="F1388">
        <v>113955</v>
      </c>
      <c r="G1388">
        <v>113829</v>
      </c>
      <c r="H1388">
        <v>126</v>
      </c>
      <c r="I1388">
        <v>2016</v>
      </c>
      <c r="J1388">
        <v>95</v>
      </c>
      <c r="K1388">
        <f>allFYsTable[[#This Row],[Actual]]-allFYsTable[[#This Row],[OriginalBudget]]</f>
        <v>-3796</v>
      </c>
      <c r="L1388" s="11">
        <f>allFYsTable[[#This Row],[DiffAmount]]/allFYsTable[[#This Row],[OriginalBudget]]</f>
        <v>-3.227205100956429E-2</v>
      </c>
    </row>
    <row r="1389" spans="1:12" x14ac:dyDescent="0.45">
      <c r="A1389" t="s">
        <v>1029</v>
      </c>
      <c r="B1389" t="s">
        <v>14</v>
      </c>
      <c r="C1389" t="s">
        <v>789</v>
      </c>
      <c r="D1389" t="s">
        <v>150</v>
      </c>
      <c r="E1389">
        <v>771356</v>
      </c>
      <c r="F1389">
        <v>763554</v>
      </c>
      <c r="G1389">
        <v>759166</v>
      </c>
      <c r="H1389">
        <v>4388</v>
      </c>
      <c r="I1389">
        <v>2016</v>
      </c>
      <c r="J1389">
        <v>96</v>
      </c>
      <c r="K1389">
        <f>allFYsTable[[#This Row],[Actual]]-allFYsTable[[#This Row],[OriginalBudget]]</f>
        <v>-12190</v>
      </c>
      <c r="L1389" s="11">
        <f>allFYsTable[[#This Row],[DiffAmount]]/allFYsTable[[#This Row],[OriginalBudget]]</f>
        <v>-1.5803338536291931E-2</v>
      </c>
    </row>
    <row r="1390" spans="1:12" x14ac:dyDescent="0.45">
      <c r="A1390" t="s">
        <v>1029</v>
      </c>
      <c r="B1390" t="s">
        <v>14</v>
      </c>
      <c r="C1390" t="s">
        <v>793</v>
      </c>
      <c r="D1390" t="s">
        <v>181</v>
      </c>
      <c r="E1390">
        <v>1391</v>
      </c>
      <c r="F1390">
        <v>1698</v>
      </c>
      <c r="G1390">
        <v>1569</v>
      </c>
      <c r="H1390">
        <v>129</v>
      </c>
      <c r="I1390">
        <v>2016</v>
      </c>
      <c r="J1390">
        <v>97</v>
      </c>
      <c r="K1390">
        <f>allFYsTable[[#This Row],[Actual]]-allFYsTable[[#This Row],[OriginalBudget]]</f>
        <v>178</v>
      </c>
      <c r="L1390" s="11">
        <f>allFYsTable[[#This Row],[DiffAmount]]/allFYsTable[[#This Row],[OriginalBudget]]</f>
        <v>0.12796549245147376</v>
      </c>
    </row>
    <row r="1391" spans="1:12" x14ac:dyDescent="0.45">
      <c r="A1391" t="s">
        <v>1029</v>
      </c>
      <c r="B1391" t="s">
        <v>14</v>
      </c>
      <c r="C1391" t="s">
        <v>792</v>
      </c>
      <c r="D1391" t="s">
        <v>237</v>
      </c>
      <c r="E1391">
        <v>0</v>
      </c>
      <c r="F1391">
        <v>10000</v>
      </c>
      <c r="G1391">
        <v>10000</v>
      </c>
      <c r="H1391">
        <v>0</v>
      </c>
      <c r="I1391">
        <v>2016</v>
      </c>
      <c r="J1391">
        <v>98</v>
      </c>
      <c r="K1391">
        <f>allFYsTable[[#This Row],[Actual]]-allFYsTable[[#This Row],[OriginalBudget]]</f>
        <v>10000</v>
      </c>
      <c r="L1391" s="11" t="e">
        <f>allFYsTable[[#This Row],[DiffAmount]]/allFYsTable[[#This Row],[OriginalBudget]]</f>
        <v>#DIV/0!</v>
      </c>
    </row>
    <row r="1392" spans="1:12" x14ac:dyDescent="0.45">
      <c r="A1392" t="s">
        <v>1029</v>
      </c>
      <c r="B1392" t="s">
        <v>182</v>
      </c>
      <c r="C1392" t="s">
        <v>802</v>
      </c>
      <c r="D1392" t="s">
        <v>78</v>
      </c>
      <c r="E1392">
        <v>125680</v>
      </c>
      <c r="F1392">
        <v>129254</v>
      </c>
      <c r="G1392">
        <v>128867</v>
      </c>
      <c r="H1392">
        <v>387</v>
      </c>
      <c r="I1392">
        <v>2016</v>
      </c>
      <c r="J1392">
        <v>99</v>
      </c>
      <c r="K1392">
        <f>allFYsTable[[#This Row],[Actual]]-allFYsTable[[#This Row],[OriginalBudget]]</f>
        <v>3187</v>
      </c>
      <c r="L1392" s="11">
        <f>allFYsTable[[#This Row],[DiffAmount]]/allFYsTable[[#This Row],[OriginalBudget]]</f>
        <v>2.5358052196053468E-2</v>
      </c>
    </row>
    <row r="1393" spans="1:12" x14ac:dyDescent="0.45">
      <c r="A1393" t="s">
        <v>1029</v>
      </c>
      <c r="B1393" t="s">
        <v>182</v>
      </c>
      <c r="C1393" t="s">
        <v>803</v>
      </c>
      <c r="D1393" t="s">
        <v>155</v>
      </c>
      <c r="E1393">
        <v>85025</v>
      </c>
      <c r="F1393">
        <v>82066</v>
      </c>
      <c r="G1393">
        <v>81680</v>
      </c>
      <c r="H1393">
        <v>386</v>
      </c>
      <c r="I1393">
        <v>2016</v>
      </c>
      <c r="J1393">
        <v>100</v>
      </c>
      <c r="K1393">
        <f>allFYsTable[[#This Row],[Actual]]-allFYsTable[[#This Row],[OriginalBudget]]</f>
        <v>-3345</v>
      </c>
      <c r="L1393" s="11">
        <f>allFYsTable[[#This Row],[DiffAmount]]/allFYsTable[[#This Row],[OriginalBudget]]</f>
        <v>-3.9341370185239637E-2</v>
      </c>
    </row>
    <row r="1394" spans="1:12" x14ac:dyDescent="0.45">
      <c r="A1394" t="s">
        <v>1029</v>
      </c>
      <c r="B1394" t="s">
        <v>182</v>
      </c>
      <c r="C1394" t="s">
        <v>799</v>
      </c>
      <c r="D1394" t="s">
        <v>206</v>
      </c>
      <c r="E1394">
        <v>1100</v>
      </c>
      <c r="F1394">
        <v>1921</v>
      </c>
      <c r="G1394">
        <v>1888</v>
      </c>
      <c r="H1394">
        <v>33</v>
      </c>
      <c r="I1394">
        <v>2016</v>
      </c>
      <c r="J1394">
        <v>101</v>
      </c>
      <c r="K1394">
        <f>allFYsTable[[#This Row],[Actual]]-allFYsTable[[#This Row],[OriginalBudget]]</f>
        <v>788</v>
      </c>
      <c r="L1394" s="11">
        <f>allFYsTable[[#This Row],[DiffAmount]]/allFYsTable[[#This Row],[OriginalBudget]]</f>
        <v>0.71636363636363631</v>
      </c>
    </row>
    <row r="1395" spans="1:12" x14ac:dyDescent="0.45">
      <c r="A1395" t="s">
        <v>1029</v>
      </c>
      <c r="B1395" t="s">
        <v>182</v>
      </c>
      <c r="C1395" t="s">
        <v>801</v>
      </c>
      <c r="D1395" t="s">
        <v>77</v>
      </c>
      <c r="E1395">
        <v>28091</v>
      </c>
      <c r="F1395">
        <v>26891</v>
      </c>
      <c r="G1395">
        <v>26761</v>
      </c>
      <c r="H1395">
        <v>130</v>
      </c>
      <c r="I1395">
        <v>2016</v>
      </c>
      <c r="J1395">
        <v>102</v>
      </c>
      <c r="K1395">
        <f>allFYsTable[[#This Row],[Actual]]-allFYsTable[[#This Row],[OriginalBudget]]</f>
        <v>-1330</v>
      </c>
      <c r="L1395" s="11">
        <f>allFYsTable[[#This Row],[DiffAmount]]/allFYsTable[[#This Row],[OriginalBudget]]</f>
        <v>-4.7346125093446302E-2</v>
      </c>
    </row>
    <row r="1396" spans="1:12" x14ac:dyDescent="0.45">
      <c r="A1396" t="s">
        <v>1029</v>
      </c>
      <c r="B1396" t="s">
        <v>182</v>
      </c>
      <c r="C1396" t="s">
        <v>808</v>
      </c>
      <c r="D1396" t="s">
        <v>156</v>
      </c>
      <c r="E1396">
        <v>127</v>
      </c>
      <c r="F1396">
        <v>127</v>
      </c>
      <c r="G1396">
        <v>127</v>
      </c>
      <c r="H1396">
        <v>0</v>
      </c>
      <c r="I1396">
        <v>2016</v>
      </c>
      <c r="J1396">
        <v>103</v>
      </c>
      <c r="K1396">
        <f>allFYsTable[[#This Row],[Actual]]-allFYsTable[[#This Row],[OriginalBudget]]</f>
        <v>0</v>
      </c>
      <c r="L1396" s="11">
        <f>allFYsTable[[#This Row],[DiffAmount]]/allFYsTable[[#This Row],[OriginalBudget]]</f>
        <v>0</v>
      </c>
    </row>
    <row r="1397" spans="1:12" x14ac:dyDescent="0.45">
      <c r="A1397" t="s">
        <v>1029</v>
      </c>
      <c r="B1397" t="s">
        <v>182</v>
      </c>
      <c r="C1397" t="s">
        <v>807</v>
      </c>
      <c r="D1397" t="s">
        <v>157</v>
      </c>
      <c r="E1397">
        <v>324053</v>
      </c>
      <c r="F1397">
        <v>317298</v>
      </c>
      <c r="G1397">
        <v>317298</v>
      </c>
      <c r="H1397">
        <v>0</v>
      </c>
      <c r="I1397">
        <v>2016</v>
      </c>
      <c r="J1397">
        <v>104</v>
      </c>
      <c r="K1397">
        <f>allFYsTable[[#This Row],[Actual]]-allFYsTable[[#This Row],[OriginalBudget]]</f>
        <v>-6755</v>
      </c>
      <c r="L1397" s="11">
        <f>allFYsTable[[#This Row],[DiffAmount]]/allFYsTable[[#This Row],[OriginalBudget]]</f>
        <v>-2.0845355543691928E-2</v>
      </c>
    </row>
    <row r="1398" spans="1:12" x14ac:dyDescent="0.45">
      <c r="A1398" t="s">
        <v>1029</v>
      </c>
      <c r="B1398" t="s">
        <v>182</v>
      </c>
      <c r="C1398" t="s">
        <v>798</v>
      </c>
      <c r="D1398" t="s">
        <v>221</v>
      </c>
      <c r="E1398">
        <v>17156</v>
      </c>
      <c r="F1398">
        <v>18032</v>
      </c>
      <c r="G1398">
        <v>17862</v>
      </c>
      <c r="H1398">
        <v>170</v>
      </c>
      <c r="I1398">
        <v>2016</v>
      </c>
      <c r="J1398">
        <v>105</v>
      </c>
      <c r="K1398">
        <f>allFYsTable[[#This Row],[Actual]]-allFYsTable[[#This Row],[OriginalBudget]]</f>
        <v>706</v>
      </c>
      <c r="L1398" s="11">
        <f>allFYsTable[[#This Row],[DiffAmount]]/allFYsTable[[#This Row],[OriginalBudget]]</f>
        <v>4.1151783632548379E-2</v>
      </c>
    </row>
    <row r="1399" spans="1:12" x14ac:dyDescent="0.45">
      <c r="A1399" t="s">
        <v>1029</v>
      </c>
      <c r="B1399" t="s">
        <v>10</v>
      </c>
      <c r="C1399" t="s">
        <v>775</v>
      </c>
      <c r="D1399" t="s">
        <v>18</v>
      </c>
      <c r="E1399">
        <v>591627</v>
      </c>
      <c r="F1399">
        <v>555097</v>
      </c>
      <c r="G1399">
        <v>555097</v>
      </c>
      <c r="H1399">
        <v>0</v>
      </c>
      <c r="I1399">
        <v>2016</v>
      </c>
      <c r="J1399">
        <v>106</v>
      </c>
      <c r="K1399">
        <f>allFYsTable[[#This Row],[Actual]]-allFYsTable[[#This Row],[OriginalBudget]]</f>
        <v>-36530</v>
      </c>
      <c r="L1399" s="11">
        <f>allFYsTable[[#This Row],[DiffAmount]]/allFYsTable[[#This Row],[OriginalBudget]]</f>
        <v>-6.1744984593333302E-2</v>
      </c>
    </row>
    <row r="1400" spans="1:12" x14ac:dyDescent="0.45">
      <c r="A1400" t="s">
        <v>1029</v>
      </c>
      <c r="B1400" t="s">
        <v>10</v>
      </c>
      <c r="C1400" t="s">
        <v>817</v>
      </c>
      <c r="D1400" t="s">
        <v>158</v>
      </c>
      <c r="E1400">
        <v>6000</v>
      </c>
      <c r="F1400">
        <v>6000</v>
      </c>
      <c r="G1400">
        <v>2945</v>
      </c>
      <c r="H1400">
        <v>3055</v>
      </c>
      <c r="I1400">
        <v>2016</v>
      </c>
      <c r="J1400">
        <v>107</v>
      </c>
      <c r="K1400">
        <f>allFYsTable[[#This Row],[Actual]]-allFYsTable[[#This Row],[OriginalBudget]]</f>
        <v>-3055</v>
      </c>
      <c r="L1400" s="11">
        <f>allFYsTable[[#This Row],[DiffAmount]]/allFYsTable[[#This Row],[OriginalBudget]]</f>
        <v>-0.50916666666666666</v>
      </c>
    </row>
    <row r="1401" spans="1:12" x14ac:dyDescent="0.45">
      <c r="A1401" t="s">
        <v>1029</v>
      </c>
      <c r="B1401" t="s">
        <v>10</v>
      </c>
      <c r="C1401" t="s">
        <v>830</v>
      </c>
      <c r="D1401" t="s">
        <v>222</v>
      </c>
      <c r="E1401">
        <v>3750</v>
      </c>
      <c r="F1401">
        <v>922</v>
      </c>
      <c r="G1401">
        <v>922</v>
      </c>
      <c r="H1401">
        <v>0</v>
      </c>
      <c r="I1401">
        <v>2016</v>
      </c>
      <c r="J1401">
        <v>108</v>
      </c>
      <c r="K1401">
        <f>allFYsTable[[#This Row],[Actual]]-allFYsTable[[#This Row],[OriginalBudget]]</f>
        <v>-2828</v>
      </c>
      <c r="L1401" s="11">
        <f>allFYsTable[[#This Row],[DiffAmount]]/allFYsTable[[#This Row],[OriginalBudget]]</f>
        <v>-0.75413333333333332</v>
      </c>
    </row>
    <row r="1402" spans="1:12" x14ac:dyDescent="0.45">
      <c r="A1402" t="s">
        <v>1029</v>
      </c>
      <c r="B1402" t="s">
        <v>10</v>
      </c>
      <c r="C1402" t="s">
        <v>819</v>
      </c>
      <c r="D1402" t="s">
        <v>238</v>
      </c>
      <c r="E1402">
        <v>21292</v>
      </c>
      <c r="F1402">
        <v>33292</v>
      </c>
      <c r="G1402">
        <v>32953</v>
      </c>
      <c r="H1402">
        <v>339</v>
      </c>
      <c r="I1402">
        <v>2016</v>
      </c>
      <c r="J1402">
        <v>109</v>
      </c>
      <c r="K1402">
        <f>allFYsTable[[#This Row],[Actual]]-allFYsTable[[#This Row],[OriginalBudget]]</f>
        <v>11661</v>
      </c>
      <c r="L1402" s="11">
        <f>allFYsTable[[#This Row],[DiffAmount]]/allFYsTable[[#This Row],[OriginalBudget]]</f>
        <v>0.54767048656772499</v>
      </c>
    </row>
    <row r="1403" spans="1:12" x14ac:dyDescent="0.45">
      <c r="A1403" t="s">
        <v>1029</v>
      </c>
      <c r="B1403" t="s">
        <v>10</v>
      </c>
      <c r="C1403" t="s">
        <v>814</v>
      </c>
      <c r="D1403" t="s">
        <v>85</v>
      </c>
      <c r="E1403">
        <v>4745</v>
      </c>
      <c r="F1403">
        <v>4503</v>
      </c>
      <c r="G1403">
        <v>4289</v>
      </c>
      <c r="H1403">
        <v>214</v>
      </c>
      <c r="I1403">
        <v>2016</v>
      </c>
      <c r="J1403">
        <v>110</v>
      </c>
      <c r="K1403">
        <f>allFYsTable[[#This Row],[Actual]]-allFYsTable[[#This Row],[OriginalBudget]]</f>
        <v>-456</v>
      </c>
      <c r="L1403" s="11">
        <f>allFYsTable[[#This Row],[DiffAmount]]/allFYsTable[[#This Row],[OriginalBudget]]</f>
        <v>-9.610115911485774E-2</v>
      </c>
    </row>
    <row r="1404" spans="1:12" x14ac:dyDescent="0.45">
      <c r="A1404" t="s">
        <v>1029</v>
      </c>
      <c r="B1404" t="s">
        <v>10</v>
      </c>
      <c r="C1404" t="s">
        <v>833</v>
      </c>
      <c r="D1404" t="s">
        <v>223</v>
      </c>
      <c r="E1404">
        <v>14276</v>
      </c>
      <c r="F1404">
        <v>14276</v>
      </c>
      <c r="G1404">
        <v>14276</v>
      </c>
      <c r="H1404">
        <v>0</v>
      </c>
      <c r="I1404">
        <v>2016</v>
      </c>
      <c r="J1404">
        <v>111</v>
      </c>
      <c r="K1404">
        <f>allFYsTable[[#This Row],[Actual]]-allFYsTable[[#This Row],[OriginalBudget]]</f>
        <v>0</v>
      </c>
      <c r="L1404" s="11">
        <f>allFYsTable[[#This Row],[DiffAmount]]/allFYsTable[[#This Row],[OriginalBudget]]</f>
        <v>0</v>
      </c>
    </row>
    <row r="1405" spans="1:12" x14ac:dyDescent="0.45">
      <c r="A1405" t="s">
        <v>1029</v>
      </c>
      <c r="B1405" t="s">
        <v>10</v>
      </c>
      <c r="C1405" t="s">
        <v>811</v>
      </c>
      <c r="D1405" t="s">
        <v>86</v>
      </c>
      <c r="E1405">
        <v>95400</v>
      </c>
      <c r="F1405">
        <v>29000</v>
      </c>
      <c r="G1405">
        <v>29000</v>
      </c>
      <c r="H1405">
        <v>0</v>
      </c>
      <c r="I1405">
        <v>2016</v>
      </c>
      <c r="J1405">
        <v>112</v>
      </c>
      <c r="K1405">
        <f>allFYsTable[[#This Row],[Actual]]-allFYsTable[[#This Row],[OriginalBudget]]</f>
        <v>-66400</v>
      </c>
      <c r="L1405" s="11">
        <f>allFYsTable[[#This Row],[DiffAmount]]/allFYsTable[[#This Row],[OriginalBudget]]</f>
        <v>-0.69601677148846963</v>
      </c>
    </row>
    <row r="1406" spans="1:12" x14ac:dyDescent="0.45">
      <c r="A1406" t="s">
        <v>1029</v>
      </c>
      <c r="B1406" t="s">
        <v>10</v>
      </c>
      <c r="C1406" t="s">
        <v>829</v>
      </c>
      <c r="D1406" t="s">
        <v>87</v>
      </c>
      <c r="E1406">
        <v>7832</v>
      </c>
      <c r="F1406">
        <v>7822</v>
      </c>
      <c r="G1406">
        <v>7822</v>
      </c>
      <c r="H1406">
        <v>0</v>
      </c>
      <c r="I1406">
        <v>2016</v>
      </c>
      <c r="J1406">
        <v>113</v>
      </c>
      <c r="K1406">
        <f>allFYsTable[[#This Row],[Actual]]-allFYsTable[[#This Row],[OriginalBudget]]</f>
        <v>-10</v>
      </c>
      <c r="L1406" s="11">
        <f>allFYsTable[[#This Row],[DiffAmount]]/allFYsTable[[#This Row],[OriginalBudget]]</f>
        <v>-1.2768130745658835E-3</v>
      </c>
    </row>
    <row r="1407" spans="1:12" x14ac:dyDescent="0.45">
      <c r="A1407" t="s">
        <v>1029</v>
      </c>
      <c r="B1407" t="s">
        <v>10</v>
      </c>
      <c r="C1407" t="s">
        <v>810</v>
      </c>
      <c r="D1407" t="s">
        <v>88</v>
      </c>
      <c r="E1407">
        <v>125054</v>
      </c>
      <c r="F1407">
        <v>132304</v>
      </c>
      <c r="G1407">
        <v>131916</v>
      </c>
      <c r="H1407">
        <v>388</v>
      </c>
      <c r="I1407">
        <v>2016</v>
      </c>
      <c r="J1407">
        <v>114</v>
      </c>
      <c r="K1407">
        <f>allFYsTable[[#This Row],[Actual]]-allFYsTable[[#This Row],[OriginalBudget]]</f>
        <v>6862</v>
      </c>
      <c r="L1407" s="11">
        <f>allFYsTable[[#This Row],[DiffAmount]]/allFYsTable[[#This Row],[OriginalBudget]]</f>
        <v>5.4872295168487212E-2</v>
      </c>
    </row>
    <row r="1408" spans="1:12" x14ac:dyDescent="0.45">
      <c r="A1408" t="s">
        <v>1029</v>
      </c>
      <c r="B1408" t="s">
        <v>10</v>
      </c>
      <c r="C1408" t="s">
        <v>813</v>
      </c>
      <c r="D1408" t="s">
        <v>89</v>
      </c>
      <c r="E1408">
        <v>22504</v>
      </c>
      <c r="F1408">
        <v>25332</v>
      </c>
      <c r="G1408">
        <v>25332</v>
      </c>
      <c r="H1408">
        <v>0</v>
      </c>
      <c r="I1408">
        <v>2016</v>
      </c>
      <c r="J1408">
        <v>115</v>
      </c>
      <c r="K1408">
        <f>allFYsTable[[#This Row],[Actual]]-allFYsTable[[#This Row],[OriginalBudget]]</f>
        <v>2828</v>
      </c>
      <c r="L1408" s="11">
        <f>allFYsTable[[#This Row],[DiffAmount]]/allFYsTable[[#This Row],[OriginalBudget]]</f>
        <v>0.12566654816921435</v>
      </c>
    </row>
    <row r="1409" spans="1:12" x14ac:dyDescent="0.45">
      <c r="A1409" t="s">
        <v>1029</v>
      </c>
      <c r="B1409" t="s">
        <v>10</v>
      </c>
      <c r="C1409" t="s">
        <v>812</v>
      </c>
      <c r="D1409" t="s">
        <v>90</v>
      </c>
      <c r="E1409">
        <v>0</v>
      </c>
      <c r="F1409">
        <v>0</v>
      </c>
      <c r="G1409">
        <v>0</v>
      </c>
      <c r="H1409">
        <v>0</v>
      </c>
      <c r="I1409">
        <v>2016</v>
      </c>
      <c r="J1409">
        <v>116</v>
      </c>
      <c r="K1409">
        <f>allFYsTable[[#This Row],[Actual]]-allFYsTable[[#This Row],[OriginalBudget]]</f>
        <v>0</v>
      </c>
      <c r="L1409" s="11" t="e">
        <f>allFYsTable[[#This Row],[DiffAmount]]/allFYsTable[[#This Row],[OriginalBudget]]</f>
        <v>#DIV/0!</v>
      </c>
    </row>
    <row r="1410" spans="1:12" x14ac:dyDescent="0.45">
      <c r="A1410" t="s">
        <v>1029</v>
      </c>
      <c r="B1410" t="s">
        <v>10</v>
      </c>
      <c r="C1410" t="s">
        <v>821</v>
      </c>
      <c r="D1410" t="s">
        <v>91</v>
      </c>
      <c r="E1410">
        <v>17815</v>
      </c>
      <c r="F1410">
        <v>0</v>
      </c>
      <c r="G1410">
        <v>0</v>
      </c>
      <c r="H1410">
        <v>0</v>
      </c>
      <c r="I1410">
        <v>2016</v>
      </c>
      <c r="J1410">
        <v>117</v>
      </c>
      <c r="K1410">
        <f>allFYsTable[[#This Row],[Actual]]-allFYsTable[[#This Row],[OriginalBudget]]</f>
        <v>-17815</v>
      </c>
      <c r="L1410" s="11">
        <f>allFYsTable[[#This Row],[DiffAmount]]/allFYsTable[[#This Row],[OriginalBudget]]</f>
        <v>-1</v>
      </c>
    </row>
    <row r="1411" spans="1:12" x14ac:dyDescent="0.45">
      <c r="A1411" t="s">
        <v>1029</v>
      </c>
      <c r="B1411" t="s">
        <v>10</v>
      </c>
      <c r="C1411" t="s">
        <v>832</v>
      </c>
      <c r="D1411" t="s">
        <v>200</v>
      </c>
      <c r="E1411">
        <v>48413</v>
      </c>
      <c r="F1411">
        <v>38914</v>
      </c>
      <c r="G1411">
        <v>38914</v>
      </c>
      <c r="H1411">
        <v>0</v>
      </c>
      <c r="I1411">
        <v>2016</v>
      </c>
      <c r="J1411">
        <v>118</v>
      </c>
      <c r="K1411">
        <f>allFYsTable[[#This Row],[Actual]]-allFYsTable[[#This Row],[OriginalBudget]]</f>
        <v>-9499</v>
      </c>
      <c r="L1411" s="11">
        <f>allFYsTable[[#This Row],[DiffAmount]]/allFYsTable[[#This Row],[OriginalBudget]]</f>
        <v>-0.19620763018197593</v>
      </c>
    </row>
    <row r="1412" spans="1:12" x14ac:dyDescent="0.45">
      <c r="A1412" t="s">
        <v>1029</v>
      </c>
      <c r="B1412" t="s">
        <v>10</v>
      </c>
      <c r="C1412" t="s">
        <v>816</v>
      </c>
      <c r="D1412" t="s">
        <v>239</v>
      </c>
      <c r="E1412">
        <v>21449</v>
      </c>
      <c r="F1412">
        <v>88043</v>
      </c>
      <c r="G1412">
        <v>88043</v>
      </c>
      <c r="H1412">
        <v>0</v>
      </c>
      <c r="I1412">
        <v>2016</v>
      </c>
      <c r="J1412">
        <v>119</v>
      </c>
      <c r="K1412">
        <f>allFYsTable[[#This Row],[Actual]]-allFYsTable[[#This Row],[OriginalBudget]]</f>
        <v>66594</v>
      </c>
      <c r="L1412" s="11">
        <f>allFYsTable[[#This Row],[DiffAmount]]/allFYsTable[[#This Row],[OriginalBudget]]</f>
        <v>3.1047601286773276</v>
      </c>
    </row>
    <row r="1413" spans="1:12" x14ac:dyDescent="0.45">
      <c r="A1413" t="s">
        <v>1029</v>
      </c>
      <c r="B1413" t="s">
        <v>10</v>
      </c>
      <c r="C1413" t="s">
        <v>815</v>
      </c>
      <c r="D1413" t="s">
        <v>95</v>
      </c>
      <c r="E1413">
        <v>2754</v>
      </c>
      <c r="F1413">
        <v>0</v>
      </c>
      <c r="G1413">
        <v>0</v>
      </c>
      <c r="H1413">
        <v>0</v>
      </c>
      <c r="I1413">
        <v>2016</v>
      </c>
      <c r="J1413">
        <v>120</v>
      </c>
      <c r="K1413">
        <f>allFYsTable[[#This Row],[Actual]]-allFYsTable[[#This Row],[OriginalBudget]]</f>
        <v>-2754</v>
      </c>
      <c r="L1413" s="11">
        <f>allFYsTable[[#This Row],[DiffAmount]]/allFYsTable[[#This Row],[OriginalBudget]]</f>
        <v>-1</v>
      </c>
    </row>
    <row r="1414" spans="1:12" x14ac:dyDescent="0.45">
      <c r="A1414" s="7" t="s">
        <v>1029</v>
      </c>
      <c r="B1414" s="7" t="s">
        <v>129</v>
      </c>
      <c r="C1414" s="7" t="s">
        <v>805</v>
      </c>
      <c r="D1414" s="7" t="s">
        <v>191</v>
      </c>
      <c r="E1414" s="7">
        <v>0</v>
      </c>
      <c r="F1414" s="7">
        <v>0</v>
      </c>
      <c r="G1414" s="7">
        <v>0</v>
      </c>
      <c r="H1414" s="7">
        <v>0</v>
      </c>
      <c r="I1414" s="7">
        <v>2016</v>
      </c>
      <c r="J1414" s="7" t="s">
        <v>1082</v>
      </c>
      <c r="K1414" s="7">
        <f>allFYsTable[[#This Row],[Actual]]-allFYsTable[[#This Row],[OriginalBudget]]</f>
        <v>0</v>
      </c>
      <c r="L1414" s="39" t="e">
        <f>allFYsTable[[#This Row],[DiffAmount]]/allFYsTable[[#This Row],[OriginalBudget]]</f>
        <v>#DIV/0!</v>
      </c>
    </row>
    <row r="1415" spans="1:12" x14ac:dyDescent="0.45">
      <c r="A1415" t="s">
        <v>1028</v>
      </c>
      <c r="B1415" t="s">
        <v>11</v>
      </c>
      <c r="C1415" t="s">
        <v>703</v>
      </c>
      <c r="D1415" t="s">
        <v>209</v>
      </c>
      <c r="E1415">
        <v>24002</v>
      </c>
      <c r="F1415">
        <v>22289</v>
      </c>
      <c r="G1415">
        <v>22289</v>
      </c>
      <c r="H1415">
        <v>0</v>
      </c>
      <c r="I1415">
        <v>2017</v>
      </c>
      <c r="J1415">
        <v>1</v>
      </c>
      <c r="K1415">
        <f>allFYsTable[[#This Row],[Actual]]-allFYsTable[[#This Row],[OriginalBudget]]</f>
        <v>-1713</v>
      </c>
      <c r="L1415" s="11">
        <f>allFYsTable[[#This Row],[DiffAmount]]/allFYsTable[[#This Row],[OriginalBudget]]</f>
        <v>-7.136905257895175E-2</v>
      </c>
    </row>
    <row r="1416" spans="1:12" x14ac:dyDescent="0.45">
      <c r="A1416" t="s">
        <v>1028</v>
      </c>
      <c r="B1416" t="s">
        <v>11</v>
      </c>
      <c r="C1416" t="s">
        <v>723</v>
      </c>
      <c r="D1416" t="s">
        <v>160</v>
      </c>
      <c r="E1416">
        <v>5202</v>
      </c>
      <c r="F1416">
        <v>5156</v>
      </c>
      <c r="G1416">
        <v>4669</v>
      </c>
      <c r="H1416">
        <v>487</v>
      </c>
      <c r="I1416">
        <v>2017</v>
      </c>
      <c r="J1416">
        <v>2</v>
      </c>
      <c r="K1416">
        <f>allFYsTable[[#This Row],[Actual]]-allFYsTable[[#This Row],[OriginalBudget]]</f>
        <v>-533</v>
      </c>
      <c r="L1416" s="11">
        <f>allFYsTable[[#This Row],[DiffAmount]]/allFYsTable[[#This Row],[OriginalBudget]]</f>
        <v>-0.10246059207996924</v>
      </c>
    </row>
    <row r="1417" spans="1:12" x14ac:dyDescent="0.45">
      <c r="A1417" t="s">
        <v>1028</v>
      </c>
      <c r="B1417" t="s">
        <v>11</v>
      </c>
      <c r="C1417" t="s">
        <v>731</v>
      </c>
      <c r="D1417" t="s">
        <v>161</v>
      </c>
      <c r="E1417">
        <v>234</v>
      </c>
      <c r="F1417">
        <v>239</v>
      </c>
      <c r="G1417">
        <v>239</v>
      </c>
      <c r="H1417">
        <v>0</v>
      </c>
      <c r="I1417">
        <v>2017</v>
      </c>
      <c r="J1417">
        <v>3</v>
      </c>
      <c r="K1417">
        <f>allFYsTable[[#This Row],[Actual]]-allFYsTable[[#This Row],[OriginalBudget]]</f>
        <v>5</v>
      </c>
      <c r="L1417" s="11">
        <f>allFYsTable[[#This Row],[DiffAmount]]/allFYsTable[[#This Row],[OriginalBudget]]</f>
        <v>2.1367521367521368E-2</v>
      </c>
    </row>
    <row r="1418" spans="1:12" x14ac:dyDescent="0.45">
      <c r="A1418" t="s">
        <v>1028</v>
      </c>
      <c r="B1418" t="s">
        <v>11</v>
      </c>
      <c r="C1418" t="s">
        <v>711</v>
      </c>
      <c r="D1418" t="s">
        <v>162</v>
      </c>
      <c r="E1418">
        <v>959</v>
      </c>
      <c r="F1418">
        <v>1005</v>
      </c>
      <c r="G1418">
        <v>851</v>
      </c>
      <c r="H1418">
        <v>154</v>
      </c>
      <c r="I1418">
        <v>2017</v>
      </c>
      <c r="J1418">
        <v>4</v>
      </c>
      <c r="K1418">
        <f>allFYsTable[[#This Row],[Actual]]-allFYsTable[[#This Row],[OriginalBudget]]</f>
        <v>-108</v>
      </c>
      <c r="L1418" s="11">
        <f>allFYsTable[[#This Row],[DiffAmount]]/allFYsTable[[#This Row],[OriginalBudget]]</f>
        <v>-0.11261730969760167</v>
      </c>
    </row>
    <row r="1419" spans="1:12" x14ac:dyDescent="0.45">
      <c r="A1419" t="s">
        <v>1028</v>
      </c>
      <c r="B1419" t="s">
        <v>11</v>
      </c>
      <c r="C1419" t="s">
        <v>707</v>
      </c>
      <c r="D1419" t="s">
        <v>163</v>
      </c>
      <c r="E1419">
        <v>9144</v>
      </c>
      <c r="F1419">
        <v>9785</v>
      </c>
      <c r="G1419">
        <v>9736</v>
      </c>
      <c r="H1419">
        <v>49</v>
      </c>
      <c r="I1419">
        <v>2017</v>
      </c>
      <c r="J1419">
        <v>5</v>
      </c>
      <c r="K1419">
        <f>allFYsTable[[#This Row],[Actual]]-allFYsTable[[#This Row],[OriginalBudget]]</f>
        <v>592</v>
      </c>
      <c r="L1419" s="11">
        <f>allFYsTable[[#This Row],[DiffAmount]]/allFYsTable[[#This Row],[OriginalBudget]]</f>
        <v>6.4741907261592305E-2</v>
      </c>
    </row>
    <row r="1420" spans="1:12" x14ac:dyDescent="0.45">
      <c r="A1420" t="s">
        <v>1028</v>
      </c>
      <c r="B1420" t="s">
        <v>11</v>
      </c>
      <c r="C1420" t="s">
        <v>708</v>
      </c>
      <c r="D1420" t="s">
        <v>102</v>
      </c>
      <c r="E1420">
        <v>1642</v>
      </c>
      <c r="F1420">
        <v>1335</v>
      </c>
      <c r="G1420">
        <v>1322</v>
      </c>
      <c r="H1420">
        <v>13</v>
      </c>
      <c r="I1420">
        <v>2017</v>
      </c>
      <c r="J1420">
        <v>6</v>
      </c>
      <c r="K1420">
        <f>allFYsTable[[#This Row],[Actual]]-allFYsTable[[#This Row],[OriginalBudget]]</f>
        <v>-320</v>
      </c>
      <c r="L1420" s="11">
        <f>allFYsTable[[#This Row],[DiffAmount]]/allFYsTable[[#This Row],[OriginalBudget]]</f>
        <v>-0.19488428745432398</v>
      </c>
    </row>
    <row r="1421" spans="1:12" x14ac:dyDescent="0.45">
      <c r="A1421" t="s">
        <v>1028</v>
      </c>
      <c r="B1421" t="s">
        <v>11</v>
      </c>
      <c r="C1421" t="s">
        <v>726</v>
      </c>
      <c r="D1421" t="s">
        <v>210</v>
      </c>
      <c r="E1421">
        <v>2200</v>
      </c>
      <c r="F1421">
        <v>2200</v>
      </c>
      <c r="G1421">
        <v>2123</v>
      </c>
      <c r="H1421">
        <v>77</v>
      </c>
      <c r="I1421">
        <v>2017</v>
      </c>
      <c r="J1421">
        <v>7</v>
      </c>
      <c r="K1421">
        <f>allFYsTable[[#This Row],[Actual]]-allFYsTable[[#This Row],[OriginalBudget]]</f>
        <v>-77</v>
      </c>
      <c r="L1421" s="11">
        <f>allFYsTable[[#This Row],[DiffAmount]]/allFYsTable[[#This Row],[OriginalBudget]]</f>
        <v>-3.5000000000000003E-2</v>
      </c>
    </row>
    <row r="1422" spans="1:12" x14ac:dyDescent="0.45">
      <c r="A1422" t="s">
        <v>1028</v>
      </c>
      <c r="B1422" t="s">
        <v>11</v>
      </c>
      <c r="C1422" t="s">
        <v>725</v>
      </c>
      <c r="D1422" t="s">
        <v>104</v>
      </c>
      <c r="E1422">
        <v>2649</v>
      </c>
      <c r="F1422">
        <v>2674</v>
      </c>
      <c r="G1422">
        <v>2666</v>
      </c>
      <c r="H1422">
        <v>8</v>
      </c>
      <c r="I1422">
        <v>2017</v>
      </c>
      <c r="J1422">
        <v>8</v>
      </c>
      <c r="K1422">
        <f>allFYsTable[[#This Row],[Actual]]-allFYsTable[[#This Row],[OriginalBudget]]</f>
        <v>17</v>
      </c>
      <c r="L1422" s="11">
        <f>allFYsTable[[#This Row],[DiffAmount]]/allFYsTable[[#This Row],[OriginalBudget]]</f>
        <v>6.4175160437901094E-3</v>
      </c>
    </row>
    <row r="1423" spans="1:12" x14ac:dyDescent="0.45">
      <c r="A1423" t="s">
        <v>1028</v>
      </c>
      <c r="B1423" t="s">
        <v>11</v>
      </c>
      <c r="C1423" t="s">
        <v>724</v>
      </c>
      <c r="D1423" t="s">
        <v>105</v>
      </c>
      <c r="E1423">
        <v>16154</v>
      </c>
      <c r="F1423">
        <v>14073</v>
      </c>
      <c r="G1423">
        <v>13807</v>
      </c>
      <c r="H1423">
        <v>266</v>
      </c>
      <c r="I1423">
        <v>2017</v>
      </c>
      <c r="J1423">
        <v>9</v>
      </c>
      <c r="K1423">
        <f>allFYsTable[[#This Row],[Actual]]-allFYsTable[[#This Row],[OriginalBudget]]</f>
        <v>-2347</v>
      </c>
      <c r="L1423" s="11">
        <f>allFYsTable[[#This Row],[DiffAmount]]/allFYsTable[[#This Row],[OriginalBudget]]</f>
        <v>-0.14528909248483349</v>
      </c>
    </row>
    <row r="1424" spans="1:12" x14ac:dyDescent="0.45">
      <c r="A1424" t="s">
        <v>1028</v>
      </c>
      <c r="B1424" t="s">
        <v>11</v>
      </c>
      <c r="C1424" t="s">
        <v>701</v>
      </c>
      <c r="D1424" t="s">
        <v>106</v>
      </c>
      <c r="E1424">
        <v>2072</v>
      </c>
      <c r="F1424">
        <v>1870</v>
      </c>
      <c r="G1424">
        <v>1869</v>
      </c>
      <c r="H1424">
        <v>1</v>
      </c>
      <c r="I1424">
        <v>2017</v>
      </c>
      <c r="J1424">
        <v>10</v>
      </c>
      <c r="K1424">
        <f>allFYsTable[[#This Row],[Actual]]-allFYsTable[[#This Row],[OriginalBudget]]</f>
        <v>-203</v>
      </c>
      <c r="L1424" s="11">
        <f>allFYsTable[[#This Row],[DiffAmount]]/allFYsTable[[#This Row],[OriginalBudget]]</f>
        <v>-9.7972972972972971E-2</v>
      </c>
    </row>
    <row r="1425" spans="1:12" x14ac:dyDescent="0.45">
      <c r="A1425" t="s">
        <v>1028</v>
      </c>
      <c r="B1425" t="s">
        <v>11</v>
      </c>
      <c r="C1425" t="s">
        <v>722</v>
      </c>
      <c r="D1425" t="s">
        <v>164</v>
      </c>
      <c r="E1425">
        <v>7069</v>
      </c>
      <c r="F1425">
        <v>7069</v>
      </c>
      <c r="G1425">
        <v>6894</v>
      </c>
      <c r="H1425">
        <v>175</v>
      </c>
      <c r="I1425">
        <v>2017</v>
      </c>
      <c r="J1425">
        <v>11</v>
      </c>
      <c r="K1425">
        <f>allFYsTable[[#This Row],[Actual]]-allFYsTable[[#This Row],[OriginalBudget]]</f>
        <v>-175</v>
      </c>
      <c r="L1425" s="11">
        <f>allFYsTable[[#This Row],[DiffAmount]]/allFYsTable[[#This Row],[OriginalBudget]]</f>
        <v>-2.4755976800113169E-2</v>
      </c>
    </row>
    <row r="1426" spans="1:12" x14ac:dyDescent="0.45">
      <c r="A1426" t="s">
        <v>1028</v>
      </c>
      <c r="B1426" t="s">
        <v>11</v>
      </c>
      <c r="C1426" t="s">
        <v>704</v>
      </c>
      <c r="D1426" t="s">
        <v>211</v>
      </c>
      <c r="E1426">
        <v>8428</v>
      </c>
      <c r="F1426">
        <v>9683</v>
      </c>
      <c r="G1426">
        <v>9654</v>
      </c>
      <c r="H1426">
        <v>29</v>
      </c>
      <c r="I1426">
        <v>2017</v>
      </c>
      <c r="J1426">
        <v>12</v>
      </c>
      <c r="K1426">
        <f>allFYsTable[[#This Row],[Actual]]-allFYsTable[[#This Row],[OriginalBudget]]</f>
        <v>1226</v>
      </c>
      <c r="L1426" s="11">
        <f>allFYsTable[[#This Row],[DiffAmount]]/allFYsTable[[#This Row],[OriginalBudget]]</f>
        <v>0.14546748932130993</v>
      </c>
    </row>
    <row r="1427" spans="1:12" x14ac:dyDescent="0.45">
      <c r="A1427" t="s">
        <v>1028</v>
      </c>
      <c r="B1427" t="s">
        <v>11</v>
      </c>
      <c r="C1427" t="s">
        <v>716</v>
      </c>
      <c r="D1427" t="s">
        <v>184</v>
      </c>
      <c r="E1427">
        <v>23380</v>
      </c>
      <c r="F1427">
        <v>23275</v>
      </c>
      <c r="G1427">
        <v>23230</v>
      </c>
      <c r="H1427">
        <v>45</v>
      </c>
      <c r="I1427">
        <v>2017</v>
      </c>
      <c r="J1427">
        <v>13</v>
      </c>
      <c r="K1427">
        <f>allFYsTable[[#This Row],[Actual]]-allFYsTable[[#This Row],[OriginalBudget]]</f>
        <v>-150</v>
      </c>
      <c r="L1427" s="11">
        <f>allFYsTable[[#This Row],[DiffAmount]]/allFYsTable[[#This Row],[OriginalBudget]]</f>
        <v>-6.4157399486740804E-3</v>
      </c>
    </row>
    <row r="1428" spans="1:12" x14ac:dyDescent="0.45">
      <c r="A1428" t="s">
        <v>1028</v>
      </c>
      <c r="B1428" t="s">
        <v>11</v>
      </c>
      <c r="C1428" t="s">
        <v>705</v>
      </c>
      <c r="D1428" t="s">
        <v>110</v>
      </c>
      <c r="E1428">
        <v>314156</v>
      </c>
      <c r="F1428">
        <v>330738</v>
      </c>
      <c r="G1428">
        <v>327877</v>
      </c>
      <c r="H1428">
        <v>2861</v>
      </c>
      <c r="I1428">
        <v>2017</v>
      </c>
      <c r="J1428">
        <v>14</v>
      </c>
      <c r="K1428">
        <f>allFYsTable[[#This Row],[Actual]]-allFYsTable[[#This Row],[OriginalBudget]]</f>
        <v>13721</v>
      </c>
      <c r="L1428" s="11">
        <f>allFYsTable[[#This Row],[DiffAmount]]/allFYsTable[[#This Row],[OriginalBudget]]</f>
        <v>4.3675753447331898E-2</v>
      </c>
    </row>
    <row r="1429" spans="1:12" x14ac:dyDescent="0.45">
      <c r="A1429" t="s">
        <v>1028</v>
      </c>
      <c r="B1429" t="s">
        <v>11</v>
      </c>
      <c r="C1429" t="s">
        <v>713</v>
      </c>
      <c r="D1429" t="s">
        <v>111</v>
      </c>
      <c r="E1429">
        <v>23446</v>
      </c>
      <c r="F1429">
        <v>22836</v>
      </c>
      <c r="G1429">
        <v>22664</v>
      </c>
      <c r="H1429">
        <v>172</v>
      </c>
      <c r="I1429">
        <v>2017</v>
      </c>
      <c r="J1429">
        <v>15</v>
      </c>
      <c r="K1429">
        <f>allFYsTable[[#This Row],[Actual]]-allFYsTable[[#This Row],[OriginalBudget]]</f>
        <v>-782</v>
      </c>
      <c r="L1429" s="11">
        <f>allFYsTable[[#This Row],[DiffAmount]]/allFYsTable[[#This Row],[OriginalBudget]]</f>
        <v>-3.3353237225966052E-2</v>
      </c>
    </row>
    <row r="1430" spans="1:12" x14ac:dyDescent="0.45">
      <c r="A1430" t="s">
        <v>1028</v>
      </c>
      <c r="B1430" t="s">
        <v>11</v>
      </c>
      <c r="C1430" t="s">
        <v>702</v>
      </c>
      <c r="D1430" t="s">
        <v>112</v>
      </c>
      <c r="E1430">
        <v>1492</v>
      </c>
      <c r="F1430">
        <v>1492</v>
      </c>
      <c r="G1430">
        <v>1453</v>
      </c>
      <c r="H1430">
        <v>39</v>
      </c>
      <c r="I1430">
        <v>2017</v>
      </c>
      <c r="J1430">
        <v>16</v>
      </c>
      <c r="K1430">
        <f>allFYsTable[[#This Row],[Actual]]-allFYsTable[[#This Row],[OriginalBudget]]</f>
        <v>-39</v>
      </c>
      <c r="L1430" s="11">
        <f>allFYsTable[[#This Row],[DiffAmount]]/allFYsTable[[#This Row],[OriginalBudget]]</f>
        <v>-2.613941018766756E-2</v>
      </c>
    </row>
    <row r="1431" spans="1:12" x14ac:dyDescent="0.45">
      <c r="A1431" t="s">
        <v>1028</v>
      </c>
      <c r="B1431" t="s">
        <v>11</v>
      </c>
      <c r="C1431" t="s">
        <v>720</v>
      </c>
      <c r="D1431" t="s">
        <v>113</v>
      </c>
      <c r="E1431">
        <v>124986</v>
      </c>
      <c r="F1431">
        <v>124933</v>
      </c>
      <c r="G1431">
        <v>124908</v>
      </c>
      <c r="H1431">
        <v>25</v>
      </c>
      <c r="I1431">
        <v>2017</v>
      </c>
      <c r="J1431">
        <v>17</v>
      </c>
      <c r="K1431">
        <f>allFYsTable[[#This Row],[Actual]]-allFYsTable[[#This Row],[OriginalBudget]]</f>
        <v>-78</v>
      </c>
      <c r="L1431" s="11">
        <f>allFYsTable[[#This Row],[DiffAmount]]/allFYsTable[[#This Row],[OriginalBudget]]</f>
        <v>-6.2406989582833273E-4</v>
      </c>
    </row>
    <row r="1432" spans="1:12" x14ac:dyDescent="0.45">
      <c r="A1432" t="s">
        <v>1028</v>
      </c>
      <c r="B1432" t="s">
        <v>11</v>
      </c>
      <c r="C1432" t="s">
        <v>719</v>
      </c>
      <c r="D1432" t="s">
        <v>114</v>
      </c>
      <c r="E1432">
        <v>61459</v>
      </c>
      <c r="F1432">
        <v>60459</v>
      </c>
      <c r="G1432">
        <v>56616</v>
      </c>
      <c r="H1432">
        <v>3843</v>
      </c>
      <c r="I1432">
        <v>2017</v>
      </c>
      <c r="J1432">
        <v>18</v>
      </c>
      <c r="K1432">
        <f>allFYsTable[[#This Row],[Actual]]-allFYsTable[[#This Row],[OriginalBudget]]</f>
        <v>-4843</v>
      </c>
      <c r="L1432" s="11">
        <f>allFYsTable[[#This Row],[DiffAmount]]/allFYsTable[[#This Row],[OriginalBudget]]</f>
        <v>-7.8800501147106197E-2</v>
      </c>
    </row>
    <row r="1433" spans="1:12" x14ac:dyDescent="0.45">
      <c r="A1433" t="s">
        <v>1028</v>
      </c>
      <c r="B1433" t="s">
        <v>11</v>
      </c>
      <c r="C1433" t="s">
        <v>718</v>
      </c>
      <c r="D1433" t="s">
        <v>115</v>
      </c>
      <c r="E1433">
        <v>3973</v>
      </c>
      <c r="F1433">
        <v>3973</v>
      </c>
      <c r="G1433">
        <v>3893</v>
      </c>
      <c r="H1433">
        <v>80</v>
      </c>
      <c r="I1433">
        <v>2017</v>
      </c>
      <c r="J1433">
        <v>19</v>
      </c>
      <c r="K1433">
        <f>allFYsTable[[#This Row],[Actual]]-allFYsTable[[#This Row],[OriginalBudget]]</f>
        <v>-80</v>
      </c>
      <c r="L1433" s="11">
        <f>allFYsTable[[#This Row],[DiffAmount]]/allFYsTable[[#This Row],[OriginalBudget]]</f>
        <v>-2.0135917442738484E-2</v>
      </c>
    </row>
    <row r="1434" spans="1:12" x14ac:dyDescent="0.45">
      <c r="A1434" t="s">
        <v>1028</v>
      </c>
      <c r="B1434" t="s">
        <v>11</v>
      </c>
      <c r="C1434" t="s">
        <v>714</v>
      </c>
      <c r="D1434" t="s">
        <v>116</v>
      </c>
      <c r="E1434">
        <v>1103</v>
      </c>
      <c r="F1434">
        <v>1104</v>
      </c>
      <c r="G1434">
        <v>1041</v>
      </c>
      <c r="H1434">
        <v>63</v>
      </c>
      <c r="I1434">
        <v>2017</v>
      </c>
      <c r="J1434">
        <v>20</v>
      </c>
      <c r="K1434">
        <f>allFYsTable[[#This Row],[Actual]]-allFYsTable[[#This Row],[OriginalBudget]]</f>
        <v>-62</v>
      </c>
      <c r="L1434" s="11">
        <f>allFYsTable[[#This Row],[DiffAmount]]/allFYsTable[[#This Row],[OriginalBudget]]</f>
        <v>-5.6210335448776065E-2</v>
      </c>
    </row>
    <row r="1435" spans="1:12" x14ac:dyDescent="0.45">
      <c r="A1435" t="s">
        <v>1028</v>
      </c>
      <c r="B1435" t="s">
        <v>11</v>
      </c>
      <c r="C1435" t="s">
        <v>733</v>
      </c>
      <c r="D1435" t="s">
        <v>117</v>
      </c>
      <c r="E1435">
        <v>50</v>
      </c>
      <c r="F1435">
        <v>50</v>
      </c>
      <c r="G1435">
        <v>47</v>
      </c>
      <c r="H1435">
        <v>3</v>
      </c>
      <c r="I1435">
        <v>2017</v>
      </c>
      <c r="J1435">
        <v>21</v>
      </c>
      <c r="K1435">
        <f>allFYsTable[[#This Row],[Actual]]-allFYsTable[[#This Row],[OriginalBudget]]</f>
        <v>-3</v>
      </c>
      <c r="L1435" s="11">
        <f>allFYsTable[[#This Row],[DiffAmount]]/allFYsTable[[#This Row],[OriginalBudget]]</f>
        <v>-0.06</v>
      </c>
    </row>
    <row r="1436" spans="1:12" x14ac:dyDescent="0.45">
      <c r="A1436" t="s">
        <v>1028</v>
      </c>
      <c r="B1436" t="s">
        <v>11</v>
      </c>
      <c r="C1436" t="s">
        <v>721</v>
      </c>
      <c r="D1436" t="s">
        <v>118</v>
      </c>
      <c r="E1436">
        <v>65603</v>
      </c>
      <c r="F1436">
        <v>66058</v>
      </c>
      <c r="G1436">
        <v>65740</v>
      </c>
      <c r="H1436">
        <v>318</v>
      </c>
      <c r="I1436">
        <v>2017</v>
      </c>
      <c r="J1436">
        <v>22</v>
      </c>
      <c r="K1436">
        <f>allFYsTable[[#This Row],[Actual]]-allFYsTable[[#This Row],[OriginalBudget]]</f>
        <v>137</v>
      </c>
      <c r="L1436" s="11">
        <f>allFYsTable[[#This Row],[DiffAmount]]/allFYsTable[[#This Row],[OriginalBudget]]</f>
        <v>2.0883191317470238E-3</v>
      </c>
    </row>
    <row r="1437" spans="1:12" x14ac:dyDescent="0.45">
      <c r="A1437" t="s">
        <v>1028</v>
      </c>
      <c r="B1437" t="s">
        <v>11</v>
      </c>
      <c r="C1437" t="s">
        <v>699</v>
      </c>
      <c r="D1437" t="s">
        <v>119</v>
      </c>
      <c r="E1437">
        <v>7623</v>
      </c>
      <c r="F1437">
        <v>7733</v>
      </c>
      <c r="G1437">
        <v>7662</v>
      </c>
      <c r="H1437">
        <v>71</v>
      </c>
      <c r="I1437">
        <v>2017</v>
      </c>
      <c r="J1437">
        <v>23</v>
      </c>
      <c r="K1437">
        <f>allFYsTable[[#This Row],[Actual]]-allFYsTable[[#This Row],[OriginalBudget]]</f>
        <v>39</v>
      </c>
      <c r="L1437" s="11">
        <f>allFYsTable[[#This Row],[DiffAmount]]/allFYsTable[[#This Row],[OriginalBudget]]</f>
        <v>5.1160960251869347E-3</v>
      </c>
    </row>
    <row r="1438" spans="1:12" x14ac:dyDescent="0.45">
      <c r="A1438" t="s">
        <v>1028</v>
      </c>
      <c r="B1438" t="s">
        <v>11</v>
      </c>
      <c r="C1438" t="s">
        <v>712</v>
      </c>
      <c r="D1438" t="s">
        <v>120</v>
      </c>
      <c r="E1438">
        <v>2833</v>
      </c>
      <c r="F1438">
        <v>2833</v>
      </c>
      <c r="G1438">
        <v>2688</v>
      </c>
      <c r="H1438">
        <v>145</v>
      </c>
      <c r="I1438">
        <v>2017</v>
      </c>
      <c r="J1438">
        <v>24</v>
      </c>
      <c r="K1438">
        <f>allFYsTable[[#This Row],[Actual]]-allFYsTable[[#This Row],[OriginalBudget]]</f>
        <v>-145</v>
      </c>
      <c r="L1438" s="11">
        <f>allFYsTable[[#This Row],[DiffAmount]]/allFYsTable[[#This Row],[OriginalBudget]]</f>
        <v>-5.1182492057889162E-2</v>
      </c>
    </row>
    <row r="1439" spans="1:12" x14ac:dyDescent="0.45">
      <c r="A1439" t="s">
        <v>1028</v>
      </c>
      <c r="B1439" t="s">
        <v>11</v>
      </c>
      <c r="C1439" t="s">
        <v>730</v>
      </c>
      <c r="D1439" t="s">
        <v>125</v>
      </c>
      <c r="E1439">
        <v>1318</v>
      </c>
      <c r="F1439">
        <v>1318</v>
      </c>
      <c r="G1439">
        <v>1279</v>
      </c>
      <c r="H1439">
        <v>39</v>
      </c>
      <c r="I1439">
        <v>2017</v>
      </c>
      <c r="J1439">
        <v>25</v>
      </c>
      <c r="K1439">
        <f>allFYsTable[[#This Row],[Actual]]-allFYsTable[[#This Row],[OriginalBudget]]</f>
        <v>-39</v>
      </c>
      <c r="L1439" s="11">
        <f>allFYsTable[[#This Row],[DiffAmount]]/allFYsTable[[#This Row],[OriginalBudget]]</f>
        <v>-2.959028831562974E-2</v>
      </c>
    </row>
    <row r="1440" spans="1:12" x14ac:dyDescent="0.45">
      <c r="A1440" t="s">
        <v>1028</v>
      </c>
      <c r="B1440" t="s">
        <v>11</v>
      </c>
      <c r="C1440" t="s">
        <v>715</v>
      </c>
      <c r="D1440" t="s">
        <v>126</v>
      </c>
      <c r="E1440">
        <v>1815</v>
      </c>
      <c r="F1440">
        <v>1815</v>
      </c>
      <c r="G1440">
        <v>1767</v>
      </c>
      <c r="H1440">
        <v>48</v>
      </c>
      <c r="I1440">
        <v>2017</v>
      </c>
      <c r="J1440">
        <v>26</v>
      </c>
      <c r="K1440">
        <f>allFYsTable[[#This Row],[Actual]]-allFYsTable[[#This Row],[OriginalBudget]]</f>
        <v>-48</v>
      </c>
      <c r="L1440" s="11">
        <f>allFYsTable[[#This Row],[DiffAmount]]/allFYsTable[[#This Row],[OriginalBudget]]</f>
        <v>-2.6446280991735537E-2</v>
      </c>
    </row>
    <row r="1441" spans="1:12" x14ac:dyDescent="0.45">
      <c r="A1441" t="s">
        <v>1028</v>
      </c>
      <c r="B1441" t="s">
        <v>11</v>
      </c>
      <c r="C1441" t="s">
        <v>709</v>
      </c>
      <c r="D1441" t="s">
        <v>127</v>
      </c>
      <c r="E1441">
        <v>495</v>
      </c>
      <c r="F1441">
        <v>495</v>
      </c>
      <c r="G1441">
        <v>495</v>
      </c>
      <c r="H1441">
        <v>0</v>
      </c>
      <c r="I1441">
        <v>2017</v>
      </c>
      <c r="J1441">
        <v>27</v>
      </c>
      <c r="K1441">
        <f>allFYsTable[[#This Row],[Actual]]-allFYsTable[[#This Row],[OriginalBudget]]</f>
        <v>0</v>
      </c>
      <c r="L1441" s="11">
        <f>allFYsTable[[#This Row],[DiffAmount]]/allFYsTable[[#This Row],[OriginalBudget]]</f>
        <v>0</v>
      </c>
    </row>
    <row r="1442" spans="1:12" x14ac:dyDescent="0.45">
      <c r="A1442" t="s">
        <v>1028</v>
      </c>
      <c r="B1442" t="s">
        <v>11</v>
      </c>
      <c r="C1442" t="s">
        <v>840</v>
      </c>
      <c r="D1442" t="s">
        <v>185</v>
      </c>
      <c r="E1442">
        <v>2946</v>
      </c>
      <c r="F1442">
        <v>3061</v>
      </c>
      <c r="G1442">
        <v>2671</v>
      </c>
      <c r="H1442">
        <v>390</v>
      </c>
      <c r="I1442">
        <v>2017</v>
      </c>
      <c r="J1442">
        <v>28</v>
      </c>
      <c r="K1442">
        <f>allFYsTable[[#This Row],[Actual]]-allFYsTable[[#This Row],[OriginalBudget]]</f>
        <v>-275</v>
      </c>
      <c r="L1442" s="11">
        <f>allFYsTable[[#This Row],[DiffAmount]]/allFYsTable[[#This Row],[OriginalBudget]]</f>
        <v>-9.3346911065852009E-2</v>
      </c>
    </row>
    <row r="1443" spans="1:12" x14ac:dyDescent="0.45">
      <c r="A1443" t="s">
        <v>1028</v>
      </c>
      <c r="B1443" t="s">
        <v>11</v>
      </c>
      <c r="C1443" t="s">
        <v>700</v>
      </c>
      <c r="D1443" t="s">
        <v>212</v>
      </c>
      <c r="E1443">
        <v>1910</v>
      </c>
      <c r="F1443">
        <v>2110</v>
      </c>
      <c r="G1443">
        <v>2071</v>
      </c>
      <c r="H1443">
        <v>39</v>
      </c>
      <c r="I1443">
        <v>2017</v>
      </c>
      <c r="J1443">
        <v>29</v>
      </c>
      <c r="K1443">
        <f>allFYsTable[[#This Row],[Actual]]-allFYsTable[[#This Row],[OriginalBudget]]</f>
        <v>161</v>
      </c>
      <c r="L1443" s="11">
        <f>allFYsTable[[#This Row],[DiffAmount]]/allFYsTable[[#This Row],[OriginalBudget]]</f>
        <v>8.429319371727749E-2</v>
      </c>
    </row>
    <row r="1444" spans="1:12" x14ac:dyDescent="0.45">
      <c r="A1444" t="s">
        <v>1028</v>
      </c>
      <c r="B1444" t="s">
        <v>11</v>
      </c>
      <c r="C1444" t="s">
        <v>865</v>
      </c>
      <c r="D1444" t="s">
        <v>202</v>
      </c>
      <c r="E1444">
        <v>0</v>
      </c>
      <c r="F1444">
        <v>4346</v>
      </c>
      <c r="G1444">
        <v>4346</v>
      </c>
      <c r="H1444">
        <v>0</v>
      </c>
      <c r="I1444">
        <v>2017</v>
      </c>
      <c r="J1444">
        <v>30</v>
      </c>
      <c r="K1444">
        <f>allFYsTable[[#This Row],[Actual]]-allFYsTable[[#This Row],[OriginalBudget]]</f>
        <v>4346</v>
      </c>
      <c r="L1444" s="11" t="e">
        <f>allFYsTable[[#This Row],[DiffAmount]]/allFYsTable[[#This Row],[OriginalBudget]]</f>
        <v>#DIV/0!</v>
      </c>
    </row>
    <row r="1445" spans="1:12" x14ac:dyDescent="0.45">
      <c r="A1445" t="s">
        <v>1028</v>
      </c>
      <c r="B1445" t="s">
        <v>129</v>
      </c>
      <c r="C1445" t="s">
        <v>743</v>
      </c>
      <c r="D1445" t="s">
        <v>187</v>
      </c>
      <c r="E1445">
        <v>13801</v>
      </c>
      <c r="F1445">
        <v>16931</v>
      </c>
      <c r="G1445">
        <v>16461</v>
      </c>
      <c r="H1445">
        <v>470</v>
      </c>
      <c r="I1445">
        <v>2017</v>
      </c>
      <c r="J1445">
        <v>31</v>
      </c>
      <c r="K1445">
        <f>allFYsTable[[#This Row],[Actual]]-allFYsTable[[#This Row],[OriginalBudget]]</f>
        <v>2660</v>
      </c>
      <c r="L1445" s="11">
        <f>allFYsTable[[#This Row],[DiffAmount]]/allFYsTable[[#This Row],[OriginalBudget]]</f>
        <v>0.19273965654662706</v>
      </c>
    </row>
    <row r="1446" spans="1:12" x14ac:dyDescent="0.45">
      <c r="A1446" t="s">
        <v>1028</v>
      </c>
      <c r="B1446" t="s">
        <v>129</v>
      </c>
      <c r="C1446" t="s">
        <v>738</v>
      </c>
      <c r="D1446" t="s">
        <v>22</v>
      </c>
      <c r="E1446">
        <v>11157</v>
      </c>
      <c r="F1446">
        <v>10687</v>
      </c>
      <c r="G1446">
        <v>10554</v>
      </c>
      <c r="H1446">
        <v>133</v>
      </c>
      <c r="I1446">
        <v>2017</v>
      </c>
      <c r="J1446">
        <v>32</v>
      </c>
      <c r="K1446">
        <f>allFYsTable[[#This Row],[Actual]]-allFYsTable[[#This Row],[OriginalBudget]]</f>
        <v>-603</v>
      </c>
      <c r="L1446" s="11">
        <f>allFYsTable[[#This Row],[DiffAmount]]/allFYsTable[[#This Row],[OriginalBudget]]</f>
        <v>-5.4046786770637269E-2</v>
      </c>
    </row>
    <row r="1447" spans="1:12" x14ac:dyDescent="0.45">
      <c r="A1447" t="s">
        <v>1028</v>
      </c>
      <c r="B1447" t="s">
        <v>129</v>
      </c>
      <c r="C1447" t="s">
        <v>742</v>
      </c>
      <c r="D1447" t="s">
        <v>26</v>
      </c>
      <c r="E1447">
        <v>9459</v>
      </c>
      <c r="F1447">
        <v>9382</v>
      </c>
      <c r="G1447">
        <v>9106</v>
      </c>
      <c r="H1447">
        <v>276</v>
      </c>
      <c r="I1447">
        <v>2017</v>
      </c>
      <c r="J1447">
        <v>33</v>
      </c>
      <c r="K1447">
        <f>allFYsTable[[#This Row],[Actual]]-allFYsTable[[#This Row],[OriginalBudget]]</f>
        <v>-353</v>
      </c>
      <c r="L1447" s="11">
        <f>allFYsTable[[#This Row],[DiffAmount]]/allFYsTable[[#This Row],[OriginalBudget]]</f>
        <v>-3.7318955492123905E-2</v>
      </c>
    </row>
    <row r="1448" spans="1:12" x14ac:dyDescent="0.45">
      <c r="A1448" t="s">
        <v>1028</v>
      </c>
      <c r="B1448" t="s">
        <v>129</v>
      </c>
      <c r="C1448" t="s">
        <v>744</v>
      </c>
      <c r="D1448" t="s">
        <v>29</v>
      </c>
      <c r="E1448">
        <v>2915</v>
      </c>
      <c r="F1448">
        <v>3080</v>
      </c>
      <c r="G1448">
        <v>3050</v>
      </c>
      <c r="H1448">
        <v>30</v>
      </c>
      <c r="I1448">
        <v>2017</v>
      </c>
      <c r="J1448">
        <v>34</v>
      </c>
      <c r="K1448">
        <f>allFYsTable[[#This Row],[Actual]]-allFYsTable[[#This Row],[OriginalBudget]]</f>
        <v>135</v>
      </c>
      <c r="L1448" s="11">
        <f>allFYsTable[[#This Row],[DiffAmount]]/allFYsTable[[#This Row],[OriginalBudget]]</f>
        <v>4.6312178387650088E-2</v>
      </c>
    </row>
    <row r="1449" spans="1:12" x14ac:dyDescent="0.45">
      <c r="A1449" t="s">
        <v>1028</v>
      </c>
      <c r="B1449" t="s">
        <v>129</v>
      </c>
      <c r="C1449" t="s">
        <v>737</v>
      </c>
      <c r="D1449" t="s">
        <v>21</v>
      </c>
      <c r="E1449">
        <v>10084</v>
      </c>
      <c r="F1449">
        <v>19178</v>
      </c>
      <c r="G1449">
        <v>19173</v>
      </c>
      <c r="H1449">
        <v>5</v>
      </c>
      <c r="I1449">
        <v>2017</v>
      </c>
      <c r="J1449">
        <v>35</v>
      </c>
      <c r="K1449">
        <f>allFYsTable[[#This Row],[Actual]]-allFYsTable[[#This Row],[OriginalBudget]]</f>
        <v>9089</v>
      </c>
      <c r="L1449" s="11">
        <f>allFYsTable[[#This Row],[DiffAmount]]/allFYsTable[[#This Row],[OriginalBudget]]</f>
        <v>0.90132883776279249</v>
      </c>
    </row>
    <row r="1450" spans="1:12" x14ac:dyDescent="0.45">
      <c r="A1450" t="s">
        <v>1028</v>
      </c>
      <c r="B1450" t="s">
        <v>129</v>
      </c>
      <c r="C1450" t="s">
        <v>741</v>
      </c>
      <c r="D1450" t="s">
        <v>188</v>
      </c>
      <c r="E1450">
        <v>1625</v>
      </c>
      <c r="F1450">
        <v>4182</v>
      </c>
      <c r="G1450">
        <v>4181</v>
      </c>
      <c r="H1450">
        <v>1</v>
      </c>
      <c r="I1450">
        <v>2017</v>
      </c>
      <c r="J1450">
        <v>36</v>
      </c>
      <c r="K1450">
        <f>allFYsTable[[#This Row],[Actual]]-allFYsTable[[#This Row],[OriginalBudget]]</f>
        <v>2556</v>
      </c>
      <c r="L1450" s="11">
        <f>allFYsTable[[#This Row],[DiffAmount]]/allFYsTable[[#This Row],[OriginalBudget]]</f>
        <v>1.5729230769230769</v>
      </c>
    </row>
    <row r="1451" spans="1:12" x14ac:dyDescent="0.45">
      <c r="A1451" t="s">
        <v>1028</v>
      </c>
      <c r="B1451" t="s">
        <v>129</v>
      </c>
      <c r="C1451" t="s">
        <v>769</v>
      </c>
      <c r="D1451" t="s">
        <v>55</v>
      </c>
      <c r="E1451">
        <v>63770</v>
      </c>
      <c r="F1451">
        <v>62265</v>
      </c>
      <c r="G1451">
        <v>61079</v>
      </c>
      <c r="H1451">
        <v>1186</v>
      </c>
      <c r="I1451">
        <v>2017</v>
      </c>
      <c r="J1451">
        <v>37</v>
      </c>
      <c r="K1451">
        <f>allFYsTable[[#This Row],[Actual]]-allFYsTable[[#This Row],[OriginalBudget]]</f>
        <v>-2691</v>
      </c>
      <c r="L1451" s="11">
        <f>allFYsTable[[#This Row],[DiffAmount]]/allFYsTable[[#This Row],[OriginalBudget]]</f>
        <v>-4.2198525952642306E-2</v>
      </c>
    </row>
    <row r="1452" spans="1:12" x14ac:dyDescent="0.45">
      <c r="A1452" t="s">
        <v>1028</v>
      </c>
      <c r="B1452" t="s">
        <v>129</v>
      </c>
      <c r="C1452" t="s">
        <v>745</v>
      </c>
      <c r="D1452" t="s">
        <v>30</v>
      </c>
      <c r="E1452">
        <v>1703</v>
      </c>
      <c r="F1452">
        <v>1663</v>
      </c>
      <c r="G1452">
        <v>1640</v>
      </c>
      <c r="H1452">
        <v>23</v>
      </c>
      <c r="I1452">
        <v>2017</v>
      </c>
      <c r="J1452">
        <v>38</v>
      </c>
      <c r="K1452">
        <f>allFYsTable[[#This Row],[Actual]]-allFYsTable[[#This Row],[OriginalBudget]]</f>
        <v>-63</v>
      </c>
      <c r="L1452" s="11">
        <f>allFYsTable[[#This Row],[DiffAmount]]/allFYsTable[[#This Row],[OriginalBudget]]</f>
        <v>-3.69935408103347E-2</v>
      </c>
    </row>
    <row r="1453" spans="1:12" x14ac:dyDescent="0.45">
      <c r="A1453" t="s">
        <v>1028</v>
      </c>
      <c r="B1453" t="s">
        <v>129</v>
      </c>
      <c r="C1453" t="s">
        <v>797</v>
      </c>
      <c r="D1453" t="s">
        <v>189</v>
      </c>
      <c r="E1453">
        <v>19988</v>
      </c>
      <c r="F1453">
        <v>19499</v>
      </c>
      <c r="G1453">
        <v>19317</v>
      </c>
      <c r="H1453">
        <v>182</v>
      </c>
      <c r="I1453">
        <v>2017</v>
      </c>
      <c r="J1453">
        <v>39</v>
      </c>
      <c r="K1453">
        <f>allFYsTable[[#This Row],[Actual]]-allFYsTable[[#This Row],[OriginalBudget]]</f>
        <v>-671</v>
      </c>
      <c r="L1453" s="11">
        <f>allFYsTable[[#This Row],[DiffAmount]]/allFYsTable[[#This Row],[OriginalBudget]]</f>
        <v>-3.3570142085251151E-2</v>
      </c>
    </row>
    <row r="1454" spans="1:12" x14ac:dyDescent="0.45">
      <c r="A1454" t="s">
        <v>1028</v>
      </c>
      <c r="B1454" t="s">
        <v>129</v>
      </c>
      <c r="C1454" t="s">
        <v>795</v>
      </c>
      <c r="D1454" t="s">
        <v>72</v>
      </c>
      <c r="E1454">
        <v>1170</v>
      </c>
      <c r="F1454">
        <v>1170</v>
      </c>
      <c r="G1454">
        <v>1048</v>
      </c>
      <c r="H1454">
        <v>122</v>
      </c>
      <c r="I1454">
        <v>2017</v>
      </c>
      <c r="J1454">
        <v>40</v>
      </c>
      <c r="K1454">
        <f>allFYsTable[[#This Row],[Actual]]-allFYsTable[[#This Row],[OriginalBudget]]</f>
        <v>-122</v>
      </c>
      <c r="L1454" s="11">
        <f>allFYsTable[[#This Row],[DiffAmount]]/allFYsTable[[#This Row],[OriginalBudget]]</f>
        <v>-0.10427350427350428</v>
      </c>
    </row>
    <row r="1455" spans="1:12" x14ac:dyDescent="0.45">
      <c r="A1455" t="s">
        <v>1028</v>
      </c>
      <c r="B1455" t="s">
        <v>129</v>
      </c>
      <c r="C1455" t="s">
        <v>736</v>
      </c>
      <c r="D1455" t="s">
        <v>190</v>
      </c>
      <c r="E1455">
        <v>21055</v>
      </c>
      <c r="F1455">
        <v>20135</v>
      </c>
      <c r="G1455">
        <v>19884</v>
      </c>
      <c r="H1455">
        <v>251</v>
      </c>
      <c r="I1455">
        <v>2017</v>
      </c>
      <c r="J1455">
        <v>41</v>
      </c>
      <c r="K1455">
        <f>allFYsTable[[#This Row],[Actual]]-allFYsTable[[#This Row],[OriginalBudget]]</f>
        <v>-1171</v>
      </c>
      <c r="L1455" s="11">
        <f>allFYsTable[[#This Row],[DiffAmount]]/allFYsTable[[#This Row],[OriginalBudget]]</f>
        <v>-5.5616243172643076E-2</v>
      </c>
    </row>
    <row r="1456" spans="1:12" x14ac:dyDescent="0.45">
      <c r="A1456" t="s">
        <v>1028</v>
      </c>
      <c r="B1456" t="s">
        <v>129</v>
      </c>
      <c r="C1456" t="s">
        <v>739</v>
      </c>
      <c r="D1456" t="s">
        <v>23</v>
      </c>
      <c r="E1456">
        <v>69948</v>
      </c>
      <c r="F1456">
        <v>54625</v>
      </c>
      <c r="G1456">
        <v>54623</v>
      </c>
      <c r="H1456">
        <v>2</v>
      </c>
      <c r="I1456">
        <v>2017</v>
      </c>
      <c r="J1456">
        <v>42</v>
      </c>
      <c r="K1456">
        <f>allFYsTable[[#This Row],[Actual]]-allFYsTable[[#This Row],[OriginalBudget]]</f>
        <v>-15325</v>
      </c>
      <c r="L1456" s="11">
        <f>allFYsTable[[#This Row],[DiffAmount]]/allFYsTable[[#This Row],[OriginalBudget]]</f>
        <v>-0.21909132498427403</v>
      </c>
    </row>
    <row r="1457" spans="1:12" x14ac:dyDescent="0.45">
      <c r="A1457" t="s">
        <v>1028</v>
      </c>
      <c r="B1457" t="s">
        <v>129</v>
      </c>
      <c r="C1457" t="s">
        <v>734</v>
      </c>
      <c r="D1457" t="s">
        <v>12</v>
      </c>
      <c r="E1457">
        <v>0</v>
      </c>
      <c r="F1457">
        <v>0</v>
      </c>
      <c r="G1457">
        <v>0</v>
      </c>
      <c r="H1457">
        <v>0</v>
      </c>
      <c r="I1457">
        <v>2017</v>
      </c>
      <c r="J1457">
        <v>43</v>
      </c>
      <c r="K1457">
        <f>allFYsTable[[#This Row],[Actual]]-allFYsTable[[#This Row],[OriginalBudget]]</f>
        <v>0</v>
      </c>
      <c r="L1457" s="11" t="e">
        <f>allFYsTable[[#This Row],[DiffAmount]]/allFYsTable[[#This Row],[OriginalBudget]]</f>
        <v>#DIV/0!</v>
      </c>
    </row>
    <row r="1458" spans="1:12" x14ac:dyDescent="0.45">
      <c r="A1458" t="s">
        <v>1028</v>
      </c>
      <c r="B1458" t="s">
        <v>129</v>
      </c>
      <c r="C1458" t="s">
        <v>740</v>
      </c>
      <c r="D1458" t="s">
        <v>24</v>
      </c>
      <c r="E1458">
        <v>55054</v>
      </c>
      <c r="F1458">
        <v>42732</v>
      </c>
      <c r="G1458">
        <v>42732</v>
      </c>
      <c r="H1458">
        <v>0</v>
      </c>
      <c r="I1458">
        <v>2017</v>
      </c>
      <c r="J1458">
        <v>44</v>
      </c>
      <c r="K1458">
        <f>allFYsTable[[#This Row],[Actual]]-allFYsTable[[#This Row],[OriginalBudget]]</f>
        <v>-12322</v>
      </c>
      <c r="L1458" s="11">
        <f>allFYsTable[[#This Row],[DiffAmount]]/allFYsTable[[#This Row],[OriginalBudget]]</f>
        <v>-0.22381661641297634</v>
      </c>
    </row>
    <row r="1459" spans="1:12" x14ac:dyDescent="0.45">
      <c r="A1459" t="s">
        <v>1028</v>
      </c>
      <c r="B1459" t="s">
        <v>129</v>
      </c>
      <c r="C1459" t="s">
        <v>839</v>
      </c>
      <c r="D1459" t="s">
        <v>28</v>
      </c>
      <c r="E1459">
        <v>2983</v>
      </c>
      <c r="F1459">
        <v>3115</v>
      </c>
      <c r="G1459">
        <v>3075</v>
      </c>
      <c r="H1459">
        <v>40</v>
      </c>
      <c r="I1459">
        <v>2017</v>
      </c>
      <c r="J1459">
        <v>45</v>
      </c>
      <c r="K1459">
        <f>allFYsTable[[#This Row],[Actual]]-allFYsTable[[#This Row],[OriginalBudget]]</f>
        <v>92</v>
      </c>
      <c r="L1459" s="11">
        <f>allFYsTable[[#This Row],[DiffAmount]]/allFYsTable[[#This Row],[OriginalBudget]]</f>
        <v>3.0841434797184042E-2</v>
      </c>
    </row>
    <row r="1460" spans="1:12" x14ac:dyDescent="0.45">
      <c r="A1460" t="s">
        <v>1028</v>
      </c>
      <c r="B1460" t="s">
        <v>129</v>
      </c>
      <c r="C1460" t="s">
        <v>806</v>
      </c>
      <c r="D1460" t="s">
        <v>82</v>
      </c>
      <c r="E1460">
        <v>0</v>
      </c>
      <c r="F1460">
        <v>0</v>
      </c>
      <c r="G1460">
        <v>0</v>
      </c>
      <c r="H1460">
        <v>0</v>
      </c>
      <c r="I1460">
        <v>2017</v>
      </c>
      <c r="J1460">
        <v>46</v>
      </c>
      <c r="K1460">
        <f>allFYsTable[[#This Row],[Actual]]-allFYsTable[[#This Row],[OriginalBudget]]</f>
        <v>0</v>
      </c>
      <c r="L1460" s="11" t="e">
        <f>allFYsTable[[#This Row],[DiffAmount]]/allFYsTable[[#This Row],[OriginalBudget]]</f>
        <v>#DIV/0!</v>
      </c>
    </row>
    <row r="1461" spans="1:12" x14ac:dyDescent="0.45">
      <c r="A1461" t="s">
        <v>1028</v>
      </c>
      <c r="B1461" t="s">
        <v>129</v>
      </c>
      <c r="C1461" t="s">
        <v>800</v>
      </c>
      <c r="D1461" t="s">
        <v>76</v>
      </c>
      <c r="E1461">
        <v>0</v>
      </c>
      <c r="F1461">
        <v>0</v>
      </c>
      <c r="G1461">
        <v>0</v>
      </c>
      <c r="H1461">
        <v>0</v>
      </c>
      <c r="I1461">
        <v>2017</v>
      </c>
      <c r="J1461">
        <v>47</v>
      </c>
      <c r="K1461">
        <f>allFYsTable[[#This Row],[Actual]]-allFYsTable[[#This Row],[OriginalBudget]]</f>
        <v>0</v>
      </c>
      <c r="L1461" s="11" t="e">
        <f>allFYsTable[[#This Row],[DiffAmount]]/allFYsTable[[#This Row],[OriginalBudget]]</f>
        <v>#DIV/0!</v>
      </c>
    </row>
    <row r="1462" spans="1:12" x14ac:dyDescent="0.45">
      <c r="A1462" t="s">
        <v>1028</v>
      </c>
      <c r="B1462" t="s">
        <v>129</v>
      </c>
      <c r="C1462" t="s">
        <v>805</v>
      </c>
      <c r="D1462" t="s">
        <v>191</v>
      </c>
      <c r="E1462">
        <v>0</v>
      </c>
      <c r="F1462">
        <v>0</v>
      </c>
      <c r="G1462">
        <v>0</v>
      </c>
      <c r="H1462">
        <v>0</v>
      </c>
      <c r="I1462">
        <v>2017</v>
      </c>
      <c r="J1462">
        <v>48</v>
      </c>
      <c r="K1462">
        <f>allFYsTable[[#This Row],[Actual]]-allFYsTable[[#This Row],[OriginalBudget]]</f>
        <v>0</v>
      </c>
      <c r="L1462" s="11" t="e">
        <f>allFYsTable[[#This Row],[DiffAmount]]/allFYsTable[[#This Row],[OriginalBudget]]</f>
        <v>#DIV/0!</v>
      </c>
    </row>
    <row r="1463" spans="1:12" x14ac:dyDescent="0.45">
      <c r="A1463" t="s">
        <v>1028</v>
      </c>
      <c r="B1463" t="s">
        <v>6</v>
      </c>
      <c r="C1463" t="s">
        <v>758</v>
      </c>
      <c r="D1463" t="s">
        <v>44</v>
      </c>
      <c r="E1463">
        <v>516470</v>
      </c>
      <c r="F1463">
        <v>513272</v>
      </c>
      <c r="G1463">
        <v>507188</v>
      </c>
      <c r="H1463">
        <v>6084</v>
      </c>
      <c r="I1463">
        <v>2017</v>
      </c>
      <c r="J1463">
        <v>49</v>
      </c>
      <c r="K1463">
        <f>allFYsTable[[#This Row],[Actual]]-allFYsTable[[#This Row],[OriginalBudget]]</f>
        <v>-9282</v>
      </c>
      <c r="L1463" s="11">
        <f>allFYsTable[[#This Row],[DiffAmount]]/allFYsTable[[#This Row],[OriginalBudget]]</f>
        <v>-1.7972002246016226E-2</v>
      </c>
    </row>
    <row r="1464" spans="1:12" x14ac:dyDescent="0.45">
      <c r="A1464" t="s">
        <v>1028</v>
      </c>
      <c r="B1464" t="s">
        <v>6</v>
      </c>
      <c r="C1464" t="s">
        <v>755</v>
      </c>
      <c r="D1464" t="s">
        <v>131</v>
      </c>
      <c r="E1464">
        <v>249840</v>
      </c>
      <c r="F1464">
        <v>251115</v>
      </c>
      <c r="G1464">
        <v>248566</v>
      </c>
      <c r="H1464">
        <v>2549</v>
      </c>
      <c r="I1464">
        <v>2017</v>
      </c>
      <c r="J1464">
        <v>50</v>
      </c>
      <c r="K1464">
        <f>allFYsTable[[#This Row],[Actual]]-allFYsTable[[#This Row],[OriginalBudget]]</f>
        <v>-1274</v>
      </c>
      <c r="L1464" s="11">
        <f>allFYsTable[[#This Row],[DiffAmount]]/allFYsTable[[#This Row],[OriginalBudget]]</f>
        <v>-5.0992635286583416E-3</v>
      </c>
    </row>
    <row r="1465" spans="1:12" x14ac:dyDescent="0.45">
      <c r="A1465" t="s">
        <v>1028</v>
      </c>
      <c r="B1465" t="s">
        <v>6</v>
      </c>
      <c r="C1465" t="s">
        <v>768</v>
      </c>
      <c r="D1465" t="s">
        <v>915</v>
      </c>
      <c r="E1465">
        <v>146456</v>
      </c>
      <c r="F1465">
        <v>146456</v>
      </c>
      <c r="G1465">
        <v>145627</v>
      </c>
      <c r="H1465">
        <v>829</v>
      </c>
      <c r="I1465">
        <v>2017</v>
      </c>
      <c r="J1465">
        <v>51</v>
      </c>
      <c r="K1465">
        <f>allFYsTable[[#This Row],[Actual]]-allFYsTable[[#This Row],[OriginalBudget]]</f>
        <v>-829</v>
      </c>
      <c r="L1465" s="11">
        <f>allFYsTable[[#This Row],[DiffAmount]]/allFYsTable[[#This Row],[OriginalBudget]]</f>
        <v>-5.6604031244879005E-3</v>
      </c>
    </row>
    <row r="1466" spans="1:12" x14ac:dyDescent="0.45">
      <c r="A1466" t="s">
        <v>1028</v>
      </c>
      <c r="B1466" t="s">
        <v>6</v>
      </c>
      <c r="C1466" t="s">
        <v>759</v>
      </c>
      <c r="D1466" t="s">
        <v>133</v>
      </c>
      <c r="E1466">
        <v>8926</v>
      </c>
      <c r="F1466">
        <v>9133</v>
      </c>
      <c r="G1466">
        <v>9060</v>
      </c>
      <c r="H1466">
        <v>73</v>
      </c>
      <c r="I1466">
        <v>2017</v>
      </c>
      <c r="J1466">
        <v>52</v>
      </c>
      <c r="K1466">
        <f>allFYsTable[[#This Row],[Actual]]-allFYsTable[[#This Row],[OriginalBudget]]</f>
        <v>134</v>
      </c>
      <c r="L1466" s="11">
        <f>allFYsTable[[#This Row],[DiffAmount]]/allFYsTable[[#This Row],[OriginalBudget]]</f>
        <v>1.5012323549182164E-2</v>
      </c>
    </row>
    <row r="1467" spans="1:12" x14ac:dyDescent="0.45">
      <c r="A1467" t="s">
        <v>1028</v>
      </c>
      <c r="B1467" t="s">
        <v>6</v>
      </c>
      <c r="C1467" t="s">
        <v>749</v>
      </c>
      <c r="D1467" t="s">
        <v>35</v>
      </c>
      <c r="E1467">
        <v>630</v>
      </c>
      <c r="F1467">
        <v>630</v>
      </c>
      <c r="G1467">
        <v>558</v>
      </c>
      <c r="H1467">
        <v>72</v>
      </c>
      <c r="I1467">
        <v>2017</v>
      </c>
      <c r="J1467">
        <v>53</v>
      </c>
      <c r="K1467">
        <f>allFYsTable[[#This Row],[Actual]]-allFYsTable[[#This Row],[OriginalBudget]]</f>
        <v>-72</v>
      </c>
      <c r="L1467" s="11">
        <f>allFYsTable[[#This Row],[DiffAmount]]/allFYsTable[[#This Row],[OriginalBudget]]</f>
        <v>-0.11428571428571428</v>
      </c>
    </row>
    <row r="1468" spans="1:12" x14ac:dyDescent="0.45">
      <c r="A1468" t="s">
        <v>1028</v>
      </c>
      <c r="B1468" t="s">
        <v>6</v>
      </c>
      <c r="C1468" t="s">
        <v>747</v>
      </c>
      <c r="D1468" t="s">
        <v>33</v>
      </c>
      <c r="E1468">
        <v>497</v>
      </c>
      <c r="F1468">
        <v>497</v>
      </c>
      <c r="G1468">
        <v>451</v>
      </c>
      <c r="H1468">
        <v>46</v>
      </c>
      <c r="I1468">
        <v>2017</v>
      </c>
      <c r="J1468">
        <v>54</v>
      </c>
      <c r="K1468">
        <f>allFYsTable[[#This Row],[Actual]]-allFYsTable[[#This Row],[OriginalBudget]]</f>
        <v>-46</v>
      </c>
      <c r="L1468" s="11">
        <f>allFYsTable[[#This Row],[DiffAmount]]/allFYsTable[[#This Row],[OriginalBudget]]</f>
        <v>-9.2555331991951706E-2</v>
      </c>
    </row>
    <row r="1469" spans="1:12" x14ac:dyDescent="0.45">
      <c r="A1469" t="s">
        <v>1028</v>
      </c>
      <c r="B1469" t="s">
        <v>6</v>
      </c>
      <c r="C1469" t="s">
        <v>750</v>
      </c>
      <c r="D1469" t="s">
        <v>36</v>
      </c>
      <c r="E1469">
        <v>126404</v>
      </c>
      <c r="F1469">
        <v>135222</v>
      </c>
      <c r="G1469">
        <v>135051</v>
      </c>
      <c r="H1469">
        <v>171</v>
      </c>
      <c r="I1469">
        <v>2017</v>
      </c>
      <c r="J1469">
        <v>55</v>
      </c>
      <c r="K1469">
        <f>allFYsTable[[#This Row],[Actual]]-allFYsTable[[#This Row],[OriginalBudget]]</f>
        <v>8647</v>
      </c>
      <c r="L1469" s="11">
        <f>allFYsTable[[#This Row],[DiffAmount]]/allFYsTable[[#This Row],[OriginalBudget]]</f>
        <v>6.8407645327679498E-2</v>
      </c>
    </row>
    <row r="1470" spans="1:12" x14ac:dyDescent="0.45">
      <c r="A1470" t="s">
        <v>1028</v>
      </c>
      <c r="B1470" t="s">
        <v>6</v>
      </c>
      <c r="C1470" t="s">
        <v>764</v>
      </c>
      <c r="D1470" t="s">
        <v>50</v>
      </c>
      <c r="E1470">
        <v>11423</v>
      </c>
      <c r="F1470">
        <v>11534</v>
      </c>
      <c r="G1470">
        <v>11316</v>
      </c>
      <c r="H1470">
        <v>218</v>
      </c>
      <c r="I1470">
        <v>2017</v>
      </c>
      <c r="J1470">
        <v>56</v>
      </c>
      <c r="K1470">
        <f>allFYsTable[[#This Row],[Actual]]-allFYsTable[[#This Row],[OriginalBudget]]</f>
        <v>-107</v>
      </c>
      <c r="L1470" s="11">
        <f>allFYsTable[[#This Row],[DiffAmount]]/allFYsTable[[#This Row],[OriginalBudget]]</f>
        <v>-9.367066444891884E-3</v>
      </c>
    </row>
    <row r="1471" spans="1:12" x14ac:dyDescent="0.45">
      <c r="A1471" t="s">
        <v>1028</v>
      </c>
      <c r="B1471" t="s">
        <v>6</v>
      </c>
      <c r="C1471" t="s">
        <v>753</v>
      </c>
      <c r="D1471" t="s">
        <v>169</v>
      </c>
      <c r="E1471">
        <v>5140</v>
      </c>
      <c r="F1471">
        <v>5140</v>
      </c>
      <c r="G1471">
        <v>5088</v>
      </c>
      <c r="H1471">
        <v>52</v>
      </c>
      <c r="I1471">
        <v>2017</v>
      </c>
      <c r="J1471">
        <v>57</v>
      </c>
      <c r="K1471">
        <f>allFYsTable[[#This Row],[Actual]]-allFYsTable[[#This Row],[OriginalBudget]]</f>
        <v>-52</v>
      </c>
      <c r="L1471" s="11">
        <f>allFYsTable[[#This Row],[DiffAmount]]/allFYsTable[[#This Row],[OriginalBudget]]</f>
        <v>-1.0116731517509728E-2</v>
      </c>
    </row>
    <row r="1472" spans="1:12" x14ac:dyDescent="0.45">
      <c r="A1472" t="s">
        <v>1028</v>
      </c>
      <c r="B1472" t="s">
        <v>6</v>
      </c>
      <c r="C1472" t="s">
        <v>756</v>
      </c>
      <c r="D1472" t="s">
        <v>213</v>
      </c>
      <c r="E1472">
        <v>4667</v>
      </c>
      <c r="F1472">
        <v>4667</v>
      </c>
      <c r="G1472">
        <v>4665</v>
      </c>
      <c r="H1472">
        <v>2</v>
      </c>
      <c r="I1472">
        <v>2017</v>
      </c>
      <c r="J1472">
        <v>58</v>
      </c>
      <c r="K1472">
        <f>allFYsTable[[#This Row],[Actual]]-allFYsTable[[#This Row],[OriginalBudget]]</f>
        <v>-2</v>
      </c>
      <c r="L1472" s="11">
        <f>allFYsTable[[#This Row],[DiffAmount]]/allFYsTable[[#This Row],[OriginalBudget]]</f>
        <v>-4.2854081851296334E-4</v>
      </c>
    </row>
    <row r="1473" spans="1:12" x14ac:dyDescent="0.45">
      <c r="A1473" t="s">
        <v>1028</v>
      </c>
      <c r="B1473" t="s">
        <v>6</v>
      </c>
      <c r="C1473" t="s">
        <v>746</v>
      </c>
      <c r="D1473" t="s">
        <v>32</v>
      </c>
      <c r="E1473">
        <v>0</v>
      </c>
      <c r="F1473">
        <v>0</v>
      </c>
      <c r="G1473">
        <v>0</v>
      </c>
      <c r="H1473">
        <v>0</v>
      </c>
      <c r="I1473">
        <v>2017</v>
      </c>
      <c r="J1473">
        <v>59</v>
      </c>
      <c r="K1473">
        <f>allFYsTable[[#This Row],[Actual]]-allFYsTable[[#This Row],[OriginalBudget]]</f>
        <v>0</v>
      </c>
      <c r="L1473" s="11" t="e">
        <f>allFYsTable[[#This Row],[DiffAmount]]/allFYsTable[[#This Row],[OriginalBudget]]</f>
        <v>#DIV/0!</v>
      </c>
    </row>
    <row r="1474" spans="1:12" x14ac:dyDescent="0.45">
      <c r="A1474" t="s">
        <v>1028</v>
      </c>
      <c r="B1474" t="s">
        <v>6</v>
      </c>
      <c r="C1474" t="s">
        <v>757</v>
      </c>
      <c r="D1474" t="s">
        <v>43</v>
      </c>
      <c r="E1474">
        <v>0</v>
      </c>
      <c r="F1474">
        <v>0</v>
      </c>
      <c r="G1474">
        <v>0</v>
      </c>
      <c r="H1474">
        <v>0</v>
      </c>
      <c r="I1474">
        <v>2017</v>
      </c>
      <c r="J1474">
        <v>60</v>
      </c>
      <c r="K1474">
        <f>allFYsTable[[#This Row],[Actual]]-allFYsTable[[#This Row],[OriginalBudget]]</f>
        <v>0</v>
      </c>
      <c r="L1474" s="11" t="e">
        <f>allFYsTable[[#This Row],[DiffAmount]]/allFYsTable[[#This Row],[OriginalBudget]]</f>
        <v>#DIV/0!</v>
      </c>
    </row>
    <row r="1475" spans="1:12" x14ac:dyDescent="0.45">
      <c r="A1475" t="s">
        <v>1028</v>
      </c>
      <c r="B1475" t="s">
        <v>6</v>
      </c>
      <c r="C1475" t="s">
        <v>762</v>
      </c>
      <c r="D1475" t="s">
        <v>48</v>
      </c>
      <c r="E1475">
        <v>2449</v>
      </c>
      <c r="F1475">
        <v>2449</v>
      </c>
      <c r="G1475">
        <v>2276</v>
      </c>
      <c r="H1475">
        <v>173</v>
      </c>
      <c r="I1475">
        <v>2017</v>
      </c>
      <c r="J1475">
        <v>61</v>
      </c>
      <c r="K1475">
        <f>allFYsTable[[#This Row],[Actual]]-allFYsTable[[#This Row],[OriginalBudget]]</f>
        <v>-173</v>
      </c>
      <c r="L1475" s="11">
        <f>allFYsTable[[#This Row],[DiffAmount]]/allFYsTable[[#This Row],[OriginalBudget]]</f>
        <v>-7.0641077991016737E-2</v>
      </c>
    </row>
    <row r="1476" spans="1:12" x14ac:dyDescent="0.45">
      <c r="A1476" t="s">
        <v>1028</v>
      </c>
      <c r="B1476" t="s">
        <v>6</v>
      </c>
      <c r="C1476" t="s">
        <v>766</v>
      </c>
      <c r="D1476" t="s">
        <v>52</v>
      </c>
      <c r="E1476">
        <v>31925</v>
      </c>
      <c r="F1476">
        <v>31420</v>
      </c>
      <c r="G1476">
        <v>31399</v>
      </c>
      <c r="H1476">
        <v>21</v>
      </c>
      <c r="I1476">
        <v>2017</v>
      </c>
      <c r="J1476">
        <v>62</v>
      </c>
      <c r="K1476">
        <f>allFYsTable[[#This Row],[Actual]]-allFYsTable[[#This Row],[OriginalBudget]]</f>
        <v>-526</v>
      </c>
      <c r="L1476" s="11">
        <f>allFYsTable[[#This Row],[DiffAmount]]/allFYsTable[[#This Row],[OriginalBudget]]</f>
        <v>-1.6476115896632733E-2</v>
      </c>
    </row>
    <row r="1477" spans="1:12" x14ac:dyDescent="0.45">
      <c r="A1477" t="s">
        <v>1028</v>
      </c>
      <c r="B1477" t="s">
        <v>6</v>
      </c>
      <c r="C1477" t="s">
        <v>841</v>
      </c>
      <c r="D1477" t="s">
        <v>194</v>
      </c>
      <c r="E1477">
        <v>23431</v>
      </c>
      <c r="F1477">
        <v>23086</v>
      </c>
      <c r="G1477">
        <v>22831</v>
      </c>
      <c r="H1477">
        <v>255</v>
      </c>
      <c r="I1477">
        <v>2017</v>
      </c>
      <c r="J1477">
        <v>63</v>
      </c>
      <c r="K1477">
        <f>allFYsTable[[#This Row],[Actual]]-allFYsTable[[#This Row],[OriginalBudget]]</f>
        <v>-600</v>
      </c>
      <c r="L1477" s="11">
        <f>allFYsTable[[#This Row],[DiffAmount]]/allFYsTable[[#This Row],[OriginalBudget]]</f>
        <v>-2.5607101702872264E-2</v>
      </c>
    </row>
    <row r="1478" spans="1:12" x14ac:dyDescent="0.45">
      <c r="A1478" t="s">
        <v>1028</v>
      </c>
      <c r="B1478" t="s">
        <v>6</v>
      </c>
      <c r="C1478" t="s">
        <v>867</v>
      </c>
      <c r="D1478" t="s">
        <v>214</v>
      </c>
      <c r="E1478">
        <v>0</v>
      </c>
      <c r="F1478">
        <v>340</v>
      </c>
      <c r="G1478">
        <v>340</v>
      </c>
      <c r="H1478">
        <v>0</v>
      </c>
      <c r="I1478">
        <v>2017</v>
      </c>
      <c r="J1478">
        <v>64</v>
      </c>
      <c r="K1478">
        <f>allFYsTable[[#This Row],[Actual]]-allFYsTable[[#This Row],[OriginalBudget]]</f>
        <v>340</v>
      </c>
      <c r="L1478" s="11" t="e">
        <f>allFYsTable[[#This Row],[DiffAmount]]/allFYsTable[[#This Row],[OriginalBudget]]</f>
        <v>#DIV/0!</v>
      </c>
    </row>
    <row r="1479" spans="1:12" x14ac:dyDescent="0.45">
      <c r="A1479" t="s">
        <v>1028</v>
      </c>
      <c r="B1479" t="s">
        <v>6</v>
      </c>
      <c r="C1479" t="s">
        <v>754</v>
      </c>
      <c r="D1479" t="s">
        <v>170</v>
      </c>
      <c r="E1479">
        <v>1087</v>
      </c>
      <c r="F1479">
        <v>1087</v>
      </c>
      <c r="G1479">
        <v>948</v>
      </c>
      <c r="H1479">
        <v>139</v>
      </c>
      <c r="I1479">
        <v>2017</v>
      </c>
      <c r="J1479">
        <v>65</v>
      </c>
      <c r="K1479">
        <f>allFYsTable[[#This Row],[Actual]]-allFYsTable[[#This Row],[OriginalBudget]]</f>
        <v>-139</v>
      </c>
      <c r="L1479" s="11">
        <f>allFYsTable[[#This Row],[DiffAmount]]/allFYsTable[[#This Row],[OriginalBudget]]</f>
        <v>-0.12787488500459981</v>
      </c>
    </row>
    <row r="1480" spans="1:12" x14ac:dyDescent="0.45">
      <c r="A1480" t="s">
        <v>1028</v>
      </c>
      <c r="B1480" t="s">
        <v>6</v>
      </c>
      <c r="C1480" t="s">
        <v>765</v>
      </c>
      <c r="D1480" t="s">
        <v>51</v>
      </c>
      <c r="E1480">
        <v>1275</v>
      </c>
      <c r="F1480">
        <v>1773</v>
      </c>
      <c r="G1480">
        <v>1683</v>
      </c>
      <c r="H1480">
        <v>90</v>
      </c>
      <c r="I1480">
        <v>2017</v>
      </c>
      <c r="J1480">
        <v>66</v>
      </c>
      <c r="K1480">
        <f>allFYsTable[[#This Row],[Actual]]-allFYsTable[[#This Row],[OriginalBudget]]</f>
        <v>408</v>
      </c>
      <c r="L1480" s="11">
        <f>allFYsTable[[#This Row],[DiffAmount]]/allFYsTable[[#This Row],[OriginalBudget]]</f>
        <v>0.32</v>
      </c>
    </row>
    <row r="1481" spans="1:12" x14ac:dyDescent="0.45">
      <c r="A1481" t="s">
        <v>1028</v>
      </c>
      <c r="B1481" t="s">
        <v>6</v>
      </c>
      <c r="C1481" t="s">
        <v>751</v>
      </c>
      <c r="D1481" t="s">
        <v>37</v>
      </c>
      <c r="E1481">
        <v>22879</v>
      </c>
      <c r="F1481">
        <v>21048</v>
      </c>
      <c r="G1481">
        <v>20529</v>
      </c>
      <c r="H1481">
        <v>519</v>
      </c>
      <c r="I1481">
        <v>2017</v>
      </c>
      <c r="J1481">
        <v>67</v>
      </c>
      <c r="K1481">
        <f>allFYsTable[[#This Row],[Actual]]-allFYsTable[[#This Row],[OriginalBudget]]</f>
        <v>-2350</v>
      </c>
      <c r="L1481" s="11">
        <f>allFYsTable[[#This Row],[DiffAmount]]/allFYsTable[[#This Row],[OriginalBudget]]</f>
        <v>-0.10271427947025656</v>
      </c>
    </row>
    <row r="1482" spans="1:12" x14ac:dyDescent="0.45">
      <c r="A1482" t="s">
        <v>1028</v>
      </c>
      <c r="B1482" t="s">
        <v>6</v>
      </c>
      <c r="C1482" t="s">
        <v>748</v>
      </c>
      <c r="D1482" t="s">
        <v>34</v>
      </c>
      <c r="E1482">
        <v>701</v>
      </c>
      <c r="F1482">
        <v>701</v>
      </c>
      <c r="G1482">
        <v>659</v>
      </c>
      <c r="H1482">
        <v>42</v>
      </c>
      <c r="I1482">
        <v>2017</v>
      </c>
      <c r="J1482">
        <v>68</v>
      </c>
      <c r="K1482">
        <f>allFYsTable[[#This Row],[Actual]]-allFYsTable[[#This Row],[OriginalBudget]]</f>
        <v>-42</v>
      </c>
      <c r="L1482" s="11">
        <f>allFYsTable[[#This Row],[DiffAmount]]/allFYsTable[[#This Row],[OriginalBudget]]</f>
        <v>-5.9914407988587728E-2</v>
      </c>
    </row>
    <row r="1483" spans="1:12" x14ac:dyDescent="0.45">
      <c r="A1483" t="s">
        <v>1028</v>
      </c>
      <c r="B1483" t="s">
        <v>136</v>
      </c>
      <c r="C1483" t="s">
        <v>773</v>
      </c>
      <c r="D1483" t="s">
        <v>215</v>
      </c>
      <c r="E1483">
        <v>756389</v>
      </c>
      <c r="F1483">
        <v>777582</v>
      </c>
      <c r="G1483">
        <v>777577</v>
      </c>
      <c r="H1483">
        <v>5</v>
      </c>
      <c r="I1483">
        <v>2017</v>
      </c>
      <c r="J1483">
        <v>69</v>
      </c>
      <c r="K1483">
        <f>allFYsTable[[#This Row],[Actual]]-allFYsTable[[#This Row],[OriginalBudget]]</f>
        <v>21188</v>
      </c>
      <c r="L1483" s="11">
        <f>allFYsTable[[#This Row],[DiffAmount]]/allFYsTable[[#This Row],[OriginalBudget]]</f>
        <v>2.8012041423130161E-2</v>
      </c>
    </row>
    <row r="1484" spans="1:12" x14ac:dyDescent="0.45">
      <c r="A1484" t="s">
        <v>1028</v>
      </c>
      <c r="B1484" t="s">
        <v>136</v>
      </c>
      <c r="C1484" t="s">
        <v>870</v>
      </c>
      <c r="D1484" t="s">
        <v>216</v>
      </c>
      <c r="E1484">
        <v>0</v>
      </c>
      <c r="F1484">
        <v>0</v>
      </c>
      <c r="G1484">
        <v>0</v>
      </c>
      <c r="H1484">
        <v>0</v>
      </c>
      <c r="I1484">
        <v>2017</v>
      </c>
      <c r="J1484">
        <v>70</v>
      </c>
      <c r="K1484">
        <f>allFYsTable[[#This Row],[Actual]]-allFYsTable[[#This Row],[OriginalBudget]]</f>
        <v>0</v>
      </c>
      <c r="L1484" s="11" t="e">
        <f>allFYsTable[[#This Row],[DiffAmount]]/allFYsTable[[#This Row],[OriginalBudget]]</f>
        <v>#DIV/0!</v>
      </c>
    </row>
    <row r="1485" spans="1:12" x14ac:dyDescent="0.45">
      <c r="A1485" t="s">
        <v>1028</v>
      </c>
      <c r="B1485" t="s">
        <v>136</v>
      </c>
      <c r="C1485" t="s">
        <v>772</v>
      </c>
      <c r="D1485" t="s">
        <v>173</v>
      </c>
      <c r="E1485">
        <v>723717</v>
      </c>
      <c r="F1485">
        <v>496750</v>
      </c>
      <c r="G1485">
        <v>496750</v>
      </c>
      <c r="H1485">
        <v>0</v>
      </c>
      <c r="I1485">
        <v>2017</v>
      </c>
      <c r="J1485">
        <v>71</v>
      </c>
      <c r="K1485">
        <f>allFYsTable[[#This Row],[Actual]]-allFYsTable[[#This Row],[OriginalBudget]]</f>
        <v>-226967</v>
      </c>
      <c r="L1485" s="11">
        <f>allFYsTable[[#This Row],[DiffAmount]]/allFYsTable[[#This Row],[OriginalBudget]]</f>
        <v>-0.31361291775652639</v>
      </c>
    </row>
    <row r="1486" spans="1:12" x14ac:dyDescent="0.45">
      <c r="A1486" t="s">
        <v>1028</v>
      </c>
      <c r="B1486" t="s">
        <v>136</v>
      </c>
      <c r="C1486" t="s">
        <v>869</v>
      </c>
      <c r="D1486" t="s">
        <v>217</v>
      </c>
      <c r="E1486">
        <v>0</v>
      </c>
      <c r="F1486">
        <v>282919</v>
      </c>
      <c r="G1486">
        <v>282919</v>
      </c>
      <c r="H1486">
        <v>0</v>
      </c>
      <c r="I1486">
        <v>2017</v>
      </c>
      <c r="J1486">
        <v>72</v>
      </c>
      <c r="K1486">
        <f>allFYsTable[[#This Row],[Actual]]-allFYsTable[[#This Row],[OriginalBudget]]</f>
        <v>282919</v>
      </c>
      <c r="L1486" s="11" t="e">
        <f>allFYsTable[[#This Row],[DiffAmount]]/allFYsTable[[#This Row],[OriginalBudget]]</f>
        <v>#DIV/0!</v>
      </c>
    </row>
    <row r="1487" spans="1:12" x14ac:dyDescent="0.45">
      <c r="A1487" t="s">
        <v>1028</v>
      </c>
      <c r="B1487" t="s">
        <v>136</v>
      </c>
      <c r="C1487" t="s">
        <v>782</v>
      </c>
      <c r="D1487" t="s">
        <v>139</v>
      </c>
      <c r="E1487">
        <v>56781</v>
      </c>
      <c r="F1487">
        <v>56781</v>
      </c>
      <c r="G1487">
        <v>56618</v>
      </c>
      <c r="H1487">
        <v>163</v>
      </c>
      <c r="I1487">
        <v>2017</v>
      </c>
      <c r="J1487">
        <v>73</v>
      </c>
      <c r="K1487">
        <f>allFYsTable[[#This Row],[Actual]]-allFYsTable[[#This Row],[OriginalBudget]]</f>
        <v>-163</v>
      </c>
      <c r="L1487" s="11">
        <f>allFYsTable[[#This Row],[DiffAmount]]/allFYsTable[[#This Row],[OriginalBudget]]</f>
        <v>-2.8706785720575543E-3</v>
      </c>
    </row>
    <row r="1488" spans="1:12" x14ac:dyDescent="0.45">
      <c r="A1488" t="s">
        <v>1028</v>
      </c>
      <c r="B1488" t="s">
        <v>136</v>
      </c>
      <c r="C1488" t="s">
        <v>784</v>
      </c>
      <c r="D1488" t="s">
        <v>140</v>
      </c>
      <c r="E1488">
        <v>76680</v>
      </c>
      <c r="F1488">
        <v>77671</v>
      </c>
      <c r="G1488">
        <v>77671</v>
      </c>
      <c r="H1488">
        <v>0</v>
      </c>
      <c r="I1488">
        <v>2017</v>
      </c>
      <c r="J1488">
        <v>74</v>
      </c>
      <c r="K1488">
        <f>allFYsTable[[#This Row],[Actual]]-allFYsTable[[#This Row],[OriginalBudget]]</f>
        <v>991</v>
      </c>
      <c r="L1488" s="11">
        <f>allFYsTable[[#This Row],[DiffAmount]]/allFYsTable[[#This Row],[OriginalBudget]]</f>
        <v>1.2923839332290037E-2</v>
      </c>
    </row>
    <row r="1489" spans="1:12" x14ac:dyDescent="0.45">
      <c r="A1489" t="s">
        <v>1028</v>
      </c>
      <c r="B1489" t="s">
        <v>136</v>
      </c>
      <c r="C1489" t="s">
        <v>779</v>
      </c>
      <c r="D1489" t="s">
        <v>141</v>
      </c>
      <c r="E1489">
        <v>150487</v>
      </c>
      <c r="F1489">
        <v>148676</v>
      </c>
      <c r="G1489">
        <v>140658</v>
      </c>
      <c r="H1489">
        <v>8018</v>
      </c>
      <c r="I1489">
        <v>2017</v>
      </c>
      <c r="J1489">
        <v>75</v>
      </c>
      <c r="K1489">
        <f>allFYsTable[[#This Row],[Actual]]-allFYsTable[[#This Row],[OriginalBudget]]</f>
        <v>-9829</v>
      </c>
      <c r="L1489" s="11">
        <f>allFYsTable[[#This Row],[DiffAmount]]/allFYsTable[[#This Row],[OriginalBudget]]</f>
        <v>-6.5314611893386137E-2</v>
      </c>
    </row>
    <row r="1490" spans="1:12" x14ac:dyDescent="0.45">
      <c r="A1490" t="s">
        <v>1028</v>
      </c>
      <c r="B1490" t="s">
        <v>136</v>
      </c>
      <c r="C1490" t="s">
        <v>781</v>
      </c>
      <c r="D1490" t="s">
        <v>176</v>
      </c>
      <c r="E1490">
        <v>1480</v>
      </c>
      <c r="F1490">
        <v>1480</v>
      </c>
      <c r="G1490">
        <v>1267</v>
      </c>
      <c r="H1490">
        <v>213</v>
      </c>
      <c r="I1490">
        <v>2017</v>
      </c>
      <c r="J1490">
        <v>76</v>
      </c>
      <c r="K1490">
        <f>allFYsTable[[#This Row],[Actual]]-allFYsTable[[#This Row],[OriginalBudget]]</f>
        <v>-213</v>
      </c>
      <c r="L1490" s="11">
        <f>allFYsTable[[#This Row],[DiffAmount]]/allFYsTable[[#This Row],[OriginalBudget]]</f>
        <v>-0.14391891891891892</v>
      </c>
    </row>
    <row r="1491" spans="1:12" x14ac:dyDescent="0.45">
      <c r="A1491" t="s">
        <v>1028</v>
      </c>
      <c r="B1491" t="s">
        <v>136</v>
      </c>
      <c r="C1491" t="s">
        <v>774</v>
      </c>
      <c r="D1491" t="s">
        <v>177</v>
      </c>
      <c r="E1491">
        <v>58024</v>
      </c>
      <c r="F1491">
        <v>56432</v>
      </c>
      <c r="G1491">
        <v>55887</v>
      </c>
      <c r="H1491">
        <v>545</v>
      </c>
      <c r="I1491">
        <v>2017</v>
      </c>
      <c r="J1491">
        <v>77</v>
      </c>
      <c r="K1491">
        <f>allFYsTable[[#This Row],[Actual]]-allFYsTable[[#This Row],[OriginalBudget]]</f>
        <v>-2137</v>
      </c>
      <c r="L1491" s="11">
        <f>allFYsTable[[#This Row],[DiffAmount]]/allFYsTable[[#This Row],[OriginalBudget]]</f>
        <v>-3.6829587756790294E-2</v>
      </c>
    </row>
    <row r="1492" spans="1:12" x14ac:dyDescent="0.45">
      <c r="A1492" t="s">
        <v>1028</v>
      </c>
      <c r="B1492" t="s">
        <v>136</v>
      </c>
      <c r="C1492" t="s">
        <v>771</v>
      </c>
      <c r="D1492" t="s">
        <v>178</v>
      </c>
      <c r="E1492">
        <v>0</v>
      </c>
      <c r="F1492">
        <v>721</v>
      </c>
      <c r="G1492">
        <v>721</v>
      </c>
      <c r="H1492">
        <v>0</v>
      </c>
      <c r="I1492">
        <v>2017</v>
      </c>
      <c r="J1492">
        <v>78</v>
      </c>
      <c r="K1492">
        <f>allFYsTable[[#This Row],[Actual]]-allFYsTable[[#This Row],[OriginalBudget]]</f>
        <v>721</v>
      </c>
      <c r="L1492" s="11" t="e">
        <f>allFYsTable[[#This Row],[DiffAmount]]/allFYsTable[[#This Row],[OriginalBudget]]</f>
        <v>#DIV/0!</v>
      </c>
    </row>
    <row r="1493" spans="1:12" x14ac:dyDescent="0.45">
      <c r="A1493" t="s">
        <v>1028</v>
      </c>
      <c r="B1493" t="s">
        <v>136</v>
      </c>
      <c r="C1493" t="s">
        <v>780</v>
      </c>
      <c r="D1493" t="s">
        <v>143</v>
      </c>
      <c r="E1493">
        <v>94314</v>
      </c>
      <c r="F1493">
        <v>92064</v>
      </c>
      <c r="G1493">
        <v>89300</v>
      </c>
      <c r="H1493">
        <v>2764</v>
      </c>
      <c r="I1493">
        <v>2017</v>
      </c>
      <c r="J1493">
        <v>79</v>
      </c>
      <c r="K1493">
        <f>allFYsTable[[#This Row],[Actual]]-allFYsTable[[#This Row],[OriginalBudget]]</f>
        <v>-5014</v>
      </c>
      <c r="L1493" s="11">
        <f>allFYsTable[[#This Row],[DiffAmount]]/allFYsTable[[#This Row],[OriginalBudget]]</f>
        <v>-5.3162839027079752E-2</v>
      </c>
    </row>
    <row r="1494" spans="1:12" x14ac:dyDescent="0.45">
      <c r="A1494" t="s">
        <v>1028</v>
      </c>
      <c r="B1494" t="s">
        <v>136</v>
      </c>
      <c r="C1494" t="s">
        <v>777</v>
      </c>
      <c r="D1494" t="s">
        <v>64</v>
      </c>
      <c r="E1494">
        <v>74461</v>
      </c>
      <c r="F1494">
        <v>64752</v>
      </c>
      <c r="G1494">
        <v>64752</v>
      </c>
      <c r="H1494">
        <v>0</v>
      </c>
      <c r="I1494">
        <v>2017</v>
      </c>
      <c r="J1494">
        <v>80</v>
      </c>
      <c r="K1494">
        <f>allFYsTable[[#This Row],[Actual]]-allFYsTable[[#This Row],[OriginalBudget]]</f>
        <v>-9709</v>
      </c>
      <c r="L1494" s="11">
        <f>allFYsTable[[#This Row],[DiffAmount]]/allFYsTable[[#This Row],[OriginalBudget]]</f>
        <v>-0.13039040571574381</v>
      </c>
    </row>
    <row r="1495" spans="1:12" x14ac:dyDescent="0.45">
      <c r="A1495" t="s">
        <v>1028</v>
      </c>
      <c r="B1495" t="s">
        <v>136</v>
      </c>
      <c r="C1495" t="s">
        <v>778</v>
      </c>
      <c r="D1495" t="s">
        <v>65</v>
      </c>
      <c r="E1495">
        <v>3743</v>
      </c>
      <c r="F1495">
        <v>3504</v>
      </c>
      <c r="G1495">
        <v>3504</v>
      </c>
      <c r="H1495">
        <v>0</v>
      </c>
      <c r="I1495">
        <v>2017</v>
      </c>
      <c r="J1495">
        <v>81</v>
      </c>
      <c r="K1495">
        <f>allFYsTable[[#This Row],[Actual]]-allFYsTable[[#This Row],[OriginalBudget]]</f>
        <v>-239</v>
      </c>
      <c r="L1495" s="11">
        <f>allFYsTable[[#This Row],[DiffAmount]]/allFYsTable[[#This Row],[OriginalBudget]]</f>
        <v>-6.3852524712797218E-2</v>
      </c>
    </row>
    <row r="1496" spans="1:12" x14ac:dyDescent="0.45">
      <c r="A1496" t="s">
        <v>1028</v>
      </c>
      <c r="B1496" t="s">
        <v>136</v>
      </c>
      <c r="C1496" t="s">
        <v>874</v>
      </c>
      <c r="D1496" t="s">
        <v>218</v>
      </c>
      <c r="E1496">
        <v>0</v>
      </c>
      <c r="F1496">
        <v>5482</v>
      </c>
      <c r="G1496">
        <v>5482</v>
      </c>
      <c r="H1496">
        <v>0</v>
      </c>
      <c r="I1496">
        <v>2017</v>
      </c>
      <c r="J1496">
        <v>82</v>
      </c>
      <c r="K1496">
        <f>allFYsTable[[#This Row],[Actual]]-allFYsTable[[#This Row],[OriginalBudget]]</f>
        <v>5482</v>
      </c>
      <c r="L1496" s="11" t="e">
        <f>allFYsTable[[#This Row],[DiffAmount]]/allFYsTable[[#This Row],[OriginalBudget]]</f>
        <v>#DIV/0!</v>
      </c>
    </row>
    <row r="1497" spans="1:12" x14ac:dyDescent="0.45">
      <c r="A1497" t="s">
        <v>1028</v>
      </c>
      <c r="B1497" t="s">
        <v>14</v>
      </c>
      <c r="C1497" t="s">
        <v>790</v>
      </c>
      <c r="D1497" t="s">
        <v>144</v>
      </c>
      <c r="E1497">
        <v>298901</v>
      </c>
      <c r="F1497">
        <v>303669</v>
      </c>
      <c r="G1497">
        <v>293589</v>
      </c>
      <c r="H1497">
        <v>10080</v>
      </c>
      <c r="I1497">
        <v>2017</v>
      </c>
      <c r="J1497">
        <v>83</v>
      </c>
      <c r="K1497">
        <f>allFYsTable[[#This Row],[Actual]]-allFYsTable[[#This Row],[OriginalBudget]]</f>
        <v>-5312</v>
      </c>
      <c r="L1497" s="11">
        <f>allFYsTable[[#This Row],[DiffAmount]]/allFYsTable[[#This Row],[OriginalBudget]]</f>
        <v>-1.7771770586247619E-2</v>
      </c>
    </row>
    <row r="1498" spans="1:12" x14ac:dyDescent="0.45">
      <c r="A1498" t="s">
        <v>1028</v>
      </c>
      <c r="B1498" t="s">
        <v>14</v>
      </c>
      <c r="C1498" t="s">
        <v>788</v>
      </c>
      <c r="D1498" t="s">
        <v>145</v>
      </c>
      <c r="E1498">
        <v>76857</v>
      </c>
      <c r="F1498">
        <v>74266</v>
      </c>
      <c r="G1498">
        <v>72862</v>
      </c>
      <c r="H1498">
        <v>1404</v>
      </c>
      <c r="I1498">
        <v>2017</v>
      </c>
      <c r="J1498">
        <v>84</v>
      </c>
      <c r="K1498">
        <f>allFYsTable[[#This Row],[Actual]]-allFYsTable[[#This Row],[OriginalBudget]]</f>
        <v>-3995</v>
      </c>
      <c r="L1498" s="11">
        <f>allFYsTable[[#This Row],[DiffAmount]]/allFYsTable[[#This Row],[OriginalBudget]]</f>
        <v>-5.1979650519796507E-2</v>
      </c>
    </row>
    <row r="1499" spans="1:12" x14ac:dyDescent="0.45">
      <c r="A1499" t="s">
        <v>1028</v>
      </c>
      <c r="B1499" t="s">
        <v>14</v>
      </c>
      <c r="C1499" t="s">
        <v>770</v>
      </c>
      <c r="D1499" t="s">
        <v>56</v>
      </c>
      <c r="E1499">
        <v>45963</v>
      </c>
      <c r="F1499">
        <v>44662</v>
      </c>
      <c r="G1499">
        <v>44083</v>
      </c>
      <c r="H1499">
        <v>579</v>
      </c>
      <c r="I1499">
        <v>2017</v>
      </c>
      <c r="J1499">
        <v>85</v>
      </c>
      <c r="K1499">
        <f>allFYsTable[[#This Row],[Actual]]-allFYsTable[[#This Row],[OriginalBudget]]</f>
        <v>-1880</v>
      </c>
      <c r="L1499" s="11">
        <f>allFYsTable[[#This Row],[DiffAmount]]/allFYsTable[[#This Row],[OriginalBudget]]</f>
        <v>-4.0902465026216743E-2</v>
      </c>
    </row>
    <row r="1500" spans="1:12" x14ac:dyDescent="0.45">
      <c r="A1500" t="s">
        <v>1028</v>
      </c>
      <c r="B1500" t="s">
        <v>14</v>
      </c>
      <c r="C1500" t="s">
        <v>786</v>
      </c>
      <c r="D1500" t="s">
        <v>197</v>
      </c>
      <c r="E1500">
        <v>30263</v>
      </c>
      <c r="F1500">
        <v>31724</v>
      </c>
      <c r="G1500">
        <v>31426</v>
      </c>
      <c r="H1500">
        <v>298</v>
      </c>
      <c r="I1500">
        <v>2017</v>
      </c>
      <c r="J1500">
        <v>86</v>
      </c>
      <c r="K1500">
        <f>allFYsTable[[#This Row],[Actual]]-allFYsTable[[#This Row],[OriginalBudget]]</f>
        <v>1163</v>
      </c>
      <c r="L1500" s="11">
        <f>allFYsTable[[#This Row],[DiffAmount]]/allFYsTable[[#This Row],[OriginalBudget]]</f>
        <v>3.8429765720516804E-2</v>
      </c>
    </row>
    <row r="1501" spans="1:12" x14ac:dyDescent="0.45">
      <c r="A1501" t="s">
        <v>1028</v>
      </c>
      <c r="B1501" t="s">
        <v>14</v>
      </c>
      <c r="C1501" t="s">
        <v>783</v>
      </c>
      <c r="D1501" t="s">
        <v>70</v>
      </c>
      <c r="E1501">
        <v>6887</v>
      </c>
      <c r="F1501">
        <v>6787</v>
      </c>
      <c r="G1501">
        <v>5326</v>
      </c>
      <c r="H1501">
        <v>1461</v>
      </c>
      <c r="I1501">
        <v>2017</v>
      </c>
      <c r="J1501">
        <v>87</v>
      </c>
      <c r="K1501">
        <f>allFYsTable[[#This Row],[Actual]]-allFYsTable[[#This Row],[OriginalBudget]]</f>
        <v>-1561</v>
      </c>
      <c r="L1501" s="11">
        <f>allFYsTable[[#This Row],[DiffAmount]]/allFYsTable[[#This Row],[OriginalBudget]]</f>
        <v>-0.22665892260781181</v>
      </c>
    </row>
    <row r="1502" spans="1:12" x14ac:dyDescent="0.45">
      <c r="A1502" t="s">
        <v>1028</v>
      </c>
      <c r="B1502" t="s">
        <v>14</v>
      </c>
      <c r="C1502" t="s">
        <v>706</v>
      </c>
      <c r="D1502" t="s">
        <v>122</v>
      </c>
      <c r="E1502">
        <v>21521</v>
      </c>
      <c r="F1502">
        <v>25538</v>
      </c>
      <c r="G1502">
        <v>25538</v>
      </c>
      <c r="H1502">
        <v>0</v>
      </c>
      <c r="I1502">
        <v>2017</v>
      </c>
      <c r="J1502">
        <v>88</v>
      </c>
      <c r="K1502">
        <f>allFYsTable[[#This Row],[Actual]]-allFYsTable[[#This Row],[OriginalBudget]]</f>
        <v>4017</v>
      </c>
      <c r="L1502" s="11">
        <f>allFYsTable[[#This Row],[DiffAmount]]/allFYsTable[[#This Row],[OriginalBudget]]</f>
        <v>0.18665489521862366</v>
      </c>
    </row>
    <row r="1503" spans="1:12" x14ac:dyDescent="0.45">
      <c r="A1503" t="s">
        <v>1028</v>
      </c>
      <c r="B1503" t="s">
        <v>14</v>
      </c>
      <c r="C1503" t="s">
        <v>760</v>
      </c>
      <c r="D1503" t="s">
        <v>46</v>
      </c>
      <c r="E1503">
        <v>4058</v>
      </c>
      <c r="F1503">
        <v>4044</v>
      </c>
      <c r="G1503">
        <v>4035</v>
      </c>
      <c r="H1503">
        <v>9</v>
      </c>
      <c r="I1503">
        <v>2017</v>
      </c>
      <c r="J1503">
        <v>89</v>
      </c>
      <c r="K1503">
        <f>allFYsTable[[#This Row],[Actual]]-allFYsTable[[#This Row],[OriginalBudget]]</f>
        <v>-23</v>
      </c>
      <c r="L1503" s="11">
        <f>allFYsTable[[#This Row],[DiffAmount]]/allFYsTable[[#This Row],[OriginalBudget]]</f>
        <v>-5.6678166584524393E-3</v>
      </c>
    </row>
    <row r="1504" spans="1:12" x14ac:dyDescent="0.45">
      <c r="A1504" t="s">
        <v>1028</v>
      </c>
      <c r="B1504" t="s">
        <v>14</v>
      </c>
      <c r="C1504" t="s">
        <v>729</v>
      </c>
      <c r="D1504" t="s">
        <v>123</v>
      </c>
      <c r="E1504">
        <v>2812</v>
      </c>
      <c r="F1504">
        <v>3244</v>
      </c>
      <c r="G1504">
        <v>3058</v>
      </c>
      <c r="H1504">
        <v>186</v>
      </c>
      <c r="I1504">
        <v>2017</v>
      </c>
      <c r="J1504">
        <v>90</v>
      </c>
      <c r="K1504">
        <f>allFYsTable[[#This Row],[Actual]]-allFYsTable[[#This Row],[OriginalBudget]]</f>
        <v>246</v>
      </c>
      <c r="L1504" s="11">
        <f>allFYsTable[[#This Row],[DiffAmount]]/allFYsTable[[#This Row],[OriginalBudget]]</f>
        <v>8.7482219061166433E-2</v>
      </c>
    </row>
    <row r="1505" spans="1:12" x14ac:dyDescent="0.45">
      <c r="A1505" t="s">
        <v>1028</v>
      </c>
      <c r="B1505" t="s">
        <v>14</v>
      </c>
      <c r="C1505" t="s">
        <v>828</v>
      </c>
      <c r="D1505" t="s">
        <v>219</v>
      </c>
      <c r="E1505">
        <v>4920</v>
      </c>
      <c r="F1505">
        <v>4920</v>
      </c>
      <c r="G1505">
        <v>4920</v>
      </c>
      <c r="H1505">
        <v>0</v>
      </c>
      <c r="I1505">
        <v>2017</v>
      </c>
      <c r="J1505">
        <v>91</v>
      </c>
      <c r="K1505">
        <f>allFYsTable[[#This Row],[Actual]]-allFYsTable[[#This Row],[OriginalBudget]]</f>
        <v>0</v>
      </c>
      <c r="L1505" s="11">
        <f>allFYsTable[[#This Row],[DiffAmount]]/allFYsTable[[#This Row],[OriginalBudget]]</f>
        <v>0</v>
      </c>
    </row>
    <row r="1506" spans="1:12" x14ac:dyDescent="0.45">
      <c r="A1506" t="s">
        <v>1028</v>
      </c>
      <c r="B1506" t="s">
        <v>14</v>
      </c>
      <c r="C1506" t="s">
        <v>785</v>
      </c>
      <c r="D1506" t="s">
        <v>147</v>
      </c>
      <c r="E1506">
        <v>166553</v>
      </c>
      <c r="F1506">
        <v>163970</v>
      </c>
      <c r="G1506">
        <v>163432</v>
      </c>
      <c r="H1506">
        <v>538</v>
      </c>
      <c r="I1506">
        <v>2017</v>
      </c>
      <c r="J1506">
        <v>92</v>
      </c>
      <c r="K1506">
        <f>allFYsTable[[#This Row],[Actual]]-allFYsTable[[#This Row],[OriginalBudget]]</f>
        <v>-3121</v>
      </c>
      <c r="L1506" s="11">
        <f>allFYsTable[[#This Row],[DiffAmount]]/allFYsTable[[#This Row],[OriginalBudget]]</f>
        <v>-1.8738779847856237E-2</v>
      </c>
    </row>
    <row r="1507" spans="1:12" x14ac:dyDescent="0.45">
      <c r="A1507" t="s">
        <v>1028</v>
      </c>
      <c r="B1507" t="s">
        <v>14</v>
      </c>
      <c r="C1507" t="s">
        <v>787</v>
      </c>
      <c r="D1507" t="s">
        <v>148</v>
      </c>
      <c r="E1507">
        <v>226758</v>
      </c>
      <c r="F1507">
        <v>232237</v>
      </c>
      <c r="G1507">
        <v>231904</v>
      </c>
      <c r="H1507">
        <v>333</v>
      </c>
      <c r="I1507">
        <v>2017</v>
      </c>
      <c r="J1507">
        <v>93</v>
      </c>
      <c r="K1507">
        <f>allFYsTable[[#This Row],[Actual]]-allFYsTable[[#This Row],[OriginalBudget]]</f>
        <v>5146</v>
      </c>
      <c r="L1507" s="11">
        <f>allFYsTable[[#This Row],[DiffAmount]]/allFYsTable[[#This Row],[OriginalBudget]]</f>
        <v>2.2693796911244585E-2</v>
      </c>
    </row>
    <row r="1508" spans="1:12" x14ac:dyDescent="0.45">
      <c r="A1508" t="s">
        <v>1028</v>
      </c>
      <c r="B1508" t="s">
        <v>14</v>
      </c>
      <c r="C1508" t="s">
        <v>728</v>
      </c>
      <c r="D1508" t="s">
        <v>121</v>
      </c>
      <c r="E1508">
        <v>855</v>
      </c>
      <c r="F1508">
        <v>819</v>
      </c>
      <c r="G1508">
        <v>803</v>
      </c>
      <c r="H1508">
        <v>16</v>
      </c>
      <c r="I1508">
        <v>2017</v>
      </c>
      <c r="J1508">
        <v>94</v>
      </c>
      <c r="K1508">
        <f>allFYsTable[[#This Row],[Actual]]-allFYsTable[[#This Row],[OriginalBudget]]</f>
        <v>-52</v>
      </c>
      <c r="L1508" s="11">
        <f>allFYsTable[[#This Row],[DiffAmount]]/allFYsTable[[#This Row],[OriginalBudget]]</f>
        <v>-6.0818713450292397E-2</v>
      </c>
    </row>
    <row r="1509" spans="1:12" x14ac:dyDescent="0.45">
      <c r="A1509" t="s">
        <v>1028</v>
      </c>
      <c r="B1509" t="s">
        <v>14</v>
      </c>
      <c r="C1509" t="s">
        <v>727</v>
      </c>
      <c r="D1509" t="s">
        <v>180</v>
      </c>
      <c r="E1509">
        <v>408</v>
      </c>
      <c r="F1509">
        <v>395</v>
      </c>
      <c r="G1509">
        <v>394</v>
      </c>
      <c r="H1509">
        <v>1</v>
      </c>
      <c r="I1509">
        <v>2017</v>
      </c>
      <c r="J1509">
        <v>95</v>
      </c>
      <c r="K1509">
        <f>allFYsTable[[#This Row],[Actual]]-allFYsTable[[#This Row],[OriginalBudget]]</f>
        <v>-14</v>
      </c>
      <c r="L1509" s="11">
        <f>allFYsTable[[#This Row],[DiffAmount]]/allFYsTable[[#This Row],[OriginalBudget]]</f>
        <v>-3.4313725490196081E-2</v>
      </c>
    </row>
    <row r="1510" spans="1:12" x14ac:dyDescent="0.45">
      <c r="A1510" t="s">
        <v>1028</v>
      </c>
      <c r="B1510" t="s">
        <v>14</v>
      </c>
      <c r="C1510" t="s">
        <v>752</v>
      </c>
      <c r="D1510" t="s">
        <v>38</v>
      </c>
      <c r="E1510">
        <v>101529</v>
      </c>
      <c r="F1510">
        <v>91786</v>
      </c>
      <c r="G1510">
        <v>90344</v>
      </c>
      <c r="H1510">
        <v>1442</v>
      </c>
      <c r="I1510">
        <v>2017</v>
      </c>
      <c r="J1510">
        <v>96</v>
      </c>
      <c r="K1510">
        <f>allFYsTable[[#This Row],[Actual]]-allFYsTable[[#This Row],[OriginalBudget]]</f>
        <v>-11185</v>
      </c>
      <c r="L1510" s="11">
        <f>allFYsTable[[#This Row],[DiffAmount]]/allFYsTable[[#This Row],[OriginalBudget]]</f>
        <v>-0.11016556845827301</v>
      </c>
    </row>
    <row r="1511" spans="1:12" x14ac:dyDescent="0.45">
      <c r="A1511" t="s">
        <v>1028</v>
      </c>
      <c r="B1511" t="s">
        <v>14</v>
      </c>
      <c r="C1511" t="s">
        <v>791</v>
      </c>
      <c r="D1511" t="s">
        <v>149</v>
      </c>
      <c r="E1511">
        <v>118738</v>
      </c>
      <c r="F1511">
        <v>115792</v>
      </c>
      <c r="G1511">
        <v>115430</v>
      </c>
      <c r="H1511">
        <v>362</v>
      </c>
      <c r="I1511">
        <v>2017</v>
      </c>
      <c r="J1511">
        <v>97</v>
      </c>
      <c r="K1511">
        <f>allFYsTable[[#This Row],[Actual]]-allFYsTable[[#This Row],[OriginalBudget]]</f>
        <v>-3308</v>
      </c>
      <c r="L1511" s="11">
        <f>allFYsTable[[#This Row],[DiffAmount]]/allFYsTable[[#This Row],[OriginalBudget]]</f>
        <v>-2.7859657396958008E-2</v>
      </c>
    </row>
    <row r="1512" spans="1:12" x14ac:dyDescent="0.45">
      <c r="A1512" t="s">
        <v>1028</v>
      </c>
      <c r="B1512" t="s">
        <v>14</v>
      </c>
      <c r="C1512" t="s">
        <v>789</v>
      </c>
      <c r="D1512" t="s">
        <v>150</v>
      </c>
      <c r="E1512">
        <v>787513</v>
      </c>
      <c r="F1512">
        <v>789554</v>
      </c>
      <c r="G1512">
        <v>787489</v>
      </c>
      <c r="H1512">
        <v>2065</v>
      </c>
      <c r="I1512">
        <v>2017</v>
      </c>
      <c r="J1512">
        <v>98</v>
      </c>
      <c r="K1512">
        <f>allFYsTable[[#This Row],[Actual]]-allFYsTable[[#This Row],[OriginalBudget]]</f>
        <v>-24</v>
      </c>
      <c r="L1512" s="11">
        <f>allFYsTable[[#This Row],[DiffAmount]]/allFYsTable[[#This Row],[OriginalBudget]]</f>
        <v>-3.0475687385478082E-5</v>
      </c>
    </row>
    <row r="1513" spans="1:12" x14ac:dyDescent="0.45">
      <c r="A1513" t="s">
        <v>1028</v>
      </c>
      <c r="B1513" t="s">
        <v>14</v>
      </c>
      <c r="C1513" t="s">
        <v>793</v>
      </c>
      <c r="D1513" t="s">
        <v>181</v>
      </c>
      <c r="E1513">
        <v>2295</v>
      </c>
      <c r="F1513">
        <v>2420</v>
      </c>
      <c r="G1513">
        <v>2242</v>
      </c>
      <c r="H1513">
        <v>178</v>
      </c>
      <c r="I1513">
        <v>2017</v>
      </c>
      <c r="J1513">
        <v>99</v>
      </c>
      <c r="K1513">
        <f>allFYsTable[[#This Row],[Actual]]-allFYsTable[[#This Row],[OriginalBudget]]</f>
        <v>-53</v>
      </c>
      <c r="L1513" s="11">
        <f>allFYsTable[[#This Row],[DiffAmount]]/allFYsTable[[#This Row],[OriginalBudget]]</f>
        <v>-2.3093681917211329E-2</v>
      </c>
    </row>
    <row r="1514" spans="1:12" x14ac:dyDescent="0.45">
      <c r="A1514" t="s">
        <v>1028</v>
      </c>
      <c r="B1514" t="s">
        <v>14</v>
      </c>
      <c r="C1514" t="s">
        <v>792</v>
      </c>
      <c r="D1514" t="s">
        <v>220</v>
      </c>
      <c r="E1514">
        <v>2000</v>
      </c>
      <c r="F1514">
        <v>2000</v>
      </c>
      <c r="G1514">
        <v>2000</v>
      </c>
      <c r="H1514">
        <v>0</v>
      </c>
      <c r="I1514">
        <v>2017</v>
      </c>
      <c r="J1514">
        <v>100</v>
      </c>
      <c r="K1514">
        <f>allFYsTable[[#This Row],[Actual]]-allFYsTable[[#This Row],[OriginalBudget]]</f>
        <v>0</v>
      </c>
      <c r="L1514" s="11">
        <f>allFYsTable[[#This Row],[DiffAmount]]/allFYsTable[[#This Row],[OriginalBudget]]</f>
        <v>0</v>
      </c>
    </row>
    <row r="1515" spans="1:12" x14ac:dyDescent="0.45">
      <c r="A1515" t="s">
        <v>1028</v>
      </c>
      <c r="B1515" t="s">
        <v>14</v>
      </c>
      <c r="C1515" t="s">
        <v>875</v>
      </c>
      <c r="D1515" t="s">
        <v>205</v>
      </c>
      <c r="E1515">
        <v>0</v>
      </c>
      <c r="F1515">
        <v>2600</v>
      </c>
      <c r="G1515">
        <v>2600</v>
      </c>
      <c r="H1515">
        <v>0</v>
      </c>
      <c r="I1515">
        <v>2017</v>
      </c>
      <c r="J1515">
        <v>101</v>
      </c>
      <c r="K1515">
        <f>allFYsTable[[#This Row],[Actual]]-allFYsTable[[#This Row],[OriginalBudget]]</f>
        <v>2600</v>
      </c>
      <c r="L1515" s="11" t="e">
        <f>allFYsTable[[#This Row],[DiffAmount]]/allFYsTable[[#This Row],[OriginalBudget]]</f>
        <v>#DIV/0!</v>
      </c>
    </row>
    <row r="1516" spans="1:12" x14ac:dyDescent="0.45">
      <c r="A1516" t="s">
        <v>1028</v>
      </c>
      <c r="B1516" t="s">
        <v>182</v>
      </c>
      <c r="C1516" t="s">
        <v>802</v>
      </c>
      <c r="D1516" t="s">
        <v>78</v>
      </c>
      <c r="E1516">
        <v>137496</v>
      </c>
      <c r="F1516">
        <v>140419</v>
      </c>
      <c r="G1516">
        <v>139847</v>
      </c>
      <c r="H1516">
        <v>572</v>
      </c>
      <c r="I1516">
        <v>2017</v>
      </c>
      <c r="J1516">
        <v>102</v>
      </c>
      <c r="K1516">
        <f>allFYsTable[[#This Row],[Actual]]-allFYsTable[[#This Row],[OriginalBudget]]</f>
        <v>2351</v>
      </c>
      <c r="L1516" s="11">
        <f>allFYsTable[[#This Row],[DiffAmount]]/allFYsTable[[#This Row],[OriginalBudget]]</f>
        <v>1.7098679234304998E-2</v>
      </c>
    </row>
    <row r="1517" spans="1:12" x14ac:dyDescent="0.45">
      <c r="A1517" t="s">
        <v>1028</v>
      </c>
      <c r="B1517" t="s">
        <v>182</v>
      </c>
      <c r="C1517" t="s">
        <v>803</v>
      </c>
      <c r="D1517" t="s">
        <v>155</v>
      </c>
      <c r="E1517">
        <v>75405</v>
      </c>
      <c r="F1517">
        <v>75345</v>
      </c>
      <c r="G1517">
        <v>70155</v>
      </c>
      <c r="H1517">
        <v>5190</v>
      </c>
      <c r="I1517">
        <v>2017</v>
      </c>
      <c r="J1517">
        <v>103</v>
      </c>
      <c r="K1517">
        <f>allFYsTable[[#This Row],[Actual]]-allFYsTable[[#This Row],[OriginalBudget]]</f>
        <v>-5250</v>
      </c>
      <c r="L1517" s="11">
        <f>allFYsTable[[#This Row],[DiffAmount]]/allFYsTable[[#This Row],[OriginalBudget]]</f>
        <v>-6.9624030236721701E-2</v>
      </c>
    </row>
    <row r="1518" spans="1:12" x14ac:dyDescent="0.45">
      <c r="A1518" t="s">
        <v>1028</v>
      </c>
      <c r="B1518" t="s">
        <v>182</v>
      </c>
      <c r="C1518" t="s">
        <v>799</v>
      </c>
      <c r="D1518" t="s">
        <v>206</v>
      </c>
      <c r="E1518">
        <v>4068</v>
      </c>
      <c r="F1518">
        <v>4038</v>
      </c>
      <c r="G1518">
        <v>4000</v>
      </c>
      <c r="H1518">
        <v>38</v>
      </c>
      <c r="I1518">
        <v>2017</v>
      </c>
      <c r="J1518">
        <v>104</v>
      </c>
      <c r="K1518">
        <f>allFYsTable[[#This Row],[Actual]]-allFYsTable[[#This Row],[OriginalBudget]]</f>
        <v>-68</v>
      </c>
      <c r="L1518" s="11">
        <f>allFYsTable[[#This Row],[DiffAmount]]/allFYsTable[[#This Row],[OriginalBudget]]</f>
        <v>-1.6715830875122909E-2</v>
      </c>
    </row>
    <row r="1519" spans="1:12" x14ac:dyDescent="0.45">
      <c r="A1519" t="s">
        <v>1028</v>
      </c>
      <c r="B1519" t="s">
        <v>182</v>
      </c>
      <c r="C1519" t="s">
        <v>801</v>
      </c>
      <c r="D1519" t="s">
        <v>77</v>
      </c>
      <c r="E1519">
        <v>30199</v>
      </c>
      <c r="F1519">
        <v>29709</v>
      </c>
      <c r="G1519">
        <v>28518</v>
      </c>
      <c r="H1519">
        <v>1191</v>
      </c>
      <c r="I1519">
        <v>2017</v>
      </c>
      <c r="J1519">
        <v>105</v>
      </c>
      <c r="K1519">
        <f>allFYsTable[[#This Row],[Actual]]-allFYsTable[[#This Row],[OriginalBudget]]</f>
        <v>-1681</v>
      </c>
      <c r="L1519" s="11">
        <f>allFYsTable[[#This Row],[DiffAmount]]/allFYsTable[[#This Row],[OriginalBudget]]</f>
        <v>-5.5664094837577401E-2</v>
      </c>
    </row>
    <row r="1520" spans="1:12" x14ac:dyDescent="0.45">
      <c r="A1520" t="s">
        <v>1028</v>
      </c>
      <c r="B1520" t="s">
        <v>182</v>
      </c>
      <c r="C1520" t="s">
        <v>808</v>
      </c>
      <c r="D1520" t="s">
        <v>156</v>
      </c>
      <c r="E1520">
        <v>139</v>
      </c>
      <c r="F1520">
        <v>139</v>
      </c>
      <c r="G1520">
        <v>139</v>
      </c>
      <c r="H1520">
        <v>0</v>
      </c>
      <c r="I1520">
        <v>2017</v>
      </c>
      <c r="J1520">
        <v>106</v>
      </c>
      <c r="K1520">
        <f>allFYsTable[[#This Row],[Actual]]-allFYsTable[[#This Row],[OriginalBudget]]</f>
        <v>0</v>
      </c>
      <c r="L1520" s="11">
        <f>allFYsTable[[#This Row],[DiffAmount]]/allFYsTable[[#This Row],[OriginalBudget]]</f>
        <v>0</v>
      </c>
    </row>
    <row r="1521" spans="1:12" x14ac:dyDescent="0.45">
      <c r="A1521" t="s">
        <v>1028</v>
      </c>
      <c r="B1521" t="s">
        <v>182</v>
      </c>
      <c r="C1521" t="s">
        <v>807</v>
      </c>
      <c r="D1521" t="s">
        <v>157</v>
      </c>
      <c r="E1521">
        <v>313571</v>
      </c>
      <c r="F1521">
        <v>321330</v>
      </c>
      <c r="G1521">
        <v>321330</v>
      </c>
      <c r="H1521">
        <v>0</v>
      </c>
      <c r="I1521">
        <v>2017</v>
      </c>
      <c r="J1521">
        <v>107</v>
      </c>
      <c r="K1521">
        <f>allFYsTable[[#This Row],[Actual]]-allFYsTable[[#This Row],[OriginalBudget]]</f>
        <v>7759</v>
      </c>
      <c r="L1521" s="11">
        <f>allFYsTable[[#This Row],[DiffAmount]]/allFYsTable[[#This Row],[OriginalBudget]]</f>
        <v>2.4743997372205975E-2</v>
      </c>
    </row>
    <row r="1522" spans="1:12" x14ac:dyDescent="0.45">
      <c r="A1522" t="s">
        <v>1028</v>
      </c>
      <c r="B1522" t="s">
        <v>182</v>
      </c>
      <c r="C1522" t="s">
        <v>798</v>
      </c>
      <c r="D1522" t="s">
        <v>221</v>
      </c>
      <c r="E1522">
        <v>18126</v>
      </c>
      <c r="F1522">
        <v>18789</v>
      </c>
      <c r="G1522">
        <v>18651</v>
      </c>
      <c r="H1522">
        <v>138</v>
      </c>
      <c r="I1522">
        <v>2017</v>
      </c>
      <c r="J1522">
        <v>108</v>
      </c>
      <c r="K1522">
        <f>allFYsTable[[#This Row],[Actual]]-allFYsTable[[#This Row],[OriginalBudget]]</f>
        <v>525</v>
      </c>
      <c r="L1522" s="11">
        <f>allFYsTable[[#This Row],[DiffAmount]]/allFYsTable[[#This Row],[OriginalBudget]]</f>
        <v>2.8963919232042369E-2</v>
      </c>
    </row>
    <row r="1523" spans="1:12" x14ac:dyDescent="0.45">
      <c r="A1523" t="s">
        <v>1028</v>
      </c>
      <c r="B1523" t="s">
        <v>10</v>
      </c>
      <c r="C1523" t="s">
        <v>775</v>
      </c>
      <c r="D1523" t="s">
        <v>18</v>
      </c>
      <c r="E1523">
        <v>619100</v>
      </c>
      <c r="F1523">
        <v>616832</v>
      </c>
      <c r="G1523">
        <v>616832</v>
      </c>
      <c r="H1523">
        <v>0</v>
      </c>
      <c r="I1523">
        <v>2017</v>
      </c>
      <c r="J1523">
        <v>109</v>
      </c>
      <c r="K1523">
        <f>allFYsTable[[#This Row],[Actual]]-allFYsTable[[#This Row],[OriginalBudget]]</f>
        <v>-2268</v>
      </c>
      <c r="L1523" s="11">
        <f>allFYsTable[[#This Row],[DiffAmount]]/allFYsTable[[#This Row],[OriginalBudget]]</f>
        <v>-3.6633823291875303E-3</v>
      </c>
    </row>
    <row r="1524" spans="1:12" x14ac:dyDescent="0.45">
      <c r="A1524" t="s">
        <v>1028</v>
      </c>
      <c r="B1524" t="s">
        <v>10</v>
      </c>
      <c r="C1524" t="s">
        <v>817</v>
      </c>
      <c r="D1524" t="s">
        <v>158</v>
      </c>
      <c r="E1524">
        <v>6000</v>
      </c>
      <c r="F1524">
        <v>6000</v>
      </c>
      <c r="G1524">
        <v>5721</v>
      </c>
      <c r="H1524">
        <v>279</v>
      </c>
      <c r="I1524">
        <v>2017</v>
      </c>
      <c r="J1524">
        <v>110</v>
      </c>
      <c r="K1524">
        <f>allFYsTable[[#This Row],[Actual]]-allFYsTable[[#This Row],[OriginalBudget]]</f>
        <v>-279</v>
      </c>
      <c r="L1524" s="11">
        <f>allFYsTable[[#This Row],[DiffAmount]]/allFYsTable[[#This Row],[OriginalBudget]]</f>
        <v>-4.65E-2</v>
      </c>
    </row>
    <row r="1525" spans="1:12" x14ac:dyDescent="0.45">
      <c r="A1525" t="s">
        <v>1028</v>
      </c>
      <c r="B1525" t="s">
        <v>10</v>
      </c>
      <c r="C1525" t="s">
        <v>830</v>
      </c>
      <c r="D1525" t="s">
        <v>222</v>
      </c>
      <c r="E1525">
        <v>1250</v>
      </c>
      <c r="F1525">
        <v>0</v>
      </c>
      <c r="G1525">
        <v>0</v>
      </c>
      <c r="H1525">
        <v>0</v>
      </c>
      <c r="I1525">
        <v>2017</v>
      </c>
      <c r="J1525">
        <v>111</v>
      </c>
      <c r="K1525">
        <f>allFYsTable[[#This Row],[Actual]]-allFYsTable[[#This Row],[OriginalBudget]]</f>
        <v>-1250</v>
      </c>
      <c r="L1525" s="11">
        <f>allFYsTable[[#This Row],[DiffAmount]]/allFYsTable[[#This Row],[OriginalBudget]]</f>
        <v>-1</v>
      </c>
    </row>
    <row r="1526" spans="1:12" x14ac:dyDescent="0.45">
      <c r="A1526" t="s">
        <v>1028</v>
      </c>
      <c r="B1526" t="s">
        <v>10</v>
      </c>
      <c r="C1526" t="s">
        <v>819</v>
      </c>
      <c r="D1526" t="s">
        <v>84</v>
      </c>
      <c r="E1526">
        <v>21292</v>
      </c>
      <c r="F1526">
        <v>21292</v>
      </c>
      <c r="G1526">
        <v>21292</v>
      </c>
      <c r="H1526">
        <v>0</v>
      </c>
      <c r="I1526">
        <v>2017</v>
      </c>
      <c r="J1526">
        <v>112</v>
      </c>
      <c r="K1526">
        <f>allFYsTable[[#This Row],[Actual]]-allFYsTable[[#This Row],[OriginalBudget]]</f>
        <v>0</v>
      </c>
      <c r="L1526" s="11">
        <f>allFYsTable[[#This Row],[DiffAmount]]/allFYsTable[[#This Row],[OriginalBudget]]</f>
        <v>0</v>
      </c>
    </row>
    <row r="1527" spans="1:12" x14ac:dyDescent="0.45">
      <c r="A1527" t="s">
        <v>1028</v>
      </c>
      <c r="B1527" t="s">
        <v>10</v>
      </c>
      <c r="C1527" t="s">
        <v>822</v>
      </c>
      <c r="D1527" t="s">
        <v>159</v>
      </c>
      <c r="E1527">
        <v>0</v>
      </c>
      <c r="F1527">
        <v>0</v>
      </c>
      <c r="G1527">
        <v>0</v>
      </c>
      <c r="H1527">
        <v>0</v>
      </c>
      <c r="I1527">
        <v>2017</v>
      </c>
      <c r="J1527">
        <v>113</v>
      </c>
      <c r="K1527">
        <f>allFYsTable[[#This Row],[Actual]]-allFYsTable[[#This Row],[OriginalBudget]]</f>
        <v>0</v>
      </c>
      <c r="L1527" s="11" t="e">
        <f>allFYsTable[[#This Row],[DiffAmount]]/allFYsTable[[#This Row],[OriginalBudget]]</f>
        <v>#DIV/0!</v>
      </c>
    </row>
    <row r="1528" spans="1:12" x14ac:dyDescent="0.45">
      <c r="A1528" t="s">
        <v>1028</v>
      </c>
      <c r="B1528" t="s">
        <v>10</v>
      </c>
      <c r="C1528" t="s">
        <v>814</v>
      </c>
      <c r="D1528" t="s">
        <v>85</v>
      </c>
      <c r="E1528">
        <v>4369</v>
      </c>
      <c r="F1528">
        <v>4369</v>
      </c>
      <c r="G1528">
        <v>4210</v>
      </c>
      <c r="H1528">
        <v>159</v>
      </c>
      <c r="I1528">
        <v>2017</v>
      </c>
      <c r="J1528">
        <v>114</v>
      </c>
      <c r="K1528">
        <f>allFYsTable[[#This Row],[Actual]]-allFYsTable[[#This Row],[OriginalBudget]]</f>
        <v>-159</v>
      </c>
      <c r="L1528" s="11">
        <f>allFYsTable[[#This Row],[DiffAmount]]/allFYsTable[[#This Row],[OriginalBudget]]</f>
        <v>-3.6392767223620968E-2</v>
      </c>
    </row>
    <row r="1529" spans="1:12" x14ac:dyDescent="0.45">
      <c r="A1529" t="s">
        <v>1028</v>
      </c>
      <c r="B1529" t="s">
        <v>10</v>
      </c>
      <c r="C1529" t="s">
        <v>833</v>
      </c>
      <c r="D1529" t="s">
        <v>223</v>
      </c>
      <c r="E1529">
        <v>13523</v>
      </c>
      <c r="F1529">
        <v>13523</v>
      </c>
      <c r="G1529">
        <v>13523</v>
      </c>
      <c r="H1529">
        <v>0</v>
      </c>
      <c r="I1529">
        <v>2017</v>
      </c>
      <c r="J1529">
        <v>115</v>
      </c>
      <c r="K1529">
        <f>allFYsTable[[#This Row],[Actual]]-allFYsTable[[#This Row],[OriginalBudget]]</f>
        <v>0</v>
      </c>
      <c r="L1529" s="11">
        <f>allFYsTable[[#This Row],[DiffAmount]]/allFYsTable[[#This Row],[OriginalBudget]]</f>
        <v>0</v>
      </c>
    </row>
    <row r="1530" spans="1:12" x14ac:dyDescent="0.45">
      <c r="A1530" t="s">
        <v>1028</v>
      </c>
      <c r="B1530" t="s">
        <v>10</v>
      </c>
      <c r="C1530" t="s">
        <v>811</v>
      </c>
      <c r="D1530" t="s">
        <v>86</v>
      </c>
      <c r="E1530">
        <v>31000</v>
      </c>
      <c r="F1530">
        <v>31000</v>
      </c>
      <c r="G1530">
        <v>31000</v>
      </c>
      <c r="H1530">
        <v>0</v>
      </c>
      <c r="I1530">
        <v>2017</v>
      </c>
      <c r="J1530">
        <v>116</v>
      </c>
      <c r="K1530">
        <f>allFYsTable[[#This Row],[Actual]]-allFYsTable[[#This Row],[OriginalBudget]]</f>
        <v>0</v>
      </c>
      <c r="L1530" s="11">
        <f>allFYsTable[[#This Row],[DiffAmount]]/allFYsTable[[#This Row],[OriginalBudget]]</f>
        <v>0</v>
      </c>
    </row>
    <row r="1531" spans="1:12" x14ac:dyDescent="0.45">
      <c r="A1531" t="s">
        <v>1028</v>
      </c>
      <c r="B1531" t="s">
        <v>10</v>
      </c>
      <c r="C1531" t="s">
        <v>829</v>
      </c>
      <c r="D1531" t="s">
        <v>87</v>
      </c>
      <c r="E1531">
        <v>7835</v>
      </c>
      <c r="F1531">
        <v>7835</v>
      </c>
      <c r="G1531">
        <v>7825</v>
      </c>
      <c r="H1531">
        <v>10</v>
      </c>
      <c r="I1531">
        <v>2017</v>
      </c>
      <c r="J1531">
        <v>117</v>
      </c>
      <c r="K1531">
        <f>allFYsTable[[#This Row],[Actual]]-allFYsTable[[#This Row],[OriginalBudget]]</f>
        <v>-10</v>
      </c>
      <c r="L1531" s="11">
        <f>allFYsTable[[#This Row],[DiffAmount]]/allFYsTable[[#This Row],[OriginalBudget]]</f>
        <v>-1.2763241863433313E-3</v>
      </c>
    </row>
    <row r="1532" spans="1:12" x14ac:dyDescent="0.45">
      <c r="A1532" t="s">
        <v>1028</v>
      </c>
      <c r="B1532" t="s">
        <v>10</v>
      </c>
      <c r="C1532" t="s">
        <v>810</v>
      </c>
      <c r="D1532" t="s">
        <v>88</v>
      </c>
      <c r="E1532">
        <v>122286</v>
      </c>
      <c r="F1532">
        <v>141614</v>
      </c>
      <c r="G1532">
        <v>141614</v>
      </c>
      <c r="H1532">
        <v>0</v>
      </c>
      <c r="I1532">
        <v>2017</v>
      </c>
      <c r="J1532">
        <v>118</v>
      </c>
      <c r="K1532">
        <f>allFYsTable[[#This Row],[Actual]]-allFYsTable[[#This Row],[OriginalBudget]]</f>
        <v>19328</v>
      </c>
      <c r="L1532" s="11">
        <f>allFYsTable[[#This Row],[DiffAmount]]/allFYsTable[[#This Row],[OriginalBudget]]</f>
        <v>0.15805570547732364</v>
      </c>
    </row>
    <row r="1533" spans="1:12" x14ac:dyDescent="0.45">
      <c r="A1533" t="s">
        <v>1028</v>
      </c>
      <c r="B1533" t="s">
        <v>10</v>
      </c>
      <c r="C1533" t="s">
        <v>813</v>
      </c>
      <c r="D1533" t="s">
        <v>89</v>
      </c>
      <c r="E1533">
        <v>24754</v>
      </c>
      <c r="F1533">
        <v>26099</v>
      </c>
      <c r="G1533">
        <v>26099</v>
      </c>
      <c r="H1533">
        <v>0</v>
      </c>
      <c r="I1533">
        <v>2017</v>
      </c>
      <c r="J1533">
        <v>119</v>
      </c>
      <c r="K1533">
        <f>allFYsTable[[#This Row],[Actual]]-allFYsTable[[#This Row],[OriginalBudget]]</f>
        <v>1345</v>
      </c>
      <c r="L1533" s="11">
        <f>allFYsTable[[#This Row],[DiffAmount]]/allFYsTable[[#This Row],[OriginalBudget]]</f>
        <v>5.4334652985376104E-2</v>
      </c>
    </row>
    <row r="1534" spans="1:12" x14ac:dyDescent="0.45">
      <c r="A1534" t="s">
        <v>1028</v>
      </c>
      <c r="B1534" t="s">
        <v>10</v>
      </c>
      <c r="C1534" t="s">
        <v>812</v>
      </c>
      <c r="D1534" t="s">
        <v>90</v>
      </c>
      <c r="E1534">
        <v>0</v>
      </c>
      <c r="F1534">
        <v>0</v>
      </c>
      <c r="G1534">
        <v>0</v>
      </c>
      <c r="H1534">
        <v>0</v>
      </c>
      <c r="I1534">
        <v>2017</v>
      </c>
      <c r="J1534">
        <v>120</v>
      </c>
      <c r="K1534">
        <f>allFYsTable[[#This Row],[Actual]]-allFYsTable[[#This Row],[OriginalBudget]]</f>
        <v>0</v>
      </c>
      <c r="L1534" s="11" t="e">
        <f>allFYsTable[[#This Row],[DiffAmount]]/allFYsTable[[#This Row],[OriginalBudget]]</f>
        <v>#DIV/0!</v>
      </c>
    </row>
    <row r="1535" spans="1:12" x14ac:dyDescent="0.45">
      <c r="A1535" t="s">
        <v>1028</v>
      </c>
      <c r="B1535" t="s">
        <v>10</v>
      </c>
      <c r="C1535" t="s">
        <v>821</v>
      </c>
      <c r="D1535" t="s">
        <v>91</v>
      </c>
      <c r="E1535">
        <v>18025</v>
      </c>
      <c r="F1535">
        <v>0</v>
      </c>
      <c r="G1535">
        <v>0</v>
      </c>
      <c r="H1535">
        <v>0</v>
      </c>
      <c r="I1535">
        <v>2017</v>
      </c>
      <c r="J1535">
        <v>121</v>
      </c>
      <c r="K1535">
        <f>allFYsTable[[#This Row],[Actual]]-allFYsTable[[#This Row],[OriginalBudget]]</f>
        <v>-18025</v>
      </c>
      <c r="L1535" s="11">
        <f>allFYsTable[[#This Row],[DiffAmount]]/allFYsTable[[#This Row],[OriginalBudget]]</f>
        <v>-1</v>
      </c>
    </row>
    <row r="1536" spans="1:12" x14ac:dyDescent="0.45">
      <c r="A1536" t="s">
        <v>1028</v>
      </c>
      <c r="B1536" t="s">
        <v>10</v>
      </c>
      <c r="C1536" t="s">
        <v>832</v>
      </c>
      <c r="D1536" t="s">
        <v>200</v>
      </c>
      <c r="E1536">
        <v>29381</v>
      </c>
      <c r="F1536">
        <v>27445</v>
      </c>
      <c r="G1536">
        <v>27445</v>
      </c>
      <c r="H1536">
        <v>0</v>
      </c>
      <c r="I1536">
        <v>2017</v>
      </c>
      <c r="J1536">
        <v>122</v>
      </c>
      <c r="K1536">
        <f>allFYsTable[[#This Row],[Actual]]-allFYsTable[[#This Row],[OriginalBudget]]</f>
        <v>-1936</v>
      </c>
      <c r="L1536" s="11">
        <f>allFYsTable[[#This Row],[DiffAmount]]/allFYsTable[[#This Row],[OriginalBudget]]</f>
        <v>-6.589292399850244E-2</v>
      </c>
    </row>
    <row r="1537" spans="1:12" x14ac:dyDescent="0.45">
      <c r="A1537" t="s">
        <v>1028</v>
      </c>
      <c r="B1537" t="s">
        <v>10</v>
      </c>
      <c r="C1537" t="s">
        <v>847</v>
      </c>
      <c r="D1537" t="s">
        <v>92</v>
      </c>
      <c r="E1537">
        <v>0</v>
      </c>
      <c r="F1537">
        <v>0</v>
      </c>
      <c r="G1537">
        <v>0</v>
      </c>
      <c r="H1537">
        <v>0</v>
      </c>
      <c r="I1537">
        <v>2017</v>
      </c>
      <c r="J1537">
        <v>123</v>
      </c>
      <c r="K1537">
        <f>allFYsTable[[#This Row],[Actual]]-allFYsTable[[#This Row],[OriginalBudget]]</f>
        <v>0</v>
      </c>
      <c r="L1537" s="11" t="e">
        <f>allFYsTable[[#This Row],[DiffAmount]]/allFYsTable[[#This Row],[OriginalBudget]]</f>
        <v>#DIV/0!</v>
      </c>
    </row>
    <row r="1538" spans="1:12" x14ac:dyDescent="0.45">
      <c r="A1538" t="s">
        <v>1028</v>
      </c>
      <c r="B1538" t="s">
        <v>10</v>
      </c>
      <c r="C1538" t="s">
        <v>816</v>
      </c>
      <c r="D1538" t="s">
        <v>93</v>
      </c>
      <c r="E1538">
        <v>66614</v>
      </c>
      <c r="F1538">
        <v>76410</v>
      </c>
      <c r="G1538">
        <v>76410</v>
      </c>
      <c r="H1538">
        <v>0</v>
      </c>
      <c r="I1538">
        <v>2017</v>
      </c>
      <c r="J1538">
        <v>124</v>
      </c>
      <c r="K1538">
        <f>allFYsTable[[#This Row],[Actual]]-allFYsTable[[#This Row],[OriginalBudget]]</f>
        <v>9796</v>
      </c>
      <c r="L1538" s="11">
        <f>allFYsTable[[#This Row],[DiffAmount]]/allFYsTable[[#This Row],[OriginalBudget]]</f>
        <v>0.14705617437775842</v>
      </c>
    </row>
    <row r="1539" spans="1:12" x14ac:dyDescent="0.45">
      <c r="A1539" t="s">
        <v>1028</v>
      </c>
      <c r="B1539" t="s">
        <v>10</v>
      </c>
      <c r="C1539" t="s">
        <v>815</v>
      </c>
      <c r="D1539" t="s">
        <v>95</v>
      </c>
      <c r="E1539">
        <v>3804</v>
      </c>
      <c r="F1539">
        <v>0</v>
      </c>
      <c r="G1539">
        <v>0</v>
      </c>
      <c r="H1539">
        <v>0</v>
      </c>
      <c r="I1539">
        <v>2017</v>
      </c>
      <c r="J1539">
        <v>125</v>
      </c>
      <c r="K1539">
        <f>allFYsTable[[#This Row],[Actual]]-allFYsTable[[#This Row],[OriginalBudget]]</f>
        <v>-3804</v>
      </c>
      <c r="L1539" s="11">
        <f>allFYsTable[[#This Row],[DiffAmount]]/allFYsTable[[#This Row],[OriginalBudget]]</f>
        <v>-1</v>
      </c>
    </row>
    <row r="1540" spans="1:12" x14ac:dyDescent="0.45">
      <c r="A1540" t="s">
        <v>1027</v>
      </c>
      <c r="B1540" t="s">
        <v>11</v>
      </c>
      <c r="C1540" t="s">
        <v>703</v>
      </c>
      <c r="D1540" t="s">
        <v>96</v>
      </c>
      <c r="E1540">
        <v>25338</v>
      </c>
      <c r="F1540">
        <v>24064</v>
      </c>
      <c r="G1540">
        <v>24064</v>
      </c>
      <c r="H1540">
        <v>0</v>
      </c>
      <c r="I1540">
        <v>2018</v>
      </c>
      <c r="J1540">
        <v>1</v>
      </c>
      <c r="K1540">
        <f>allFYsTable[[#This Row],[Actual]]-allFYsTable[[#This Row],[OriginalBudget]]</f>
        <v>-1274</v>
      </c>
      <c r="L1540" s="11">
        <f>allFYsTable[[#This Row],[DiffAmount]]/allFYsTable[[#This Row],[OriginalBudget]]</f>
        <v>-5.0280211539979476E-2</v>
      </c>
    </row>
    <row r="1541" spans="1:12" x14ac:dyDescent="0.45">
      <c r="A1541" t="s">
        <v>1027</v>
      </c>
      <c r="B1541" t="s">
        <v>11</v>
      </c>
      <c r="C1541" t="s">
        <v>723</v>
      </c>
      <c r="D1541" t="s">
        <v>160</v>
      </c>
      <c r="E1541">
        <v>5860</v>
      </c>
      <c r="F1541">
        <v>5954</v>
      </c>
      <c r="G1541">
        <v>5945</v>
      </c>
      <c r="H1541">
        <v>9</v>
      </c>
      <c r="I1541">
        <v>2018</v>
      </c>
      <c r="J1541">
        <v>2</v>
      </c>
      <c r="K1541">
        <f>allFYsTable[[#This Row],[Actual]]-allFYsTable[[#This Row],[OriginalBudget]]</f>
        <v>85</v>
      </c>
      <c r="L1541" s="11">
        <f>allFYsTable[[#This Row],[DiffAmount]]/allFYsTable[[#This Row],[OriginalBudget]]</f>
        <v>1.4505119453924915E-2</v>
      </c>
    </row>
    <row r="1542" spans="1:12" x14ac:dyDescent="0.45">
      <c r="A1542" t="s">
        <v>1027</v>
      </c>
      <c r="B1542" t="s">
        <v>11</v>
      </c>
      <c r="C1542" t="s">
        <v>731</v>
      </c>
      <c r="D1542" t="s">
        <v>161</v>
      </c>
      <c r="E1542">
        <v>234</v>
      </c>
      <c r="F1542">
        <v>324</v>
      </c>
      <c r="G1542">
        <v>324</v>
      </c>
      <c r="H1542">
        <v>0</v>
      </c>
      <c r="I1542">
        <v>2018</v>
      </c>
      <c r="J1542">
        <v>3</v>
      </c>
      <c r="K1542">
        <f>allFYsTable[[#This Row],[Actual]]-allFYsTable[[#This Row],[OriginalBudget]]</f>
        <v>90</v>
      </c>
      <c r="L1542" s="11">
        <f>allFYsTable[[#This Row],[DiffAmount]]/allFYsTable[[#This Row],[OriginalBudget]]</f>
        <v>0.38461538461538464</v>
      </c>
    </row>
    <row r="1543" spans="1:12" x14ac:dyDescent="0.45">
      <c r="A1543" t="s">
        <v>1027</v>
      </c>
      <c r="B1543" t="s">
        <v>11</v>
      </c>
      <c r="C1543" t="s">
        <v>711</v>
      </c>
      <c r="D1543" t="s">
        <v>162</v>
      </c>
      <c r="E1543">
        <v>1027</v>
      </c>
      <c r="F1543">
        <v>1027</v>
      </c>
      <c r="G1543">
        <v>966</v>
      </c>
      <c r="H1543">
        <v>61</v>
      </c>
      <c r="I1543">
        <v>2018</v>
      </c>
      <c r="J1543">
        <v>4</v>
      </c>
      <c r="K1543">
        <f>allFYsTable[[#This Row],[Actual]]-allFYsTable[[#This Row],[OriginalBudget]]</f>
        <v>-61</v>
      </c>
      <c r="L1543" s="11">
        <f>allFYsTable[[#This Row],[DiffAmount]]/allFYsTable[[#This Row],[OriginalBudget]]</f>
        <v>-5.939629990262902E-2</v>
      </c>
    </row>
    <row r="1544" spans="1:12" x14ac:dyDescent="0.45">
      <c r="A1544" t="s">
        <v>1027</v>
      </c>
      <c r="B1544" t="s">
        <v>11</v>
      </c>
      <c r="C1544" t="s">
        <v>707</v>
      </c>
      <c r="D1544" t="s">
        <v>163</v>
      </c>
      <c r="E1544">
        <v>10472</v>
      </c>
      <c r="F1544">
        <v>11225</v>
      </c>
      <c r="G1544">
        <v>10863</v>
      </c>
      <c r="H1544">
        <v>362</v>
      </c>
      <c r="I1544">
        <v>2018</v>
      </c>
      <c r="J1544">
        <v>5</v>
      </c>
      <c r="K1544">
        <f>allFYsTable[[#This Row],[Actual]]-allFYsTable[[#This Row],[OriginalBudget]]</f>
        <v>391</v>
      </c>
      <c r="L1544" s="11">
        <f>allFYsTable[[#This Row],[DiffAmount]]/allFYsTable[[#This Row],[OriginalBudget]]</f>
        <v>3.7337662337662336E-2</v>
      </c>
    </row>
    <row r="1545" spans="1:12" x14ac:dyDescent="0.45">
      <c r="A1545" t="s">
        <v>1027</v>
      </c>
      <c r="B1545" t="s">
        <v>11</v>
      </c>
      <c r="C1545" t="s">
        <v>708</v>
      </c>
      <c r="D1545" t="s">
        <v>102</v>
      </c>
      <c r="E1545">
        <v>1634</v>
      </c>
      <c r="F1545">
        <v>1377</v>
      </c>
      <c r="G1545">
        <v>1327</v>
      </c>
      <c r="H1545">
        <v>50</v>
      </c>
      <c r="I1545">
        <v>2018</v>
      </c>
      <c r="J1545">
        <v>6</v>
      </c>
      <c r="K1545">
        <f>allFYsTable[[#This Row],[Actual]]-allFYsTable[[#This Row],[OriginalBudget]]</f>
        <v>-307</v>
      </c>
      <c r="L1545" s="11">
        <f>allFYsTable[[#This Row],[DiffAmount]]/allFYsTable[[#This Row],[OriginalBudget]]</f>
        <v>-0.18788249694002448</v>
      </c>
    </row>
    <row r="1546" spans="1:12" x14ac:dyDescent="0.45">
      <c r="A1546" t="s">
        <v>1027</v>
      </c>
      <c r="B1546" t="s">
        <v>11</v>
      </c>
      <c r="C1546" t="s">
        <v>726</v>
      </c>
      <c r="D1546" t="s">
        <v>103</v>
      </c>
      <c r="E1546">
        <v>3149</v>
      </c>
      <c r="F1546">
        <v>2884</v>
      </c>
      <c r="G1546">
        <v>2601</v>
      </c>
      <c r="H1546">
        <v>283</v>
      </c>
      <c r="I1546">
        <v>2018</v>
      </c>
      <c r="J1546">
        <v>7</v>
      </c>
      <c r="K1546">
        <f>allFYsTable[[#This Row],[Actual]]-allFYsTable[[#This Row],[OriginalBudget]]</f>
        <v>-548</v>
      </c>
      <c r="L1546" s="11">
        <f>allFYsTable[[#This Row],[DiffAmount]]/allFYsTable[[#This Row],[OriginalBudget]]</f>
        <v>-0.17402349952365831</v>
      </c>
    </row>
    <row r="1547" spans="1:12" x14ac:dyDescent="0.45">
      <c r="A1547" t="s">
        <v>1027</v>
      </c>
      <c r="B1547" t="s">
        <v>11</v>
      </c>
      <c r="C1547" t="s">
        <v>725</v>
      </c>
      <c r="D1547" t="s">
        <v>104</v>
      </c>
      <c r="E1547">
        <v>2958</v>
      </c>
      <c r="F1547">
        <v>3001</v>
      </c>
      <c r="G1547">
        <v>2913</v>
      </c>
      <c r="H1547">
        <v>88</v>
      </c>
      <c r="I1547">
        <v>2018</v>
      </c>
      <c r="J1547">
        <v>8</v>
      </c>
      <c r="K1547">
        <f>allFYsTable[[#This Row],[Actual]]-allFYsTable[[#This Row],[OriginalBudget]]</f>
        <v>-45</v>
      </c>
      <c r="L1547" s="11">
        <f>allFYsTable[[#This Row],[DiffAmount]]/allFYsTable[[#This Row],[OriginalBudget]]</f>
        <v>-1.5212981744421906E-2</v>
      </c>
    </row>
    <row r="1548" spans="1:12" x14ac:dyDescent="0.45">
      <c r="A1548" t="s">
        <v>1027</v>
      </c>
      <c r="B1548" t="s">
        <v>11</v>
      </c>
      <c r="C1548" t="s">
        <v>724</v>
      </c>
      <c r="D1548" t="s">
        <v>105</v>
      </c>
      <c r="E1548">
        <v>15521</v>
      </c>
      <c r="F1548">
        <v>15521</v>
      </c>
      <c r="G1548">
        <v>12288</v>
      </c>
      <c r="H1548">
        <v>3233</v>
      </c>
      <c r="I1548">
        <v>2018</v>
      </c>
      <c r="J1548">
        <v>9</v>
      </c>
      <c r="K1548">
        <f>allFYsTable[[#This Row],[Actual]]-allFYsTable[[#This Row],[OriginalBudget]]</f>
        <v>-3233</v>
      </c>
      <c r="L1548" s="11">
        <f>allFYsTable[[#This Row],[DiffAmount]]/allFYsTable[[#This Row],[OriginalBudget]]</f>
        <v>-0.20829843437922815</v>
      </c>
    </row>
    <row r="1549" spans="1:12" x14ac:dyDescent="0.45">
      <c r="A1549" t="s">
        <v>1027</v>
      </c>
      <c r="B1549" t="s">
        <v>11</v>
      </c>
      <c r="C1549" t="s">
        <v>701</v>
      </c>
      <c r="D1549" t="s">
        <v>106</v>
      </c>
      <c r="E1549">
        <v>2123</v>
      </c>
      <c r="F1549">
        <v>2479</v>
      </c>
      <c r="G1549">
        <v>2479</v>
      </c>
      <c r="H1549">
        <v>0</v>
      </c>
      <c r="I1549">
        <v>2018</v>
      </c>
      <c r="J1549">
        <v>10</v>
      </c>
      <c r="K1549">
        <f>allFYsTable[[#This Row],[Actual]]-allFYsTable[[#This Row],[OriginalBudget]]</f>
        <v>356</v>
      </c>
      <c r="L1549" s="11">
        <f>allFYsTable[[#This Row],[DiffAmount]]/allFYsTable[[#This Row],[OriginalBudget]]</f>
        <v>0.167687235044748</v>
      </c>
    </row>
    <row r="1550" spans="1:12" x14ac:dyDescent="0.45">
      <c r="A1550" t="s">
        <v>1027</v>
      </c>
      <c r="B1550" t="s">
        <v>11</v>
      </c>
      <c r="C1550" t="s">
        <v>722</v>
      </c>
      <c r="D1550" t="s">
        <v>164</v>
      </c>
      <c r="E1550">
        <v>7657</v>
      </c>
      <c r="F1550">
        <v>9240</v>
      </c>
      <c r="G1550">
        <v>8187</v>
      </c>
      <c r="H1550">
        <v>1053</v>
      </c>
      <c r="I1550">
        <v>2018</v>
      </c>
      <c r="J1550">
        <v>11</v>
      </c>
      <c r="K1550">
        <f>allFYsTable[[#This Row],[Actual]]-allFYsTable[[#This Row],[OriginalBudget]]</f>
        <v>530</v>
      </c>
      <c r="L1550" s="11">
        <f>allFYsTable[[#This Row],[DiffAmount]]/allFYsTable[[#This Row],[OriginalBudget]]</f>
        <v>6.9217709285621001E-2</v>
      </c>
    </row>
    <row r="1551" spans="1:12" x14ac:dyDescent="0.45">
      <c r="A1551" t="s">
        <v>1027</v>
      </c>
      <c r="B1551" t="s">
        <v>11</v>
      </c>
      <c r="C1551" t="s">
        <v>704</v>
      </c>
      <c r="D1551" t="s">
        <v>108</v>
      </c>
      <c r="E1551">
        <v>8866</v>
      </c>
      <c r="F1551">
        <v>10689</v>
      </c>
      <c r="G1551">
        <v>10648</v>
      </c>
      <c r="H1551">
        <v>41</v>
      </c>
      <c r="I1551">
        <v>2018</v>
      </c>
      <c r="J1551">
        <v>12</v>
      </c>
      <c r="K1551">
        <f>allFYsTable[[#This Row],[Actual]]-allFYsTable[[#This Row],[OriginalBudget]]</f>
        <v>1782</v>
      </c>
      <c r="L1551" s="11">
        <f>allFYsTable[[#This Row],[DiffAmount]]/allFYsTable[[#This Row],[OriginalBudget]]</f>
        <v>0.20099255583126552</v>
      </c>
    </row>
    <row r="1552" spans="1:12" x14ac:dyDescent="0.45">
      <c r="A1552" t="s">
        <v>1027</v>
      </c>
      <c r="B1552" t="s">
        <v>11</v>
      </c>
      <c r="C1552" t="s">
        <v>716</v>
      </c>
      <c r="D1552" t="s">
        <v>184</v>
      </c>
      <c r="E1552">
        <v>24264</v>
      </c>
      <c r="F1552">
        <v>24242</v>
      </c>
      <c r="G1552">
        <v>23970</v>
      </c>
      <c r="H1552">
        <v>272</v>
      </c>
      <c r="I1552">
        <v>2018</v>
      </c>
      <c r="J1552">
        <v>13</v>
      </c>
      <c r="K1552">
        <f>allFYsTable[[#This Row],[Actual]]-allFYsTable[[#This Row],[OriginalBudget]]</f>
        <v>-294</v>
      </c>
      <c r="L1552" s="11">
        <f>allFYsTable[[#This Row],[DiffAmount]]/allFYsTable[[#This Row],[OriginalBudget]]</f>
        <v>-1.211671612265084E-2</v>
      </c>
    </row>
    <row r="1553" spans="1:12" x14ac:dyDescent="0.45">
      <c r="A1553" t="s">
        <v>1027</v>
      </c>
      <c r="B1553" t="s">
        <v>11</v>
      </c>
      <c r="C1553" t="s">
        <v>705</v>
      </c>
      <c r="D1553" t="s">
        <v>110</v>
      </c>
      <c r="E1553">
        <v>281483</v>
      </c>
      <c r="F1553">
        <v>343511</v>
      </c>
      <c r="G1553">
        <v>341428</v>
      </c>
      <c r="H1553">
        <v>2083</v>
      </c>
      <c r="I1553">
        <v>2018</v>
      </c>
      <c r="J1553">
        <v>14</v>
      </c>
      <c r="K1553">
        <f>allFYsTable[[#This Row],[Actual]]-allFYsTable[[#This Row],[OriginalBudget]]</f>
        <v>59945</v>
      </c>
      <c r="L1553" s="11">
        <f>allFYsTable[[#This Row],[DiffAmount]]/allFYsTable[[#This Row],[OriginalBudget]]</f>
        <v>0.21296135112955311</v>
      </c>
    </row>
    <row r="1554" spans="1:12" x14ac:dyDescent="0.45">
      <c r="A1554" t="s">
        <v>1027</v>
      </c>
      <c r="B1554" t="s">
        <v>11</v>
      </c>
      <c r="C1554" t="s">
        <v>713</v>
      </c>
      <c r="D1554" t="s">
        <v>111</v>
      </c>
      <c r="E1554">
        <v>22840</v>
      </c>
      <c r="F1554">
        <v>22992</v>
      </c>
      <c r="G1554">
        <v>22764</v>
      </c>
      <c r="H1554">
        <v>228</v>
      </c>
      <c r="I1554">
        <v>2018</v>
      </c>
      <c r="J1554">
        <v>15</v>
      </c>
      <c r="K1554">
        <f>allFYsTable[[#This Row],[Actual]]-allFYsTable[[#This Row],[OriginalBudget]]</f>
        <v>-76</v>
      </c>
      <c r="L1554" s="11">
        <f>allFYsTable[[#This Row],[DiffAmount]]/allFYsTable[[#This Row],[OriginalBudget]]</f>
        <v>-3.3274956217162872E-3</v>
      </c>
    </row>
    <row r="1555" spans="1:12" x14ac:dyDescent="0.45">
      <c r="A1555" t="s">
        <v>1027</v>
      </c>
      <c r="B1555" t="s">
        <v>11</v>
      </c>
      <c r="C1555" t="s">
        <v>702</v>
      </c>
      <c r="D1555" t="s">
        <v>112</v>
      </c>
      <c r="E1555">
        <v>1490</v>
      </c>
      <c r="F1555">
        <v>1534</v>
      </c>
      <c r="G1555">
        <v>1485</v>
      </c>
      <c r="H1555">
        <v>49</v>
      </c>
      <c r="I1555">
        <v>2018</v>
      </c>
      <c r="J1555">
        <v>16</v>
      </c>
      <c r="K1555">
        <f>allFYsTable[[#This Row],[Actual]]-allFYsTable[[#This Row],[OriginalBudget]]</f>
        <v>-5</v>
      </c>
      <c r="L1555" s="11">
        <f>allFYsTable[[#This Row],[DiffAmount]]/allFYsTable[[#This Row],[OriginalBudget]]</f>
        <v>-3.3557046979865771E-3</v>
      </c>
    </row>
    <row r="1556" spans="1:12" x14ac:dyDescent="0.45">
      <c r="A1556" t="s">
        <v>1027</v>
      </c>
      <c r="B1556" t="s">
        <v>11</v>
      </c>
      <c r="C1556" t="s">
        <v>720</v>
      </c>
      <c r="D1556" t="s">
        <v>113</v>
      </c>
      <c r="E1556">
        <v>126627</v>
      </c>
      <c r="F1556">
        <v>130172</v>
      </c>
      <c r="G1556">
        <v>130130</v>
      </c>
      <c r="H1556">
        <v>42</v>
      </c>
      <c r="I1556">
        <v>2018</v>
      </c>
      <c r="J1556">
        <v>17</v>
      </c>
      <c r="K1556">
        <f>allFYsTable[[#This Row],[Actual]]-allFYsTable[[#This Row],[OriginalBudget]]</f>
        <v>3503</v>
      </c>
      <c r="L1556" s="11">
        <f>allFYsTable[[#This Row],[DiffAmount]]/allFYsTable[[#This Row],[OriginalBudget]]</f>
        <v>2.7663926334825905E-2</v>
      </c>
    </row>
    <row r="1557" spans="1:12" x14ac:dyDescent="0.45">
      <c r="A1557" t="s">
        <v>1027</v>
      </c>
      <c r="B1557" t="s">
        <v>11</v>
      </c>
      <c r="C1557" t="s">
        <v>719</v>
      </c>
      <c r="D1557" t="s">
        <v>114</v>
      </c>
      <c r="E1557">
        <v>63616</v>
      </c>
      <c r="F1557">
        <v>64939</v>
      </c>
      <c r="G1557">
        <v>64926</v>
      </c>
      <c r="H1557">
        <v>13</v>
      </c>
      <c r="I1557">
        <v>2018</v>
      </c>
      <c r="J1557">
        <v>18</v>
      </c>
      <c r="K1557">
        <f>allFYsTable[[#This Row],[Actual]]-allFYsTable[[#This Row],[OriginalBudget]]</f>
        <v>1310</v>
      </c>
      <c r="L1557" s="11">
        <f>allFYsTable[[#This Row],[DiffAmount]]/allFYsTable[[#This Row],[OriginalBudget]]</f>
        <v>2.0592303822937627E-2</v>
      </c>
    </row>
    <row r="1558" spans="1:12" x14ac:dyDescent="0.45">
      <c r="A1558" t="s">
        <v>1027</v>
      </c>
      <c r="B1558" t="s">
        <v>11</v>
      </c>
      <c r="C1558" t="s">
        <v>718</v>
      </c>
      <c r="D1558" t="s">
        <v>115</v>
      </c>
      <c r="E1558">
        <v>3965</v>
      </c>
      <c r="F1558">
        <v>5171</v>
      </c>
      <c r="G1558">
        <v>5065</v>
      </c>
      <c r="H1558">
        <v>106</v>
      </c>
      <c r="I1558">
        <v>2018</v>
      </c>
      <c r="J1558">
        <v>19</v>
      </c>
      <c r="K1558">
        <f>allFYsTable[[#This Row],[Actual]]-allFYsTable[[#This Row],[OriginalBudget]]</f>
        <v>1100</v>
      </c>
      <c r="L1558" s="11">
        <f>allFYsTable[[#This Row],[DiffAmount]]/allFYsTable[[#This Row],[OriginalBudget]]</f>
        <v>0.27742749054224464</v>
      </c>
    </row>
    <row r="1559" spans="1:12" x14ac:dyDescent="0.45">
      <c r="A1559" t="s">
        <v>1027</v>
      </c>
      <c r="B1559" t="s">
        <v>11</v>
      </c>
      <c r="C1559" t="s">
        <v>714</v>
      </c>
      <c r="D1559" t="s">
        <v>116</v>
      </c>
      <c r="E1559">
        <v>1105</v>
      </c>
      <c r="F1559">
        <v>1065</v>
      </c>
      <c r="G1559">
        <v>1031</v>
      </c>
      <c r="H1559">
        <v>34</v>
      </c>
      <c r="I1559">
        <v>2018</v>
      </c>
      <c r="J1559">
        <v>20</v>
      </c>
      <c r="K1559">
        <f>allFYsTable[[#This Row],[Actual]]-allFYsTable[[#This Row],[OriginalBudget]]</f>
        <v>-74</v>
      </c>
      <c r="L1559" s="11">
        <f>allFYsTable[[#This Row],[DiffAmount]]/allFYsTable[[#This Row],[OriginalBudget]]</f>
        <v>-6.6968325791855202E-2</v>
      </c>
    </row>
    <row r="1560" spans="1:12" x14ac:dyDescent="0.45">
      <c r="A1560" t="s">
        <v>1027</v>
      </c>
      <c r="B1560" t="s">
        <v>11</v>
      </c>
      <c r="C1560" t="s">
        <v>733</v>
      </c>
      <c r="D1560" t="s">
        <v>117</v>
      </c>
      <c r="E1560">
        <v>51</v>
      </c>
      <c r="F1560">
        <v>51</v>
      </c>
      <c r="G1560">
        <v>38</v>
      </c>
      <c r="H1560">
        <v>13</v>
      </c>
      <c r="I1560">
        <v>2018</v>
      </c>
      <c r="J1560">
        <v>21</v>
      </c>
      <c r="K1560">
        <f>allFYsTable[[#This Row],[Actual]]-allFYsTable[[#This Row],[OriginalBudget]]</f>
        <v>-13</v>
      </c>
      <c r="L1560" s="11">
        <f>allFYsTable[[#This Row],[DiffAmount]]/allFYsTable[[#This Row],[OriginalBudget]]</f>
        <v>-0.25490196078431371</v>
      </c>
    </row>
    <row r="1561" spans="1:12" x14ac:dyDescent="0.45">
      <c r="A1561" t="s">
        <v>1027</v>
      </c>
      <c r="B1561" t="s">
        <v>11</v>
      </c>
      <c r="C1561" t="s">
        <v>721</v>
      </c>
      <c r="D1561" t="s">
        <v>118</v>
      </c>
      <c r="E1561">
        <v>68876</v>
      </c>
      <c r="F1561">
        <v>74482</v>
      </c>
      <c r="G1561">
        <v>73886</v>
      </c>
      <c r="H1561">
        <v>596</v>
      </c>
      <c r="I1561">
        <v>2018</v>
      </c>
      <c r="J1561">
        <v>22</v>
      </c>
      <c r="K1561">
        <f>allFYsTable[[#This Row],[Actual]]-allFYsTable[[#This Row],[OriginalBudget]]</f>
        <v>5010</v>
      </c>
      <c r="L1561" s="11">
        <f>allFYsTable[[#This Row],[DiffAmount]]/allFYsTable[[#This Row],[OriginalBudget]]</f>
        <v>7.2739415761658627E-2</v>
      </c>
    </row>
    <row r="1562" spans="1:12" x14ac:dyDescent="0.45">
      <c r="A1562" t="s">
        <v>1027</v>
      </c>
      <c r="B1562" t="s">
        <v>11</v>
      </c>
      <c r="C1562" t="s">
        <v>699</v>
      </c>
      <c r="D1562" t="s">
        <v>119</v>
      </c>
      <c r="E1562">
        <v>7907</v>
      </c>
      <c r="F1562">
        <v>9207</v>
      </c>
      <c r="G1562">
        <v>9020</v>
      </c>
      <c r="H1562">
        <v>187</v>
      </c>
      <c r="I1562">
        <v>2018</v>
      </c>
      <c r="J1562">
        <v>23</v>
      </c>
      <c r="K1562">
        <f>allFYsTable[[#This Row],[Actual]]-allFYsTable[[#This Row],[OriginalBudget]]</f>
        <v>1113</v>
      </c>
      <c r="L1562" s="11">
        <f>allFYsTable[[#This Row],[DiffAmount]]/allFYsTable[[#This Row],[OriginalBudget]]</f>
        <v>0.1407613507019097</v>
      </c>
    </row>
    <row r="1563" spans="1:12" x14ac:dyDescent="0.45">
      <c r="A1563" t="s">
        <v>1027</v>
      </c>
      <c r="B1563" t="s">
        <v>11</v>
      </c>
      <c r="C1563" t="s">
        <v>712</v>
      </c>
      <c r="D1563" t="s">
        <v>120</v>
      </c>
      <c r="E1563">
        <v>2908</v>
      </c>
      <c r="F1563">
        <v>2808</v>
      </c>
      <c r="G1563">
        <v>2722</v>
      </c>
      <c r="H1563">
        <v>86</v>
      </c>
      <c r="I1563">
        <v>2018</v>
      </c>
      <c r="J1563">
        <v>24</v>
      </c>
      <c r="K1563">
        <f>allFYsTable[[#This Row],[Actual]]-allFYsTable[[#This Row],[OriginalBudget]]</f>
        <v>-186</v>
      </c>
      <c r="L1563" s="11">
        <f>allFYsTable[[#This Row],[DiffAmount]]/allFYsTable[[#This Row],[OriginalBudget]]</f>
        <v>-6.3961485557083905E-2</v>
      </c>
    </row>
    <row r="1564" spans="1:12" x14ac:dyDescent="0.45">
      <c r="A1564" t="s">
        <v>1027</v>
      </c>
      <c r="B1564" t="s">
        <v>11</v>
      </c>
      <c r="C1564" t="s">
        <v>730</v>
      </c>
      <c r="D1564" t="s">
        <v>125</v>
      </c>
      <c r="E1564">
        <v>1440</v>
      </c>
      <c r="F1564">
        <v>1410</v>
      </c>
      <c r="G1564">
        <v>1235</v>
      </c>
      <c r="H1564">
        <v>175</v>
      </c>
      <c r="I1564">
        <v>2018</v>
      </c>
      <c r="J1564">
        <v>25</v>
      </c>
      <c r="K1564">
        <f>allFYsTable[[#This Row],[Actual]]-allFYsTable[[#This Row],[OriginalBudget]]</f>
        <v>-205</v>
      </c>
      <c r="L1564" s="11">
        <f>allFYsTable[[#This Row],[DiffAmount]]/allFYsTable[[#This Row],[OriginalBudget]]</f>
        <v>-0.1423611111111111</v>
      </c>
    </row>
    <row r="1565" spans="1:12" x14ac:dyDescent="0.45">
      <c r="A1565" t="s">
        <v>1027</v>
      </c>
      <c r="B1565" t="s">
        <v>11</v>
      </c>
      <c r="C1565" t="s">
        <v>715</v>
      </c>
      <c r="D1565" t="s">
        <v>126</v>
      </c>
      <c r="E1565">
        <v>2129</v>
      </c>
      <c r="F1565">
        <v>2173</v>
      </c>
      <c r="G1565">
        <v>2099</v>
      </c>
      <c r="H1565">
        <v>74</v>
      </c>
      <c r="I1565">
        <v>2018</v>
      </c>
      <c r="J1565">
        <v>26</v>
      </c>
      <c r="K1565">
        <f>allFYsTable[[#This Row],[Actual]]-allFYsTable[[#This Row],[OriginalBudget]]</f>
        <v>-30</v>
      </c>
      <c r="L1565" s="11">
        <f>allFYsTable[[#This Row],[DiffAmount]]/allFYsTable[[#This Row],[OriginalBudget]]</f>
        <v>-1.4091122592766557E-2</v>
      </c>
    </row>
    <row r="1566" spans="1:12" x14ac:dyDescent="0.45">
      <c r="A1566" t="s">
        <v>1027</v>
      </c>
      <c r="B1566" t="s">
        <v>11</v>
      </c>
      <c r="C1566" t="s">
        <v>709</v>
      </c>
      <c r="D1566" t="s">
        <v>127</v>
      </c>
      <c r="E1566">
        <v>520</v>
      </c>
      <c r="F1566">
        <v>520</v>
      </c>
      <c r="G1566">
        <v>520</v>
      </c>
      <c r="H1566">
        <v>0</v>
      </c>
      <c r="I1566">
        <v>2018</v>
      </c>
      <c r="J1566">
        <v>27</v>
      </c>
      <c r="K1566">
        <f>allFYsTable[[#This Row],[Actual]]-allFYsTable[[#This Row],[OriginalBudget]]</f>
        <v>0</v>
      </c>
      <c r="L1566" s="11">
        <f>allFYsTable[[#This Row],[DiffAmount]]/allFYsTable[[#This Row],[OriginalBudget]]</f>
        <v>0</v>
      </c>
    </row>
    <row r="1567" spans="1:12" x14ac:dyDescent="0.45">
      <c r="A1567" t="s">
        <v>1027</v>
      </c>
      <c r="B1567" t="s">
        <v>11</v>
      </c>
      <c r="C1567" t="s">
        <v>840</v>
      </c>
      <c r="D1567" t="s">
        <v>185</v>
      </c>
      <c r="E1567">
        <v>3247</v>
      </c>
      <c r="F1567">
        <v>2947</v>
      </c>
      <c r="G1567">
        <v>2620</v>
      </c>
      <c r="H1567">
        <v>327</v>
      </c>
      <c r="I1567">
        <v>2018</v>
      </c>
      <c r="J1567">
        <v>28</v>
      </c>
      <c r="K1567">
        <f>allFYsTable[[#This Row],[Actual]]-allFYsTable[[#This Row],[OriginalBudget]]</f>
        <v>-627</v>
      </c>
      <c r="L1567" s="11">
        <f>allFYsTable[[#This Row],[DiffAmount]]/allFYsTable[[#This Row],[OriginalBudget]]</f>
        <v>-0.19310132429935326</v>
      </c>
    </row>
    <row r="1568" spans="1:12" x14ac:dyDescent="0.45">
      <c r="A1568" t="s">
        <v>1027</v>
      </c>
      <c r="B1568" t="s">
        <v>11</v>
      </c>
      <c r="C1568" t="s">
        <v>700</v>
      </c>
      <c r="D1568" t="s">
        <v>201</v>
      </c>
      <c r="E1568">
        <v>2179</v>
      </c>
      <c r="F1568">
        <v>2179</v>
      </c>
      <c r="G1568">
        <v>2099</v>
      </c>
      <c r="H1568">
        <v>80</v>
      </c>
      <c r="I1568">
        <v>2018</v>
      </c>
      <c r="J1568">
        <v>29</v>
      </c>
      <c r="K1568">
        <f>allFYsTable[[#This Row],[Actual]]-allFYsTable[[#This Row],[OriginalBudget]]</f>
        <v>-80</v>
      </c>
      <c r="L1568" s="11">
        <f>allFYsTable[[#This Row],[DiffAmount]]/allFYsTable[[#This Row],[OriginalBudget]]</f>
        <v>-3.6714089031665904E-2</v>
      </c>
    </row>
    <row r="1569" spans="1:12" x14ac:dyDescent="0.45">
      <c r="A1569" t="s">
        <v>1027</v>
      </c>
      <c r="B1569" t="s">
        <v>11</v>
      </c>
      <c r="C1569" t="s">
        <v>865</v>
      </c>
      <c r="D1569" t="s">
        <v>202</v>
      </c>
      <c r="E1569">
        <v>0</v>
      </c>
      <c r="F1569">
        <v>10336</v>
      </c>
      <c r="G1569">
        <v>10336</v>
      </c>
      <c r="H1569">
        <v>0</v>
      </c>
      <c r="I1569">
        <v>2018</v>
      </c>
      <c r="J1569">
        <v>30</v>
      </c>
      <c r="K1569">
        <f>allFYsTable[[#This Row],[Actual]]-allFYsTable[[#This Row],[OriginalBudget]]</f>
        <v>10336</v>
      </c>
      <c r="L1569" s="11" t="e">
        <f>allFYsTable[[#This Row],[DiffAmount]]/allFYsTable[[#This Row],[OriginalBudget]]</f>
        <v>#DIV/0!</v>
      </c>
    </row>
    <row r="1570" spans="1:12" x14ac:dyDescent="0.45">
      <c r="A1570" t="s">
        <v>1027</v>
      </c>
      <c r="B1570" t="s">
        <v>129</v>
      </c>
      <c r="C1570" t="s">
        <v>743</v>
      </c>
      <c r="D1570" t="s">
        <v>187</v>
      </c>
      <c r="E1570">
        <v>13000</v>
      </c>
      <c r="F1570">
        <v>35719</v>
      </c>
      <c r="G1570">
        <v>32590</v>
      </c>
      <c r="H1570">
        <v>3129</v>
      </c>
      <c r="I1570">
        <v>2018</v>
      </c>
      <c r="J1570">
        <v>31</v>
      </c>
      <c r="K1570">
        <f>allFYsTable[[#This Row],[Actual]]-allFYsTable[[#This Row],[OriginalBudget]]</f>
        <v>19590</v>
      </c>
      <c r="L1570" s="11">
        <f>allFYsTable[[#This Row],[DiffAmount]]/allFYsTable[[#This Row],[OriginalBudget]]</f>
        <v>1.506923076923077</v>
      </c>
    </row>
    <row r="1571" spans="1:12" x14ac:dyDescent="0.45">
      <c r="A1571" t="s">
        <v>1027</v>
      </c>
      <c r="B1571" t="s">
        <v>129</v>
      </c>
      <c r="C1571" t="s">
        <v>738</v>
      </c>
      <c r="D1571" t="s">
        <v>22</v>
      </c>
      <c r="E1571">
        <v>14632</v>
      </c>
      <c r="F1571">
        <v>14818</v>
      </c>
      <c r="G1571">
        <v>14465</v>
      </c>
      <c r="H1571">
        <v>353</v>
      </c>
      <c r="I1571">
        <v>2018</v>
      </c>
      <c r="J1571">
        <v>32</v>
      </c>
      <c r="K1571">
        <f>allFYsTable[[#This Row],[Actual]]-allFYsTable[[#This Row],[OriginalBudget]]</f>
        <v>-167</v>
      </c>
      <c r="L1571" s="11">
        <f>allFYsTable[[#This Row],[DiffAmount]]/allFYsTable[[#This Row],[OriginalBudget]]</f>
        <v>-1.1413340623291416E-2</v>
      </c>
    </row>
    <row r="1572" spans="1:12" x14ac:dyDescent="0.45">
      <c r="A1572" t="s">
        <v>1027</v>
      </c>
      <c r="B1572" t="s">
        <v>129</v>
      </c>
      <c r="C1572" t="s">
        <v>742</v>
      </c>
      <c r="D1572" t="s">
        <v>26</v>
      </c>
      <c r="E1572">
        <v>9657</v>
      </c>
      <c r="F1572">
        <v>9820</v>
      </c>
      <c r="G1572">
        <v>9744</v>
      </c>
      <c r="H1572">
        <v>76</v>
      </c>
      <c r="I1572">
        <v>2018</v>
      </c>
      <c r="J1572">
        <v>33</v>
      </c>
      <c r="K1572">
        <f>allFYsTable[[#This Row],[Actual]]-allFYsTable[[#This Row],[OriginalBudget]]</f>
        <v>87</v>
      </c>
      <c r="L1572" s="11">
        <f>allFYsTable[[#This Row],[DiffAmount]]/allFYsTable[[#This Row],[OriginalBudget]]</f>
        <v>9.0090090090090089E-3</v>
      </c>
    </row>
    <row r="1573" spans="1:12" x14ac:dyDescent="0.45">
      <c r="A1573" t="s">
        <v>1027</v>
      </c>
      <c r="B1573" t="s">
        <v>129</v>
      </c>
      <c r="C1573" t="s">
        <v>744</v>
      </c>
      <c r="D1573" t="s">
        <v>29</v>
      </c>
      <c r="E1573">
        <v>3069</v>
      </c>
      <c r="F1573">
        <v>3018</v>
      </c>
      <c r="G1573">
        <v>2855</v>
      </c>
      <c r="H1573">
        <v>163</v>
      </c>
      <c r="I1573">
        <v>2018</v>
      </c>
      <c r="J1573">
        <v>34</v>
      </c>
      <c r="K1573">
        <f>allFYsTable[[#This Row],[Actual]]-allFYsTable[[#This Row],[OriginalBudget]]</f>
        <v>-214</v>
      </c>
      <c r="L1573" s="11">
        <f>allFYsTable[[#This Row],[DiffAmount]]/allFYsTable[[#This Row],[OriginalBudget]]</f>
        <v>-6.9729553600521341E-2</v>
      </c>
    </row>
    <row r="1574" spans="1:12" x14ac:dyDescent="0.45">
      <c r="A1574" t="s">
        <v>1027</v>
      </c>
      <c r="B1574" t="s">
        <v>129</v>
      </c>
      <c r="C1574" t="s">
        <v>737</v>
      </c>
      <c r="D1574" t="s">
        <v>21</v>
      </c>
      <c r="E1574">
        <v>23104</v>
      </c>
      <c r="F1574">
        <v>28257</v>
      </c>
      <c r="G1574">
        <v>27739</v>
      </c>
      <c r="H1574">
        <v>518</v>
      </c>
      <c r="I1574">
        <v>2018</v>
      </c>
      <c r="J1574">
        <v>35</v>
      </c>
      <c r="K1574">
        <f>allFYsTable[[#This Row],[Actual]]-allFYsTable[[#This Row],[OriginalBudget]]</f>
        <v>4635</v>
      </c>
      <c r="L1574" s="11">
        <f>allFYsTable[[#This Row],[DiffAmount]]/allFYsTable[[#This Row],[OriginalBudget]]</f>
        <v>0.20061461218836565</v>
      </c>
    </row>
    <row r="1575" spans="1:12" x14ac:dyDescent="0.45">
      <c r="A1575" t="s">
        <v>1027</v>
      </c>
      <c r="B1575" t="s">
        <v>129</v>
      </c>
      <c r="C1575" t="s">
        <v>741</v>
      </c>
      <c r="D1575" t="s">
        <v>188</v>
      </c>
      <c r="E1575">
        <v>1662</v>
      </c>
      <c r="F1575">
        <v>2111</v>
      </c>
      <c r="G1575">
        <v>2060</v>
      </c>
      <c r="H1575">
        <v>51</v>
      </c>
      <c r="I1575">
        <v>2018</v>
      </c>
      <c r="J1575">
        <v>36</v>
      </c>
      <c r="K1575">
        <f>allFYsTable[[#This Row],[Actual]]-allFYsTable[[#This Row],[OriginalBudget]]</f>
        <v>398</v>
      </c>
      <c r="L1575" s="11">
        <f>allFYsTable[[#This Row],[DiffAmount]]/allFYsTable[[#This Row],[OriginalBudget]]</f>
        <v>0.23947051744885681</v>
      </c>
    </row>
    <row r="1576" spans="1:12" x14ac:dyDescent="0.45">
      <c r="A1576" t="s">
        <v>1027</v>
      </c>
      <c r="B1576" t="s">
        <v>129</v>
      </c>
      <c r="C1576" t="s">
        <v>769</v>
      </c>
      <c r="D1576" t="s">
        <v>55</v>
      </c>
      <c r="E1576">
        <v>62380</v>
      </c>
      <c r="F1576">
        <v>65020</v>
      </c>
      <c r="G1576">
        <v>62304</v>
      </c>
      <c r="H1576">
        <v>2716</v>
      </c>
      <c r="I1576">
        <v>2018</v>
      </c>
      <c r="J1576">
        <v>37</v>
      </c>
      <c r="K1576">
        <f>allFYsTable[[#This Row],[Actual]]-allFYsTable[[#This Row],[OriginalBudget]]</f>
        <v>-76</v>
      </c>
      <c r="L1576" s="11">
        <f>allFYsTable[[#This Row],[DiffAmount]]/allFYsTable[[#This Row],[OriginalBudget]]</f>
        <v>-1.2183392112856686E-3</v>
      </c>
    </row>
    <row r="1577" spans="1:12" x14ac:dyDescent="0.45">
      <c r="A1577" t="s">
        <v>1027</v>
      </c>
      <c r="B1577" t="s">
        <v>129</v>
      </c>
      <c r="C1577" t="s">
        <v>745</v>
      </c>
      <c r="D1577" t="s">
        <v>30</v>
      </c>
      <c r="E1577">
        <v>1715</v>
      </c>
      <c r="F1577">
        <v>1715</v>
      </c>
      <c r="G1577">
        <v>1712</v>
      </c>
      <c r="H1577">
        <v>3</v>
      </c>
      <c r="I1577">
        <v>2018</v>
      </c>
      <c r="J1577">
        <v>38</v>
      </c>
      <c r="K1577">
        <f>allFYsTable[[#This Row],[Actual]]-allFYsTable[[#This Row],[OriginalBudget]]</f>
        <v>-3</v>
      </c>
      <c r="L1577" s="11">
        <f>allFYsTable[[#This Row],[DiffAmount]]/allFYsTable[[#This Row],[OriginalBudget]]</f>
        <v>-1.749271137026239E-3</v>
      </c>
    </row>
    <row r="1578" spans="1:12" x14ac:dyDescent="0.45">
      <c r="A1578" t="s">
        <v>1027</v>
      </c>
      <c r="B1578" t="s">
        <v>129</v>
      </c>
      <c r="C1578" t="s">
        <v>797</v>
      </c>
      <c r="D1578" t="s">
        <v>189</v>
      </c>
      <c r="E1578">
        <v>21958</v>
      </c>
      <c r="F1578">
        <v>23733</v>
      </c>
      <c r="G1578">
        <v>23150</v>
      </c>
      <c r="H1578">
        <v>583</v>
      </c>
      <c r="I1578">
        <v>2018</v>
      </c>
      <c r="J1578">
        <v>39</v>
      </c>
      <c r="K1578">
        <f>allFYsTable[[#This Row],[Actual]]-allFYsTable[[#This Row],[OriginalBudget]]</f>
        <v>1192</v>
      </c>
      <c r="L1578" s="11">
        <f>allFYsTable[[#This Row],[DiffAmount]]/allFYsTable[[#This Row],[OriginalBudget]]</f>
        <v>5.4285454048638312E-2</v>
      </c>
    </row>
    <row r="1579" spans="1:12" x14ac:dyDescent="0.45">
      <c r="A1579" t="s">
        <v>1027</v>
      </c>
      <c r="B1579" t="s">
        <v>129</v>
      </c>
      <c r="C1579" t="s">
        <v>795</v>
      </c>
      <c r="D1579" t="s">
        <v>72</v>
      </c>
      <c r="E1579">
        <v>1170</v>
      </c>
      <c r="F1579">
        <v>1170</v>
      </c>
      <c r="G1579">
        <v>955</v>
      </c>
      <c r="H1579">
        <v>215</v>
      </c>
      <c r="I1579">
        <v>2018</v>
      </c>
      <c r="J1579">
        <v>40</v>
      </c>
      <c r="K1579">
        <f>allFYsTable[[#This Row],[Actual]]-allFYsTable[[#This Row],[OriginalBudget]]</f>
        <v>-215</v>
      </c>
      <c r="L1579" s="11">
        <f>allFYsTable[[#This Row],[DiffAmount]]/allFYsTable[[#This Row],[OriginalBudget]]</f>
        <v>-0.18376068376068377</v>
      </c>
    </row>
    <row r="1580" spans="1:12" x14ac:dyDescent="0.45">
      <c r="A1580" t="s">
        <v>1027</v>
      </c>
      <c r="B1580" t="s">
        <v>129</v>
      </c>
      <c r="C1580" t="s">
        <v>736</v>
      </c>
      <c r="D1580" t="s">
        <v>190</v>
      </c>
      <c r="E1580">
        <v>28835</v>
      </c>
      <c r="F1580">
        <v>28010</v>
      </c>
      <c r="G1580">
        <v>27758</v>
      </c>
      <c r="H1580">
        <v>252</v>
      </c>
      <c r="I1580">
        <v>2018</v>
      </c>
      <c r="J1580">
        <v>41</v>
      </c>
      <c r="K1580">
        <f>allFYsTable[[#This Row],[Actual]]-allFYsTable[[#This Row],[OriginalBudget]]</f>
        <v>-1077</v>
      </c>
      <c r="L1580" s="11">
        <f>allFYsTable[[#This Row],[DiffAmount]]/allFYsTable[[#This Row],[OriginalBudget]]</f>
        <v>-3.7350442170972775E-2</v>
      </c>
    </row>
    <row r="1581" spans="1:12" x14ac:dyDescent="0.45">
      <c r="A1581" t="s">
        <v>1027</v>
      </c>
      <c r="B1581" t="s">
        <v>129</v>
      </c>
      <c r="C1581" t="s">
        <v>739</v>
      </c>
      <c r="D1581" t="s">
        <v>23</v>
      </c>
      <c r="E1581">
        <v>85980</v>
      </c>
      <c r="F1581">
        <v>89407</v>
      </c>
      <c r="G1581">
        <v>81110</v>
      </c>
      <c r="H1581">
        <v>8297</v>
      </c>
      <c r="I1581">
        <v>2018</v>
      </c>
      <c r="J1581">
        <v>42</v>
      </c>
      <c r="K1581">
        <f>allFYsTable[[#This Row],[Actual]]-allFYsTable[[#This Row],[OriginalBudget]]</f>
        <v>-4870</v>
      </c>
      <c r="L1581" s="11">
        <f>allFYsTable[[#This Row],[DiffAmount]]/allFYsTable[[#This Row],[OriginalBudget]]</f>
        <v>-5.6641079320772274E-2</v>
      </c>
    </row>
    <row r="1582" spans="1:12" x14ac:dyDescent="0.45">
      <c r="A1582" t="s">
        <v>1027</v>
      </c>
      <c r="B1582" t="s">
        <v>129</v>
      </c>
      <c r="C1582" t="s">
        <v>734</v>
      </c>
      <c r="D1582" t="s">
        <v>12</v>
      </c>
      <c r="E1582">
        <v>0</v>
      </c>
      <c r="F1582">
        <v>0</v>
      </c>
      <c r="G1582">
        <v>0</v>
      </c>
      <c r="H1582">
        <v>0</v>
      </c>
      <c r="I1582">
        <v>2018</v>
      </c>
      <c r="J1582">
        <v>43</v>
      </c>
      <c r="K1582">
        <f>allFYsTable[[#This Row],[Actual]]-allFYsTable[[#This Row],[OriginalBudget]]</f>
        <v>0</v>
      </c>
      <c r="L1582" s="11" t="e">
        <f>allFYsTable[[#This Row],[DiffAmount]]/allFYsTable[[#This Row],[OriginalBudget]]</f>
        <v>#DIV/0!</v>
      </c>
    </row>
    <row r="1583" spans="1:12" x14ac:dyDescent="0.45">
      <c r="A1583" t="s">
        <v>1027</v>
      </c>
      <c r="B1583" t="s">
        <v>129</v>
      </c>
      <c r="C1583" t="s">
        <v>740</v>
      </c>
      <c r="D1583" t="s">
        <v>24</v>
      </c>
      <c r="E1583">
        <v>48317</v>
      </c>
      <c r="F1583">
        <v>12516</v>
      </c>
      <c r="G1583">
        <v>12516</v>
      </c>
      <c r="H1583">
        <v>0</v>
      </c>
      <c r="I1583">
        <v>2018</v>
      </c>
      <c r="J1583">
        <v>44</v>
      </c>
      <c r="K1583">
        <f>allFYsTable[[#This Row],[Actual]]-allFYsTable[[#This Row],[OriginalBudget]]</f>
        <v>-35801</v>
      </c>
      <c r="L1583" s="11">
        <f>allFYsTable[[#This Row],[DiffAmount]]/allFYsTable[[#This Row],[OriginalBudget]]</f>
        <v>-0.74096073845644395</v>
      </c>
    </row>
    <row r="1584" spans="1:12" x14ac:dyDescent="0.45">
      <c r="A1584" t="s">
        <v>1027</v>
      </c>
      <c r="B1584" t="s">
        <v>129</v>
      </c>
      <c r="C1584" t="s">
        <v>839</v>
      </c>
      <c r="D1584" t="s">
        <v>28</v>
      </c>
      <c r="E1584">
        <v>3538</v>
      </c>
      <c r="F1584">
        <v>3433</v>
      </c>
      <c r="G1584">
        <v>3121</v>
      </c>
      <c r="H1584">
        <v>312</v>
      </c>
      <c r="I1584">
        <v>2018</v>
      </c>
      <c r="J1584">
        <v>45</v>
      </c>
      <c r="K1584">
        <f>allFYsTable[[#This Row],[Actual]]-allFYsTable[[#This Row],[OriginalBudget]]</f>
        <v>-417</v>
      </c>
      <c r="L1584" s="11">
        <f>allFYsTable[[#This Row],[DiffAmount]]/allFYsTable[[#This Row],[OriginalBudget]]</f>
        <v>-0.1178631995477671</v>
      </c>
    </row>
    <row r="1585" spans="1:12" x14ac:dyDescent="0.45">
      <c r="A1585" t="s">
        <v>1027</v>
      </c>
      <c r="B1585" t="s">
        <v>129</v>
      </c>
      <c r="C1585" t="s">
        <v>806</v>
      </c>
      <c r="D1585" t="s">
        <v>82</v>
      </c>
      <c r="E1585">
        <v>0</v>
      </c>
      <c r="F1585">
        <v>0</v>
      </c>
      <c r="G1585">
        <v>0</v>
      </c>
      <c r="H1585">
        <v>0</v>
      </c>
      <c r="I1585">
        <v>2018</v>
      </c>
      <c r="J1585">
        <v>46</v>
      </c>
      <c r="K1585">
        <f>allFYsTable[[#This Row],[Actual]]-allFYsTable[[#This Row],[OriginalBudget]]</f>
        <v>0</v>
      </c>
      <c r="L1585" s="11" t="e">
        <f>allFYsTable[[#This Row],[DiffAmount]]/allFYsTable[[#This Row],[OriginalBudget]]</f>
        <v>#DIV/0!</v>
      </c>
    </row>
    <row r="1586" spans="1:12" x14ac:dyDescent="0.45">
      <c r="A1586" t="s">
        <v>1027</v>
      </c>
      <c r="B1586" t="s">
        <v>129</v>
      </c>
      <c r="C1586" t="s">
        <v>800</v>
      </c>
      <c r="D1586" t="s">
        <v>76</v>
      </c>
      <c r="E1586">
        <v>200</v>
      </c>
      <c r="F1586">
        <v>200</v>
      </c>
      <c r="G1586">
        <v>150</v>
      </c>
      <c r="H1586">
        <v>50</v>
      </c>
      <c r="I1586">
        <v>2018</v>
      </c>
      <c r="J1586">
        <v>47</v>
      </c>
      <c r="K1586">
        <f>allFYsTable[[#This Row],[Actual]]-allFYsTable[[#This Row],[OriginalBudget]]</f>
        <v>-50</v>
      </c>
      <c r="L1586" s="11">
        <f>allFYsTable[[#This Row],[DiffAmount]]/allFYsTable[[#This Row],[OriginalBudget]]</f>
        <v>-0.25</v>
      </c>
    </row>
    <row r="1587" spans="1:12" x14ac:dyDescent="0.45">
      <c r="A1587" t="s">
        <v>1027</v>
      </c>
      <c r="B1587" t="s">
        <v>129</v>
      </c>
      <c r="C1587" t="s">
        <v>805</v>
      </c>
      <c r="D1587" t="s">
        <v>191</v>
      </c>
      <c r="E1587">
        <v>0</v>
      </c>
      <c r="F1587">
        <v>0</v>
      </c>
      <c r="G1587">
        <v>0</v>
      </c>
      <c r="H1587">
        <v>0</v>
      </c>
      <c r="I1587">
        <v>2018</v>
      </c>
      <c r="J1587">
        <v>48</v>
      </c>
      <c r="K1587">
        <f>allFYsTable[[#This Row],[Actual]]-allFYsTable[[#This Row],[OriginalBudget]]</f>
        <v>0</v>
      </c>
      <c r="L1587" s="11" t="e">
        <f>allFYsTable[[#This Row],[DiffAmount]]/allFYsTable[[#This Row],[OriginalBudget]]</f>
        <v>#DIV/0!</v>
      </c>
    </row>
    <row r="1588" spans="1:12" x14ac:dyDescent="0.45">
      <c r="A1588" t="s">
        <v>1027</v>
      </c>
      <c r="B1588" t="s">
        <v>6</v>
      </c>
      <c r="C1588" t="s">
        <v>758</v>
      </c>
      <c r="D1588" t="s">
        <v>44</v>
      </c>
      <c r="E1588">
        <v>503729</v>
      </c>
      <c r="F1588">
        <v>519382</v>
      </c>
      <c r="G1588">
        <v>519365</v>
      </c>
      <c r="H1588">
        <v>17</v>
      </c>
      <c r="I1588">
        <v>2018</v>
      </c>
      <c r="J1588">
        <v>49</v>
      </c>
      <c r="K1588">
        <f>allFYsTable[[#This Row],[Actual]]-allFYsTable[[#This Row],[OriginalBudget]]</f>
        <v>15636</v>
      </c>
      <c r="L1588" s="11">
        <f>allFYsTable[[#This Row],[DiffAmount]]/allFYsTable[[#This Row],[OriginalBudget]]</f>
        <v>3.1040499951362738E-2</v>
      </c>
    </row>
    <row r="1589" spans="1:12" x14ac:dyDescent="0.45">
      <c r="A1589" t="s">
        <v>1027</v>
      </c>
      <c r="B1589" t="s">
        <v>6</v>
      </c>
      <c r="C1589" t="s">
        <v>755</v>
      </c>
      <c r="D1589" t="s">
        <v>131</v>
      </c>
      <c r="E1589">
        <v>249681</v>
      </c>
      <c r="F1589">
        <v>285579</v>
      </c>
      <c r="G1589">
        <v>285257</v>
      </c>
      <c r="H1589">
        <v>322</v>
      </c>
      <c r="I1589">
        <v>2018</v>
      </c>
      <c r="J1589">
        <v>50</v>
      </c>
      <c r="K1589">
        <f>allFYsTable[[#This Row],[Actual]]-allFYsTable[[#This Row],[OriginalBudget]]</f>
        <v>35576</v>
      </c>
      <c r="L1589" s="11">
        <f>allFYsTable[[#This Row],[DiffAmount]]/allFYsTable[[#This Row],[OriginalBudget]]</f>
        <v>0.14248581189597928</v>
      </c>
    </row>
    <row r="1590" spans="1:12" x14ac:dyDescent="0.45">
      <c r="A1590" t="s">
        <v>1027</v>
      </c>
      <c r="B1590" t="s">
        <v>6</v>
      </c>
      <c r="C1590" t="s">
        <v>768</v>
      </c>
      <c r="D1590" t="s">
        <v>193</v>
      </c>
      <c r="E1590">
        <v>105596</v>
      </c>
      <c r="F1590">
        <v>105596</v>
      </c>
      <c r="G1590">
        <v>105596</v>
      </c>
      <c r="H1590">
        <v>0</v>
      </c>
      <c r="I1590">
        <v>2018</v>
      </c>
      <c r="J1590">
        <v>51</v>
      </c>
      <c r="K1590">
        <f>allFYsTable[[#This Row],[Actual]]-allFYsTable[[#This Row],[OriginalBudget]]</f>
        <v>0</v>
      </c>
      <c r="L1590" s="11">
        <f>allFYsTable[[#This Row],[DiffAmount]]/allFYsTable[[#This Row],[OriginalBudget]]</f>
        <v>0</v>
      </c>
    </row>
    <row r="1591" spans="1:12" x14ac:dyDescent="0.45">
      <c r="A1591" t="s">
        <v>1027</v>
      </c>
      <c r="B1591" t="s">
        <v>6</v>
      </c>
      <c r="C1591" t="s">
        <v>759</v>
      </c>
      <c r="D1591" t="s">
        <v>133</v>
      </c>
      <c r="E1591">
        <v>10009</v>
      </c>
      <c r="F1591">
        <v>9367</v>
      </c>
      <c r="G1591">
        <v>8536</v>
      </c>
      <c r="H1591">
        <v>831</v>
      </c>
      <c r="I1591">
        <v>2018</v>
      </c>
      <c r="J1591">
        <v>52</v>
      </c>
      <c r="K1591">
        <f>allFYsTable[[#This Row],[Actual]]-allFYsTable[[#This Row],[OriginalBudget]]</f>
        <v>-1473</v>
      </c>
      <c r="L1591" s="11">
        <f>allFYsTable[[#This Row],[DiffAmount]]/allFYsTable[[#This Row],[OriginalBudget]]</f>
        <v>-0.14716754920571487</v>
      </c>
    </row>
    <row r="1592" spans="1:12" x14ac:dyDescent="0.45">
      <c r="A1592" t="s">
        <v>1027</v>
      </c>
      <c r="B1592" t="s">
        <v>6</v>
      </c>
      <c r="C1592" t="s">
        <v>749</v>
      </c>
      <c r="D1592" t="s">
        <v>35</v>
      </c>
      <c r="E1592">
        <v>1238</v>
      </c>
      <c r="F1592">
        <v>1250</v>
      </c>
      <c r="G1592">
        <v>1217</v>
      </c>
      <c r="H1592">
        <v>33</v>
      </c>
      <c r="I1592">
        <v>2018</v>
      </c>
      <c r="J1592">
        <v>53</v>
      </c>
      <c r="K1592">
        <f>allFYsTable[[#This Row],[Actual]]-allFYsTable[[#This Row],[OriginalBudget]]</f>
        <v>-21</v>
      </c>
      <c r="L1592" s="11">
        <f>allFYsTable[[#This Row],[DiffAmount]]/allFYsTable[[#This Row],[OriginalBudget]]</f>
        <v>-1.6962843295638127E-2</v>
      </c>
    </row>
    <row r="1593" spans="1:12" x14ac:dyDescent="0.45">
      <c r="A1593" t="s">
        <v>1027</v>
      </c>
      <c r="B1593" t="s">
        <v>6</v>
      </c>
      <c r="C1593" t="s">
        <v>747</v>
      </c>
      <c r="D1593" t="s">
        <v>33</v>
      </c>
      <c r="E1593">
        <v>748</v>
      </c>
      <c r="F1593">
        <v>749</v>
      </c>
      <c r="G1593">
        <v>581</v>
      </c>
      <c r="H1593">
        <v>168</v>
      </c>
      <c r="I1593">
        <v>2018</v>
      </c>
      <c r="J1593">
        <v>54</v>
      </c>
      <c r="K1593">
        <f>allFYsTable[[#This Row],[Actual]]-allFYsTable[[#This Row],[OriginalBudget]]</f>
        <v>-167</v>
      </c>
      <c r="L1593" s="11">
        <f>allFYsTable[[#This Row],[DiffAmount]]/allFYsTable[[#This Row],[OriginalBudget]]</f>
        <v>-0.2232620320855615</v>
      </c>
    </row>
    <row r="1594" spans="1:12" x14ac:dyDescent="0.45">
      <c r="A1594" t="s">
        <v>1027</v>
      </c>
      <c r="B1594" t="s">
        <v>6</v>
      </c>
      <c r="C1594" t="s">
        <v>750</v>
      </c>
      <c r="D1594" t="s">
        <v>36</v>
      </c>
      <c r="E1594">
        <v>124077</v>
      </c>
      <c r="F1594">
        <v>138898</v>
      </c>
      <c r="G1594">
        <v>138884</v>
      </c>
      <c r="H1594">
        <v>14</v>
      </c>
      <c r="I1594">
        <v>2018</v>
      </c>
      <c r="J1594">
        <v>55</v>
      </c>
      <c r="K1594">
        <f>allFYsTable[[#This Row],[Actual]]-allFYsTable[[#This Row],[OriginalBudget]]</f>
        <v>14807</v>
      </c>
      <c r="L1594" s="11">
        <f>allFYsTable[[#This Row],[DiffAmount]]/allFYsTable[[#This Row],[OriginalBudget]]</f>
        <v>0.11933718577979803</v>
      </c>
    </row>
    <row r="1595" spans="1:12" x14ac:dyDescent="0.45">
      <c r="A1595" t="s">
        <v>1027</v>
      </c>
      <c r="B1595" t="s">
        <v>6</v>
      </c>
      <c r="C1595" t="s">
        <v>764</v>
      </c>
      <c r="D1595" t="s">
        <v>50</v>
      </c>
      <c r="E1595">
        <v>11445</v>
      </c>
      <c r="F1595">
        <v>11743</v>
      </c>
      <c r="G1595">
        <v>11646</v>
      </c>
      <c r="H1595">
        <v>97</v>
      </c>
      <c r="I1595">
        <v>2018</v>
      </c>
      <c r="J1595">
        <v>56</v>
      </c>
      <c r="K1595">
        <f>allFYsTable[[#This Row],[Actual]]-allFYsTable[[#This Row],[OriginalBudget]]</f>
        <v>201</v>
      </c>
      <c r="L1595" s="11">
        <f>allFYsTable[[#This Row],[DiffAmount]]/allFYsTable[[#This Row],[OriginalBudget]]</f>
        <v>1.7562254259501964E-2</v>
      </c>
    </row>
    <row r="1596" spans="1:12" x14ac:dyDescent="0.45">
      <c r="A1596" t="s">
        <v>1027</v>
      </c>
      <c r="B1596" t="s">
        <v>6</v>
      </c>
      <c r="C1596" t="s">
        <v>753</v>
      </c>
      <c r="D1596" t="s">
        <v>169</v>
      </c>
      <c r="E1596">
        <v>5188</v>
      </c>
      <c r="F1596">
        <v>5257</v>
      </c>
      <c r="G1596">
        <v>4790</v>
      </c>
      <c r="H1596">
        <v>467</v>
      </c>
      <c r="I1596">
        <v>2018</v>
      </c>
      <c r="J1596">
        <v>57</v>
      </c>
      <c r="K1596">
        <f>allFYsTable[[#This Row],[Actual]]-allFYsTable[[#This Row],[OriginalBudget]]</f>
        <v>-398</v>
      </c>
      <c r="L1596" s="11">
        <f>allFYsTable[[#This Row],[DiffAmount]]/allFYsTable[[#This Row],[OriginalBudget]]</f>
        <v>-7.6715497301464916E-2</v>
      </c>
    </row>
    <row r="1597" spans="1:12" x14ac:dyDescent="0.45">
      <c r="A1597" t="s">
        <v>1027</v>
      </c>
      <c r="B1597" t="s">
        <v>6</v>
      </c>
      <c r="C1597" t="s">
        <v>756</v>
      </c>
      <c r="D1597" t="s">
        <v>42</v>
      </c>
      <c r="E1597">
        <v>4827</v>
      </c>
      <c r="F1597">
        <v>4855</v>
      </c>
      <c r="G1597">
        <v>4852</v>
      </c>
      <c r="H1597">
        <v>3</v>
      </c>
      <c r="I1597">
        <v>2018</v>
      </c>
      <c r="J1597">
        <v>58</v>
      </c>
      <c r="K1597">
        <f>allFYsTable[[#This Row],[Actual]]-allFYsTable[[#This Row],[OriginalBudget]]</f>
        <v>25</v>
      </c>
      <c r="L1597" s="11">
        <f>allFYsTable[[#This Row],[DiffAmount]]/allFYsTable[[#This Row],[OriginalBudget]]</f>
        <v>5.1792003314688213E-3</v>
      </c>
    </row>
    <row r="1598" spans="1:12" x14ac:dyDescent="0.45">
      <c r="A1598" t="s">
        <v>1027</v>
      </c>
      <c r="B1598" t="s">
        <v>6</v>
      </c>
      <c r="C1598" t="s">
        <v>746</v>
      </c>
      <c r="D1598" t="s">
        <v>32</v>
      </c>
      <c r="E1598">
        <v>0</v>
      </c>
      <c r="F1598">
        <v>20</v>
      </c>
      <c r="G1598">
        <v>8</v>
      </c>
      <c r="H1598">
        <v>12</v>
      </c>
      <c r="I1598">
        <v>2018</v>
      </c>
      <c r="J1598">
        <v>59</v>
      </c>
      <c r="K1598">
        <f>allFYsTable[[#This Row],[Actual]]-allFYsTable[[#This Row],[OriginalBudget]]</f>
        <v>8</v>
      </c>
      <c r="L1598" s="11" t="e">
        <f>allFYsTable[[#This Row],[DiffAmount]]/allFYsTable[[#This Row],[OriginalBudget]]</f>
        <v>#DIV/0!</v>
      </c>
    </row>
    <row r="1599" spans="1:12" x14ac:dyDescent="0.45">
      <c r="A1599" t="s">
        <v>1027</v>
      </c>
      <c r="B1599" t="s">
        <v>6</v>
      </c>
      <c r="C1599" t="s">
        <v>757</v>
      </c>
      <c r="D1599" t="s">
        <v>43</v>
      </c>
      <c r="E1599">
        <v>0</v>
      </c>
      <c r="F1599">
        <v>0</v>
      </c>
      <c r="G1599">
        <v>0</v>
      </c>
      <c r="H1599">
        <v>0</v>
      </c>
      <c r="I1599">
        <v>2018</v>
      </c>
      <c r="J1599">
        <v>60</v>
      </c>
      <c r="K1599">
        <f>allFYsTable[[#This Row],[Actual]]-allFYsTable[[#This Row],[OriginalBudget]]</f>
        <v>0</v>
      </c>
      <c r="L1599" s="11" t="e">
        <f>allFYsTable[[#This Row],[DiffAmount]]/allFYsTable[[#This Row],[OriginalBudget]]</f>
        <v>#DIV/0!</v>
      </c>
    </row>
    <row r="1600" spans="1:12" x14ac:dyDescent="0.45">
      <c r="A1600" t="s">
        <v>1027</v>
      </c>
      <c r="B1600" t="s">
        <v>6</v>
      </c>
      <c r="C1600" t="s">
        <v>762</v>
      </c>
      <c r="D1600" t="s">
        <v>48</v>
      </c>
      <c r="E1600">
        <v>2601</v>
      </c>
      <c r="F1600">
        <v>2588</v>
      </c>
      <c r="G1600">
        <v>2559</v>
      </c>
      <c r="H1600">
        <v>29</v>
      </c>
      <c r="I1600">
        <v>2018</v>
      </c>
      <c r="J1600">
        <v>61</v>
      </c>
      <c r="K1600">
        <f>allFYsTable[[#This Row],[Actual]]-allFYsTable[[#This Row],[OriginalBudget]]</f>
        <v>-42</v>
      </c>
      <c r="L1600" s="11">
        <f>allFYsTable[[#This Row],[DiffAmount]]/allFYsTable[[#This Row],[OriginalBudget]]</f>
        <v>-1.6147635524798153E-2</v>
      </c>
    </row>
    <row r="1601" spans="1:12" x14ac:dyDescent="0.45">
      <c r="A1601" t="s">
        <v>1027</v>
      </c>
      <c r="B1601" t="s">
        <v>6</v>
      </c>
      <c r="C1601" t="s">
        <v>766</v>
      </c>
      <c r="D1601" t="s">
        <v>52</v>
      </c>
      <c r="E1601">
        <v>32736</v>
      </c>
      <c r="F1601">
        <v>32387</v>
      </c>
      <c r="G1601">
        <v>32352</v>
      </c>
      <c r="H1601">
        <v>35</v>
      </c>
      <c r="I1601">
        <v>2018</v>
      </c>
      <c r="J1601">
        <v>62</v>
      </c>
      <c r="K1601">
        <f>allFYsTable[[#This Row],[Actual]]-allFYsTable[[#This Row],[OriginalBudget]]</f>
        <v>-384</v>
      </c>
      <c r="L1601" s="11">
        <f>allFYsTable[[#This Row],[DiffAmount]]/allFYsTable[[#This Row],[OriginalBudget]]</f>
        <v>-1.1730205278592375E-2</v>
      </c>
    </row>
    <row r="1602" spans="1:12" x14ac:dyDescent="0.45">
      <c r="A1602" t="s">
        <v>1027</v>
      </c>
      <c r="B1602" t="s">
        <v>6</v>
      </c>
      <c r="C1602" t="s">
        <v>841</v>
      </c>
      <c r="D1602" t="s">
        <v>194</v>
      </c>
      <c r="E1602">
        <v>28941</v>
      </c>
      <c r="F1602">
        <v>29052</v>
      </c>
      <c r="G1602">
        <v>28750</v>
      </c>
      <c r="H1602">
        <v>302</v>
      </c>
      <c r="I1602">
        <v>2018</v>
      </c>
      <c r="J1602">
        <v>63</v>
      </c>
      <c r="K1602">
        <f>allFYsTable[[#This Row],[Actual]]-allFYsTable[[#This Row],[OriginalBudget]]</f>
        <v>-191</v>
      </c>
      <c r="L1602" s="11">
        <f>allFYsTable[[#This Row],[DiffAmount]]/allFYsTable[[#This Row],[OriginalBudget]]</f>
        <v>-6.5996337376040912E-3</v>
      </c>
    </row>
    <row r="1603" spans="1:12" x14ac:dyDescent="0.45">
      <c r="A1603" t="s">
        <v>1027</v>
      </c>
      <c r="B1603" t="s">
        <v>6</v>
      </c>
      <c r="C1603" t="s">
        <v>754</v>
      </c>
      <c r="D1603" t="s">
        <v>170</v>
      </c>
      <c r="E1603">
        <v>1179</v>
      </c>
      <c r="F1603">
        <v>1179</v>
      </c>
      <c r="G1603">
        <v>1067</v>
      </c>
      <c r="H1603">
        <v>112</v>
      </c>
      <c r="I1603">
        <v>2018</v>
      </c>
      <c r="J1603">
        <v>64</v>
      </c>
      <c r="K1603">
        <f>allFYsTable[[#This Row],[Actual]]-allFYsTable[[#This Row],[OriginalBudget]]</f>
        <v>-112</v>
      </c>
      <c r="L1603" s="11">
        <f>allFYsTable[[#This Row],[DiffAmount]]/allFYsTable[[#This Row],[OriginalBudget]]</f>
        <v>-9.4995759117896525E-2</v>
      </c>
    </row>
    <row r="1604" spans="1:12" x14ac:dyDescent="0.45">
      <c r="A1604" t="s">
        <v>1027</v>
      </c>
      <c r="B1604" t="s">
        <v>6</v>
      </c>
      <c r="C1604" t="s">
        <v>765</v>
      </c>
      <c r="D1604" t="s">
        <v>51</v>
      </c>
      <c r="E1604">
        <v>1613</v>
      </c>
      <c r="F1604">
        <v>1415</v>
      </c>
      <c r="G1604">
        <v>1330</v>
      </c>
      <c r="H1604">
        <v>85</v>
      </c>
      <c r="I1604">
        <v>2018</v>
      </c>
      <c r="J1604">
        <v>65</v>
      </c>
      <c r="K1604">
        <f>allFYsTable[[#This Row],[Actual]]-allFYsTable[[#This Row],[OriginalBudget]]</f>
        <v>-283</v>
      </c>
      <c r="L1604" s="11">
        <f>allFYsTable[[#This Row],[DiffAmount]]/allFYsTable[[#This Row],[OriginalBudget]]</f>
        <v>-0.17544947303161809</v>
      </c>
    </row>
    <row r="1605" spans="1:12" x14ac:dyDescent="0.45">
      <c r="A1605" t="s">
        <v>1027</v>
      </c>
      <c r="B1605" t="s">
        <v>6</v>
      </c>
      <c r="C1605" t="s">
        <v>751</v>
      </c>
      <c r="D1605" t="s">
        <v>37</v>
      </c>
      <c r="E1605">
        <v>25787</v>
      </c>
      <c r="F1605">
        <v>25405</v>
      </c>
      <c r="G1605">
        <v>25113</v>
      </c>
      <c r="H1605">
        <v>292</v>
      </c>
      <c r="I1605">
        <v>2018</v>
      </c>
      <c r="J1605">
        <v>66</v>
      </c>
      <c r="K1605">
        <f>allFYsTable[[#This Row],[Actual]]-allFYsTable[[#This Row],[OriginalBudget]]</f>
        <v>-674</v>
      </c>
      <c r="L1605" s="11">
        <f>allFYsTable[[#This Row],[DiffAmount]]/allFYsTable[[#This Row],[OriginalBudget]]</f>
        <v>-2.6137200915189826E-2</v>
      </c>
    </row>
    <row r="1606" spans="1:12" x14ac:dyDescent="0.45">
      <c r="A1606" t="s">
        <v>1027</v>
      </c>
      <c r="B1606" t="s">
        <v>6</v>
      </c>
      <c r="C1606" t="s">
        <v>748</v>
      </c>
      <c r="D1606" t="s">
        <v>34</v>
      </c>
      <c r="E1606">
        <v>701</v>
      </c>
      <c r="F1606">
        <v>701</v>
      </c>
      <c r="G1606">
        <v>646</v>
      </c>
      <c r="H1606">
        <v>55</v>
      </c>
      <c r="I1606">
        <v>2018</v>
      </c>
      <c r="J1606">
        <v>67</v>
      </c>
      <c r="K1606">
        <f>allFYsTable[[#This Row],[Actual]]-allFYsTable[[#This Row],[OriginalBudget]]</f>
        <v>-55</v>
      </c>
      <c r="L1606" s="11">
        <f>allFYsTable[[#This Row],[DiffAmount]]/allFYsTable[[#This Row],[OriginalBudget]]</f>
        <v>-7.8459343794579167E-2</v>
      </c>
    </row>
    <row r="1607" spans="1:12" x14ac:dyDescent="0.45">
      <c r="A1607" t="s">
        <v>1027</v>
      </c>
      <c r="B1607" t="s">
        <v>6</v>
      </c>
      <c r="C1607" t="s">
        <v>761</v>
      </c>
      <c r="D1607" t="s">
        <v>171</v>
      </c>
      <c r="E1607">
        <v>2129</v>
      </c>
      <c r="F1607">
        <v>2782</v>
      </c>
      <c r="G1607">
        <v>2395</v>
      </c>
      <c r="H1607">
        <v>387</v>
      </c>
      <c r="I1607">
        <v>2018</v>
      </c>
      <c r="J1607">
        <v>68</v>
      </c>
      <c r="K1607">
        <f>allFYsTable[[#This Row],[Actual]]-allFYsTable[[#This Row],[OriginalBudget]]</f>
        <v>266</v>
      </c>
      <c r="L1607" s="11">
        <f>allFYsTable[[#This Row],[DiffAmount]]/allFYsTable[[#This Row],[OriginalBudget]]</f>
        <v>0.12494128698919681</v>
      </c>
    </row>
    <row r="1608" spans="1:12" x14ac:dyDescent="0.45">
      <c r="A1608" t="s">
        <v>1027</v>
      </c>
      <c r="B1608" t="s">
        <v>136</v>
      </c>
      <c r="C1608" t="s">
        <v>773</v>
      </c>
      <c r="D1608" t="s">
        <v>60</v>
      </c>
      <c r="E1608">
        <v>789566</v>
      </c>
      <c r="F1608">
        <v>832949</v>
      </c>
      <c r="G1608">
        <v>832778</v>
      </c>
      <c r="H1608">
        <v>171</v>
      </c>
      <c r="I1608">
        <v>2018</v>
      </c>
      <c r="J1608">
        <v>69</v>
      </c>
      <c r="K1608">
        <f>allFYsTable[[#This Row],[Actual]]-allFYsTable[[#This Row],[OriginalBudget]]</f>
        <v>43212</v>
      </c>
      <c r="L1608" s="11">
        <f>allFYsTable[[#This Row],[DiffAmount]]/allFYsTable[[#This Row],[OriginalBudget]]</f>
        <v>5.4728800378942358E-2</v>
      </c>
    </row>
    <row r="1609" spans="1:12" x14ac:dyDescent="0.45">
      <c r="A1609" t="s">
        <v>1027</v>
      </c>
      <c r="B1609" t="s">
        <v>136</v>
      </c>
      <c r="C1609" t="s">
        <v>870</v>
      </c>
      <c r="D1609" t="s">
        <v>203</v>
      </c>
      <c r="E1609">
        <v>0</v>
      </c>
      <c r="F1609">
        <v>10315</v>
      </c>
      <c r="G1609">
        <v>10315</v>
      </c>
      <c r="H1609">
        <v>0</v>
      </c>
      <c r="I1609">
        <v>2018</v>
      </c>
      <c r="J1609">
        <v>70</v>
      </c>
      <c r="K1609">
        <f>allFYsTable[[#This Row],[Actual]]-allFYsTable[[#This Row],[OriginalBudget]]</f>
        <v>10315</v>
      </c>
      <c r="L1609" s="11" t="e">
        <f>allFYsTable[[#This Row],[DiffAmount]]/allFYsTable[[#This Row],[OriginalBudget]]</f>
        <v>#DIV/0!</v>
      </c>
    </row>
    <row r="1610" spans="1:12" x14ac:dyDescent="0.45">
      <c r="A1610" t="s">
        <v>1027</v>
      </c>
      <c r="B1610" t="s">
        <v>136</v>
      </c>
      <c r="C1610" t="s">
        <v>772</v>
      </c>
      <c r="D1610" t="s">
        <v>173</v>
      </c>
      <c r="E1610">
        <v>813739</v>
      </c>
      <c r="F1610">
        <v>562775</v>
      </c>
      <c r="G1610">
        <v>562717</v>
      </c>
      <c r="H1610">
        <v>58</v>
      </c>
      <c r="I1610">
        <v>2018</v>
      </c>
      <c r="J1610">
        <v>71</v>
      </c>
      <c r="K1610">
        <f>allFYsTable[[#This Row],[Actual]]-allFYsTable[[#This Row],[OriginalBudget]]</f>
        <v>-251022</v>
      </c>
      <c r="L1610" s="11">
        <f>allFYsTable[[#This Row],[DiffAmount]]/allFYsTable[[#This Row],[OriginalBudget]]</f>
        <v>-0.30847974596277183</v>
      </c>
    </row>
    <row r="1611" spans="1:12" x14ac:dyDescent="0.45">
      <c r="A1611" t="s">
        <v>1027</v>
      </c>
      <c r="B1611" t="s">
        <v>136</v>
      </c>
      <c r="C1611" t="s">
        <v>869</v>
      </c>
      <c r="D1611" t="s">
        <v>204</v>
      </c>
      <c r="E1611">
        <v>0</v>
      </c>
      <c r="F1611">
        <v>309145</v>
      </c>
      <c r="G1611">
        <v>309145</v>
      </c>
      <c r="H1611">
        <v>0</v>
      </c>
      <c r="I1611">
        <v>2018</v>
      </c>
      <c r="J1611">
        <v>72</v>
      </c>
      <c r="K1611">
        <f>allFYsTable[[#This Row],[Actual]]-allFYsTable[[#This Row],[OriginalBudget]]</f>
        <v>309145</v>
      </c>
      <c r="L1611" s="11" t="e">
        <f>allFYsTable[[#This Row],[DiffAmount]]/allFYsTable[[#This Row],[OriginalBudget]]</f>
        <v>#DIV/0!</v>
      </c>
    </row>
    <row r="1612" spans="1:12" x14ac:dyDescent="0.45">
      <c r="A1612" t="s">
        <v>1027</v>
      </c>
      <c r="B1612" t="s">
        <v>136</v>
      </c>
      <c r="C1612" t="s">
        <v>782</v>
      </c>
      <c r="D1612" t="s">
        <v>139</v>
      </c>
      <c r="E1612">
        <v>59046</v>
      </c>
      <c r="F1612">
        <v>59046</v>
      </c>
      <c r="G1612">
        <v>58844</v>
      </c>
      <c r="H1612">
        <v>202</v>
      </c>
      <c r="I1612">
        <v>2018</v>
      </c>
      <c r="J1612">
        <v>73</v>
      </c>
      <c r="K1612">
        <f>allFYsTable[[#This Row],[Actual]]-allFYsTable[[#This Row],[OriginalBudget]]</f>
        <v>-202</v>
      </c>
      <c r="L1612" s="11">
        <f>allFYsTable[[#This Row],[DiffAmount]]/allFYsTable[[#This Row],[OriginalBudget]]</f>
        <v>-3.4210615452359176E-3</v>
      </c>
    </row>
    <row r="1613" spans="1:12" x14ac:dyDescent="0.45">
      <c r="A1613" t="s">
        <v>1027</v>
      </c>
      <c r="B1613" t="s">
        <v>136</v>
      </c>
      <c r="C1613" t="s">
        <v>784</v>
      </c>
      <c r="D1613" t="s">
        <v>140</v>
      </c>
      <c r="E1613">
        <v>78180</v>
      </c>
      <c r="F1613">
        <v>80000</v>
      </c>
      <c r="G1613">
        <v>80000</v>
      </c>
      <c r="H1613">
        <v>0</v>
      </c>
      <c r="I1613">
        <v>2018</v>
      </c>
      <c r="J1613">
        <v>74</v>
      </c>
      <c r="K1613">
        <f>allFYsTable[[#This Row],[Actual]]-allFYsTable[[#This Row],[OriginalBudget]]</f>
        <v>1820</v>
      </c>
      <c r="L1613" s="11">
        <f>allFYsTable[[#This Row],[DiffAmount]]/allFYsTable[[#This Row],[OriginalBudget]]</f>
        <v>2.3279611153747763E-2</v>
      </c>
    </row>
    <row r="1614" spans="1:12" x14ac:dyDescent="0.45">
      <c r="A1614" t="s">
        <v>1027</v>
      </c>
      <c r="B1614" t="s">
        <v>136</v>
      </c>
      <c r="C1614" t="s">
        <v>779</v>
      </c>
      <c r="D1614" t="s">
        <v>141</v>
      </c>
      <c r="E1614">
        <v>170062</v>
      </c>
      <c r="F1614">
        <v>176719</v>
      </c>
      <c r="G1614">
        <v>162327</v>
      </c>
      <c r="H1614">
        <v>14392</v>
      </c>
      <c r="I1614">
        <v>2018</v>
      </c>
      <c r="J1614">
        <v>75</v>
      </c>
      <c r="K1614">
        <f>allFYsTable[[#This Row],[Actual]]-allFYsTable[[#This Row],[OriginalBudget]]</f>
        <v>-7735</v>
      </c>
      <c r="L1614" s="11">
        <f>allFYsTable[[#This Row],[DiffAmount]]/allFYsTable[[#This Row],[OriginalBudget]]</f>
        <v>-4.5483411932118877E-2</v>
      </c>
    </row>
    <row r="1615" spans="1:12" x14ac:dyDescent="0.45">
      <c r="A1615" t="s">
        <v>1027</v>
      </c>
      <c r="B1615" t="s">
        <v>136</v>
      </c>
      <c r="C1615" t="s">
        <v>781</v>
      </c>
      <c r="D1615" t="s">
        <v>176</v>
      </c>
      <c r="E1615">
        <v>1711</v>
      </c>
      <c r="F1615">
        <v>1711</v>
      </c>
      <c r="G1615">
        <v>1691</v>
      </c>
      <c r="H1615">
        <v>20</v>
      </c>
      <c r="I1615">
        <v>2018</v>
      </c>
      <c r="J1615">
        <v>76</v>
      </c>
      <c r="K1615">
        <f>allFYsTable[[#This Row],[Actual]]-allFYsTable[[#This Row],[OriginalBudget]]</f>
        <v>-20</v>
      </c>
      <c r="L1615" s="11">
        <f>allFYsTable[[#This Row],[DiffAmount]]/allFYsTable[[#This Row],[OriginalBudget]]</f>
        <v>-1.1689070718877849E-2</v>
      </c>
    </row>
    <row r="1616" spans="1:12" x14ac:dyDescent="0.45">
      <c r="A1616" t="s">
        <v>1027</v>
      </c>
      <c r="B1616" t="s">
        <v>136</v>
      </c>
      <c r="C1616" t="s">
        <v>774</v>
      </c>
      <c r="D1616" t="s">
        <v>177</v>
      </c>
      <c r="E1616">
        <v>59323</v>
      </c>
      <c r="F1616">
        <v>59908</v>
      </c>
      <c r="G1616">
        <v>58629</v>
      </c>
      <c r="H1616">
        <v>1279</v>
      </c>
      <c r="I1616">
        <v>2018</v>
      </c>
      <c r="J1616">
        <v>77</v>
      </c>
      <c r="K1616">
        <f>allFYsTable[[#This Row],[Actual]]-allFYsTable[[#This Row],[OriginalBudget]]</f>
        <v>-694</v>
      </c>
      <c r="L1616" s="11">
        <f>allFYsTable[[#This Row],[DiffAmount]]/allFYsTable[[#This Row],[OriginalBudget]]</f>
        <v>-1.1698666621715018E-2</v>
      </c>
    </row>
    <row r="1617" spans="1:12" x14ac:dyDescent="0.45">
      <c r="A1617" t="s">
        <v>1027</v>
      </c>
      <c r="B1617" t="s">
        <v>136</v>
      </c>
      <c r="C1617" t="s">
        <v>771</v>
      </c>
      <c r="D1617" t="s">
        <v>178</v>
      </c>
      <c r="E1617">
        <v>0</v>
      </c>
      <c r="F1617">
        <v>0</v>
      </c>
      <c r="G1617">
        <v>0</v>
      </c>
      <c r="H1617">
        <v>0</v>
      </c>
      <c r="I1617">
        <v>2018</v>
      </c>
      <c r="J1617">
        <v>78</v>
      </c>
      <c r="K1617">
        <f>allFYsTable[[#This Row],[Actual]]-allFYsTable[[#This Row],[OriginalBudget]]</f>
        <v>0</v>
      </c>
      <c r="L1617" s="11" t="e">
        <f>allFYsTable[[#This Row],[DiffAmount]]/allFYsTable[[#This Row],[OriginalBudget]]</f>
        <v>#DIV/0!</v>
      </c>
    </row>
    <row r="1618" spans="1:12" x14ac:dyDescent="0.45">
      <c r="A1618" t="s">
        <v>1027</v>
      </c>
      <c r="B1618" t="s">
        <v>136</v>
      </c>
      <c r="C1618" t="s">
        <v>780</v>
      </c>
      <c r="D1618" t="s">
        <v>143</v>
      </c>
      <c r="E1618">
        <v>92292</v>
      </c>
      <c r="F1618">
        <v>89292</v>
      </c>
      <c r="G1618">
        <v>89258</v>
      </c>
      <c r="H1618">
        <v>34</v>
      </c>
      <c r="I1618">
        <v>2018</v>
      </c>
      <c r="J1618">
        <v>79</v>
      </c>
      <c r="K1618">
        <f>allFYsTable[[#This Row],[Actual]]-allFYsTable[[#This Row],[OriginalBudget]]</f>
        <v>-3034</v>
      </c>
      <c r="L1618" s="11">
        <f>allFYsTable[[#This Row],[DiffAmount]]/allFYsTable[[#This Row],[OriginalBudget]]</f>
        <v>-3.2873921900056342E-2</v>
      </c>
    </row>
    <row r="1619" spans="1:12" x14ac:dyDescent="0.45">
      <c r="A1619" t="s">
        <v>1027</v>
      </c>
      <c r="B1619" t="s">
        <v>136</v>
      </c>
      <c r="C1619" t="s">
        <v>777</v>
      </c>
      <c r="D1619" t="s">
        <v>64</v>
      </c>
      <c r="E1619">
        <v>70021</v>
      </c>
      <c r="F1619">
        <v>67521</v>
      </c>
      <c r="G1619">
        <v>61395</v>
      </c>
      <c r="H1619">
        <v>6126</v>
      </c>
      <c r="I1619">
        <v>2018</v>
      </c>
      <c r="J1619">
        <v>80</v>
      </c>
      <c r="K1619">
        <f>allFYsTable[[#This Row],[Actual]]-allFYsTable[[#This Row],[OriginalBudget]]</f>
        <v>-8626</v>
      </c>
      <c r="L1619" s="11">
        <f>allFYsTable[[#This Row],[DiffAmount]]/allFYsTable[[#This Row],[OriginalBudget]]</f>
        <v>-0.12319161394438811</v>
      </c>
    </row>
    <row r="1620" spans="1:12" x14ac:dyDescent="0.45">
      <c r="A1620" t="s">
        <v>1027</v>
      </c>
      <c r="B1620" t="s">
        <v>136</v>
      </c>
      <c r="C1620" t="s">
        <v>778</v>
      </c>
      <c r="D1620" t="s">
        <v>65</v>
      </c>
      <c r="E1620">
        <v>7520</v>
      </c>
      <c r="F1620">
        <v>9291</v>
      </c>
      <c r="G1620">
        <v>9035</v>
      </c>
      <c r="H1620">
        <v>256</v>
      </c>
      <c r="I1620">
        <v>2018</v>
      </c>
      <c r="J1620">
        <v>81</v>
      </c>
      <c r="K1620">
        <f>allFYsTable[[#This Row],[Actual]]-allFYsTable[[#This Row],[OriginalBudget]]</f>
        <v>1515</v>
      </c>
      <c r="L1620" s="11">
        <f>allFYsTable[[#This Row],[DiffAmount]]/allFYsTable[[#This Row],[OriginalBudget]]</f>
        <v>0.2014627659574468</v>
      </c>
    </row>
    <row r="1621" spans="1:12" x14ac:dyDescent="0.45">
      <c r="A1621" t="s">
        <v>1027</v>
      </c>
      <c r="B1621" t="s">
        <v>136</v>
      </c>
      <c r="C1621" t="s">
        <v>874</v>
      </c>
      <c r="D1621" t="s">
        <v>179</v>
      </c>
      <c r="E1621">
        <v>0</v>
      </c>
      <c r="F1621">
        <v>893</v>
      </c>
      <c r="G1621">
        <v>893</v>
      </c>
      <c r="H1621">
        <v>0</v>
      </c>
      <c r="I1621">
        <v>2018</v>
      </c>
      <c r="J1621">
        <v>82</v>
      </c>
      <c r="K1621">
        <f>allFYsTable[[#This Row],[Actual]]-allFYsTable[[#This Row],[OriginalBudget]]</f>
        <v>893</v>
      </c>
      <c r="L1621" s="11" t="e">
        <f>allFYsTable[[#This Row],[DiffAmount]]/allFYsTable[[#This Row],[OriginalBudget]]</f>
        <v>#DIV/0!</v>
      </c>
    </row>
    <row r="1622" spans="1:12" x14ac:dyDescent="0.45">
      <c r="A1622" t="s">
        <v>1027</v>
      </c>
      <c r="B1622" t="s">
        <v>14</v>
      </c>
      <c r="C1622" t="s">
        <v>790</v>
      </c>
      <c r="D1622" t="s">
        <v>144</v>
      </c>
      <c r="E1622">
        <v>365269</v>
      </c>
      <c r="F1622">
        <v>363006</v>
      </c>
      <c r="G1622">
        <v>362995</v>
      </c>
      <c r="H1622">
        <v>11</v>
      </c>
      <c r="I1622">
        <v>2018</v>
      </c>
      <c r="J1622">
        <v>83</v>
      </c>
      <c r="K1622">
        <f>allFYsTable[[#This Row],[Actual]]-allFYsTable[[#This Row],[OriginalBudget]]</f>
        <v>-2274</v>
      </c>
      <c r="L1622" s="11">
        <f>allFYsTable[[#This Row],[DiffAmount]]/allFYsTable[[#This Row],[OriginalBudget]]</f>
        <v>-6.2255488420862436E-3</v>
      </c>
    </row>
    <row r="1623" spans="1:12" x14ac:dyDescent="0.45">
      <c r="A1623" t="s">
        <v>1027</v>
      </c>
      <c r="B1623" t="s">
        <v>14</v>
      </c>
      <c r="C1623" t="s">
        <v>788</v>
      </c>
      <c r="D1623" t="s">
        <v>145</v>
      </c>
      <c r="E1623">
        <v>74016</v>
      </c>
      <c r="F1623">
        <v>78646</v>
      </c>
      <c r="G1623">
        <v>78114</v>
      </c>
      <c r="H1623">
        <v>532</v>
      </c>
      <c r="I1623">
        <v>2018</v>
      </c>
      <c r="J1623">
        <v>84</v>
      </c>
      <c r="K1623">
        <f>allFYsTable[[#This Row],[Actual]]-allFYsTable[[#This Row],[OriginalBudget]]</f>
        <v>4098</v>
      </c>
      <c r="L1623" s="11">
        <f>allFYsTable[[#This Row],[DiffAmount]]/allFYsTable[[#This Row],[OriginalBudget]]</f>
        <v>5.536640726329442E-2</v>
      </c>
    </row>
    <row r="1624" spans="1:12" x14ac:dyDescent="0.45">
      <c r="A1624" t="s">
        <v>1027</v>
      </c>
      <c r="B1624" t="s">
        <v>14</v>
      </c>
      <c r="C1624" t="s">
        <v>770</v>
      </c>
      <c r="D1624" t="s">
        <v>56</v>
      </c>
      <c r="E1624">
        <v>46762</v>
      </c>
      <c r="F1624">
        <v>49092</v>
      </c>
      <c r="G1624">
        <v>49062</v>
      </c>
      <c r="H1624">
        <v>30</v>
      </c>
      <c r="I1624">
        <v>2018</v>
      </c>
      <c r="J1624">
        <v>85</v>
      </c>
      <c r="K1624">
        <f>allFYsTable[[#This Row],[Actual]]-allFYsTable[[#This Row],[OriginalBudget]]</f>
        <v>2300</v>
      </c>
      <c r="L1624" s="11">
        <f>allFYsTable[[#This Row],[DiffAmount]]/allFYsTable[[#This Row],[OriginalBudget]]</f>
        <v>4.9185235875283347E-2</v>
      </c>
    </row>
    <row r="1625" spans="1:12" x14ac:dyDescent="0.45">
      <c r="A1625" t="s">
        <v>1027</v>
      </c>
      <c r="B1625" t="s">
        <v>14</v>
      </c>
      <c r="C1625" t="s">
        <v>786</v>
      </c>
      <c r="D1625" t="s">
        <v>197</v>
      </c>
      <c r="E1625">
        <v>35617</v>
      </c>
      <c r="F1625">
        <v>38342</v>
      </c>
      <c r="G1625">
        <v>37868</v>
      </c>
      <c r="H1625">
        <v>474</v>
      </c>
      <c r="I1625">
        <v>2018</v>
      </c>
      <c r="J1625">
        <v>86</v>
      </c>
      <c r="K1625">
        <f>allFYsTable[[#This Row],[Actual]]-allFYsTable[[#This Row],[OriginalBudget]]</f>
        <v>2251</v>
      </c>
      <c r="L1625" s="11">
        <f>allFYsTable[[#This Row],[DiffAmount]]/allFYsTable[[#This Row],[OriginalBudget]]</f>
        <v>6.3200157228289866E-2</v>
      </c>
    </row>
    <row r="1626" spans="1:12" x14ac:dyDescent="0.45">
      <c r="A1626" t="s">
        <v>1027</v>
      </c>
      <c r="B1626" t="s">
        <v>14</v>
      </c>
      <c r="C1626" t="s">
        <v>783</v>
      </c>
      <c r="D1626" t="s">
        <v>70</v>
      </c>
      <c r="E1626">
        <v>6680</v>
      </c>
      <c r="F1626">
        <v>5180</v>
      </c>
      <c r="G1626">
        <v>5153</v>
      </c>
      <c r="H1626">
        <v>27</v>
      </c>
      <c r="I1626">
        <v>2018</v>
      </c>
      <c r="J1626">
        <v>87</v>
      </c>
      <c r="K1626">
        <f>allFYsTable[[#This Row],[Actual]]-allFYsTable[[#This Row],[OriginalBudget]]</f>
        <v>-1527</v>
      </c>
      <c r="L1626" s="11">
        <f>allFYsTable[[#This Row],[DiffAmount]]/allFYsTable[[#This Row],[OriginalBudget]]</f>
        <v>-0.22859281437125747</v>
      </c>
    </row>
    <row r="1627" spans="1:12" x14ac:dyDescent="0.45">
      <c r="A1627" t="s">
        <v>1027</v>
      </c>
      <c r="B1627" t="s">
        <v>14</v>
      </c>
      <c r="C1627" t="s">
        <v>706</v>
      </c>
      <c r="D1627" t="s">
        <v>122</v>
      </c>
      <c r="E1627">
        <v>21709</v>
      </c>
      <c r="F1627">
        <v>24579</v>
      </c>
      <c r="G1627">
        <v>24579</v>
      </c>
      <c r="H1627">
        <v>0</v>
      </c>
      <c r="I1627">
        <v>2018</v>
      </c>
      <c r="J1627">
        <v>88</v>
      </c>
      <c r="K1627">
        <f>allFYsTable[[#This Row],[Actual]]-allFYsTable[[#This Row],[OriginalBudget]]</f>
        <v>2870</v>
      </c>
      <c r="L1627" s="11">
        <f>allFYsTable[[#This Row],[DiffAmount]]/allFYsTable[[#This Row],[OriginalBudget]]</f>
        <v>0.13220323368188308</v>
      </c>
    </row>
    <row r="1628" spans="1:12" x14ac:dyDescent="0.45">
      <c r="A1628" t="s">
        <v>1027</v>
      </c>
      <c r="B1628" t="s">
        <v>14</v>
      </c>
      <c r="C1628" t="s">
        <v>760</v>
      </c>
      <c r="D1628" t="s">
        <v>46</v>
      </c>
      <c r="E1628">
        <v>4600</v>
      </c>
      <c r="F1628">
        <v>4600</v>
      </c>
      <c r="G1628">
        <v>4425</v>
      </c>
      <c r="H1628">
        <v>175</v>
      </c>
      <c r="I1628">
        <v>2018</v>
      </c>
      <c r="J1628">
        <v>89</v>
      </c>
      <c r="K1628">
        <f>allFYsTable[[#This Row],[Actual]]-allFYsTable[[#This Row],[OriginalBudget]]</f>
        <v>-175</v>
      </c>
      <c r="L1628" s="11">
        <f>allFYsTable[[#This Row],[DiffAmount]]/allFYsTable[[#This Row],[OriginalBudget]]</f>
        <v>-3.8043478260869568E-2</v>
      </c>
    </row>
    <row r="1629" spans="1:12" x14ac:dyDescent="0.45">
      <c r="A1629" t="s">
        <v>1027</v>
      </c>
      <c r="B1629" t="s">
        <v>14</v>
      </c>
      <c r="C1629" t="s">
        <v>729</v>
      </c>
      <c r="D1629" t="s">
        <v>123</v>
      </c>
      <c r="E1629">
        <v>3301</v>
      </c>
      <c r="F1629">
        <v>3301</v>
      </c>
      <c r="G1629">
        <v>3245</v>
      </c>
      <c r="H1629">
        <v>56</v>
      </c>
      <c r="I1629">
        <v>2018</v>
      </c>
      <c r="J1629">
        <v>90</v>
      </c>
      <c r="K1629">
        <f>allFYsTable[[#This Row],[Actual]]-allFYsTable[[#This Row],[OriginalBudget]]</f>
        <v>-56</v>
      </c>
      <c r="L1629" s="11">
        <f>allFYsTable[[#This Row],[DiffAmount]]/allFYsTable[[#This Row],[OriginalBudget]]</f>
        <v>-1.6964556195092396E-2</v>
      </c>
    </row>
    <row r="1630" spans="1:12" x14ac:dyDescent="0.45">
      <c r="A1630" t="s">
        <v>1027</v>
      </c>
      <c r="B1630" t="s">
        <v>14</v>
      </c>
      <c r="C1630" t="s">
        <v>785</v>
      </c>
      <c r="D1630" t="s">
        <v>147</v>
      </c>
      <c r="E1630">
        <v>158633</v>
      </c>
      <c r="F1630">
        <v>157950</v>
      </c>
      <c r="G1630">
        <v>157641</v>
      </c>
      <c r="H1630">
        <v>309</v>
      </c>
      <c r="I1630">
        <v>2018</v>
      </c>
      <c r="J1630">
        <v>91</v>
      </c>
      <c r="K1630">
        <f>allFYsTable[[#This Row],[Actual]]-allFYsTable[[#This Row],[OriginalBudget]]</f>
        <v>-992</v>
      </c>
      <c r="L1630" s="11">
        <f>allFYsTable[[#This Row],[DiffAmount]]/allFYsTable[[#This Row],[OriginalBudget]]</f>
        <v>-6.2534277231093153E-3</v>
      </c>
    </row>
    <row r="1631" spans="1:12" x14ac:dyDescent="0.45">
      <c r="A1631" t="s">
        <v>1027</v>
      </c>
      <c r="B1631" t="s">
        <v>14</v>
      </c>
      <c r="C1631" t="s">
        <v>787</v>
      </c>
      <c r="D1631" t="s">
        <v>148</v>
      </c>
      <c r="E1631">
        <v>229066</v>
      </c>
      <c r="F1631">
        <v>236946</v>
      </c>
      <c r="G1631">
        <v>236814</v>
      </c>
      <c r="H1631">
        <v>132</v>
      </c>
      <c r="I1631">
        <v>2018</v>
      </c>
      <c r="J1631">
        <v>92</v>
      </c>
      <c r="K1631">
        <f>allFYsTable[[#This Row],[Actual]]-allFYsTable[[#This Row],[OriginalBudget]]</f>
        <v>7748</v>
      </c>
      <c r="L1631" s="11">
        <f>allFYsTable[[#This Row],[DiffAmount]]/allFYsTable[[#This Row],[OriginalBudget]]</f>
        <v>3.3824312643517589E-2</v>
      </c>
    </row>
    <row r="1632" spans="1:12" x14ac:dyDescent="0.45">
      <c r="A1632" t="s">
        <v>1027</v>
      </c>
      <c r="B1632" t="s">
        <v>14</v>
      </c>
      <c r="C1632" t="s">
        <v>728</v>
      </c>
      <c r="D1632" t="s">
        <v>121</v>
      </c>
      <c r="E1632">
        <v>855</v>
      </c>
      <c r="F1632">
        <v>869</v>
      </c>
      <c r="G1632">
        <v>867</v>
      </c>
      <c r="H1632">
        <v>2</v>
      </c>
      <c r="I1632">
        <v>2018</v>
      </c>
      <c r="J1632">
        <v>93</v>
      </c>
      <c r="K1632">
        <f>allFYsTable[[#This Row],[Actual]]-allFYsTable[[#This Row],[OriginalBudget]]</f>
        <v>12</v>
      </c>
      <c r="L1632" s="11">
        <f>allFYsTable[[#This Row],[DiffAmount]]/allFYsTable[[#This Row],[OriginalBudget]]</f>
        <v>1.4035087719298246E-2</v>
      </c>
    </row>
    <row r="1633" spans="1:12" x14ac:dyDescent="0.45">
      <c r="A1633" t="s">
        <v>1027</v>
      </c>
      <c r="B1633" t="s">
        <v>14</v>
      </c>
      <c r="C1633" t="s">
        <v>727</v>
      </c>
      <c r="D1633" t="s">
        <v>180</v>
      </c>
      <c r="E1633">
        <v>467</v>
      </c>
      <c r="F1633">
        <v>476</v>
      </c>
      <c r="G1633">
        <v>465</v>
      </c>
      <c r="H1633">
        <v>11</v>
      </c>
      <c r="I1633">
        <v>2018</v>
      </c>
      <c r="J1633">
        <v>94</v>
      </c>
      <c r="K1633">
        <f>allFYsTable[[#This Row],[Actual]]-allFYsTable[[#This Row],[OriginalBudget]]</f>
        <v>-2</v>
      </c>
      <c r="L1633" s="11">
        <f>allFYsTable[[#This Row],[DiffAmount]]/allFYsTable[[#This Row],[OriginalBudget]]</f>
        <v>-4.2826552462526769E-3</v>
      </c>
    </row>
    <row r="1634" spans="1:12" x14ac:dyDescent="0.45">
      <c r="A1634" t="s">
        <v>1027</v>
      </c>
      <c r="B1634" t="s">
        <v>14</v>
      </c>
      <c r="C1634" t="s">
        <v>752</v>
      </c>
      <c r="D1634" t="s">
        <v>38</v>
      </c>
      <c r="E1634">
        <v>96885</v>
      </c>
      <c r="F1634">
        <v>93175</v>
      </c>
      <c r="G1634">
        <v>87507</v>
      </c>
      <c r="H1634">
        <v>5668</v>
      </c>
      <c r="I1634">
        <v>2018</v>
      </c>
      <c r="J1634">
        <v>95</v>
      </c>
      <c r="K1634">
        <f>allFYsTable[[#This Row],[Actual]]-allFYsTable[[#This Row],[OriginalBudget]]</f>
        <v>-9378</v>
      </c>
      <c r="L1634" s="11">
        <f>allFYsTable[[#This Row],[DiffAmount]]/allFYsTable[[#This Row],[OriginalBudget]]</f>
        <v>-9.679516953088714E-2</v>
      </c>
    </row>
    <row r="1635" spans="1:12" x14ac:dyDescent="0.45">
      <c r="A1635" t="s">
        <v>1027</v>
      </c>
      <c r="B1635" t="s">
        <v>14</v>
      </c>
      <c r="C1635" t="s">
        <v>791</v>
      </c>
      <c r="D1635" t="s">
        <v>149</v>
      </c>
      <c r="E1635">
        <v>116612</v>
      </c>
      <c r="F1635">
        <v>121615</v>
      </c>
      <c r="G1635">
        <v>121586</v>
      </c>
      <c r="H1635">
        <v>29</v>
      </c>
      <c r="I1635">
        <v>2018</v>
      </c>
      <c r="J1635">
        <v>96</v>
      </c>
      <c r="K1635">
        <f>allFYsTable[[#This Row],[Actual]]-allFYsTable[[#This Row],[OriginalBudget]]</f>
        <v>4974</v>
      </c>
      <c r="L1635" s="11">
        <f>allFYsTable[[#This Row],[DiffAmount]]/allFYsTable[[#This Row],[OriginalBudget]]</f>
        <v>4.2654272287586184E-2</v>
      </c>
    </row>
    <row r="1636" spans="1:12" x14ac:dyDescent="0.45">
      <c r="A1636" t="s">
        <v>1027</v>
      </c>
      <c r="B1636" t="s">
        <v>14</v>
      </c>
      <c r="C1636" t="s">
        <v>789</v>
      </c>
      <c r="D1636" t="s">
        <v>150</v>
      </c>
      <c r="E1636">
        <v>799984</v>
      </c>
      <c r="F1636">
        <v>795885</v>
      </c>
      <c r="G1636">
        <v>790600</v>
      </c>
      <c r="H1636">
        <v>5285</v>
      </c>
      <c r="I1636">
        <v>2018</v>
      </c>
      <c r="J1636">
        <v>97</v>
      </c>
      <c r="K1636">
        <f>allFYsTable[[#This Row],[Actual]]-allFYsTable[[#This Row],[OriginalBudget]]</f>
        <v>-9384</v>
      </c>
      <c r="L1636" s="11">
        <f>allFYsTable[[#This Row],[DiffAmount]]/allFYsTable[[#This Row],[OriginalBudget]]</f>
        <v>-1.1730234604692094E-2</v>
      </c>
    </row>
    <row r="1637" spans="1:12" x14ac:dyDescent="0.45">
      <c r="A1637" t="s">
        <v>1027</v>
      </c>
      <c r="B1637" t="s">
        <v>14</v>
      </c>
      <c r="C1637" t="s">
        <v>793</v>
      </c>
      <c r="D1637" t="s">
        <v>181</v>
      </c>
      <c r="E1637">
        <v>1787</v>
      </c>
      <c r="F1637">
        <v>1787</v>
      </c>
      <c r="G1637">
        <v>1714</v>
      </c>
      <c r="H1637">
        <v>73</v>
      </c>
      <c r="I1637">
        <v>2018</v>
      </c>
      <c r="J1637">
        <v>98</v>
      </c>
      <c r="K1637">
        <f>allFYsTable[[#This Row],[Actual]]-allFYsTable[[#This Row],[OriginalBudget]]</f>
        <v>-73</v>
      </c>
      <c r="L1637" s="11">
        <f>allFYsTable[[#This Row],[DiffAmount]]/allFYsTable[[#This Row],[OriginalBudget]]</f>
        <v>-4.0850587576944597E-2</v>
      </c>
    </row>
    <row r="1638" spans="1:12" x14ac:dyDescent="0.45">
      <c r="A1638" t="s">
        <v>1027</v>
      </c>
      <c r="B1638" t="s">
        <v>14</v>
      </c>
      <c r="C1638" t="s">
        <v>792</v>
      </c>
      <c r="D1638" t="s">
        <v>152</v>
      </c>
      <c r="E1638">
        <v>0</v>
      </c>
      <c r="F1638">
        <v>28594</v>
      </c>
      <c r="G1638">
        <v>28594</v>
      </c>
      <c r="H1638">
        <v>0</v>
      </c>
      <c r="I1638">
        <v>2018</v>
      </c>
      <c r="J1638">
        <v>99</v>
      </c>
      <c r="K1638">
        <f>allFYsTable[[#This Row],[Actual]]-allFYsTable[[#This Row],[OriginalBudget]]</f>
        <v>28594</v>
      </c>
      <c r="L1638" s="11" t="e">
        <f>allFYsTable[[#This Row],[DiffAmount]]/allFYsTable[[#This Row],[OriginalBudget]]</f>
        <v>#DIV/0!</v>
      </c>
    </row>
    <row r="1639" spans="1:12" x14ac:dyDescent="0.45">
      <c r="A1639" t="s">
        <v>1027</v>
      </c>
      <c r="B1639" t="s">
        <v>14</v>
      </c>
      <c r="C1639" t="s">
        <v>875</v>
      </c>
      <c r="D1639" t="s">
        <v>205</v>
      </c>
      <c r="E1639">
        <v>0</v>
      </c>
      <c r="F1639">
        <v>1000</v>
      </c>
      <c r="G1639">
        <v>1000</v>
      </c>
      <c r="H1639">
        <v>0</v>
      </c>
      <c r="I1639">
        <v>2018</v>
      </c>
      <c r="J1639">
        <v>100</v>
      </c>
      <c r="K1639">
        <f>allFYsTable[[#This Row],[Actual]]-allFYsTable[[#This Row],[OriginalBudget]]</f>
        <v>1000</v>
      </c>
      <c r="L1639" s="11" t="e">
        <f>allFYsTable[[#This Row],[DiffAmount]]/allFYsTable[[#This Row],[OriginalBudget]]</f>
        <v>#DIV/0!</v>
      </c>
    </row>
    <row r="1640" spans="1:12" x14ac:dyDescent="0.45">
      <c r="A1640" t="s">
        <v>1027</v>
      </c>
      <c r="B1640" t="s">
        <v>182</v>
      </c>
      <c r="C1640" t="s">
        <v>802</v>
      </c>
      <c r="D1640" t="s">
        <v>78</v>
      </c>
      <c r="E1640">
        <v>139966</v>
      </c>
      <c r="F1640">
        <v>141366</v>
      </c>
      <c r="G1640">
        <v>141338</v>
      </c>
      <c r="H1640">
        <v>28</v>
      </c>
      <c r="I1640">
        <v>2018</v>
      </c>
      <c r="J1640">
        <v>101</v>
      </c>
      <c r="K1640">
        <f>allFYsTable[[#This Row],[Actual]]-allFYsTable[[#This Row],[OriginalBudget]]</f>
        <v>1372</v>
      </c>
      <c r="L1640" s="11">
        <f>allFYsTable[[#This Row],[DiffAmount]]/allFYsTable[[#This Row],[OriginalBudget]]</f>
        <v>9.8023805781404048E-3</v>
      </c>
    </row>
    <row r="1641" spans="1:12" x14ac:dyDescent="0.45">
      <c r="A1641" t="s">
        <v>1027</v>
      </c>
      <c r="B1641" t="s">
        <v>182</v>
      </c>
      <c r="C1641" t="s">
        <v>803</v>
      </c>
      <c r="D1641" t="s">
        <v>155</v>
      </c>
      <c r="E1641">
        <v>82903</v>
      </c>
      <c r="F1641">
        <v>84218</v>
      </c>
      <c r="G1641">
        <v>83892</v>
      </c>
      <c r="H1641">
        <v>326</v>
      </c>
      <c r="I1641">
        <v>2018</v>
      </c>
      <c r="J1641">
        <v>102</v>
      </c>
      <c r="K1641">
        <f>allFYsTable[[#This Row],[Actual]]-allFYsTable[[#This Row],[OriginalBudget]]</f>
        <v>989</v>
      </c>
      <c r="L1641" s="11">
        <f>allFYsTable[[#This Row],[DiffAmount]]/allFYsTable[[#This Row],[OriginalBudget]]</f>
        <v>1.1929604477521923E-2</v>
      </c>
    </row>
    <row r="1642" spans="1:12" x14ac:dyDescent="0.45">
      <c r="A1642" t="s">
        <v>1027</v>
      </c>
      <c r="B1642" t="s">
        <v>182</v>
      </c>
      <c r="C1642" t="s">
        <v>799</v>
      </c>
      <c r="D1642" t="s">
        <v>206</v>
      </c>
      <c r="E1642">
        <v>4095</v>
      </c>
      <c r="F1642">
        <v>4818</v>
      </c>
      <c r="G1642">
        <v>4464</v>
      </c>
      <c r="H1642">
        <v>354</v>
      </c>
      <c r="I1642">
        <v>2018</v>
      </c>
      <c r="J1642">
        <v>103</v>
      </c>
      <c r="K1642">
        <f>allFYsTable[[#This Row],[Actual]]-allFYsTable[[#This Row],[OriginalBudget]]</f>
        <v>369</v>
      </c>
      <c r="L1642" s="11">
        <f>allFYsTable[[#This Row],[DiffAmount]]/allFYsTable[[#This Row],[OriginalBudget]]</f>
        <v>9.0109890109890109E-2</v>
      </c>
    </row>
    <row r="1643" spans="1:12" x14ac:dyDescent="0.45">
      <c r="A1643" t="s">
        <v>1027</v>
      </c>
      <c r="B1643" t="s">
        <v>182</v>
      </c>
      <c r="C1643" t="s">
        <v>801</v>
      </c>
      <c r="D1643" t="s">
        <v>77</v>
      </c>
      <c r="E1643">
        <v>29800</v>
      </c>
      <c r="F1643">
        <v>29800</v>
      </c>
      <c r="G1643">
        <v>29800</v>
      </c>
      <c r="H1643">
        <v>0</v>
      </c>
      <c r="I1643">
        <v>2018</v>
      </c>
      <c r="J1643">
        <v>104</v>
      </c>
      <c r="K1643">
        <f>allFYsTable[[#This Row],[Actual]]-allFYsTable[[#This Row],[OriginalBudget]]</f>
        <v>0</v>
      </c>
      <c r="L1643" s="11">
        <f>allFYsTable[[#This Row],[DiffAmount]]/allFYsTable[[#This Row],[OriginalBudget]]</f>
        <v>0</v>
      </c>
    </row>
    <row r="1644" spans="1:12" x14ac:dyDescent="0.45">
      <c r="A1644" t="s">
        <v>1027</v>
      </c>
      <c r="B1644" t="s">
        <v>182</v>
      </c>
      <c r="C1644" t="s">
        <v>808</v>
      </c>
      <c r="D1644" t="s">
        <v>156</v>
      </c>
      <c r="E1644">
        <v>141</v>
      </c>
      <c r="F1644">
        <v>141</v>
      </c>
      <c r="G1644">
        <v>141</v>
      </c>
      <c r="H1644">
        <v>0</v>
      </c>
      <c r="I1644">
        <v>2018</v>
      </c>
      <c r="J1644">
        <v>105</v>
      </c>
      <c r="K1644">
        <f>allFYsTable[[#This Row],[Actual]]-allFYsTable[[#This Row],[OriginalBudget]]</f>
        <v>0</v>
      </c>
      <c r="L1644" s="11">
        <f>allFYsTable[[#This Row],[DiffAmount]]/allFYsTable[[#This Row],[OriginalBudget]]</f>
        <v>0</v>
      </c>
    </row>
    <row r="1645" spans="1:12" x14ac:dyDescent="0.45">
      <c r="A1645" t="s">
        <v>1027</v>
      </c>
      <c r="B1645" t="s">
        <v>182</v>
      </c>
      <c r="C1645" t="s">
        <v>807</v>
      </c>
      <c r="D1645" t="s">
        <v>157</v>
      </c>
      <c r="E1645">
        <v>376067</v>
      </c>
      <c r="F1645">
        <v>370566</v>
      </c>
      <c r="G1645">
        <v>369648</v>
      </c>
      <c r="H1645">
        <v>918</v>
      </c>
      <c r="I1645">
        <v>2018</v>
      </c>
      <c r="J1645">
        <v>106</v>
      </c>
      <c r="K1645">
        <f>allFYsTable[[#This Row],[Actual]]-allFYsTable[[#This Row],[OriginalBudget]]</f>
        <v>-6419</v>
      </c>
      <c r="L1645" s="11">
        <f>allFYsTable[[#This Row],[DiffAmount]]/allFYsTable[[#This Row],[OriginalBudget]]</f>
        <v>-1.7068767001624709E-2</v>
      </c>
    </row>
    <row r="1646" spans="1:12" x14ac:dyDescent="0.45">
      <c r="A1646" t="s">
        <v>1027</v>
      </c>
      <c r="B1646" t="s">
        <v>182</v>
      </c>
      <c r="C1646" t="s">
        <v>798</v>
      </c>
      <c r="D1646" t="s">
        <v>207</v>
      </c>
      <c r="E1646">
        <v>18115</v>
      </c>
      <c r="F1646">
        <v>16086</v>
      </c>
      <c r="G1646">
        <v>15863</v>
      </c>
      <c r="H1646">
        <v>223</v>
      </c>
      <c r="I1646">
        <v>2018</v>
      </c>
      <c r="J1646">
        <v>107</v>
      </c>
      <c r="K1646">
        <f>allFYsTable[[#This Row],[Actual]]-allFYsTable[[#This Row],[OriginalBudget]]</f>
        <v>-2252</v>
      </c>
      <c r="L1646" s="11">
        <f>allFYsTable[[#This Row],[DiffAmount]]/allFYsTable[[#This Row],[OriginalBudget]]</f>
        <v>-0.1243168644769528</v>
      </c>
    </row>
    <row r="1647" spans="1:12" x14ac:dyDescent="0.45">
      <c r="A1647" t="s">
        <v>1027</v>
      </c>
      <c r="B1647" t="s">
        <v>182</v>
      </c>
      <c r="C1647" t="s">
        <v>876</v>
      </c>
      <c r="D1647" t="s">
        <v>208</v>
      </c>
      <c r="E1647">
        <v>0</v>
      </c>
      <c r="F1647">
        <v>0</v>
      </c>
      <c r="G1647">
        <v>0</v>
      </c>
      <c r="H1647">
        <v>0</v>
      </c>
      <c r="I1647">
        <v>2018</v>
      </c>
      <c r="J1647">
        <v>108</v>
      </c>
      <c r="K1647">
        <f>allFYsTable[[#This Row],[Actual]]-allFYsTable[[#This Row],[OriginalBudget]]</f>
        <v>0</v>
      </c>
      <c r="L1647" s="11" t="e">
        <f>allFYsTable[[#This Row],[DiffAmount]]/allFYsTable[[#This Row],[OriginalBudget]]</f>
        <v>#DIV/0!</v>
      </c>
    </row>
    <row r="1648" spans="1:12" x14ac:dyDescent="0.45">
      <c r="A1648" t="s">
        <v>1027</v>
      </c>
      <c r="B1648" t="s">
        <v>10</v>
      </c>
      <c r="C1648" t="s">
        <v>775</v>
      </c>
      <c r="D1648" t="s">
        <v>18</v>
      </c>
      <c r="E1648">
        <v>686969</v>
      </c>
      <c r="F1648">
        <v>679528</v>
      </c>
      <c r="G1648">
        <v>679528</v>
      </c>
      <c r="H1648">
        <v>0</v>
      </c>
      <c r="I1648">
        <v>2018</v>
      </c>
      <c r="J1648">
        <v>109</v>
      </c>
      <c r="K1648">
        <f>allFYsTable[[#This Row],[Actual]]-allFYsTable[[#This Row],[OriginalBudget]]</f>
        <v>-7441</v>
      </c>
      <c r="L1648" s="11">
        <f>allFYsTable[[#This Row],[DiffAmount]]/allFYsTable[[#This Row],[OriginalBudget]]</f>
        <v>-1.0831638691119978E-2</v>
      </c>
    </row>
    <row r="1649" spans="1:12" x14ac:dyDescent="0.45">
      <c r="A1649" t="s">
        <v>1027</v>
      </c>
      <c r="B1649" t="s">
        <v>10</v>
      </c>
      <c r="C1649" t="s">
        <v>817</v>
      </c>
      <c r="D1649" t="s">
        <v>158</v>
      </c>
      <c r="E1649">
        <v>8000</v>
      </c>
      <c r="F1649">
        <v>8000</v>
      </c>
      <c r="G1649">
        <v>5571</v>
      </c>
      <c r="H1649">
        <v>2429</v>
      </c>
      <c r="I1649">
        <v>2018</v>
      </c>
      <c r="J1649">
        <v>110</v>
      </c>
      <c r="K1649">
        <f>allFYsTable[[#This Row],[Actual]]-allFYsTable[[#This Row],[OriginalBudget]]</f>
        <v>-2429</v>
      </c>
      <c r="L1649" s="11">
        <f>allFYsTable[[#This Row],[DiffAmount]]/allFYsTable[[#This Row],[OriginalBudget]]</f>
        <v>-0.30362499999999998</v>
      </c>
    </row>
    <row r="1650" spans="1:12" x14ac:dyDescent="0.45">
      <c r="A1650" t="s">
        <v>1027</v>
      </c>
      <c r="B1650" t="s">
        <v>10</v>
      </c>
      <c r="C1650" t="s">
        <v>818</v>
      </c>
      <c r="D1650" t="s">
        <v>83</v>
      </c>
      <c r="E1650">
        <v>8503</v>
      </c>
      <c r="F1650">
        <v>2881</v>
      </c>
      <c r="G1650">
        <v>2881</v>
      </c>
      <c r="H1650">
        <v>0</v>
      </c>
      <c r="I1650">
        <v>2018</v>
      </c>
      <c r="J1650">
        <v>111</v>
      </c>
      <c r="K1650">
        <f>allFYsTable[[#This Row],[Actual]]-allFYsTable[[#This Row],[OriginalBudget]]</f>
        <v>-5622</v>
      </c>
      <c r="L1650" s="11">
        <f>allFYsTable[[#This Row],[DiffAmount]]/allFYsTable[[#This Row],[OriginalBudget]]</f>
        <v>-0.66117840762083968</v>
      </c>
    </row>
    <row r="1651" spans="1:12" x14ac:dyDescent="0.45">
      <c r="A1651" t="s">
        <v>1027</v>
      </c>
      <c r="B1651" t="s">
        <v>10</v>
      </c>
      <c r="C1651" t="s">
        <v>819</v>
      </c>
      <c r="D1651" t="s">
        <v>84</v>
      </c>
      <c r="E1651">
        <v>21825</v>
      </c>
      <c r="F1651">
        <v>16021</v>
      </c>
      <c r="G1651">
        <v>15959</v>
      </c>
      <c r="H1651">
        <v>62</v>
      </c>
      <c r="I1651">
        <v>2018</v>
      </c>
      <c r="J1651">
        <v>112</v>
      </c>
      <c r="K1651">
        <f>allFYsTable[[#This Row],[Actual]]-allFYsTable[[#This Row],[OriginalBudget]]</f>
        <v>-5866</v>
      </c>
      <c r="L1651" s="11">
        <f>allFYsTable[[#This Row],[DiffAmount]]/allFYsTable[[#This Row],[OriginalBudget]]</f>
        <v>-0.26877434135166095</v>
      </c>
    </row>
    <row r="1652" spans="1:12" x14ac:dyDescent="0.45">
      <c r="A1652" t="s">
        <v>1027</v>
      </c>
      <c r="B1652" t="s">
        <v>10</v>
      </c>
      <c r="C1652" t="s">
        <v>814</v>
      </c>
      <c r="D1652" t="s">
        <v>85</v>
      </c>
      <c r="E1652">
        <v>4082</v>
      </c>
      <c r="F1652">
        <v>4082</v>
      </c>
      <c r="G1652">
        <v>4014</v>
      </c>
      <c r="H1652">
        <v>68</v>
      </c>
      <c r="I1652">
        <v>2018</v>
      </c>
      <c r="J1652">
        <v>113</v>
      </c>
      <c r="K1652">
        <f>allFYsTable[[#This Row],[Actual]]-allFYsTable[[#This Row],[OriginalBudget]]</f>
        <v>-68</v>
      </c>
      <c r="L1652" s="11">
        <f>allFYsTable[[#This Row],[DiffAmount]]/allFYsTable[[#This Row],[OriginalBudget]]</f>
        <v>-1.6658500734933857E-2</v>
      </c>
    </row>
    <row r="1653" spans="1:12" x14ac:dyDescent="0.45">
      <c r="A1653" t="s">
        <v>1027</v>
      </c>
      <c r="B1653" t="s">
        <v>10</v>
      </c>
      <c r="C1653" t="s">
        <v>811</v>
      </c>
      <c r="D1653" t="s">
        <v>86</v>
      </c>
      <c r="E1653">
        <v>44500</v>
      </c>
      <c r="F1653">
        <v>44500</v>
      </c>
      <c r="G1653">
        <v>44500</v>
      </c>
      <c r="H1653">
        <v>0</v>
      </c>
      <c r="I1653">
        <v>2018</v>
      </c>
      <c r="J1653">
        <v>114</v>
      </c>
      <c r="K1653">
        <f>allFYsTable[[#This Row],[Actual]]-allFYsTable[[#This Row],[OriginalBudget]]</f>
        <v>0</v>
      </c>
      <c r="L1653" s="11">
        <f>allFYsTable[[#This Row],[DiffAmount]]/allFYsTable[[#This Row],[OriginalBudget]]</f>
        <v>0</v>
      </c>
    </row>
    <row r="1654" spans="1:12" x14ac:dyDescent="0.45">
      <c r="A1654" t="s">
        <v>1027</v>
      </c>
      <c r="B1654" t="s">
        <v>10</v>
      </c>
      <c r="C1654" t="s">
        <v>829</v>
      </c>
      <c r="D1654" t="s">
        <v>87</v>
      </c>
      <c r="E1654">
        <v>7832</v>
      </c>
      <c r="F1654">
        <v>7832</v>
      </c>
      <c r="G1654">
        <v>7822</v>
      </c>
      <c r="H1654">
        <v>10</v>
      </c>
      <c r="I1654">
        <v>2018</v>
      </c>
      <c r="J1654">
        <v>115</v>
      </c>
      <c r="K1654">
        <f>allFYsTable[[#This Row],[Actual]]-allFYsTable[[#This Row],[OriginalBudget]]</f>
        <v>-10</v>
      </c>
      <c r="L1654" s="11">
        <f>allFYsTable[[#This Row],[DiffAmount]]/allFYsTable[[#This Row],[OriginalBudget]]</f>
        <v>-1.2768130745658835E-3</v>
      </c>
    </row>
    <row r="1655" spans="1:12" x14ac:dyDescent="0.45">
      <c r="A1655" t="s">
        <v>1027</v>
      </c>
      <c r="B1655" t="s">
        <v>10</v>
      </c>
      <c r="C1655" t="s">
        <v>810</v>
      </c>
      <c r="D1655" t="s">
        <v>88</v>
      </c>
      <c r="E1655">
        <v>140138</v>
      </c>
      <c r="F1655">
        <v>141748</v>
      </c>
      <c r="G1655">
        <v>141748</v>
      </c>
      <c r="H1655">
        <v>0</v>
      </c>
      <c r="I1655">
        <v>2018</v>
      </c>
      <c r="J1655">
        <v>116</v>
      </c>
      <c r="K1655">
        <f>allFYsTable[[#This Row],[Actual]]-allFYsTable[[#This Row],[OriginalBudget]]</f>
        <v>1610</v>
      </c>
      <c r="L1655" s="11">
        <f>allFYsTable[[#This Row],[DiffAmount]]/allFYsTable[[#This Row],[OriginalBudget]]</f>
        <v>1.1488675448486491E-2</v>
      </c>
    </row>
    <row r="1656" spans="1:12" x14ac:dyDescent="0.45">
      <c r="A1656" t="s">
        <v>1027</v>
      </c>
      <c r="B1656" t="s">
        <v>10</v>
      </c>
      <c r="C1656" t="s">
        <v>813</v>
      </c>
      <c r="D1656" t="s">
        <v>89</v>
      </c>
      <c r="E1656">
        <v>24936</v>
      </c>
      <c r="F1656">
        <v>26268</v>
      </c>
      <c r="G1656">
        <v>26268</v>
      </c>
      <c r="H1656">
        <v>0</v>
      </c>
      <c r="I1656">
        <v>2018</v>
      </c>
      <c r="J1656">
        <v>117</v>
      </c>
      <c r="K1656">
        <f>allFYsTable[[#This Row],[Actual]]-allFYsTable[[#This Row],[OriginalBudget]]</f>
        <v>1332</v>
      </c>
      <c r="L1656" s="11">
        <f>allFYsTable[[#This Row],[DiffAmount]]/allFYsTable[[#This Row],[OriginalBudget]]</f>
        <v>5.3416746871992299E-2</v>
      </c>
    </row>
    <row r="1657" spans="1:12" x14ac:dyDescent="0.45">
      <c r="A1657" t="s">
        <v>1027</v>
      </c>
      <c r="B1657" t="s">
        <v>10</v>
      </c>
      <c r="C1657" t="s">
        <v>812</v>
      </c>
      <c r="D1657" t="s">
        <v>848</v>
      </c>
      <c r="E1657">
        <v>0</v>
      </c>
      <c r="F1657">
        <v>0</v>
      </c>
      <c r="G1657">
        <v>0</v>
      </c>
      <c r="H1657">
        <v>0</v>
      </c>
      <c r="I1657">
        <v>2018</v>
      </c>
      <c r="J1657">
        <v>118</v>
      </c>
      <c r="K1657">
        <f>allFYsTable[[#This Row],[Actual]]-allFYsTable[[#This Row],[OriginalBudget]]</f>
        <v>0</v>
      </c>
      <c r="L1657" s="11" t="e">
        <f>allFYsTable[[#This Row],[DiffAmount]]/allFYsTable[[#This Row],[OriginalBudget]]</f>
        <v>#DIV/0!</v>
      </c>
    </row>
    <row r="1658" spans="1:12" x14ac:dyDescent="0.45">
      <c r="A1658" t="s">
        <v>1027</v>
      </c>
      <c r="B1658" t="s">
        <v>10</v>
      </c>
      <c r="C1658" t="s">
        <v>821</v>
      </c>
      <c r="D1658" t="s">
        <v>91</v>
      </c>
      <c r="E1658">
        <v>181576</v>
      </c>
      <c r="F1658">
        <v>18381</v>
      </c>
      <c r="G1658">
        <v>0</v>
      </c>
      <c r="H1658">
        <v>18381</v>
      </c>
      <c r="I1658">
        <v>2018</v>
      </c>
      <c r="J1658">
        <v>119</v>
      </c>
      <c r="K1658">
        <f>allFYsTable[[#This Row],[Actual]]-allFYsTable[[#This Row],[OriginalBudget]]</f>
        <v>-181576</v>
      </c>
      <c r="L1658" s="11">
        <f>allFYsTable[[#This Row],[DiffAmount]]/allFYsTable[[#This Row],[OriginalBudget]]</f>
        <v>-1</v>
      </c>
    </row>
    <row r="1659" spans="1:12" x14ac:dyDescent="0.45">
      <c r="A1659" t="s">
        <v>1027</v>
      </c>
      <c r="B1659" t="s">
        <v>10</v>
      </c>
      <c r="C1659" t="s">
        <v>832</v>
      </c>
      <c r="D1659" t="s">
        <v>200</v>
      </c>
      <c r="E1659">
        <v>19254</v>
      </c>
      <c r="F1659">
        <v>19254</v>
      </c>
      <c r="G1659">
        <v>19254</v>
      </c>
      <c r="H1659">
        <v>0</v>
      </c>
      <c r="I1659">
        <v>2018</v>
      </c>
      <c r="J1659">
        <v>120</v>
      </c>
      <c r="K1659">
        <f>allFYsTable[[#This Row],[Actual]]-allFYsTable[[#This Row],[OriginalBudget]]</f>
        <v>0</v>
      </c>
      <c r="L1659" s="11">
        <f>allFYsTable[[#This Row],[DiffAmount]]/allFYsTable[[#This Row],[OriginalBudget]]</f>
        <v>0</v>
      </c>
    </row>
    <row r="1660" spans="1:12" x14ac:dyDescent="0.45">
      <c r="A1660" t="s">
        <v>1027</v>
      </c>
      <c r="B1660" t="s">
        <v>10</v>
      </c>
      <c r="C1660" t="s">
        <v>816</v>
      </c>
      <c r="D1660" t="s">
        <v>93</v>
      </c>
      <c r="E1660">
        <v>84135</v>
      </c>
      <c r="F1660">
        <v>76257</v>
      </c>
      <c r="G1660">
        <v>76257</v>
      </c>
      <c r="H1660">
        <v>0</v>
      </c>
      <c r="I1660">
        <v>2018</v>
      </c>
      <c r="J1660">
        <v>121</v>
      </c>
      <c r="K1660">
        <f>allFYsTable[[#This Row],[Actual]]-allFYsTable[[#This Row],[OriginalBudget]]</f>
        <v>-7878</v>
      </c>
      <c r="L1660" s="11">
        <f>allFYsTable[[#This Row],[DiffAmount]]/allFYsTable[[#This Row],[OriginalBudget]]</f>
        <v>-9.3635229096095562E-2</v>
      </c>
    </row>
    <row r="1661" spans="1:12" x14ac:dyDescent="0.45">
      <c r="A1661" t="s">
        <v>1027</v>
      </c>
      <c r="B1661" t="s">
        <v>10</v>
      </c>
      <c r="C1661" t="s">
        <v>815</v>
      </c>
      <c r="D1661" t="s">
        <v>95</v>
      </c>
      <c r="E1661">
        <v>3804</v>
      </c>
      <c r="F1661">
        <v>0</v>
      </c>
      <c r="G1661">
        <v>0</v>
      </c>
      <c r="H1661">
        <v>0</v>
      </c>
      <c r="I1661">
        <v>2018</v>
      </c>
      <c r="J1661">
        <v>122</v>
      </c>
      <c r="K1661">
        <f>allFYsTable[[#This Row],[Actual]]-allFYsTable[[#This Row],[OriginalBudget]]</f>
        <v>-3804</v>
      </c>
      <c r="L1661" s="11">
        <f>allFYsTable[[#This Row],[DiffAmount]]/allFYsTable[[#This Row],[OriginalBudget]]</f>
        <v>-1</v>
      </c>
    </row>
    <row r="1662" spans="1:12" x14ac:dyDescent="0.45">
      <c r="A1662" t="s">
        <v>1026</v>
      </c>
      <c r="B1662" t="s">
        <v>97</v>
      </c>
      <c r="C1662" t="s">
        <v>703</v>
      </c>
      <c r="D1662" t="s">
        <v>96</v>
      </c>
      <c r="E1662">
        <v>26879</v>
      </c>
      <c r="F1662">
        <v>25766</v>
      </c>
      <c r="G1662">
        <v>25766</v>
      </c>
      <c r="H1662">
        <v>0</v>
      </c>
      <c r="I1662">
        <v>2019</v>
      </c>
      <c r="J1662">
        <v>1</v>
      </c>
      <c r="K1662">
        <f>allFYsTable[[#This Row],[Actual]]-allFYsTable[[#This Row],[OriginalBudget]]</f>
        <v>-1113</v>
      </c>
      <c r="L1662" s="11">
        <f>allFYsTable[[#This Row],[DiffAmount]]/allFYsTable[[#This Row],[OriginalBudget]]</f>
        <v>-4.1407790468395399E-2</v>
      </c>
    </row>
    <row r="1663" spans="1:12" x14ac:dyDescent="0.45">
      <c r="A1663" t="s">
        <v>1026</v>
      </c>
      <c r="B1663" t="s">
        <v>97</v>
      </c>
      <c r="C1663" t="s">
        <v>723</v>
      </c>
      <c r="D1663" t="s">
        <v>160</v>
      </c>
      <c r="E1663">
        <v>6229</v>
      </c>
      <c r="F1663">
        <v>5829</v>
      </c>
      <c r="G1663">
        <v>5415</v>
      </c>
      <c r="H1663">
        <v>414</v>
      </c>
      <c r="I1663">
        <v>2019</v>
      </c>
      <c r="J1663">
        <v>2</v>
      </c>
      <c r="K1663">
        <f>allFYsTable[[#This Row],[Actual]]-allFYsTable[[#This Row],[OriginalBudget]]</f>
        <v>-814</v>
      </c>
      <c r="L1663" s="11">
        <f>allFYsTable[[#This Row],[DiffAmount]]/allFYsTable[[#This Row],[OriginalBudget]]</f>
        <v>-0.13067908171456091</v>
      </c>
    </row>
    <row r="1664" spans="1:12" x14ac:dyDescent="0.45">
      <c r="A1664" t="s">
        <v>1026</v>
      </c>
      <c r="B1664" t="s">
        <v>97</v>
      </c>
      <c r="C1664" t="s">
        <v>731</v>
      </c>
      <c r="D1664" t="s">
        <v>161</v>
      </c>
      <c r="E1664">
        <v>242</v>
      </c>
      <c r="F1664">
        <v>244</v>
      </c>
      <c r="G1664">
        <v>244</v>
      </c>
      <c r="H1664">
        <v>0</v>
      </c>
      <c r="I1664">
        <v>2019</v>
      </c>
      <c r="J1664">
        <v>3</v>
      </c>
      <c r="K1664">
        <f>allFYsTable[[#This Row],[Actual]]-allFYsTable[[#This Row],[OriginalBudget]]</f>
        <v>2</v>
      </c>
      <c r="L1664" s="11">
        <f>allFYsTable[[#This Row],[DiffAmount]]/allFYsTable[[#This Row],[OriginalBudget]]</f>
        <v>8.2644628099173556E-3</v>
      </c>
    </row>
    <row r="1665" spans="1:12" x14ac:dyDescent="0.45">
      <c r="A1665" t="s">
        <v>1026</v>
      </c>
      <c r="B1665" t="s">
        <v>97</v>
      </c>
      <c r="C1665" t="s">
        <v>711</v>
      </c>
      <c r="D1665" t="s">
        <v>162</v>
      </c>
      <c r="E1665">
        <v>1146</v>
      </c>
      <c r="F1665">
        <v>1176</v>
      </c>
      <c r="G1665">
        <v>976</v>
      </c>
      <c r="H1665">
        <v>200</v>
      </c>
      <c r="I1665">
        <v>2019</v>
      </c>
      <c r="J1665">
        <v>4</v>
      </c>
      <c r="K1665">
        <f>allFYsTable[[#This Row],[Actual]]-allFYsTable[[#This Row],[OriginalBudget]]</f>
        <v>-170</v>
      </c>
      <c r="L1665" s="11">
        <f>allFYsTable[[#This Row],[DiffAmount]]/allFYsTable[[#This Row],[OriginalBudget]]</f>
        <v>-0.14834205933682373</v>
      </c>
    </row>
    <row r="1666" spans="1:12" x14ac:dyDescent="0.45">
      <c r="A1666" t="s">
        <v>1026</v>
      </c>
      <c r="B1666" t="s">
        <v>97</v>
      </c>
      <c r="C1666" t="s">
        <v>707</v>
      </c>
      <c r="D1666" t="s">
        <v>163</v>
      </c>
      <c r="E1666">
        <v>11367</v>
      </c>
      <c r="F1666">
        <v>12562</v>
      </c>
      <c r="G1666">
        <v>12417</v>
      </c>
      <c r="H1666">
        <v>145</v>
      </c>
      <c r="I1666">
        <v>2019</v>
      </c>
      <c r="J1666">
        <v>5</v>
      </c>
      <c r="K1666">
        <f>allFYsTable[[#This Row],[Actual]]-allFYsTable[[#This Row],[OriginalBudget]]</f>
        <v>1050</v>
      </c>
      <c r="L1666" s="11">
        <f>allFYsTable[[#This Row],[DiffAmount]]/allFYsTable[[#This Row],[OriginalBudget]]</f>
        <v>9.2372657693322771E-2</v>
      </c>
    </row>
    <row r="1667" spans="1:12" x14ac:dyDescent="0.45">
      <c r="A1667" t="s">
        <v>1026</v>
      </c>
      <c r="B1667" t="s">
        <v>97</v>
      </c>
      <c r="C1667" t="s">
        <v>708</v>
      </c>
      <c r="D1667" t="s">
        <v>102</v>
      </c>
      <c r="E1667">
        <v>1634</v>
      </c>
      <c r="F1667">
        <v>1384</v>
      </c>
      <c r="G1667">
        <v>1326</v>
      </c>
      <c r="H1667">
        <v>58</v>
      </c>
      <c r="I1667">
        <v>2019</v>
      </c>
      <c r="J1667">
        <v>6</v>
      </c>
      <c r="K1667">
        <f>allFYsTable[[#This Row],[Actual]]-allFYsTable[[#This Row],[OriginalBudget]]</f>
        <v>-308</v>
      </c>
      <c r="L1667" s="11">
        <f>allFYsTable[[#This Row],[DiffAmount]]/allFYsTable[[#This Row],[OriginalBudget]]</f>
        <v>-0.18849449204406366</v>
      </c>
    </row>
    <row r="1668" spans="1:12" x14ac:dyDescent="0.45">
      <c r="A1668" t="s">
        <v>1026</v>
      </c>
      <c r="B1668" t="s">
        <v>97</v>
      </c>
      <c r="C1668" t="s">
        <v>726</v>
      </c>
      <c r="D1668" t="s">
        <v>103</v>
      </c>
      <c r="E1668">
        <v>3219</v>
      </c>
      <c r="F1668">
        <v>3846</v>
      </c>
      <c r="G1668">
        <v>3533</v>
      </c>
      <c r="H1668">
        <v>313</v>
      </c>
      <c r="I1668">
        <v>2019</v>
      </c>
      <c r="J1668">
        <v>7</v>
      </c>
      <c r="K1668">
        <f>allFYsTable[[#This Row],[Actual]]-allFYsTable[[#This Row],[OriginalBudget]]</f>
        <v>314</v>
      </c>
      <c r="L1668" s="11">
        <f>allFYsTable[[#This Row],[DiffAmount]]/allFYsTable[[#This Row],[OriginalBudget]]</f>
        <v>9.7545821683752712E-2</v>
      </c>
    </row>
    <row r="1669" spans="1:12" x14ac:dyDescent="0.45">
      <c r="A1669" t="s">
        <v>1026</v>
      </c>
      <c r="B1669" t="s">
        <v>97</v>
      </c>
      <c r="C1669" t="s">
        <v>725</v>
      </c>
      <c r="D1669" t="s">
        <v>104</v>
      </c>
      <c r="E1669">
        <v>3057</v>
      </c>
      <c r="F1669">
        <v>3248</v>
      </c>
      <c r="G1669">
        <v>3231</v>
      </c>
      <c r="H1669">
        <v>17</v>
      </c>
      <c r="I1669">
        <v>2019</v>
      </c>
      <c r="J1669">
        <v>8</v>
      </c>
      <c r="K1669">
        <f>allFYsTable[[#This Row],[Actual]]-allFYsTable[[#This Row],[OriginalBudget]]</f>
        <v>174</v>
      </c>
      <c r="L1669" s="11">
        <f>allFYsTable[[#This Row],[DiffAmount]]/allFYsTable[[#This Row],[OriginalBudget]]</f>
        <v>5.6918547595682038E-2</v>
      </c>
    </row>
    <row r="1670" spans="1:12" x14ac:dyDescent="0.45">
      <c r="A1670" t="s">
        <v>1026</v>
      </c>
      <c r="B1670" t="s">
        <v>97</v>
      </c>
      <c r="C1670" t="s">
        <v>724</v>
      </c>
      <c r="D1670" t="s">
        <v>105</v>
      </c>
      <c r="E1670">
        <v>15943</v>
      </c>
      <c r="F1670">
        <v>14284</v>
      </c>
      <c r="G1670">
        <v>13384</v>
      </c>
      <c r="H1670">
        <v>900</v>
      </c>
      <c r="I1670">
        <v>2019</v>
      </c>
      <c r="J1670">
        <v>9</v>
      </c>
      <c r="K1670">
        <f>allFYsTable[[#This Row],[Actual]]-allFYsTable[[#This Row],[OriginalBudget]]</f>
        <v>-2559</v>
      </c>
      <c r="L1670" s="11">
        <f>allFYsTable[[#This Row],[DiffAmount]]/allFYsTable[[#This Row],[OriginalBudget]]</f>
        <v>-0.16050931443266636</v>
      </c>
    </row>
    <row r="1671" spans="1:12" x14ac:dyDescent="0.45">
      <c r="A1671" t="s">
        <v>1026</v>
      </c>
      <c r="B1671" t="s">
        <v>97</v>
      </c>
      <c r="C1671" t="s">
        <v>701</v>
      </c>
      <c r="D1671" t="s">
        <v>106</v>
      </c>
      <c r="E1671">
        <v>2095</v>
      </c>
      <c r="F1671">
        <v>3416</v>
      </c>
      <c r="G1671">
        <v>3401</v>
      </c>
      <c r="H1671">
        <v>15</v>
      </c>
      <c r="I1671">
        <v>2019</v>
      </c>
      <c r="J1671">
        <v>10</v>
      </c>
      <c r="K1671">
        <f>allFYsTable[[#This Row],[Actual]]-allFYsTable[[#This Row],[OriginalBudget]]</f>
        <v>1306</v>
      </c>
      <c r="L1671" s="11">
        <f>allFYsTable[[#This Row],[DiffAmount]]/allFYsTable[[#This Row],[OriginalBudget]]</f>
        <v>0.62338902147971365</v>
      </c>
    </row>
    <row r="1672" spans="1:12" x14ac:dyDescent="0.45">
      <c r="A1672" t="s">
        <v>1026</v>
      </c>
      <c r="B1672" t="s">
        <v>97</v>
      </c>
      <c r="C1672" t="s">
        <v>722</v>
      </c>
      <c r="D1672" t="s">
        <v>164</v>
      </c>
      <c r="E1672">
        <v>8669</v>
      </c>
      <c r="F1672">
        <v>9218</v>
      </c>
      <c r="G1672">
        <v>9115</v>
      </c>
      <c r="H1672">
        <v>103</v>
      </c>
      <c r="I1672">
        <v>2019</v>
      </c>
      <c r="J1672">
        <v>11</v>
      </c>
      <c r="K1672">
        <f>allFYsTable[[#This Row],[Actual]]-allFYsTable[[#This Row],[OriginalBudget]]</f>
        <v>446</v>
      </c>
      <c r="L1672" s="11">
        <f>allFYsTable[[#This Row],[DiffAmount]]/allFYsTable[[#This Row],[OriginalBudget]]</f>
        <v>5.1447687161148919E-2</v>
      </c>
    </row>
    <row r="1673" spans="1:12" x14ac:dyDescent="0.45">
      <c r="A1673" t="s">
        <v>1026</v>
      </c>
      <c r="B1673" t="s">
        <v>97</v>
      </c>
      <c r="C1673" t="s">
        <v>704</v>
      </c>
      <c r="D1673" t="s">
        <v>108</v>
      </c>
      <c r="E1673">
        <v>8866</v>
      </c>
      <c r="F1673">
        <v>11257</v>
      </c>
      <c r="G1673">
        <v>11201</v>
      </c>
      <c r="H1673">
        <v>56</v>
      </c>
      <c r="I1673">
        <v>2019</v>
      </c>
      <c r="J1673">
        <v>12</v>
      </c>
      <c r="K1673">
        <f>allFYsTable[[#This Row],[Actual]]-allFYsTable[[#This Row],[OriginalBudget]]</f>
        <v>2335</v>
      </c>
      <c r="L1673" s="11">
        <f>allFYsTable[[#This Row],[DiffAmount]]/allFYsTable[[#This Row],[OriginalBudget]]</f>
        <v>0.26336566659147304</v>
      </c>
    </row>
    <row r="1674" spans="1:12" x14ac:dyDescent="0.45">
      <c r="A1674" t="s">
        <v>1026</v>
      </c>
      <c r="B1674" t="s">
        <v>97</v>
      </c>
      <c r="C1674" t="s">
        <v>716</v>
      </c>
      <c r="D1674" t="s">
        <v>184</v>
      </c>
      <c r="E1674">
        <v>27123</v>
      </c>
      <c r="F1674">
        <v>27037</v>
      </c>
      <c r="G1674">
        <v>26480</v>
      </c>
      <c r="H1674">
        <v>557</v>
      </c>
      <c r="I1674">
        <v>2019</v>
      </c>
      <c r="J1674">
        <v>13</v>
      </c>
      <c r="K1674">
        <f>allFYsTable[[#This Row],[Actual]]-allFYsTable[[#This Row],[OriginalBudget]]</f>
        <v>-643</v>
      </c>
      <c r="L1674" s="11">
        <f>allFYsTable[[#This Row],[DiffAmount]]/allFYsTable[[#This Row],[OriginalBudget]]</f>
        <v>-2.3706817092504516E-2</v>
      </c>
    </row>
    <row r="1675" spans="1:12" x14ac:dyDescent="0.45">
      <c r="A1675" t="s">
        <v>1026</v>
      </c>
      <c r="B1675" t="s">
        <v>97</v>
      </c>
      <c r="C1675" t="s">
        <v>705</v>
      </c>
      <c r="D1675" t="s">
        <v>110</v>
      </c>
      <c r="E1675">
        <v>310152</v>
      </c>
      <c r="F1675">
        <v>365343</v>
      </c>
      <c r="G1675">
        <v>349932</v>
      </c>
      <c r="H1675">
        <v>15411</v>
      </c>
      <c r="I1675">
        <v>2019</v>
      </c>
      <c r="J1675">
        <v>14</v>
      </c>
      <c r="K1675">
        <f>allFYsTable[[#This Row],[Actual]]-allFYsTable[[#This Row],[OriginalBudget]]</f>
        <v>39780</v>
      </c>
      <c r="L1675" s="11">
        <f>allFYsTable[[#This Row],[DiffAmount]]/allFYsTable[[#This Row],[OriginalBudget]]</f>
        <v>0.12825969202197632</v>
      </c>
    </row>
    <row r="1676" spans="1:12" x14ac:dyDescent="0.45">
      <c r="A1676" t="s">
        <v>1026</v>
      </c>
      <c r="B1676" t="s">
        <v>97</v>
      </c>
      <c r="C1676" t="s">
        <v>713</v>
      </c>
      <c r="D1676" t="s">
        <v>111</v>
      </c>
      <c r="E1676">
        <v>23393</v>
      </c>
      <c r="F1676">
        <v>23393</v>
      </c>
      <c r="G1676">
        <v>23252</v>
      </c>
      <c r="H1676">
        <v>141</v>
      </c>
      <c r="I1676">
        <v>2019</v>
      </c>
      <c r="J1676">
        <v>15</v>
      </c>
      <c r="K1676">
        <f>allFYsTable[[#This Row],[Actual]]-allFYsTable[[#This Row],[OriginalBudget]]</f>
        <v>-141</v>
      </c>
      <c r="L1676" s="11">
        <f>allFYsTable[[#This Row],[DiffAmount]]/allFYsTable[[#This Row],[OriginalBudget]]</f>
        <v>-6.0274441072115589E-3</v>
      </c>
    </row>
    <row r="1677" spans="1:12" x14ac:dyDescent="0.45">
      <c r="A1677" t="s">
        <v>1026</v>
      </c>
      <c r="B1677" t="s">
        <v>97</v>
      </c>
      <c r="C1677" t="s">
        <v>702</v>
      </c>
      <c r="D1677" t="s">
        <v>112</v>
      </c>
      <c r="E1677">
        <v>1556</v>
      </c>
      <c r="F1677">
        <v>1556</v>
      </c>
      <c r="G1677">
        <v>1550</v>
      </c>
      <c r="H1677">
        <v>6</v>
      </c>
      <c r="I1677">
        <v>2019</v>
      </c>
      <c r="J1677">
        <v>16</v>
      </c>
      <c r="K1677">
        <f>allFYsTable[[#This Row],[Actual]]-allFYsTable[[#This Row],[OriginalBudget]]</f>
        <v>-6</v>
      </c>
      <c r="L1677" s="11">
        <f>allFYsTable[[#This Row],[DiffAmount]]/allFYsTable[[#This Row],[OriginalBudget]]</f>
        <v>-3.8560411311053984E-3</v>
      </c>
    </row>
    <row r="1678" spans="1:12" x14ac:dyDescent="0.45">
      <c r="A1678" t="s">
        <v>1026</v>
      </c>
      <c r="B1678" t="s">
        <v>97</v>
      </c>
      <c r="C1678" t="s">
        <v>720</v>
      </c>
      <c r="D1678" t="s">
        <v>113</v>
      </c>
      <c r="E1678">
        <v>133877</v>
      </c>
      <c r="F1678">
        <v>135393</v>
      </c>
      <c r="G1678">
        <v>135246</v>
      </c>
      <c r="H1678">
        <v>147</v>
      </c>
      <c r="I1678">
        <v>2019</v>
      </c>
      <c r="J1678">
        <v>17</v>
      </c>
      <c r="K1678">
        <f>allFYsTable[[#This Row],[Actual]]-allFYsTable[[#This Row],[OriginalBudget]]</f>
        <v>1369</v>
      </c>
      <c r="L1678" s="11">
        <f>allFYsTable[[#This Row],[DiffAmount]]/allFYsTable[[#This Row],[OriginalBudget]]</f>
        <v>1.0225804283035921E-2</v>
      </c>
    </row>
    <row r="1679" spans="1:12" x14ac:dyDescent="0.45">
      <c r="A1679" t="s">
        <v>1026</v>
      </c>
      <c r="B1679" t="s">
        <v>97</v>
      </c>
      <c r="C1679" t="s">
        <v>719</v>
      </c>
      <c r="D1679" t="s">
        <v>114</v>
      </c>
      <c r="E1679">
        <v>67163</v>
      </c>
      <c r="F1679">
        <v>67163</v>
      </c>
      <c r="G1679">
        <v>66740</v>
      </c>
      <c r="H1679">
        <v>423</v>
      </c>
      <c r="I1679">
        <v>2019</v>
      </c>
      <c r="J1679">
        <v>18</v>
      </c>
      <c r="K1679">
        <f>allFYsTable[[#This Row],[Actual]]-allFYsTable[[#This Row],[OriginalBudget]]</f>
        <v>-423</v>
      </c>
      <c r="L1679" s="11">
        <f>allFYsTable[[#This Row],[DiffAmount]]/allFYsTable[[#This Row],[OriginalBudget]]</f>
        <v>-6.298110566829951E-3</v>
      </c>
    </row>
    <row r="1680" spans="1:12" x14ac:dyDescent="0.45">
      <c r="A1680" t="s">
        <v>1026</v>
      </c>
      <c r="B1680" t="s">
        <v>97</v>
      </c>
      <c r="C1680" t="s">
        <v>718</v>
      </c>
      <c r="D1680" t="s">
        <v>115</v>
      </c>
      <c r="E1680">
        <v>4102</v>
      </c>
      <c r="F1680">
        <v>4042</v>
      </c>
      <c r="G1680">
        <v>3971</v>
      </c>
      <c r="H1680">
        <v>71</v>
      </c>
      <c r="I1680">
        <v>2019</v>
      </c>
      <c r="J1680">
        <v>19</v>
      </c>
      <c r="K1680">
        <f>allFYsTable[[#This Row],[Actual]]-allFYsTable[[#This Row],[OriginalBudget]]</f>
        <v>-131</v>
      </c>
      <c r="L1680" s="11">
        <f>allFYsTable[[#This Row],[DiffAmount]]/allFYsTable[[#This Row],[OriginalBudget]]</f>
        <v>-3.1935641150658216E-2</v>
      </c>
    </row>
    <row r="1681" spans="1:12" x14ac:dyDescent="0.45">
      <c r="A1681" t="s">
        <v>1026</v>
      </c>
      <c r="B1681" t="s">
        <v>97</v>
      </c>
      <c r="C1681" t="s">
        <v>714</v>
      </c>
      <c r="D1681" t="s">
        <v>116</v>
      </c>
      <c r="E1681">
        <v>1133</v>
      </c>
      <c r="F1681">
        <v>1153</v>
      </c>
      <c r="G1681">
        <v>1143</v>
      </c>
      <c r="H1681">
        <v>10</v>
      </c>
      <c r="I1681">
        <v>2019</v>
      </c>
      <c r="J1681">
        <v>20</v>
      </c>
      <c r="K1681">
        <f>allFYsTable[[#This Row],[Actual]]-allFYsTable[[#This Row],[OriginalBudget]]</f>
        <v>10</v>
      </c>
      <c r="L1681" s="11">
        <f>allFYsTable[[#This Row],[DiffAmount]]/allFYsTable[[#This Row],[OriginalBudget]]</f>
        <v>8.8261253309796991E-3</v>
      </c>
    </row>
    <row r="1682" spans="1:12" x14ac:dyDescent="0.45">
      <c r="A1682" t="s">
        <v>1026</v>
      </c>
      <c r="B1682" t="s">
        <v>97</v>
      </c>
      <c r="C1682" t="s">
        <v>733</v>
      </c>
      <c r="D1682" t="s">
        <v>117</v>
      </c>
      <c r="E1682">
        <v>60</v>
      </c>
      <c r="F1682">
        <v>60</v>
      </c>
      <c r="G1682">
        <v>52</v>
      </c>
      <c r="H1682">
        <v>8</v>
      </c>
      <c r="I1682">
        <v>2019</v>
      </c>
      <c r="J1682">
        <v>21</v>
      </c>
      <c r="K1682">
        <f>allFYsTable[[#This Row],[Actual]]-allFYsTable[[#This Row],[OriginalBudget]]</f>
        <v>-8</v>
      </c>
      <c r="L1682" s="11">
        <f>allFYsTable[[#This Row],[DiffAmount]]/allFYsTable[[#This Row],[OriginalBudget]]</f>
        <v>-0.13333333333333333</v>
      </c>
    </row>
    <row r="1683" spans="1:12" x14ac:dyDescent="0.45">
      <c r="A1683" t="s">
        <v>1026</v>
      </c>
      <c r="B1683" t="s">
        <v>97</v>
      </c>
      <c r="C1683" t="s">
        <v>721</v>
      </c>
      <c r="D1683" t="s">
        <v>118</v>
      </c>
      <c r="E1683">
        <v>70035</v>
      </c>
      <c r="F1683">
        <v>69355</v>
      </c>
      <c r="G1683">
        <v>69303</v>
      </c>
      <c r="H1683">
        <v>52</v>
      </c>
      <c r="I1683">
        <v>2019</v>
      </c>
      <c r="J1683">
        <v>22</v>
      </c>
      <c r="K1683">
        <f>allFYsTable[[#This Row],[Actual]]-allFYsTable[[#This Row],[OriginalBudget]]</f>
        <v>-732</v>
      </c>
      <c r="L1683" s="11">
        <f>allFYsTable[[#This Row],[DiffAmount]]/allFYsTable[[#This Row],[OriginalBudget]]</f>
        <v>-1.0451916898693511E-2</v>
      </c>
    </row>
    <row r="1684" spans="1:12" x14ac:dyDescent="0.45">
      <c r="A1684" t="s">
        <v>1026</v>
      </c>
      <c r="B1684" t="s">
        <v>97</v>
      </c>
      <c r="C1684" t="s">
        <v>699</v>
      </c>
      <c r="D1684" t="s">
        <v>119</v>
      </c>
      <c r="E1684">
        <v>10666</v>
      </c>
      <c r="F1684">
        <v>10937</v>
      </c>
      <c r="G1684">
        <v>10892</v>
      </c>
      <c r="H1684">
        <v>45</v>
      </c>
      <c r="I1684">
        <v>2019</v>
      </c>
      <c r="J1684">
        <v>23</v>
      </c>
      <c r="K1684">
        <f>allFYsTable[[#This Row],[Actual]]-allFYsTable[[#This Row],[OriginalBudget]]</f>
        <v>226</v>
      </c>
      <c r="L1684" s="11">
        <f>allFYsTable[[#This Row],[DiffAmount]]/allFYsTable[[#This Row],[OriginalBudget]]</f>
        <v>2.1188824301518847E-2</v>
      </c>
    </row>
    <row r="1685" spans="1:12" x14ac:dyDescent="0.45">
      <c r="A1685" t="s">
        <v>1026</v>
      </c>
      <c r="B1685" t="s">
        <v>97</v>
      </c>
      <c r="C1685" t="s">
        <v>712</v>
      </c>
      <c r="D1685" t="s">
        <v>120</v>
      </c>
      <c r="E1685">
        <v>4101</v>
      </c>
      <c r="F1685">
        <v>4001</v>
      </c>
      <c r="G1685">
        <v>3536</v>
      </c>
      <c r="H1685">
        <v>465</v>
      </c>
      <c r="I1685">
        <v>2019</v>
      </c>
      <c r="J1685">
        <v>24</v>
      </c>
      <c r="K1685">
        <f>allFYsTable[[#This Row],[Actual]]-allFYsTable[[#This Row],[OriginalBudget]]</f>
        <v>-565</v>
      </c>
      <c r="L1685" s="11">
        <f>allFYsTable[[#This Row],[DiffAmount]]/allFYsTable[[#This Row],[OriginalBudget]]</f>
        <v>-0.13777127529870764</v>
      </c>
    </row>
    <row r="1686" spans="1:12" x14ac:dyDescent="0.45">
      <c r="A1686" t="s">
        <v>1026</v>
      </c>
      <c r="B1686" t="s">
        <v>97</v>
      </c>
      <c r="C1686" t="s">
        <v>730</v>
      </c>
      <c r="D1686" t="s">
        <v>125</v>
      </c>
      <c r="E1686">
        <v>1509</v>
      </c>
      <c r="F1686">
        <v>1226</v>
      </c>
      <c r="G1686">
        <v>1160</v>
      </c>
      <c r="H1686">
        <v>66</v>
      </c>
      <c r="I1686">
        <v>2019</v>
      </c>
      <c r="J1686">
        <v>25</v>
      </c>
      <c r="K1686">
        <f>allFYsTable[[#This Row],[Actual]]-allFYsTable[[#This Row],[OriginalBudget]]</f>
        <v>-349</v>
      </c>
      <c r="L1686" s="11">
        <f>allFYsTable[[#This Row],[DiffAmount]]/allFYsTable[[#This Row],[OriginalBudget]]</f>
        <v>-0.23127899271040425</v>
      </c>
    </row>
    <row r="1687" spans="1:12" x14ac:dyDescent="0.45">
      <c r="A1687" t="s">
        <v>1026</v>
      </c>
      <c r="B1687" t="s">
        <v>97</v>
      </c>
      <c r="C1687" t="s">
        <v>715</v>
      </c>
      <c r="D1687" t="s">
        <v>126</v>
      </c>
      <c r="E1687">
        <v>2178</v>
      </c>
      <c r="F1687">
        <v>2153</v>
      </c>
      <c r="G1687">
        <v>2101</v>
      </c>
      <c r="H1687">
        <v>52</v>
      </c>
      <c r="I1687">
        <v>2019</v>
      </c>
      <c r="J1687">
        <v>26</v>
      </c>
      <c r="K1687">
        <f>allFYsTable[[#This Row],[Actual]]-allFYsTable[[#This Row],[OriginalBudget]]</f>
        <v>-77</v>
      </c>
      <c r="L1687" s="11">
        <f>allFYsTable[[#This Row],[DiffAmount]]/allFYsTable[[#This Row],[OriginalBudget]]</f>
        <v>-3.5353535353535352E-2</v>
      </c>
    </row>
    <row r="1688" spans="1:12" x14ac:dyDescent="0.45">
      <c r="A1688" t="s">
        <v>1026</v>
      </c>
      <c r="B1688" t="s">
        <v>97</v>
      </c>
      <c r="C1688" t="s">
        <v>709</v>
      </c>
      <c r="D1688" t="s">
        <v>127</v>
      </c>
      <c r="E1688">
        <v>542</v>
      </c>
      <c r="F1688">
        <v>542</v>
      </c>
      <c r="G1688">
        <v>542</v>
      </c>
      <c r="H1688">
        <v>0</v>
      </c>
      <c r="I1688">
        <v>2019</v>
      </c>
      <c r="J1688">
        <v>27</v>
      </c>
      <c r="K1688">
        <f>allFYsTable[[#This Row],[Actual]]-allFYsTable[[#This Row],[OriginalBudget]]</f>
        <v>0</v>
      </c>
      <c r="L1688" s="11">
        <f>allFYsTable[[#This Row],[DiffAmount]]/allFYsTable[[#This Row],[OriginalBudget]]</f>
        <v>0</v>
      </c>
    </row>
    <row r="1689" spans="1:12" x14ac:dyDescent="0.45">
      <c r="A1689" t="s">
        <v>1026</v>
      </c>
      <c r="B1689" t="s">
        <v>97</v>
      </c>
      <c r="C1689" t="s">
        <v>840</v>
      </c>
      <c r="D1689" t="s">
        <v>185</v>
      </c>
      <c r="E1689">
        <v>5513</v>
      </c>
      <c r="F1689">
        <v>4763</v>
      </c>
      <c r="G1689">
        <v>4231</v>
      </c>
      <c r="H1689">
        <v>532</v>
      </c>
      <c r="I1689">
        <v>2019</v>
      </c>
      <c r="J1689">
        <v>28</v>
      </c>
      <c r="K1689">
        <f>allFYsTable[[#This Row],[Actual]]-allFYsTable[[#This Row],[OriginalBudget]]</f>
        <v>-1282</v>
      </c>
      <c r="L1689" s="11">
        <f>allFYsTable[[#This Row],[DiffAmount]]/allFYsTable[[#This Row],[OriginalBudget]]</f>
        <v>-0.23254126609831308</v>
      </c>
    </row>
    <row r="1690" spans="1:12" x14ac:dyDescent="0.45">
      <c r="A1690" t="s">
        <v>1026</v>
      </c>
      <c r="B1690" t="s">
        <v>97</v>
      </c>
      <c r="C1690" t="s">
        <v>700</v>
      </c>
      <c r="D1690" t="s">
        <v>165</v>
      </c>
      <c r="E1690">
        <v>2298</v>
      </c>
      <c r="F1690">
        <v>2298</v>
      </c>
      <c r="G1690">
        <v>2255</v>
      </c>
      <c r="H1690">
        <v>43</v>
      </c>
      <c r="I1690">
        <v>2019</v>
      </c>
      <c r="J1690">
        <v>29</v>
      </c>
      <c r="K1690">
        <f>allFYsTable[[#This Row],[Actual]]-allFYsTable[[#This Row],[OriginalBudget]]</f>
        <v>-43</v>
      </c>
      <c r="L1690" s="11">
        <f>allFYsTable[[#This Row],[DiffAmount]]/allFYsTable[[#This Row],[OriginalBudget]]</f>
        <v>-1.8711923411662314E-2</v>
      </c>
    </row>
    <row r="1691" spans="1:12" x14ac:dyDescent="0.45">
      <c r="A1691" t="s">
        <v>1026</v>
      </c>
      <c r="B1691" t="s">
        <v>97</v>
      </c>
      <c r="C1691" t="s">
        <v>865</v>
      </c>
      <c r="D1691" t="s">
        <v>186</v>
      </c>
      <c r="E1691">
        <v>0</v>
      </c>
      <c r="F1691">
        <v>12914</v>
      </c>
      <c r="G1691">
        <v>12914</v>
      </c>
      <c r="H1691">
        <v>0</v>
      </c>
      <c r="I1691">
        <v>2019</v>
      </c>
      <c r="J1691">
        <v>30</v>
      </c>
      <c r="K1691">
        <f>allFYsTable[[#This Row],[Actual]]-allFYsTable[[#This Row],[OriginalBudget]]</f>
        <v>12914</v>
      </c>
      <c r="L1691" s="11" t="e">
        <f>allFYsTable[[#This Row],[DiffAmount]]/allFYsTable[[#This Row],[OriginalBudget]]</f>
        <v>#DIV/0!</v>
      </c>
    </row>
    <row r="1692" spans="1:12" x14ac:dyDescent="0.45">
      <c r="A1692" t="s">
        <v>1026</v>
      </c>
      <c r="B1692" t="s">
        <v>129</v>
      </c>
      <c r="C1692" t="s">
        <v>743</v>
      </c>
      <c r="D1692" t="s">
        <v>187</v>
      </c>
      <c r="E1692">
        <v>21783</v>
      </c>
      <c r="F1692">
        <v>34138</v>
      </c>
      <c r="G1692">
        <v>34078</v>
      </c>
      <c r="H1692">
        <v>60</v>
      </c>
      <c r="I1692">
        <v>2019</v>
      </c>
      <c r="J1692">
        <v>31</v>
      </c>
      <c r="K1692">
        <f>allFYsTable[[#This Row],[Actual]]-allFYsTable[[#This Row],[OriginalBudget]]</f>
        <v>12295</v>
      </c>
      <c r="L1692" s="11">
        <f>allFYsTable[[#This Row],[DiffAmount]]/allFYsTable[[#This Row],[OriginalBudget]]</f>
        <v>0.56443097828581923</v>
      </c>
    </row>
    <row r="1693" spans="1:12" x14ac:dyDescent="0.45">
      <c r="A1693" t="s">
        <v>1026</v>
      </c>
      <c r="B1693" t="s">
        <v>129</v>
      </c>
      <c r="C1693" t="s">
        <v>738</v>
      </c>
      <c r="D1693" t="s">
        <v>22</v>
      </c>
      <c r="E1693">
        <v>14621</v>
      </c>
      <c r="F1693">
        <v>15431</v>
      </c>
      <c r="G1693">
        <v>15348</v>
      </c>
      <c r="H1693">
        <v>83</v>
      </c>
      <c r="I1693">
        <v>2019</v>
      </c>
      <c r="J1693">
        <v>32</v>
      </c>
      <c r="K1693">
        <f>allFYsTable[[#This Row],[Actual]]-allFYsTable[[#This Row],[OriginalBudget]]</f>
        <v>727</v>
      </c>
      <c r="L1693" s="11">
        <f>allFYsTable[[#This Row],[DiffAmount]]/allFYsTable[[#This Row],[OriginalBudget]]</f>
        <v>4.9723001162711167E-2</v>
      </c>
    </row>
    <row r="1694" spans="1:12" x14ac:dyDescent="0.45">
      <c r="A1694" t="s">
        <v>1026</v>
      </c>
      <c r="B1694" t="s">
        <v>129</v>
      </c>
      <c r="C1694" t="s">
        <v>742</v>
      </c>
      <c r="D1694" t="s">
        <v>26</v>
      </c>
      <c r="E1694">
        <v>10231</v>
      </c>
      <c r="F1694">
        <v>10948</v>
      </c>
      <c r="G1694">
        <v>10428</v>
      </c>
      <c r="H1694">
        <v>520</v>
      </c>
      <c r="I1694">
        <v>2019</v>
      </c>
      <c r="J1694">
        <v>33</v>
      </c>
      <c r="K1694">
        <f>allFYsTable[[#This Row],[Actual]]-allFYsTable[[#This Row],[OriginalBudget]]</f>
        <v>197</v>
      </c>
      <c r="L1694" s="11">
        <f>allFYsTable[[#This Row],[DiffAmount]]/allFYsTable[[#This Row],[OriginalBudget]]</f>
        <v>1.9255204769817222E-2</v>
      </c>
    </row>
    <row r="1695" spans="1:12" x14ac:dyDescent="0.45">
      <c r="A1695" t="s">
        <v>1026</v>
      </c>
      <c r="B1695" t="s">
        <v>129</v>
      </c>
      <c r="C1695" t="s">
        <v>744</v>
      </c>
      <c r="D1695" t="s">
        <v>29</v>
      </c>
      <c r="E1695">
        <v>3117</v>
      </c>
      <c r="F1695">
        <v>3217</v>
      </c>
      <c r="G1695">
        <v>2882</v>
      </c>
      <c r="H1695">
        <v>335</v>
      </c>
      <c r="I1695">
        <v>2019</v>
      </c>
      <c r="J1695">
        <v>34</v>
      </c>
      <c r="K1695">
        <f>allFYsTable[[#This Row],[Actual]]-allFYsTable[[#This Row],[OriginalBudget]]</f>
        <v>-235</v>
      </c>
      <c r="L1695" s="11">
        <f>allFYsTable[[#This Row],[DiffAmount]]/allFYsTable[[#This Row],[OriginalBudget]]</f>
        <v>-7.5393006095604745E-2</v>
      </c>
    </row>
    <row r="1696" spans="1:12" x14ac:dyDescent="0.45">
      <c r="A1696" t="s">
        <v>1026</v>
      </c>
      <c r="B1696" t="s">
        <v>129</v>
      </c>
      <c r="C1696" t="s">
        <v>737</v>
      </c>
      <c r="D1696" t="s">
        <v>21</v>
      </c>
      <c r="E1696">
        <v>31772</v>
      </c>
      <c r="F1696">
        <v>31640</v>
      </c>
      <c r="G1696">
        <v>30696</v>
      </c>
      <c r="H1696">
        <v>944</v>
      </c>
      <c r="I1696">
        <v>2019</v>
      </c>
      <c r="J1696">
        <v>35</v>
      </c>
      <c r="K1696">
        <f>allFYsTable[[#This Row],[Actual]]-allFYsTable[[#This Row],[OriginalBudget]]</f>
        <v>-1076</v>
      </c>
      <c r="L1696" s="11">
        <f>allFYsTable[[#This Row],[DiffAmount]]/allFYsTable[[#This Row],[OriginalBudget]]</f>
        <v>-3.3866297368752359E-2</v>
      </c>
    </row>
    <row r="1697" spans="1:12" x14ac:dyDescent="0.45">
      <c r="A1697" t="s">
        <v>1026</v>
      </c>
      <c r="B1697" t="s">
        <v>129</v>
      </c>
      <c r="C1697" t="s">
        <v>741</v>
      </c>
      <c r="D1697" t="s">
        <v>188</v>
      </c>
      <c r="E1697">
        <v>1690</v>
      </c>
      <c r="F1697">
        <v>1998</v>
      </c>
      <c r="G1697">
        <v>1982</v>
      </c>
      <c r="H1697">
        <v>16</v>
      </c>
      <c r="I1697">
        <v>2019</v>
      </c>
      <c r="J1697">
        <v>36</v>
      </c>
      <c r="K1697">
        <f>allFYsTable[[#This Row],[Actual]]-allFYsTable[[#This Row],[OriginalBudget]]</f>
        <v>292</v>
      </c>
      <c r="L1697" s="11">
        <f>allFYsTable[[#This Row],[DiffAmount]]/allFYsTable[[#This Row],[OriginalBudget]]</f>
        <v>0.1727810650887574</v>
      </c>
    </row>
    <row r="1698" spans="1:12" x14ac:dyDescent="0.45">
      <c r="A1698" t="s">
        <v>1026</v>
      </c>
      <c r="B1698" t="s">
        <v>129</v>
      </c>
      <c r="C1698" t="s">
        <v>769</v>
      </c>
      <c r="D1698" t="s">
        <v>55</v>
      </c>
      <c r="E1698">
        <v>69423</v>
      </c>
      <c r="F1698">
        <v>69650</v>
      </c>
      <c r="G1698">
        <v>67635</v>
      </c>
      <c r="H1698">
        <v>2015</v>
      </c>
      <c r="I1698">
        <v>2019</v>
      </c>
      <c r="J1698">
        <v>37</v>
      </c>
      <c r="K1698">
        <f>allFYsTable[[#This Row],[Actual]]-allFYsTable[[#This Row],[OriginalBudget]]</f>
        <v>-1788</v>
      </c>
      <c r="L1698" s="11">
        <f>allFYsTable[[#This Row],[DiffAmount]]/allFYsTable[[#This Row],[OriginalBudget]]</f>
        <v>-2.5755153191305474E-2</v>
      </c>
    </row>
    <row r="1699" spans="1:12" x14ac:dyDescent="0.45">
      <c r="A1699" t="s">
        <v>1026</v>
      </c>
      <c r="B1699" t="s">
        <v>129</v>
      </c>
      <c r="C1699" t="s">
        <v>745</v>
      </c>
      <c r="D1699" t="s">
        <v>30</v>
      </c>
      <c r="E1699">
        <v>1763</v>
      </c>
      <c r="F1699">
        <v>1763</v>
      </c>
      <c r="G1699">
        <v>1763</v>
      </c>
      <c r="H1699">
        <v>0</v>
      </c>
      <c r="I1699">
        <v>2019</v>
      </c>
      <c r="J1699">
        <v>38</v>
      </c>
      <c r="K1699">
        <f>allFYsTable[[#This Row],[Actual]]-allFYsTable[[#This Row],[OriginalBudget]]</f>
        <v>0</v>
      </c>
      <c r="L1699" s="11">
        <f>allFYsTable[[#This Row],[DiffAmount]]/allFYsTable[[#This Row],[OriginalBudget]]</f>
        <v>0</v>
      </c>
    </row>
    <row r="1700" spans="1:12" x14ac:dyDescent="0.45">
      <c r="A1700" t="s">
        <v>1026</v>
      </c>
      <c r="B1700" t="s">
        <v>129</v>
      </c>
      <c r="C1700" t="s">
        <v>797</v>
      </c>
      <c r="D1700" t="s">
        <v>189</v>
      </c>
      <c r="E1700">
        <v>23202</v>
      </c>
      <c r="F1700">
        <v>24955</v>
      </c>
      <c r="G1700">
        <v>24821</v>
      </c>
      <c r="H1700">
        <v>134</v>
      </c>
      <c r="I1700">
        <v>2019</v>
      </c>
      <c r="J1700">
        <v>39</v>
      </c>
      <c r="K1700">
        <f>allFYsTable[[#This Row],[Actual]]-allFYsTable[[#This Row],[OriginalBudget]]</f>
        <v>1619</v>
      </c>
      <c r="L1700" s="11">
        <f>allFYsTable[[#This Row],[DiffAmount]]/allFYsTable[[#This Row],[OriginalBudget]]</f>
        <v>6.9778467373502281E-2</v>
      </c>
    </row>
    <row r="1701" spans="1:12" x14ac:dyDescent="0.45">
      <c r="A1701" t="s">
        <v>1026</v>
      </c>
      <c r="B1701" t="s">
        <v>129</v>
      </c>
      <c r="C1701" t="s">
        <v>795</v>
      </c>
      <c r="D1701" t="s">
        <v>72</v>
      </c>
      <c r="E1701">
        <v>1292</v>
      </c>
      <c r="F1701">
        <v>1170</v>
      </c>
      <c r="G1701">
        <v>1146</v>
      </c>
      <c r="H1701">
        <v>24</v>
      </c>
      <c r="I1701">
        <v>2019</v>
      </c>
      <c r="J1701">
        <v>40</v>
      </c>
      <c r="K1701">
        <f>allFYsTable[[#This Row],[Actual]]-allFYsTable[[#This Row],[OriginalBudget]]</f>
        <v>-146</v>
      </c>
      <c r="L1701" s="11">
        <f>allFYsTable[[#This Row],[DiffAmount]]/allFYsTable[[#This Row],[OriginalBudget]]</f>
        <v>-0.1130030959752322</v>
      </c>
    </row>
    <row r="1702" spans="1:12" x14ac:dyDescent="0.45">
      <c r="A1702" t="s">
        <v>1026</v>
      </c>
      <c r="B1702" t="s">
        <v>129</v>
      </c>
      <c r="C1702" t="s">
        <v>736</v>
      </c>
      <c r="D1702" t="s">
        <v>190</v>
      </c>
      <c r="E1702">
        <v>31000</v>
      </c>
      <c r="F1702">
        <v>30314</v>
      </c>
      <c r="G1702">
        <v>29883</v>
      </c>
      <c r="H1702">
        <v>431</v>
      </c>
      <c r="I1702">
        <v>2019</v>
      </c>
      <c r="J1702">
        <v>41</v>
      </c>
      <c r="K1702">
        <f>allFYsTable[[#This Row],[Actual]]-allFYsTable[[#This Row],[OriginalBudget]]</f>
        <v>-1117</v>
      </c>
      <c r="L1702" s="11">
        <f>allFYsTable[[#This Row],[DiffAmount]]/allFYsTable[[#This Row],[OriginalBudget]]</f>
        <v>-3.6032258064516126E-2</v>
      </c>
    </row>
    <row r="1703" spans="1:12" x14ac:dyDescent="0.45">
      <c r="A1703" t="s">
        <v>1026</v>
      </c>
      <c r="B1703" t="s">
        <v>129</v>
      </c>
      <c r="C1703" t="s">
        <v>739</v>
      </c>
      <c r="D1703" t="s">
        <v>23</v>
      </c>
      <c r="E1703">
        <v>111489</v>
      </c>
      <c r="F1703">
        <v>118710</v>
      </c>
      <c r="G1703">
        <v>103777</v>
      </c>
      <c r="H1703">
        <v>14933</v>
      </c>
      <c r="I1703">
        <v>2019</v>
      </c>
      <c r="J1703">
        <v>42</v>
      </c>
      <c r="K1703">
        <f>allFYsTable[[#This Row],[Actual]]-allFYsTable[[#This Row],[OriginalBudget]]</f>
        <v>-7712</v>
      </c>
      <c r="L1703" s="11">
        <f>allFYsTable[[#This Row],[DiffAmount]]/allFYsTable[[#This Row],[OriginalBudget]]</f>
        <v>-6.9172743499358674E-2</v>
      </c>
    </row>
    <row r="1704" spans="1:12" x14ac:dyDescent="0.45">
      <c r="A1704" t="s">
        <v>1026</v>
      </c>
      <c r="B1704" t="s">
        <v>129</v>
      </c>
      <c r="C1704" t="s">
        <v>734</v>
      </c>
      <c r="D1704" t="s">
        <v>12</v>
      </c>
      <c r="E1704">
        <v>0</v>
      </c>
      <c r="F1704">
        <v>0</v>
      </c>
      <c r="G1704">
        <v>0</v>
      </c>
      <c r="H1704">
        <v>0</v>
      </c>
      <c r="I1704">
        <v>2019</v>
      </c>
      <c r="J1704">
        <v>43</v>
      </c>
      <c r="K1704">
        <f>allFYsTable[[#This Row],[Actual]]-allFYsTable[[#This Row],[OriginalBudget]]</f>
        <v>0</v>
      </c>
      <c r="L1704" s="11" t="e">
        <f>allFYsTable[[#This Row],[DiffAmount]]/allFYsTable[[#This Row],[OriginalBudget]]</f>
        <v>#DIV/0!</v>
      </c>
    </row>
    <row r="1705" spans="1:12" x14ac:dyDescent="0.45">
      <c r="A1705" t="s">
        <v>1026</v>
      </c>
      <c r="B1705" t="s">
        <v>129</v>
      </c>
      <c r="C1705" t="s">
        <v>740</v>
      </c>
      <c r="D1705" t="s">
        <v>24</v>
      </c>
      <c r="E1705">
        <v>39335</v>
      </c>
      <c r="F1705">
        <v>36151</v>
      </c>
      <c r="G1705">
        <v>36151</v>
      </c>
      <c r="H1705">
        <v>0</v>
      </c>
      <c r="I1705">
        <v>2019</v>
      </c>
      <c r="J1705">
        <v>44</v>
      </c>
      <c r="K1705">
        <f>allFYsTable[[#This Row],[Actual]]-allFYsTable[[#This Row],[OriginalBudget]]</f>
        <v>-3184</v>
      </c>
      <c r="L1705" s="11">
        <f>allFYsTable[[#This Row],[DiffAmount]]/allFYsTable[[#This Row],[OriginalBudget]]</f>
        <v>-8.0945722638871231E-2</v>
      </c>
    </row>
    <row r="1706" spans="1:12" x14ac:dyDescent="0.45">
      <c r="A1706" t="s">
        <v>1026</v>
      </c>
      <c r="B1706" t="s">
        <v>129</v>
      </c>
      <c r="C1706" t="s">
        <v>839</v>
      </c>
      <c r="D1706" t="s">
        <v>28</v>
      </c>
      <c r="E1706">
        <v>3745</v>
      </c>
      <c r="F1706">
        <v>4971</v>
      </c>
      <c r="G1706">
        <v>4963</v>
      </c>
      <c r="H1706">
        <v>8</v>
      </c>
      <c r="I1706">
        <v>2019</v>
      </c>
      <c r="J1706">
        <v>45</v>
      </c>
      <c r="K1706">
        <f>allFYsTable[[#This Row],[Actual]]-allFYsTable[[#This Row],[OriginalBudget]]</f>
        <v>1218</v>
      </c>
      <c r="L1706" s="11">
        <f>allFYsTable[[#This Row],[DiffAmount]]/allFYsTable[[#This Row],[OriginalBudget]]</f>
        <v>0.3252336448598131</v>
      </c>
    </row>
    <row r="1707" spans="1:12" x14ac:dyDescent="0.45">
      <c r="A1707" t="s">
        <v>1026</v>
      </c>
      <c r="B1707" t="s">
        <v>129</v>
      </c>
      <c r="C1707" t="s">
        <v>806</v>
      </c>
      <c r="D1707" t="s">
        <v>82</v>
      </c>
      <c r="E1707">
        <v>0</v>
      </c>
      <c r="F1707">
        <v>0</v>
      </c>
      <c r="G1707">
        <v>0</v>
      </c>
      <c r="H1707">
        <v>0</v>
      </c>
      <c r="I1707">
        <v>2019</v>
      </c>
      <c r="J1707">
        <v>46</v>
      </c>
      <c r="K1707">
        <f>allFYsTable[[#This Row],[Actual]]-allFYsTable[[#This Row],[OriginalBudget]]</f>
        <v>0</v>
      </c>
      <c r="L1707" s="11" t="e">
        <f>allFYsTable[[#This Row],[DiffAmount]]/allFYsTable[[#This Row],[OriginalBudget]]</f>
        <v>#DIV/0!</v>
      </c>
    </row>
    <row r="1708" spans="1:12" x14ac:dyDescent="0.45">
      <c r="A1708" t="s">
        <v>1026</v>
      </c>
      <c r="B1708" t="s">
        <v>129</v>
      </c>
      <c r="C1708" t="s">
        <v>800</v>
      </c>
      <c r="D1708" t="s">
        <v>76</v>
      </c>
      <c r="E1708">
        <v>0</v>
      </c>
      <c r="F1708">
        <v>0</v>
      </c>
      <c r="G1708">
        <v>0</v>
      </c>
      <c r="H1708">
        <v>0</v>
      </c>
      <c r="I1708">
        <v>2019</v>
      </c>
      <c r="J1708">
        <v>47</v>
      </c>
      <c r="K1708">
        <f>allFYsTable[[#This Row],[Actual]]-allFYsTable[[#This Row],[OriginalBudget]]</f>
        <v>0</v>
      </c>
      <c r="L1708" s="11" t="e">
        <f>allFYsTable[[#This Row],[DiffAmount]]/allFYsTable[[#This Row],[OriginalBudget]]</f>
        <v>#DIV/0!</v>
      </c>
    </row>
    <row r="1709" spans="1:12" x14ac:dyDescent="0.45">
      <c r="A1709" t="s">
        <v>1026</v>
      </c>
      <c r="B1709" t="s">
        <v>129</v>
      </c>
      <c r="C1709" t="s">
        <v>805</v>
      </c>
      <c r="D1709" t="s">
        <v>191</v>
      </c>
      <c r="E1709">
        <v>775</v>
      </c>
      <c r="F1709">
        <v>680</v>
      </c>
      <c r="G1709">
        <v>611</v>
      </c>
      <c r="H1709">
        <v>69</v>
      </c>
      <c r="I1709">
        <v>2019</v>
      </c>
      <c r="J1709">
        <v>48</v>
      </c>
      <c r="K1709">
        <f>allFYsTable[[#This Row],[Actual]]-allFYsTable[[#This Row],[OriginalBudget]]</f>
        <v>-164</v>
      </c>
      <c r="L1709" s="11">
        <f>allFYsTable[[#This Row],[DiffAmount]]/allFYsTable[[#This Row],[OriginalBudget]]</f>
        <v>-0.21161290322580645</v>
      </c>
    </row>
    <row r="1710" spans="1:12" x14ac:dyDescent="0.45">
      <c r="A1710" t="s">
        <v>1026</v>
      </c>
      <c r="B1710" t="s">
        <v>129</v>
      </c>
      <c r="C1710" t="s">
        <v>866</v>
      </c>
      <c r="D1710" t="s">
        <v>192</v>
      </c>
      <c r="E1710">
        <v>0</v>
      </c>
      <c r="F1710">
        <v>14</v>
      </c>
      <c r="G1710">
        <v>14</v>
      </c>
      <c r="H1710">
        <v>0</v>
      </c>
      <c r="I1710">
        <v>2019</v>
      </c>
      <c r="J1710">
        <v>49</v>
      </c>
      <c r="K1710">
        <f>allFYsTable[[#This Row],[Actual]]-allFYsTable[[#This Row],[OriginalBudget]]</f>
        <v>14</v>
      </c>
      <c r="L1710" s="11" t="e">
        <f>allFYsTable[[#This Row],[DiffAmount]]/allFYsTable[[#This Row],[OriginalBudget]]</f>
        <v>#DIV/0!</v>
      </c>
    </row>
    <row r="1711" spans="1:12" x14ac:dyDescent="0.45">
      <c r="A1711" t="s">
        <v>1026</v>
      </c>
      <c r="B1711" t="s">
        <v>6</v>
      </c>
      <c r="C1711" t="s">
        <v>758</v>
      </c>
      <c r="D1711" t="s">
        <v>44</v>
      </c>
      <c r="E1711">
        <v>510080</v>
      </c>
      <c r="F1711">
        <v>545588</v>
      </c>
      <c r="G1711">
        <v>543350</v>
      </c>
      <c r="H1711">
        <v>2238</v>
      </c>
      <c r="I1711">
        <v>2019</v>
      </c>
      <c r="J1711">
        <v>50</v>
      </c>
      <c r="K1711">
        <f>allFYsTable[[#This Row],[Actual]]-allFYsTable[[#This Row],[OriginalBudget]]</f>
        <v>33270</v>
      </c>
      <c r="L1711" s="11">
        <f>allFYsTable[[#This Row],[DiffAmount]]/allFYsTable[[#This Row],[OriginalBudget]]</f>
        <v>6.5225062735257217E-2</v>
      </c>
    </row>
    <row r="1712" spans="1:12" x14ac:dyDescent="0.45">
      <c r="A1712" t="s">
        <v>1026</v>
      </c>
      <c r="B1712" t="s">
        <v>6</v>
      </c>
      <c r="C1712" t="s">
        <v>755</v>
      </c>
      <c r="D1712" t="s">
        <v>131</v>
      </c>
      <c r="E1712">
        <v>256481</v>
      </c>
      <c r="F1712">
        <v>278452</v>
      </c>
      <c r="G1712">
        <v>278332</v>
      </c>
      <c r="H1712">
        <v>120</v>
      </c>
      <c r="I1712">
        <v>2019</v>
      </c>
      <c r="J1712">
        <v>51</v>
      </c>
      <c r="K1712">
        <f>allFYsTable[[#This Row],[Actual]]-allFYsTable[[#This Row],[OriginalBudget]]</f>
        <v>21851</v>
      </c>
      <c r="L1712" s="11">
        <f>allFYsTable[[#This Row],[DiffAmount]]/allFYsTable[[#This Row],[OriginalBudget]]</f>
        <v>8.5195394590632439E-2</v>
      </c>
    </row>
    <row r="1713" spans="1:12" x14ac:dyDescent="0.45">
      <c r="A1713" t="s">
        <v>1026</v>
      </c>
      <c r="B1713" t="s">
        <v>6</v>
      </c>
      <c r="C1713" t="s">
        <v>768</v>
      </c>
      <c r="D1713" t="s">
        <v>193</v>
      </c>
      <c r="E1713">
        <v>92322</v>
      </c>
      <c r="F1713">
        <v>92322</v>
      </c>
      <c r="G1713">
        <v>91083</v>
      </c>
      <c r="H1713">
        <v>1239</v>
      </c>
      <c r="I1713">
        <v>2019</v>
      </c>
      <c r="J1713">
        <v>52</v>
      </c>
      <c r="K1713">
        <f>allFYsTable[[#This Row],[Actual]]-allFYsTable[[#This Row],[OriginalBudget]]</f>
        <v>-1239</v>
      </c>
      <c r="L1713" s="11">
        <f>allFYsTable[[#This Row],[DiffAmount]]/allFYsTable[[#This Row],[OriginalBudget]]</f>
        <v>-1.3420419834925586E-2</v>
      </c>
    </row>
    <row r="1714" spans="1:12" x14ac:dyDescent="0.45">
      <c r="A1714" t="s">
        <v>1026</v>
      </c>
      <c r="B1714" t="s">
        <v>6</v>
      </c>
      <c r="C1714" t="s">
        <v>759</v>
      </c>
      <c r="D1714" t="s">
        <v>133</v>
      </c>
      <c r="E1714">
        <v>10135</v>
      </c>
      <c r="F1714">
        <v>9329</v>
      </c>
      <c r="G1714">
        <v>9244</v>
      </c>
      <c r="H1714">
        <v>85</v>
      </c>
      <c r="I1714">
        <v>2019</v>
      </c>
      <c r="J1714">
        <v>53</v>
      </c>
      <c r="K1714">
        <f>allFYsTable[[#This Row],[Actual]]-allFYsTable[[#This Row],[OriginalBudget]]</f>
        <v>-891</v>
      </c>
      <c r="L1714" s="11">
        <f>allFYsTable[[#This Row],[DiffAmount]]/allFYsTable[[#This Row],[OriginalBudget]]</f>
        <v>-8.7913172175629009E-2</v>
      </c>
    </row>
    <row r="1715" spans="1:12" x14ac:dyDescent="0.45">
      <c r="A1715" t="s">
        <v>1026</v>
      </c>
      <c r="B1715" t="s">
        <v>6</v>
      </c>
      <c r="C1715" t="s">
        <v>749</v>
      </c>
      <c r="D1715" t="s">
        <v>35</v>
      </c>
      <c r="E1715">
        <v>1655</v>
      </c>
      <c r="F1715">
        <v>1615</v>
      </c>
      <c r="G1715">
        <v>1573</v>
      </c>
      <c r="H1715">
        <v>42</v>
      </c>
      <c r="I1715">
        <v>2019</v>
      </c>
      <c r="J1715">
        <v>54</v>
      </c>
      <c r="K1715">
        <f>allFYsTable[[#This Row],[Actual]]-allFYsTable[[#This Row],[OriginalBudget]]</f>
        <v>-82</v>
      </c>
      <c r="L1715" s="11">
        <f>allFYsTable[[#This Row],[DiffAmount]]/allFYsTable[[#This Row],[OriginalBudget]]</f>
        <v>-4.9546827794561932E-2</v>
      </c>
    </row>
    <row r="1716" spans="1:12" x14ac:dyDescent="0.45">
      <c r="A1716" t="s">
        <v>1026</v>
      </c>
      <c r="B1716" t="s">
        <v>6</v>
      </c>
      <c r="C1716" t="s">
        <v>747</v>
      </c>
      <c r="D1716" t="s">
        <v>33</v>
      </c>
      <c r="E1716">
        <v>744</v>
      </c>
      <c r="F1716">
        <v>680</v>
      </c>
      <c r="G1716">
        <v>627</v>
      </c>
      <c r="H1716">
        <v>53</v>
      </c>
      <c r="I1716">
        <v>2019</v>
      </c>
      <c r="J1716">
        <v>55</v>
      </c>
      <c r="K1716">
        <f>allFYsTable[[#This Row],[Actual]]-allFYsTable[[#This Row],[OriginalBudget]]</f>
        <v>-117</v>
      </c>
      <c r="L1716" s="11">
        <f>allFYsTable[[#This Row],[DiffAmount]]/allFYsTable[[#This Row],[OriginalBudget]]</f>
        <v>-0.15725806451612903</v>
      </c>
    </row>
    <row r="1717" spans="1:12" x14ac:dyDescent="0.45">
      <c r="A1717" t="s">
        <v>1026</v>
      </c>
      <c r="B1717" t="s">
        <v>6</v>
      </c>
      <c r="C1717" t="s">
        <v>750</v>
      </c>
      <c r="D1717" t="s">
        <v>36</v>
      </c>
      <c r="E1717">
        <v>143917</v>
      </c>
      <c r="F1717">
        <v>144068</v>
      </c>
      <c r="G1717">
        <v>142985</v>
      </c>
      <c r="H1717">
        <v>1083</v>
      </c>
      <c r="I1717">
        <v>2019</v>
      </c>
      <c r="J1717">
        <v>56</v>
      </c>
      <c r="K1717">
        <f>allFYsTable[[#This Row],[Actual]]-allFYsTable[[#This Row],[OriginalBudget]]</f>
        <v>-932</v>
      </c>
      <c r="L1717" s="11">
        <f>allFYsTable[[#This Row],[DiffAmount]]/allFYsTable[[#This Row],[OriginalBudget]]</f>
        <v>-6.4759548906661475E-3</v>
      </c>
    </row>
    <row r="1718" spans="1:12" x14ac:dyDescent="0.45">
      <c r="A1718" t="s">
        <v>1026</v>
      </c>
      <c r="B1718" t="s">
        <v>6</v>
      </c>
      <c r="C1718" t="s">
        <v>764</v>
      </c>
      <c r="D1718" t="s">
        <v>50</v>
      </c>
      <c r="E1718">
        <v>12352</v>
      </c>
      <c r="F1718">
        <v>12171</v>
      </c>
      <c r="G1718">
        <v>12016</v>
      </c>
      <c r="H1718">
        <v>155</v>
      </c>
      <c r="I1718">
        <v>2019</v>
      </c>
      <c r="J1718">
        <v>57</v>
      </c>
      <c r="K1718">
        <f>allFYsTable[[#This Row],[Actual]]-allFYsTable[[#This Row],[OriginalBudget]]</f>
        <v>-336</v>
      </c>
      <c r="L1718" s="11">
        <f>allFYsTable[[#This Row],[DiffAmount]]/allFYsTable[[#This Row],[OriginalBudget]]</f>
        <v>-2.7202072538860103E-2</v>
      </c>
    </row>
    <row r="1719" spans="1:12" x14ac:dyDescent="0.45">
      <c r="A1719" t="s">
        <v>1026</v>
      </c>
      <c r="B1719" t="s">
        <v>6</v>
      </c>
      <c r="C1719" t="s">
        <v>753</v>
      </c>
      <c r="D1719" t="s">
        <v>169</v>
      </c>
      <c r="E1719">
        <v>4810</v>
      </c>
      <c r="F1719">
        <v>4704</v>
      </c>
      <c r="G1719">
        <v>4586</v>
      </c>
      <c r="H1719">
        <v>118</v>
      </c>
      <c r="I1719">
        <v>2019</v>
      </c>
      <c r="J1719">
        <v>58</v>
      </c>
      <c r="K1719">
        <f>allFYsTable[[#This Row],[Actual]]-allFYsTable[[#This Row],[OriginalBudget]]</f>
        <v>-224</v>
      </c>
      <c r="L1719" s="11">
        <f>allFYsTable[[#This Row],[DiffAmount]]/allFYsTable[[#This Row],[OriginalBudget]]</f>
        <v>-4.6569646569646572E-2</v>
      </c>
    </row>
    <row r="1720" spans="1:12" x14ac:dyDescent="0.45">
      <c r="A1720" t="s">
        <v>1026</v>
      </c>
      <c r="B1720" t="s">
        <v>6</v>
      </c>
      <c r="C1720" t="s">
        <v>756</v>
      </c>
      <c r="D1720" t="s">
        <v>42</v>
      </c>
      <c r="E1720">
        <v>5153</v>
      </c>
      <c r="F1720">
        <v>5103</v>
      </c>
      <c r="G1720">
        <v>5050</v>
      </c>
      <c r="H1720">
        <v>53</v>
      </c>
      <c r="I1720">
        <v>2019</v>
      </c>
      <c r="J1720">
        <v>59</v>
      </c>
      <c r="K1720">
        <f>allFYsTable[[#This Row],[Actual]]-allFYsTable[[#This Row],[OriginalBudget]]</f>
        <v>-103</v>
      </c>
      <c r="L1720" s="11">
        <f>allFYsTable[[#This Row],[DiffAmount]]/allFYsTable[[#This Row],[OriginalBudget]]</f>
        <v>-1.9988356297302542E-2</v>
      </c>
    </row>
    <row r="1721" spans="1:12" x14ac:dyDescent="0.45">
      <c r="A1721" t="s">
        <v>1026</v>
      </c>
      <c r="B1721" t="s">
        <v>6</v>
      </c>
      <c r="C1721" t="s">
        <v>746</v>
      </c>
      <c r="D1721" t="s">
        <v>32</v>
      </c>
      <c r="E1721">
        <v>0</v>
      </c>
      <c r="F1721">
        <v>9</v>
      </c>
      <c r="G1721">
        <v>9</v>
      </c>
      <c r="H1721">
        <v>0</v>
      </c>
      <c r="I1721">
        <v>2019</v>
      </c>
      <c r="J1721">
        <v>60</v>
      </c>
      <c r="K1721">
        <f>allFYsTable[[#This Row],[Actual]]-allFYsTable[[#This Row],[OriginalBudget]]</f>
        <v>9</v>
      </c>
      <c r="L1721" s="11" t="e">
        <f>allFYsTable[[#This Row],[DiffAmount]]/allFYsTable[[#This Row],[OriginalBudget]]</f>
        <v>#DIV/0!</v>
      </c>
    </row>
    <row r="1722" spans="1:12" x14ac:dyDescent="0.45">
      <c r="A1722" t="s">
        <v>1026</v>
      </c>
      <c r="B1722" t="s">
        <v>6</v>
      </c>
      <c r="C1722" t="s">
        <v>757</v>
      </c>
      <c r="D1722" t="s">
        <v>43</v>
      </c>
      <c r="E1722">
        <v>0</v>
      </c>
      <c r="F1722">
        <v>0</v>
      </c>
      <c r="G1722">
        <v>0</v>
      </c>
      <c r="H1722">
        <v>0</v>
      </c>
      <c r="I1722">
        <v>2019</v>
      </c>
      <c r="J1722">
        <v>61</v>
      </c>
      <c r="K1722">
        <f>allFYsTable[[#This Row],[Actual]]-allFYsTable[[#This Row],[OriginalBudget]]</f>
        <v>0</v>
      </c>
      <c r="L1722" s="11" t="e">
        <f>allFYsTable[[#This Row],[DiffAmount]]/allFYsTable[[#This Row],[OriginalBudget]]</f>
        <v>#DIV/0!</v>
      </c>
    </row>
    <row r="1723" spans="1:12" x14ac:dyDescent="0.45">
      <c r="A1723" t="s">
        <v>1026</v>
      </c>
      <c r="B1723" t="s">
        <v>6</v>
      </c>
      <c r="C1723" t="s">
        <v>762</v>
      </c>
      <c r="D1723" t="s">
        <v>48</v>
      </c>
      <c r="E1723">
        <v>2538</v>
      </c>
      <c r="F1723">
        <v>2463</v>
      </c>
      <c r="G1723">
        <v>2461</v>
      </c>
      <c r="H1723">
        <v>2</v>
      </c>
      <c r="I1723">
        <v>2019</v>
      </c>
      <c r="J1723">
        <v>62</v>
      </c>
      <c r="K1723">
        <f>allFYsTable[[#This Row],[Actual]]-allFYsTable[[#This Row],[OriginalBudget]]</f>
        <v>-77</v>
      </c>
      <c r="L1723" s="11">
        <f>allFYsTable[[#This Row],[DiffAmount]]/allFYsTable[[#This Row],[OriginalBudget]]</f>
        <v>-3.0338849487785657E-2</v>
      </c>
    </row>
    <row r="1724" spans="1:12" x14ac:dyDescent="0.45">
      <c r="A1724" t="s">
        <v>1026</v>
      </c>
      <c r="B1724" t="s">
        <v>6</v>
      </c>
      <c r="C1724" t="s">
        <v>766</v>
      </c>
      <c r="D1724" t="s">
        <v>52</v>
      </c>
      <c r="E1724">
        <v>34113</v>
      </c>
      <c r="F1724">
        <v>33281</v>
      </c>
      <c r="G1724">
        <v>33281</v>
      </c>
      <c r="H1724">
        <v>0</v>
      </c>
      <c r="I1724">
        <v>2019</v>
      </c>
      <c r="J1724">
        <v>63</v>
      </c>
      <c r="K1724">
        <f>allFYsTable[[#This Row],[Actual]]-allFYsTable[[#This Row],[OriginalBudget]]</f>
        <v>-832</v>
      </c>
      <c r="L1724" s="11">
        <f>allFYsTable[[#This Row],[DiffAmount]]/allFYsTable[[#This Row],[OriginalBudget]]</f>
        <v>-2.4389528918594083E-2</v>
      </c>
    </row>
    <row r="1725" spans="1:12" x14ac:dyDescent="0.45">
      <c r="A1725" t="s">
        <v>1026</v>
      </c>
      <c r="B1725" t="s">
        <v>6</v>
      </c>
      <c r="C1725" t="s">
        <v>767</v>
      </c>
      <c r="D1725" t="s">
        <v>194</v>
      </c>
      <c r="E1725">
        <v>34017</v>
      </c>
      <c r="F1725">
        <v>33916</v>
      </c>
      <c r="G1725">
        <v>33032</v>
      </c>
      <c r="H1725">
        <v>884</v>
      </c>
      <c r="I1725">
        <v>2019</v>
      </c>
      <c r="J1725">
        <v>64</v>
      </c>
      <c r="K1725">
        <f>allFYsTable[[#This Row],[Actual]]-allFYsTable[[#This Row],[OriginalBudget]]</f>
        <v>-985</v>
      </c>
      <c r="L1725" s="11">
        <f>allFYsTable[[#This Row],[DiffAmount]]/allFYsTable[[#This Row],[OriginalBudget]]</f>
        <v>-2.8956110180204015E-2</v>
      </c>
    </row>
    <row r="1726" spans="1:12" x14ac:dyDescent="0.45">
      <c r="A1726" t="s">
        <v>1026</v>
      </c>
      <c r="B1726" t="s">
        <v>6</v>
      </c>
      <c r="C1726" t="s">
        <v>754</v>
      </c>
      <c r="D1726" t="s">
        <v>170</v>
      </c>
      <c r="E1726">
        <v>1186</v>
      </c>
      <c r="F1726">
        <v>1180</v>
      </c>
      <c r="G1726">
        <v>1178</v>
      </c>
      <c r="H1726">
        <v>2</v>
      </c>
      <c r="I1726">
        <v>2019</v>
      </c>
      <c r="J1726">
        <v>65</v>
      </c>
      <c r="K1726">
        <f>allFYsTable[[#This Row],[Actual]]-allFYsTable[[#This Row],[OriginalBudget]]</f>
        <v>-8</v>
      </c>
      <c r="L1726" s="11">
        <f>allFYsTable[[#This Row],[DiffAmount]]/allFYsTable[[#This Row],[OriginalBudget]]</f>
        <v>-6.7453625632377737E-3</v>
      </c>
    </row>
    <row r="1727" spans="1:12" x14ac:dyDescent="0.45">
      <c r="A1727" t="s">
        <v>1026</v>
      </c>
      <c r="B1727" t="s">
        <v>6</v>
      </c>
      <c r="C1727" t="s">
        <v>765</v>
      </c>
      <c r="D1727" t="s">
        <v>51</v>
      </c>
      <c r="E1727">
        <v>1596</v>
      </c>
      <c r="F1727">
        <v>1396</v>
      </c>
      <c r="G1727">
        <v>1320</v>
      </c>
      <c r="H1727">
        <v>76</v>
      </c>
      <c r="I1727">
        <v>2019</v>
      </c>
      <c r="J1727">
        <v>66</v>
      </c>
      <c r="K1727">
        <f>allFYsTable[[#This Row],[Actual]]-allFYsTable[[#This Row],[OriginalBudget]]</f>
        <v>-276</v>
      </c>
      <c r="L1727" s="11">
        <f>allFYsTable[[#This Row],[DiffAmount]]/allFYsTable[[#This Row],[OriginalBudget]]</f>
        <v>-0.17293233082706766</v>
      </c>
    </row>
    <row r="1728" spans="1:12" x14ac:dyDescent="0.45">
      <c r="A1728" t="s">
        <v>1026</v>
      </c>
      <c r="B1728" t="s">
        <v>6</v>
      </c>
      <c r="C1728" t="s">
        <v>751</v>
      </c>
      <c r="D1728" t="s">
        <v>37</v>
      </c>
      <c r="E1728">
        <v>26101</v>
      </c>
      <c r="F1728">
        <v>26380</v>
      </c>
      <c r="G1728">
        <v>26205</v>
      </c>
      <c r="H1728">
        <v>175</v>
      </c>
      <c r="I1728">
        <v>2019</v>
      </c>
      <c r="J1728">
        <v>67</v>
      </c>
      <c r="K1728">
        <f>allFYsTable[[#This Row],[Actual]]-allFYsTable[[#This Row],[OriginalBudget]]</f>
        <v>104</v>
      </c>
      <c r="L1728" s="11">
        <f>allFYsTable[[#This Row],[DiffAmount]]/allFYsTable[[#This Row],[OriginalBudget]]</f>
        <v>3.9845216658365582E-3</v>
      </c>
    </row>
    <row r="1729" spans="1:12" x14ac:dyDescent="0.45">
      <c r="A1729" t="s">
        <v>1026</v>
      </c>
      <c r="B1729" t="s">
        <v>6</v>
      </c>
      <c r="C1729" t="s">
        <v>748</v>
      </c>
      <c r="D1729" t="s">
        <v>34</v>
      </c>
      <c r="E1729">
        <v>724</v>
      </c>
      <c r="F1729">
        <v>702</v>
      </c>
      <c r="G1729">
        <v>687</v>
      </c>
      <c r="H1729">
        <v>15</v>
      </c>
      <c r="I1729">
        <v>2019</v>
      </c>
      <c r="J1729">
        <v>68</v>
      </c>
      <c r="K1729">
        <f>allFYsTable[[#This Row],[Actual]]-allFYsTable[[#This Row],[OriginalBudget]]</f>
        <v>-37</v>
      </c>
      <c r="L1729" s="11">
        <f>allFYsTable[[#This Row],[DiffAmount]]/allFYsTable[[#This Row],[OriginalBudget]]</f>
        <v>-5.1104972375690609E-2</v>
      </c>
    </row>
    <row r="1730" spans="1:12" x14ac:dyDescent="0.45">
      <c r="A1730" t="s">
        <v>1026</v>
      </c>
      <c r="B1730" t="s">
        <v>6</v>
      </c>
      <c r="C1730" t="s">
        <v>761</v>
      </c>
      <c r="D1730" t="s">
        <v>171</v>
      </c>
      <c r="E1730">
        <v>5431</v>
      </c>
      <c r="F1730">
        <v>5734</v>
      </c>
      <c r="G1730">
        <v>5719</v>
      </c>
      <c r="H1730">
        <v>15</v>
      </c>
      <c r="I1730">
        <v>2019</v>
      </c>
      <c r="J1730">
        <v>69</v>
      </c>
      <c r="K1730">
        <f>allFYsTable[[#This Row],[Actual]]-allFYsTable[[#This Row],[OriginalBudget]]</f>
        <v>288</v>
      </c>
      <c r="L1730" s="11">
        <f>allFYsTable[[#This Row],[DiffAmount]]/allFYsTable[[#This Row],[OriginalBudget]]</f>
        <v>5.3028908120051559E-2</v>
      </c>
    </row>
    <row r="1731" spans="1:12" x14ac:dyDescent="0.45">
      <c r="A1731" t="s">
        <v>1026</v>
      </c>
      <c r="B1731" t="s">
        <v>136</v>
      </c>
      <c r="C1731" t="s">
        <v>773</v>
      </c>
      <c r="D1731" t="s">
        <v>60</v>
      </c>
      <c r="E1731">
        <v>847736</v>
      </c>
      <c r="F1731">
        <v>847044</v>
      </c>
      <c r="G1731">
        <v>846928</v>
      </c>
      <c r="H1731">
        <v>116</v>
      </c>
      <c r="I1731">
        <v>2019</v>
      </c>
      <c r="J1731">
        <v>70</v>
      </c>
      <c r="K1731">
        <f>allFYsTable[[#This Row],[Actual]]-allFYsTable[[#This Row],[OriginalBudget]]</f>
        <v>-808</v>
      </c>
      <c r="L1731" s="11">
        <f>allFYsTable[[#This Row],[DiffAmount]]/allFYsTable[[#This Row],[OriginalBudget]]</f>
        <v>-9.5312691687034646E-4</v>
      </c>
    </row>
    <row r="1732" spans="1:12" x14ac:dyDescent="0.45">
      <c r="A1732" t="s">
        <v>1026</v>
      </c>
      <c r="B1732" t="s">
        <v>136</v>
      </c>
      <c r="C1732" t="s">
        <v>870</v>
      </c>
      <c r="D1732" t="s">
        <v>195</v>
      </c>
      <c r="E1732">
        <v>0</v>
      </c>
      <c r="F1732">
        <v>10507</v>
      </c>
      <c r="G1732">
        <v>10507</v>
      </c>
      <c r="H1732">
        <v>0</v>
      </c>
      <c r="I1732">
        <v>2019</v>
      </c>
      <c r="J1732">
        <v>71</v>
      </c>
      <c r="K1732">
        <f>allFYsTable[[#This Row],[Actual]]-allFYsTable[[#This Row],[OriginalBudget]]</f>
        <v>10507</v>
      </c>
      <c r="L1732" s="11" t="e">
        <f>allFYsTable[[#This Row],[DiffAmount]]/allFYsTable[[#This Row],[OriginalBudget]]</f>
        <v>#DIV/0!</v>
      </c>
    </row>
    <row r="1733" spans="1:12" x14ac:dyDescent="0.45">
      <c r="A1733" t="s">
        <v>1026</v>
      </c>
      <c r="B1733" t="s">
        <v>136</v>
      </c>
      <c r="C1733" t="s">
        <v>772</v>
      </c>
      <c r="D1733" t="s">
        <v>173</v>
      </c>
      <c r="E1733">
        <v>889379</v>
      </c>
      <c r="F1733">
        <v>573107</v>
      </c>
      <c r="G1733">
        <v>572921</v>
      </c>
      <c r="H1733">
        <v>186</v>
      </c>
      <c r="I1733">
        <v>2019</v>
      </c>
      <c r="J1733">
        <v>72</v>
      </c>
      <c r="K1733">
        <f>allFYsTable[[#This Row],[Actual]]-allFYsTable[[#This Row],[OriginalBudget]]</f>
        <v>-316458</v>
      </c>
      <c r="L1733" s="11">
        <f>allFYsTable[[#This Row],[DiffAmount]]/allFYsTable[[#This Row],[OriginalBudget]]</f>
        <v>-0.35581906026564603</v>
      </c>
    </row>
    <row r="1734" spans="1:12" x14ac:dyDescent="0.45">
      <c r="A1734" t="s">
        <v>1026</v>
      </c>
      <c r="B1734" t="s">
        <v>136</v>
      </c>
      <c r="C1734" t="s">
        <v>869</v>
      </c>
      <c r="D1734" t="s">
        <v>196</v>
      </c>
      <c r="E1734">
        <v>0</v>
      </c>
      <c r="F1734">
        <v>314542</v>
      </c>
      <c r="G1734">
        <v>314542</v>
      </c>
      <c r="H1734">
        <v>0</v>
      </c>
      <c r="I1734">
        <v>2019</v>
      </c>
      <c r="J1734">
        <v>73</v>
      </c>
      <c r="K1734">
        <f>allFYsTable[[#This Row],[Actual]]-allFYsTable[[#This Row],[OriginalBudget]]</f>
        <v>314542</v>
      </c>
      <c r="L1734" s="11" t="e">
        <f>allFYsTable[[#This Row],[DiffAmount]]/allFYsTable[[#This Row],[OriginalBudget]]</f>
        <v>#DIV/0!</v>
      </c>
    </row>
    <row r="1735" spans="1:12" x14ac:dyDescent="0.45">
      <c r="A1735" t="s">
        <v>1026</v>
      </c>
      <c r="B1735" t="s">
        <v>136</v>
      </c>
      <c r="C1735" t="s">
        <v>782</v>
      </c>
      <c r="D1735" t="s">
        <v>139</v>
      </c>
      <c r="E1735">
        <v>53343</v>
      </c>
      <c r="F1735">
        <v>53343</v>
      </c>
      <c r="G1735">
        <v>53099</v>
      </c>
      <c r="H1735">
        <v>244</v>
      </c>
      <c r="I1735">
        <v>2019</v>
      </c>
      <c r="J1735">
        <v>74</v>
      </c>
      <c r="K1735">
        <f>allFYsTable[[#This Row],[Actual]]-allFYsTable[[#This Row],[OriginalBudget]]</f>
        <v>-244</v>
      </c>
      <c r="L1735" s="11">
        <f>allFYsTable[[#This Row],[DiffAmount]]/allFYsTable[[#This Row],[OriginalBudget]]</f>
        <v>-4.5741709315186624E-3</v>
      </c>
    </row>
    <row r="1736" spans="1:12" x14ac:dyDescent="0.45">
      <c r="A1736" t="s">
        <v>1026</v>
      </c>
      <c r="B1736" t="s">
        <v>136</v>
      </c>
      <c r="C1736" t="s">
        <v>784</v>
      </c>
      <c r="D1736" t="s">
        <v>140</v>
      </c>
      <c r="E1736">
        <v>87353</v>
      </c>
      <c r="F1736">
        <v>89003</v>
      </c>
      <c r="G1736">
        <v>89003</v>
      </c>
      <c r="H1736">
        <v>0</v>
      </c>
      <c r="I1736">
        <v>2019</v>
      </c>
      <c r="J1736">
        <v>75</v>
      </c>
      <c r="K1736">
        <f>allFYsTable[[#This Row],[Actual]]-allFYsTable[[#This Row],[OriginalBudget]]</f>
        <v>1650</v>
      </c>
      <c r="L1736" s="11">
        <f>allFYsTable[[#This Row],[DiffAmount]]/allFYsTable[[#This Row],[OriginalBudget]]</f>
        <v>1.8888876169106956E-2</v>
      </c>
    </row>
    <row r="1737" spans="1:12" x14ac:dyDescent="0.45">
      <c r="A1737" t="s">
        <v>1026</v>
      </c>
      <c r="B1737" t="s">
        <v>136</v>
      </c>
      <c r="C1737" t="s">
        <v>779</v>
      </c>
      <c r="D1737" t="s">
        <v>141</v>
      </c>
      <c r="E1737">
        <v>170337</v>
      </c>
      <c r="F1737">
        <v>177817</v>
      </c>
      <c r="G1737">
        <v>176658</v>
      </c>
      <c r="H1737">
        <v>1159</v>
      </c>
      <c r="I1737">
        <v>2019</v>
      </c>
      <c r="J1737">
        <v>76</v>
      </c>
      <c r="K1737">
        <f>allFYsTable[[#This Row],[Actual]]-allFYsTable[[#This Row],[OriginalBudget]]</f>
        <v>6321</v>
      </c>
      <c r="L1737" s="11">
        <f>allFYsTable[[#This Row],[DiffAmount]]/allFYsTable[[#This Row],[OriginalBudget]]</f>
        <v>3.7108790221736909E-2</v>
      </c>
    </row>
    <row r="1738" spans="1:12" x14ac:dyDescent="0.45">
      <c r="A1738" t="s">
        <v>1026</v>
      </c>
      <c r="B1738" t="s">
        <v>136</v>
      </c>
      <c r="C1738" t="s">
        <v>776</v>
      </c>
      <c r="D1738" t="s">
        <v>175</v>
      </c>
      <c r="E1738">
        <v>1189</v>
      </c>
      <c r="F1738">
        <v>1189</v>
      </c>
      <c r="G1738">
        <v>1189</v>
      </c>
      <c r="H1738">
        <v>0</v>
      </c>
      <c r="I1738">
        <v>2019</v>
      </c>
      <c r="J1738">
        <v>77</v>
      </c>
      <c r="K1738">
        <f>allFYsTable[[#This Row],[Actual]]-allFYsTable[[#This Row],[OriginalBudget]]</f>
        <v>0</v>
      </c>
      <c r="L1738" s="11">
        <f>allFYsTable[[#This Row],[DiffAmount]]/allFYsTable[[#This Row],[OriginalBudget]]</f>
        <v>0</v>
      </c>
    </row>
    <row r="1739" spans="1:12" x14ac:dyDescent="0.45">
      <c r="A1739" t="s">
        <v>1026</v>
      </c>
      <c r="B1739" t="s">
        <v>136</v>
      </c>
      <c r="C1739" t="s">
        <v>781</v>
      </c>
      <c r="D1739" t="s">
        <v>176</v>
      </c>
      <c r="E1739">
        <v>1850</v>
      </c>
      <c r="F1739">
        <v>1808</v>
      </c>
      <c r="G1739">
        <v>1738</v>
      </c>
      <c r="H1739">
        <v>70</v>
      </c>
      <c r="I1739">
        <v>2019</v>
      </c>
      <c r="J1739">
        <v>78</v>
      </c>
      <c r="K1739">
        <f>allFYsTable[[#This Row],[Actual]]-allFYsTable[[#This Row],[OriginalBudget]]</f>
        <v>-112</v>
      </c>
      <c r="L1739" s="11">
        <f>allFYsTable[[#This Row],[DiffAmount]]/allFYsTable[[#This Row],[OriginalBudget]]</f>
        <v>-6.054054054054054E-2</v>
      </c>
    </row>
    <row r="1740" spans="1:12" x14ac:dyDescent="0.45">
      <c r="A1740" t="s">
        <v>1026</v>
      </c>
      <c r="B1740" t="s">
        <v>136</v>
      </c>
      <c r="C1740" t="s">
        <v>774</v>
      </c>
      <c r="D1740" t="s">
        <v>177</v>
      </c>
      <c r="E1740">
        <v>61816</v>
      </c>
      <c r="F1740">
        <v>62265</v>
      </c>
      <c r="G1740">
        <v>59661</v>
      </c>
      <c r="H1740">
        <v>2604</v>
      </c>
      <c r="I1740">
        <v>2019</v>
      </c>
      <c r="J1740">
        <v>79</v>
      </c>
      <c r="K1740">
        <f>allFYsTable[[#This Row],[Actual]]-allFYsTable[[#This Row],[OriginalBudget]]</f>
        <v>-2155</v>
      </c>
      <c r="L1740" s="11">
        <f>allFYsTable[[#This Row],[DiffAmount]]/allFYsTable[[#This Row],[OriginalBudget]]</f>
        <v>-3.4861524524394977E-2</v>
      </c>
    </row>
    <row r="1741" spans="1:12" x14ac:dyDescent="0.45">
      <c r="A1741" t="s">
        <v>1026</v>
      </c>
      <c r="B1741" t="s">
        <v>136</v>
      </c>
      <c r="C1741" t="s">
        <v>771</v>
      </c>
      <c r="D1741" t="s">
        <v>178</v>
      </c>
      <c r="E1741">
        <v>0</v>
      </c>
      <c r="F1741">
        <v>0</v>
      </c>
      <c r="G1741">
        <v>0</v>
      </c>
      <c r="H1741">
        <v>0</v>
      </c>
      <c r="I1741">
        <v>2019</v>
      </c>
      <c r="J1741">
        <v>80</v>
      </c>
      <c r="K1741">
        <f>allFYsTable[[#This Row],[Actual]]-allFYsTable[[#This Row],[OriginalBudget]]</f>
        <v>0</v>
      </c>
      <c r="L1741" s="11" t="e">
        <f>allFYsTable[[#This Row],[DiffAmount]]/allFYsTable[[#This Row],[OriginalBudget]]</f>
        <v>#DIV/0!</v>
      </c>
    </row>
    <row r="1742" spans="1:12" x14ac:dyDescent="0.45">
      <c r="A1742" t="s">
        <v>1026</v>
      </c>
      <c r="B1742" t="s">
        <v>136</v>
      </c>
      <c r="C1742" t="s">
        <v>780</v>
      </c>
      <c r="D1742" t="s">
        <v>143</v>
      </c>
      <c r="E1742">
        <v>90039</v>
      </c>
      <c r="F1742">
        <v>100061</v>
      </c>
      <c r="G1742">
        <v>100010</v>
      </c>
      <c r="H1742">
        <v>51</v>
      </c>
      <c r="I1742">
        <v>2019</v>
      </c>
      <c r="J1742">
        <v>81</v>
      </c>
      <c r="K1742">
        <f>allFYsTable[[#This Row],[Actual]]-allFYsTable[[#This Row],[OriginalBudget]]</f>
        <v>9971</v>
      </c>
      <c r="L1742" s="11">
        <f>allFYsTable[[#This Row],[DiffAmount]]/allFYsTable[[#This Row],[OriginalBudget]]</f>
        <v>0.1107409011650507</v>
      </c>
    </row>
    <row r="1743" spans="1:12" x14ac:dyDescent="0.45">
      <c r="A1743" t="s">
        <v>1026</v>
      </c>
      <c r="B1743" t="s">
        <v>136</v>
      </c>
      <c r="C1743" t="s">
        <v>777</v>
      </c>
      <c r="D1743" t="s">
        <v>64</v>
      </c>
      <c r="E1743">
        <v>63500</v>
      </c>
      <c r="F1743">
        <v>62261</v>
      </c>
      <c r="G1743">
        <v>61813</v>
      </c>
      <c r="H1743">
        <v>448</v>
      </c>
      <c r="I1743">
        <v>2019</v>
      </c>
      <c r="J1743">
        <v>82</v>
      </c>
      <c r="K1743">
        <f>allFYsTable[[#This Row],[Actual]]-allFYsTable[[#This Row],[OriginalBudget]]</f>
        <v>-1687</v>
      </c>
      <c r="L1743" s="11">
        <f>allFYsTable[[#This Row],[DiffAmount]]/allFYsTable[[#This Row],[OriginalBudget]]</f>
        <v>-2.6566929133858268E-2</v>
      </c>
    </row>
    <row r="1744" spans="1:12" x14ac:dyDescent="0.45">
      <c r="A1744" t="s">
        <v>1026</v>
      </c>
      <c r="B1744" t="s">
        <v>136</v>
      </c>
      <c r="C1744" t="s">
        <v>778</v>
      </c>
      <c r="D1744" t="s">
        <v>65</v>
      </c>
      <c r="E1744">
        <v>17366</v>
      </c>
      <c r="F1744">
        <v>17216</v>
      </c>
      <c r="G1744">
        <v>16967</v>
      </c>
      <c r="H1744">
        <v>249</v>
      </c>
      <c r="I1744">
        <v>2019</v>
      </c>
      <c r="J1744">
        <v>83</v>
      </c>
      <c r="K1744">
        <f>allFYsTable[[#This Row],[Actual]]-allFYsTable[[#This Row],[OriginalBudget]]</f>
        <v>-399</v>
      </c>
      <c r="L1744" s="11">
        <f>allFYsTable[[#This Row],[DiffAmount]]/allFYsTable[[#This Row],[OriginalBudget]]</f>
        <v>-2.2975929978118162E-2</v>
      </c>
    </row>
    <row r="1745" spans="1:12" x14ac:dyDescent="0.45">
      <c r="A1745" t="s">
        <v>1026</v>
      </c>
      <c r="B1745" t="s">
        <v>136</v>
      </c>
      <c r="C1745" t="s">
        <v>874</v>
      </c>
      <c r="D1745" t="s">
        <v>179</v>
      </c>
      <c r="E1745">
        <v>0</v>
      </c>
      <c r="F1745">
        <v>1035</v>
      </c>
      <c r="G1745">
        <v>1035</v>
      </c>
      <c r="H1745">
        <v>0</v>
      </c>
      <c r="I1745">
        <v>2019</v>
      </c>
      <c r="J1745">
        <v>84</v>
      </c>
      <c r="K1745">
        <f>allFYsTable[[#This Row],[Actual]]-allFYsTable[[#This Row],[OriginalBudget]]</f>
        <v>1035</v>
      </c>
      <c r="L1745" s="11" t="e">
        <f>allFYsTable[[#This Row],[DiffAmount]]/allFYsTable[[#This Row],[OriginalBudget]]</f>
        <v>#DIV/0!</v>
      </c>
    </row>
    <row r="1746" spans="1:12" x14ac:dyDescent="0.45">
      <c r="A1746" t="s">
        <v>1026</v>
      </c>
      <c r="B1746" t="s">
        <v>14</v>
      </c>
      <c r="C1746" t="s">
        <v>790</v>
      </c>
      <c r="D1746" t="s">
        <v>144</v>
      </c>
      <c r="E1746">
        <v>383496</v>
      </c>
      <c r="F1746">
        <v>375581</v>
      </c>
      <c r="G1746">
        <v>375404</v>
      </c>
      <c r="H1746">
        <v>177</v>
      </c>
      <c r="I1746">
        <v>2019</v>
      </c>
      <c r="J1746">
        <v>85</v>
      </c>
      <c r="K1746">
        <f>allFYsTable[[#This Row],[Actual]]-allFYsTable[[#This Row],[OriginalBudget]]</f>
        <v>-8092</v>
      </c>
      <c r="L1746" s="11">
        <f>allFYsTable[[#This Row],[DiffAmount]]/allFYsTable[[#This Row],[OriginalBudget]]</f>
        <v>-2.1100611218891462E-2</v>
      </c>
    </row>
    <row r="1747" spans="1:12" x14ac:dyDescent="0.45">
      <c r="A1747" t="s">
        <v>1026</v>
      </c>
      <c r="B1747" t="s">
        <v>14</v>
      </c>
      <c r="C1747" t="s">
        <v>788</v>
      </c>
      <c r="D1747" t="s">
        <v>145</v>
      </c>
      <c r="E1747">
        <v>84168</v>
      </c>
      <c r="F1747">
        <v>84590</v>
      </c>
      <c r="G1747">
        <v>84397</v>
      </c>
      <c r="H1747">
        <v>193</v>
      </c>
      <c r="I1747">
        <v>2019</v>
      </c>
      <c r="J1747">
        <v>86</v>
      </c>
      <c r="K1747">
        <f>allFYsTable[[#This Row],[Actual]]-allFYsTable[[#This Row],[OriginalBudget]]</f>
        <v>229</v>
      </c>
      <c r="L1747" s="11">
        <f>allFYsTable[[#This Row],[DiffAmount]]/allFYsTable[[#This Row],[OriginalBudget]]</f>
        <v>2.7207489782340084E-3</v>
      </c>
    </row>
    <row r="1748" spans="1:12" x14ac:dyDescent="0.45">
      <c r="A1748" t="s">
        <v>1026</v>
      </c>
      <c r="B1748" t="s">
        <v>14</v>
      </c>
      <c r="C1748" t="s">
        <v>770</v>
      </c>
      <c r="D1748" t="s">
        <v>56</v>
      </c>
      <c r="E1748">
        <v>50624</v>
      </c>
      <c r="F1748">
        <v>53988</v>
      </c>
      <c r="G1748">
        <v>53369</v>
      </c>
      <c r="H1748">
        <v>619</v>
      </c>
      <c r="I1748">
        <v>2019</v>
      </c>
      <c r="J1748">
        <v>87</v>
      </c>
      <c r="K1748">
        <f>allFYsTable[[#This Row],[Actual]]-allFYsTable[[#This Row],[OriginalBudget]]</f>
        <v>2745</v>
      </c>
      <c r="L1748" s="11">
        <f>allFYsTable[[#This Row],[DiffAmount]]/allFYsTable[[#This Row],[OriginalBudget]]</f>
        <v>5.422329329962073E-2</v>
      </c>
    </row>
    <row r="1749" spans="1:12" x14ac:dyDescent="0.45">
      <c r="A1749" t="s">
        <v>1026</v>
      </c>
      <c r="B1749" t="s">
        <v>14</v>
      </c>
      <c r="C1749" t="s">
        <v>786</v>
      </c>
      <c r="D1749" t="s">
        <v>197</v>
      </c>
      <c r="E1749">
        <v>38391</v>
      </c>
      <c r="F1749">
        <v>40291</v>
      </c>
      <c r="G1749">
        <v>39979</v>
      </c>
      <c r="H1749">
        <v>312</v>
      </c>
      <c r="I1749">
        <v>2019</v>
      </c>
      <c r="J1749">
        <v>88</v>
      </c>
      <c r="K1749">
        <f>allFYsTable[[#This Row],[Actual]]-allFYsTable[[#This Row],[OriginalBudget]]</f>
        <v>1588</v>
      </c>
      <c r="L1749" s="11">
        <f>allFYsTable[[#This Row],[DiffAmount]]/allFYsTable[[#This Row],[OriginalBudget]]</f>
        <v>4.1363861321663933E-2</v>
      </c>
    </row>
    <row r="1750" spans="1:12" x14ac:dyDescent="0.45">
      <c r="A1750" t="s">
        <v>1026</v>
      </c>
      <c r="B1750" t="s">
        <v>14</v>
      </c>
      <c r="C1750" t="s">
        <v>783</v>
      </c>
      <c r="D1750" t="s">
        <v>70</v>
      </c>
      <c r="E1750">
        <v>6680</v>
      </c>
      <c r="F1750">
        <v>4966</v>
      </c>
      <c r="G1750">
        <v>4955</v>
      </c>
      <c r="H1750">
        <v>11</v>
      </c>
      <c r="I1750">
        <v>2019</v>
      </c>
      <c r="J1750">
        <v>89</v>
      </c>
      <c r="K1750">
        <f>allFYsTable[[#This Row],[Actual]]-allFYsTable[[#This Row],[OriginalBudget]]</f>
        <v>-1725</v>
      </c>
      <c r="L1750" s="11">
        <f>allFYsTable[[#This Row],[DiffAmount]]/allFYsTable[[#This Row],[OriginalBudget]]</f>
        <v>-0.25823353293413176</v>
      </c>
    </row>
    <row r="1751" spans="1:12" x14ac:dyDescent="0.45">
      <c r="A1751" t="s">
        <v>1026</v>
      </c>
      <c r="B1751" t="s">
        <v>14</v>
      </c>
      <c r="C1751" t="s">
        <v>706</v>
      </c>
      <c r="D1751" t="s">
        <v>122</v>
      </c>
      <c r="E1751">
        <v>24132</v>
      </c>
      <c r="F1751">
        <v>24132</v>
      </c>
      <c r="G1751">
        <v>18042</v>
      </c>
      <c r="H1751">
        <v>6090</v>
      </c>
      <c r="I1751">
        <v>2019</v>
      </c>
      <c r="J1751">
        <v>90</v>
      </c>
      <c r="K1751">
        <f>allFYsTable[[#This Row],[Actual]]-allFYsTable[[#This Row],[OriginalBudget]]</f>
        <v>-6090</v>
      </c>
      <c r="L1751" s="11">
        <f>allFYsTable[[#This Row],[DiffAmount]]/allFYsTable[[#This Row],[OriginalBudget]]</f>
        <v>-0.25236200895077077</v>
      </c>
    </row>
    <row r="1752" spans="1:12" x14ac:dyDescent="0.45">
      <c r="A1752" t="s">
        <v>1026</v>
      </c>
      <c r="B1752" t="s">
        <v>14</v>
      </c>
      <c r="C1752" t="s">
        <v>760</v>
      </c>
      <c r="D1752" t="s">
        <v>46</v>
      </c>
      <c r="E1752">
        <v>5000</v>
      </c>
      <c r="F1752">
        <v>4975</v>
      </c>
      <c r="G1752">
        <v>4975</v>
      </c>
      <c r="H1752">
        <v>0</v>
      </c>
      <c r="I1752">
        <v>2019</v>
      </c>
      <c r="J1752">
        <v>91</v>
      </c>
      <c r="K1752">
        <f>allFYsTable[[#This Row],[Actual]]-allFYsTable[[#This Row],[OriginalBudget]]</f>
        <v>-25</v>
      </c>
      <c r="L1752" s="11">
        <f>allFYsTable[[#This Row],[DiffAmount]]/allFYsTable[[#This Row],[OriginalBudget]]</f>
        <v>-5.0000000000000001E-3</v>
      </c>
    </row>
    <row r="1753" spans="1:12" x14ac:dyDescent="0.45">
      <c r="A1753" t="s">
        <v>1026</v>
      </c>
      <c r="B1753" t="s">
        <v>14</v>
      </c>
      <c r="C1753" t="s">
        <v>729</v>
      </c>
      <c r="D1753" t="s">
        <v>123</v>
      </c>
      <c r="E1753">
        <v>3404</v>
      </c>
      <c r="F1753">
        <v>3404</v>
      </c>
      <c r="G1753">
        <v>3376</v>
      </c>
      <c r="H1753">
        <v>28</v>
      </c>
      <c r="I1753">
        <v>2019</v>
      </c>
      <c r="J1753">
        <v>92</v>
      </c>
      <c r="K1753">
        <f>allFYsTable[[#This Row],[Actual]]-allFYsTable[[#This Row],[OriginalBudget]]</f>
        <v>-28</v>
      </c>
      <c r="L1753" s="11">
        <f>allFYsTable[[#This Row],[DiffAmount]]/allFYsTable[[#This Row],[OriginalBudget]]</f>
        <v>-8.2256169212690956E-3</v>
      </c>
    </row>
    <row r="1754" spans="1:12" x14ac:dyDescent="0.45">
      <c r="A1754" t="s">
        <v>1026</v>
      </c>
      <c r="B1754" t="s">
        <v>14</v>
      </c>
      <c r="C1754" t="s">
        <v>785</v>
      </c>
      <c r="D1754" t="s">
        <v>147</v>
      </c>
      <c r="E1754">
        <v>161239</v>
      </c>
      <c r="F1754">
        <v>157055</v>
      </c>
      <c r="G1754">
        <v>156747</v>
      </c>
      <c r="H1754">
        <v>308</v>
      </c>
      <c r="I1754">
        <v>2019</v>
      </c>
      <c r="J1754">
        <v>93</v>
      </c>
      <c r="K1754">
        <f>allFYsTable[[#This Row],[Actual]]-allFYsTable[[#This Row],[OriginalBudget]]</f>
        <v>-4492</v>
      </c>
      <c r="L1754" s="11">
        <f>allFYsTable[[#This Row],[DiffAmount]]/allFYsTable[[#This Row],[OriginalBudget]]</f>
        <v>-2.7859264818065107E-2</v>
      </c>
    </row>
    <row r="1755" spans="1:12" x14ac:dyDescent="0.45">
      <c r="A1755" t="s">
        <v>1026</v>
      </c>
      <c r="B1755" t="s">
        <v>14</v>
      </c>
      <c r="C1755" t="s">
        <v>787</v>
      </c>
      <c r="D1755" t="s">
        <v>148</v>
      </c>
      <c r="E1755">
        <v>249752</v>
      </c>
      <c r="F1755">
        <v>248653</v>
      </c>
      <c r="G1755">
        <v>248557</v>
      </c>
      <c r="H1755">
        <v>96</v>
      </c>
      <c r="I1755">
        <v>2019</v>
      </c>
      <c r="J1755">
        <v>94</v>
      </c>
      <c r="K1755">
        <f>allFYsTable[[#This Row],[Actual]]-allFYsTable[[#This Row],[OriginalBudget]]</f>
        <v>-1195</v>
      </c>
      <c r="L1755" s="11">
        <f>allFYsTable[[#This Row],[DiffAmount]]/allFYsTable[[#This Row],[OriginalBudget]]</f>
        <v>-4.7847464684967487E-3</v>
      </c>
    </row>
    <row r="1756" spans="1:12" x14ac:dyDescent="0.45">
      <c r="A1756" t="s">
        <v>1026</v>
      </c>
      <c r="B1756" t="s">
        <v>14</v>
      </c>
      <c r="C1756" t="s">
        <v>728</v>
      </c>
      <c r="D1756" t="s">
        <v>121</v>
      </c>
      <c r="E1756">
        <v>872</v>
      </c>
      <c r="F1756">
        <v>872</v>
      </c>
      <c r="G1756">
        <v>870</v>
      </c>
      <c r="H1756">
        <v>2</v>
      </c>
      <c r="I1756">
        <v>2019</v>
      </c>
      <c r="J1756">
        <v>95</v>
      </c>
      <c r="K1756">
        <f>allFYsTable[[#This Row],[Actual]]-allFYsTable[[#This Row],[OriginalBudget]]</f>
        <v>-2</v>
      </c>
      <c r="L1756" s="11">
        <f>allFYsTable[[#This Row],[DiffAmount]]/allFYsTable[[#This Row],[OriginalBudget]]</f>
        <v>-2.2935779816513763E-3</v>
      </c>
    </row>
    <row r="1757" spans="1:12" x14ac:dyDescent="0.45">
      <c r="A1757" t="s">
        <v>1026</v>
      </c>
      <c r="B1757" t="s">
        <v>14</v>
      </c>
      <c r="C1757" t="s">
        <v>727</v>
      </c>
      <c r="D1757" t="s">
        <v>180</v>
      </c>
      <c r="E1757">
        <v>617</v>
      </c>
      <c r="F1757">
        <v>617</v>
      </c>
      <c r="G1757">
        <v>607</v>
      </c>
      <c r="H1757">
        <v>10</v>
      </c>
      <c r="I1757">
        <v>2019</v>
      </c>
      <c r="J1757">
        <v>96</v>
      </c>
      <c r="K1757">
        <f>allFYsTable[[#This Row],[Actual]]-allFYsTable[[#This Row],[OriginalBudget]]</f>
        <v>-10</v>
      </c>
      <c r="L1757" s="11">
        <f>allFYsTable[[#This Row],[DiffAmount]]/allFYsTable[[#This Row],[OriginalBudget]]</f>
        <v>-1.6207455429497569E-2</v>
      </c>
    </row>
    <row r="1758" spans="1:12" x14ac:dyDescent="0.45">
      <c r="A1758" t="s">
        <v>1026</v>
      </c>
      <c r="B1758" t="s">
        <v>14</v>
      </c>
      <c r="C1758" t="s">
        <v>752</v>
      </c>
      <c r="D1758" t="s">
        <v>38</v>
      </c>
      <c r="E1758">
        <v>94968</v>
      </c>
      <c r="F1758">
        <v>86147</v>
      </c>
      <c r="G1758">
        <v>85767</v>
      </c>
      <c r="H1758">
        <v>380</v>
      </c>
      <c r="I1758">
        <v>2019</v>
      </c>
      <c r="J1758">
        <v>97</v>
      </c>
      <c r="K1758">
        <f>allFYsTable[[#This Row],[Actual]]-allFYsTable[[#This Row],[OriginalBudget]]</f>
        <v>-9201</v>
      </c>
      <c r="L1758" s="11">
        <f>allFYsTable[[#This Row],[DiffAmount]]/allFYsTable[[#This Row],[OriginalBudget]]</f>
        <v>-9.6885266616123331E-2</v>
      </c>
    </row>
    <row r="1759" spans="1:12" x14ac:dyDescent="0.45">
      <c r="A1759" t="s">
        <v>1026</v>
      </c>
      <c r="B1759" t="s">
        <v>14</v>
      </c>
      <c r="C1759" t="s">
        <v>791</v>
      </c>
      <c r="D1759" t="s">
        <v>149</v>
      </c>
      <c r="E1759">
        <v>121992</v>
      </c>
      <c r="F1759">
        <v>124310</v>
      </c>
      <c r="G1759">
        <v>123037</v>
      </c>
      <c r="H1759">
        <v>1273</v>
      </c>
      <c r="I1759">
        <v>2019</v>
      </c>
      <c r="J1759">
        <v>98</v>
      </c>
      <c r="K1759">
        <f>allFYsTable[[#This Row],[Actual]]-allFYsTable[[#This Row],[OriginalBudget]]</f>
        <v>1045</v>
      </c>
      <c r="L1759" s="11">
        <f>allFYsTable[[#This Row],[DiffAmount]]/allFYsTable[[#This Row],[OriginalBudget]]</f>
        <v>8.5661354842940518E-3</v>
      </c>
    </row>
    <row r="1760" spans="1:12" x14ac:dyDescent="0.45">
      <c r="A1760" t="s">
        <v>1026</v>
      </c>
      <c r="B1760" t="s">
        <v>14</v>
      </c>
      <c r="C1760" t="s">
        <v>789</v>
      </c>
      <c r="D1760" t="s">
        <v>150</v>
      </c>
      <c r="E1760">
        <v>867963</v>
      </c>
      <c r="F1760">
        <v>856466</v>
      </c>
      <c r="G1760">
        <v>855539</v>
      </c>
      <c r="H1760">
        <v>927</v>
      </c>
      <c r="I1760">
        <v>2019</v>
      </c>
      <c r="J1760">
        <v>99</v>
      </c>
      <c r="K1760">
        <f>allFYsTable[[#This Row],[Actual]]-allFYsTable[[#This Row],[OriginalBudget]]</f>
        <v>-12424</v>
      </c>
      <c r="L1760" s="11">
        <f>allFYsTable[[#This Row],[DiffAmount]]/allFYsTable[[#This Row],[OriginalBudget]]</f>
        <v>-1.4313974213186507E-2</v>
      </c>
    </row>
    <row r="1761" spans="1:12" x14ac:dyDescent="0.45">
      <c r="A1761" t="s">
        <v>1026</v>
      </c>
      <c r="B1761" t="s">
        <v>14</v>
      </c>
      <c r="C1761" t="s">
        <v>793</v>
      </c>
      <c r="D1761" t="s">
        <v>181</v>
      </c>
      <c r="E1761">
        <v>1782</v>
      </c>
      <c r="F1761">
        <v>1781</v>
      </c>
      <c r="G1761">
        <v>1763</v>
      </c>
      <c r="H1761">
        <v>18</v>
      </c>
      <c r="I1761">
        <v>2019</v>
      </c>
      <c r="J1761">
        <v>100</v>
      </c>
      <c r="K1761">
        <f>allFYsTable[[#This Row],[Actual]]-allFYsTable[[#This Row],[OriginalBudget]]</f>
        <v>-19</v>
      </c>
      <c r="L1761" s="11">
        <f>allFYsTable[[#This Row],[DiffAmount]]/allFYsTable[[#This Row],[OriginalBudget]]</f>
        <v>-1.0662177328843996E-2</v>
      </c>
    </row>
    <row r="1762" spans="1:12" x14ac:dyDescent="0.45">
      <c r="A1762" t="s">
        <v>1026</v>
      </c>
      <c r="B1762" t="s">
        <v>14</v>
      </c>
      <c r="C1762" t="s">
        <v>792</v>
      </c>
      <c r="D1762" t="s">
        <v>152</v>
      </c>
      <c r="E1762">
        <v>10000</v>
      </c>
      <c r="F1762">
        <v>34261</v>
      </c>
      <c r="G1762">
        <v>34261</v>
      </c>
      <c r="H1762">
        <v>0</v>
      </c>
      <c r="I1762">
        <v>2019</v>
      </c>
      <c r="J1762">
        <v>101</v>
      </c>
      <c r="K1762">
        <f>allFYsTable[[#This Row],[Actual]]-allFYsTable[[#This Row],[OriginalBudget]]</f>
        <v>24261</v>
      </c>
      <c r="L1762" s="11">
        <f>allFYsTable[[#This Row],[DiffAmount]]/allFYsTable[[#This Row],[OriginalBudget]]</f>
        <v>2.4260999999999999</v>
      </c>
    </row>
    <row r="1763" spans="1:12" x14ac:dyDescent="0.45">
      <c r="A1763" t="s">
        <v>1026</v>
      </c>
      <c r="B1763" t="s">
        <v>182</v>
      </c>
      <c r="C1763" t="s">
        <v>802</v>
      </c>
      <c r="D1763" t="s">
        <v>78</v>
      </c>
      <c r="E1763">
        <v>139781</v>
      </c>
      <c r="F1763">
        <v>138098</v>
      </c>
      <c r="G1763">
        <v>137950</v>
      </c>
      <c r="H1763">
        <v>148</v>
      </c>
      <c r="I1763">
        <v>2019</v>
      </c>
      <c r="J1763">
        <v>102</v>
      </c>
      <c r="K1763">
        <f>allFYsTable[[#This Row],[Actual]]-allFYsTable[[#This Row],[OriginalBudget]]</f>
        <v>-1831</v>
      </c>
      <c r="L1763" s="11">
        <f>allFYsTable[[#This Row],[DiffAmount]]/allFYsTable[[#This Row],[OriginalBudget]]</f>
        <v>-1.3099062104291714E-2</v>
      </c>
    </row>
    <row r="1764" spans="1:12" x14ac:dyDescent="0.45">
      <c r="A1764" t="s">
        <v>1026</v>
      </c>
      <c r="B1764" t="s">
        <v>182</v>
      </c>
      <c r="C1764" t="s">
        <v>803</v>
      </c>
      <c r="D1764" t="s">
        <v>155</v>
      </c>
      <c r="E1764">
        <v>107583</v>
      </c>
      <c r="F1764">
        <v>106154</v>
      </c>
      <c r="G1764">
        <v>105971</v>
      </c>
      <c r="H1764">
        <v>183</v>
      </c>
      <c r="I1764">
        <v>2019</v>
      </c>
      <c r="J1764">
        <v>103</v>
      </c>
      <c r="K1764">
        <f>allFYsTable[[#This Row],[Actual]]-allFYsTable[[#This Row],[OriginalBudget]]</f>
        <v>-1612</v>
      </c>
      <c r="L1764" s="11">
        <f>allFYsTable[[#This Row],[DiffAmount]]/allFYsTable[[#This Row],[OriginalBudget]]</f>
        <v>-1.4983779965236144E-2</v>
      </c>
    </row>
    <row r="1765" spans="1:12" x14ac:dyDescent="0.45">
      <c r="A1765" t="s">
        <v>1026</v>
      </c>
      <c r="B1765" t="s">
        <v>182</v>
      </c>
      <c r="C1765" t="s">
        <v>799</v>
      </c>
      <c r="D1765" t="s">
        <v>75</v>
      </c>
      <c r="E1765">
        <v>5924</v>
      </c>
      <c r="F1765">
        <v>5924</v>
      </c>
      <c r="G1765">
        <v>5792</v>
      </c>
      <c r="H1765">
        <v>132</v>
      </c>
      <c r="I1765">
        <v>2019</v>
      </c>
      <c r="J1765">
        <v>104</v>
      </c>
      <c r="K1765">
        <f>allFYsTable[[#This Row],[Actual]]-allFYsTable[[#This Row],[OriginalBudget]]</f>
        <v>-132</v>
      </c>
      <c r="L1765" s="11">
        <f>allFYsTable[[#This Row],[DiffAmount]]/allFYsTable[[#This Row],[OriginalBudget]]</f>
        <v>-2.2282241728561782E-2</v>
      </c>
    </row>
    <row r="1766" spans="1:12" x14ac:dyDescent="0.45">
      <c r="A1766" t="s">
        <v>1026</v>
      </c>
      <c r="B1766" t="s">
        <v>182</v>
      </c>
      <c r="C1766" t="s">
        <v>801</v>
      </c>
      <c r="D1766" t="s">
        <v>77</v>
      </c>
      <c r="E1766">
        <v>30373</v>
      </c>
      <c r="F1766">
        <v>28685</v>
      </c>
      <c r="G1766">
        <v>28683</v>
      </c>
      <c r="H1766">
        <v>2</v>
      </c>
      <c r="I1766">
        <v>2019</v>
      </c>
      <c r="J1766">
        <v>105</v>
      </c>
      <c r="K1766">
        <f>allFYsTable[[#This Row],[Actual]]-allFYsTable[[#This Row],[OriginalBudget]]</f>
        <v>-1690</v>
      </c>
      <c r="L1766" s="11">
        <f>allFYsTable[[#This Row],[DiffAmount]]/allFYsTable[[#This Row],[OriginalBudget]]</f>
        <v>-5.5641523721726531E-2</v>
      </c>
    </row>
    <row r="1767" spans="1:12" x14ac:dyDescent="0.45">
      <c r="A1767" t="s">
        <v>1026</v>
      </c>
      <c r="B1767" t="s">
        <v>182</v>
      </c>
      <c r="C1767" t="s">
        <v>808</v>
      </c>
      <c r="D1767" t="s">
        <v>156</v>
      </c>
      <c r="E1767">
        <v>151</v>
      </c>
      <c r="F1767">
        <v>151</v>
      </c>
      <c r="G1767">
        <v>151</v>
      </c>
      <c r="H1767">
        <v>0</v>
      </c>
      <c r="I1767">
        <v>2019</v>
      </c>
      <c r="J1767">
        <v>106</v>
      </c>
      <c r="K1767">
        <f>allFYsTable[[#This Row],[Actual]]-allFYsTable[[#This Row],[OriginalBudget]]</f>
        <v>0</v>
      </c>
      <c r="L1767" s="11">
        <f>allFYsTable[[#This Row],[DiffAmount]]/allFYsTable[[#This Row],[OriginalBudget]]</f>
        <v>0</v>
      </c>
    </row>
    <row r="1768" spans="1:12" x14ac:dyDescent="0.45">
      <c r="A1768" t="s">
        <v>1026</v>
      </c>
      <c r="B1768" t="s">
        <v>182</v>
      </c>
      <c r="C1768" t="s">
        <v>807</v>
      </c>
      <c r="D1768" t="s">
        <v>157</v>
      </c>
      <c r="E1768">
        <v>369175</v>
      </c>
      <c r="F1768">
        <v>382753</v>
      </c>
      <c r="G1768">
        <v>381503</v>
      </c>
      <c r="H1768">
        <v>1250</v>
      </c>
      <c r="I1768">
        <v>2019</v>
      </c>
      <c r="J1768">
        <v>107</v>
      </c>
      <c r="K1768">
        <f>allFYsTable[[#This Row],[Actual]]-allFYsTable[[#This Row],[OriginalBudget]]</f>
        <v>12328</v>
      </c>
      <c r="L1768" s="11">
        <f>allFYsTable[[#This Row],[DiffAmount]]/allFYsTable[[#This Row],[OriginalBudget]]</f>
        <v>3.3393377124669874E-2</v>
      </c>
    </row>
    <row r="1769" spans="1:12" x14ac:dyDescent="0.45">
      <c r="A1769" t="s">
        <v>1026</v>
      </c>
      <c r="B1769" t="s">
        <v>182</v>
      </c>
      <c r="C1769" t="s">
        <v>798</v>
      </c>
      <c r="D1769" t="s">
        <v>74</v>
      </c>
      <c r="E1769">
        <v>28951</v>
      </c>
      <c r="F1769">
        <v>28514</v>
      </c>
      <c r="G1769">
        <v>21576</v>
      </c>
      <c r="H1769">
        <v>6938</v>
      </c>
      <c r="I1769">
        <v>2019</v>
      </c>
      <c r="J1769">
        <v>108</v>
      </c>
      <c r="K1769">
        <f>allFYsTable[[#This Row],[Actual]]-allFYsTable[[#This Row],[OriginalBudget]]</f>
        <v>-7375</v>
      </c>
      <c r="L1769" s="11">
        <f>allFYsTable[[#This Row],[DiffAmount]]/allFYsTable[[#This Row],[OriginalBudget]]</f>
        <v>-0.25474076888535802</v>
      </c>
    </row>
    <row r="1770" spans="1:12" x14ac:dyDescent="0.45">
      <c r="A1770" t="s">
        <v>1026</v>
      </c>
      <c r="B1770" t="s">
        <v>10</v>
      </c>
      <c r="C1770" t="s">
        <v>775</v>
      </c>
      <c r="D1770" t="s">
        <v>18</v>
      </c>
      <c r="E1770">
        <v>735610</v>
      </c>
      <c r="F1770">
        <v>698043</v>
      </c>
      <c r="G1770">
        <v>698043</v>
      </c>
      <c r="H1770">
        <v>0</v>
      </c>
      <c r="I1770">
        <v>2019</v>
      </c>
      <c r="J1770">
        <v>109</v>
      </c>
      <c r="K1770">
        <f>allFYsTable[[#This Row],[Actual]]-allFYsTable[[#This Row],[OriginalBudget]]</f>
        <v>-37567</v>
      </c>
      <c r="L1770" s="11">
        <f>allFYsTable[[#This Row],[DiffAmount]]/allFYsTable[[#This Row],[OriginalBudget]]</f>
        <v>-5.1069180679979884E-2</v>
      </c>
    </row>
    <row r="1771" spans="1:12" x14ac:dyDescent="0.45">
      <c r="A1771" t="s">
        <v>1026</v>
      </c>
      <c r="B1771" t="s">
        <v>10</v>
      </c>
      <c r="C1771" t="s">
        <v>817</v>
      </c>
      <c r="D1771" t="s">
        <v>158</v>
      </c>
      <c r="E1771">
        <v>8000</v>
      </c>
      <c r="F1771">
        <v>8000</v>
      </c>
      <c r="G1771">
        <v>5209</v>
      </c>
      <c r="H1771">
        <v>2791</v>
      </c>
      <c r="I1771">
        <v>2019</v>
      </c>
      <c r="J1771">
        <v>110</v>
      </c>
      <c r="K1771">
        <f>allFYsTable[[#This Row],[Actual]]-allFYsTable[[#This Row],[OriginalBudget]]</f>
        <v>-2791</v>
      </c>
      <c r="L1771" s="11">
        <f>allFYsTable[[#This Row],[DiffAmount]]/allFYsTable[[#This Row],[OriginalBudget]]</f>
        <v>-0.34887499999999999</v>
      </c>
    </row>
    <row r="1772" spans="1:12" x14ac:dyDescent="0.45">
      <c r="A1772" t="s">
        <v>1026</v>
      </c>
      <c r="B1772" t="s">
        <v>10</v>
      </c>
      <c r="C1772" t="s">
        <v>818</v>
      </c>
      <c r="D1772" t="s">
        <v>83</v>
      </c>
      <c r="E1772">
        <v>10000</v>
      </c>
      <c r="F1772">
        <v>6779</v>
      </c>
      <c r="G1772">
        <v>6779</v>
      </c>
      <c r="H1772">
        <v>0</v>
      </c>
      <c r="I1772">
        <v>2019</v>
      </c>
      <c r="J1772">
        <v>111</v>
      </c>
      <c r="K1772">
        <f>allFYsTable[[#This Row],[Actual]]-allFYsTable[[#This Row],[OriginalBudget]]</f>
        <v>-3221</v>
      </c>
      <c r="L1772" s="11">
        <f>allFYsTable[[#This Row],[DiffAmount]]/allFYsTable[[#This Row],[OriginalBudget]]</f>
        <v>-0.3221</v>
      </c>
    </row>
    <row r="1773" spans="1:12" x14ac:dyDescent="0.45">
      <c r="A1773" t="s">
        <v>1026</v>
      </c>
      <c r="B1773" t="s">
        <v>10</v>
      </c>
      <c r="C1773" t="s">
        <v>819</v>
      </c>
      <c r="D1773" t="s">
        <v>84</v>
      </c>
      <c r="E1773">
        <v>21825</v>
      </c>
      <c r="F1773">
        <v>21825</v>
      </c>
      <c r="G1773">
        <v>21825</v>
      </c>
      <c r="H1773">
        <v>0</v>
      </c>
      <c r="I1773">
        <v>2019</v>
      </c>
      <c r="J1773">
        <v>112</v>
      </c>
      <c r="K1773">
        <f>allFYsTable[[#This Row],[Actual]]-allFYsTable[[#This Row],[OriginalBudget]]</f>
        <v>0</v>
      </c>
      <c r="L1773" s="11">
        <f>allFYsTable[[#This Row],[DiffAmount]]/allFYsTable[[#This Row],[OriginalBudget]]</f>
        <v>0</v>
      </c>
    </row>
    <row r="1774" spans="1:12" x14ac:dyDescent="0.45">
      <c r="A1774" t="s">
        <v>1026</v>
      </c>
      <c r="B1774" t="s">
        <v>10</v>
      </c>
      <c r="C1774" t="s">
        <v>814</v>
      </c>
      <c r="D1774" t="s">
        <v>85</v>
      </c>
      <c r="E1774">
        <v>4726</v>
      </c>
      <c r="F1774">
        <v>4726</v>
      </c>
      <c r="G1774">
        <v>4256</v>
      </c>
      <c r="H1774">
        <v>470</v>
      </c>
      <c r="I1774">
        <v>2019</v>
      </c>
      <c r="J1774">
        <v>113</v>
      </c>
      <c r="K1774">
        <f>allFYsTable[[#This Row],[Actual]]-allFYsTable[[#This Row],[OriginalBudget]]</f>
        <v>-470</v>
      </c>
      <c r="L1774" s="11">
        <f>allFYsTable[[#This Row],[DiffAmount]]/allFYsTable[[#This Row],[OriginalBudget]]</f>
        <v>-9.9449851883199325E-2</v>
      </c>
    </row>
    <row r="1775" spans="1:12" x14ac:dyDescent="0.45">
      <c r="A1775" t="s">
        <v>1026</v>
      </c>
      <c r="B1775" t="s">
        <v>10</v>
      </c>
      <c r="C1775" t="s">
        <v>811</v>
      </c>
      <c r="D1775" t="s">
        <v>198</v>
      </c>
      <c r="E1775">
        <v>46000</v>
      </c>
      <c r="F1775">
        <v>46000</v>
      </c>
      <c r="G1775">
        <v>46000</v>
      </c>
      <c r="H1775">
        <v>0</v>
      </c>
      <c r="I1775">
        <v>2019</v>
      </c>
      <c r="J1775">
        <v>114</v>
      </c>
      <c r="K1775">
        <f>allFYsTable[[#This Row],[Actual]]-allFYsTable[[#This Row],[OriginalBudget]]</f>
        <v>0</v>
      </c>
      <c r="L1775" s="11">
        <f>allFYsTable[[#This Row],[DiffAmount]]/allFYsTable[[#This Row],[OriginalBudget]]</f>
        <v>0</v>
      </c>
    </row>
    <row r="1776" spans="1:12" x14ac:dyDescent="0.45">
      <c r="A1776" t="s">
        <v>1026</v>
      </c>
      <c r="B1776" t="s">
        <v>10</v>
      </c>
      <c r="C1776" t="s">
        <v>829</v>
      </c>
      <c r="D1776" t="s">
        <v>87</v>
      </c>
      <c r="E1776">
        <v>7839</v>
      </c>
      <c r="F1776">
        <v>7829</v>
      </c>
      <c r="G1776">
        <v>7829</v>
      </c>
      <c r="H1776">
        <v>0</v>
      </c>
      <c r="I1776">
        <v>2019</v>
      </c>
      <c r="J1776">
        <v>115</v>
      </c>
      <c r="K1776">
        <f>allFYsTable[[#This Row],[Actual]]-allFYsTable[[#This Row],[OriginalBudget]]</f>
        <v>-10</v>
      </c>
      <c r="L1776" s="11">
        <f>allFYsTable[[#This Row],[DiffAmount]]/allFYsTable[[#This Row],[OriginalBudget]]</f>
        <v>-1.2756729174639623E-3</v>
      </c>
    </row>
    <row r="1777" spans="1:12" x14ac:dyDescent="0.45">
      <c r="A1777" t="s">
        <v>1026</v>
      </c>
      <c r="B1777" t="s">
        <v>10</v>
      </c>
      <c r="C1777" t="s">
        <v>810</v>
      </c>
      <c r="D1777" t="s">
        <v>88</v>
      </c>
      <c r="E1777">
        <v>155543</v>
      </c>
      <c r="F1777">
        <v>147983</v>
      </c>
      <c r="G1777">
        <v>147983</v>
      </c>
      <c r="H1777">
        <v>0</v>
      </c>
      <c r="I1777">
        <v>2019</v>
      </c>
      <c r="J1777">
        <v>116</v>
      </c>
      <c r="K1777">
        <f>allFYsTable[[#This Row],[Actual]]-allFYsTable[[#This Row],[OriginalBudget]]</f>
        <v>-7560</v>
      </c>
      <c r="L1777" s="11">
        <f>allFYsTable[[#This Row],[DiffAmount]]/allFYsTable[[#This Row],[OriginalBudget]]</f>
        <v>-4.8603923030930356E-2</v>
      </c>
    </row>
    <row r="1778" spans="1:12" x14ac:dyDescent="0.45">
      <c r="A1778" t="s">
        <v>1026</v>
      </c>
      <c r="B1778" t="s">
        <v>10</v>
      </c>
      <c r="C1778" t="s">
        <v>813</v>
      </c>
      <c r="D1778" t="s">
        <v>89</v>
      </c>
      <c r="E1778">
        <v>25426</v>
      </c>
      <c r="F1778">
        <v>27935</v>
      </c>
      <c r="G1778">
        <v>27935</v>
      </c>
      <c r="H1778">
        <v>0</v>
      </c>
      <c r="I1778">
        <v>2019</v>
      </c>
      <c r="J1778">
        <v>117</v>
      </c>
      <c r="K1778">
        <f>allFYsTable[[#This Row],[Actual]]-allFYsTable[[#This Row],[OriginalBudget]]</f>
        <v>2509</v>
      </c>
      <c r="L1778" s="11">
        <f>allFYsTable[[#This Row],[DiffAmount]]/allFYsTable[[#This Row],[OriginalBudget]]</f>
        <v>9.8678518052387323E-2</v>
      </c>
    </row>
    <row r="1779" spans="1:12" x14ac:dyDescent="0.45">
      <c r="A1779" t="s">
        <v>1026</v>
      </c>
      <c r="B1779" t="s">
        <v>10</v>
      </c>
      <c r="C1779" t="s">
        <v>812</v>
      </c>
      <c r="D1779" t="s">
        <v>90</v>
      </c>
      <c r="E1779">
        <v>0</v>
      </c>
      <c r="F1779">
        <v>5400</v>
      </c>
      <c r="G1779">
        <v>5400</v>
      </c>
      <c r="H1779">
        <v>0</v>
      </c>
      <c r="I1779">
        <v>2019</v>
      </c>
      <c r="J1779">
        <v>118</v>
      </c>
      <c r="K1779">
        <f>allFYsTable[[#This Row],[Actual]]-allFYsTable[[#This Row],[OriginalBudget]]</f>
        <v>5400</v>
      </c>
      <c r="L1779" s="11" t="e">
        <f>allFYsTable[[#This Row],[DiffAmount]]/allFYsTable[[#This Row],[OriginalBudget]]</f>
        <v>#DIV/0!</v>
      </c>
    </row>
    <row r="1780" spans="1:12" x14ac:dyDescent="0.45">
      <c r="A1780" t="s">
        <v>1026</v>
      </c>
      <c r="B1780" t="s">
        <v>10</v>
      </c>
      <c r="C1780" t="s">
        <v>821</v>
      </c>
      <c r="D1780" t="s">
        <v>199</v>
      </c>
      <c r="E1780">
        <v>51767</v>
      </c>
      <c r="F1780">
        <v>447</v>
      </c>
      <c r="G1780">
        <v>0</v>
      </c>
      <c r="H1780">
        <v>447</v>
      </c>
      <c r="I1780">
        <v>2019</v>
      </c>
      <c r="J1780">
        <v>119</v>
      </c>
      <c r="K1780">
        <f>allFYsTable[[#This Row],[Actual]]-allFYsTable[[#This Row],[OriginalBudget]]</f>
        <v>-51767</v>
      </c>
      <c r="L1780" s="11">
        <f>allFYsTable[[#This Row],[DiffAmount]]/allFYsTable[[#This Row],[OriginalBudget]]</f>
        <v>-1</v>
      </c>
    </row>
    <row r="1781" spans="1:12" x14ac:dyDescent="0.45">
      <c r="A1781" t="s">
        <v>1026</v>
      </c>
      <c r="B1781" t="s">
        <v>10</v>
      </c>
      <c r="C1781" t="s">
        <v>832</v>
      </c>
      <c r="D1781" t="s">
        <v>200</v>
      </c>
      <c r="E1781">
        <v>11844</v>
      </c>
      <c r="F1781">
        <v>11844</v>
      </c>
      <c r="G1781">
        <v>11844</v>
      </c>
      <c r="H1781">
        <v>0</v>
      </c>
      <c r="I1781">
        <v>2019</v>
      </c>
      <c r="J1781">
        <v>120</v>
      </c>
      <c r="K1781">
        <f>allFYsTable[[#This Row],[Actual]]-allFYsTable[[#This Row],[OriginalBudget]]</f>
        <v>0</v>
      </c>
      <c r="L1781" s="11">
        <f>allFYsTable[[#This Row],[DiffAmount]]/allFYsTable[[#This Row],[OriginalBudget]]</f>
        <v>0</v>
      </c>
    </row>
    <row r="1782" spans="1:12" x14ac:dyDescent="0.45">
      <c r="A1782" t="s">
        <v>1026</v>
      </c>
      <c r="B1782" t="s">
        <v>10</v>
      </c>
      <c r="C1782" t="s">
        <v>847</v>
      </c>
      <c r="D1782" t="s">
        <v>92</v>
      </c>
      <c r="E1782">
        <v>0</v>
      </c>
      <c r="F1782">
        <v>1252</v>
      </c>
      <c r="G1782">
        <v>0</v>
      </c>
      <c r="H1782">
        <v>1252</v>
      </c>
      <c r="I1782">
        <v>2019</v>
      </c>
      <c r="J1782">
        <v>121</v>
      </c>
      <c r="K1782">
        <f>allFYsTable[[#This Row],[Actual]]-allFYsTable[[#This Row],[OriginalBudget]]</f>
        <v>0</v>
      </c>
      <c r="L1782" s="11" t="e">
        <f>allFYsTable[[#This Row],[DiffAmount]]/allFYsTable[[#This Row],[OriginalBudget]]</f>
        <v>#DIV/0!</v>
      </c>
    </row>
    <row r="1783" spans="1:12" x14ac:dyDescent="0.45">
      <c r="A1783" t="s">
        <v>1026</v>
      </c>
      <c r="B1783" t="s">
        <v>10</v>
      </c>
      <c r="C1783" t="s">
        <v>816</v>
      </c>
      <c r="D1783" t="s">
        <v>93</v>
      </c>
      <c r="E1783">
        <v>4421</v>
      </c>
      <c r="F1783">
        <v>68238</v>
      </c>
      <c r="G1783">
        <v>68238</v>
      </c>
      <c r="H1783">
        <v>0</v>
      </c>
      <c r="I1783">
        <v>2019</v>
      </c>
      <c r="J1783">
        <v>122</v>
      </c>
      <c r="K1783">
        <f>allFYsTable[[#This Row],[Actual]]-allFYsTable[[#This Row],[OriginalBudget]]</f>
        <v>63817</v>
      </c>
      <c r="L1783" s="11">
        <f>allFYsTable[[#This Row],[DiffAmount]]/allFYsTable[[#This Row],[OriginalBudget]]</f>
        <v>14.43496946392219</v>
      </c>
    </row>
    <row r="1784" spans="1:12" x14ac:dyDescent="0.45">
      <c r="A1784" t="s">
        <v>1026</v>
      </c>
      <c r="B1784" t="s">
        <v>10</v>
      </c>
      <c r="C1784" t="s">
        <v>815</v>
      </c>
      <c r="D1784" t="s">
        <v>95</v>
      </c>
      <c r="E1784">
        <v>2050</v>
      </c>
      <c r="F1784">
        <v>0</v>
      </c>
      <c r="G1784">
        <v>0</v>
      </c>
      <c r="H1784">
        <v>0</v>
      </c>
      <c r="I1784">
        <v>2019</v>
      </c>
      <c r="J1784">
        <v>123</v>
      </c>
      <c r="K1784">
        <f>allFYsTable[[#This Row],[Actual]]-allFYsTable[[#This Row],[OriginalBudget]]</f>
        <v>-2050</v>
      </c>
      <c r="L1784" s="11">
        <f>allFYsTable[[#This Row],[DiffAmount]]/allFYsTable[[#This Row],[OriginalBudget]]</f>
        <v>-1</v>
      </c>
    </row>
    <row r="1785" spans="1:12" x14ac:dyDescent="0.45">
      <c r="A1785" t="s">
        <v>1025</v>
      </c>
      <c r="B1785" t="s">
        <v>11</v>
      </c>
      <c r="C1785" t="s">
        <v>703</v>
      </c>
      <c r="D1785" t="s">
        <v>96</v>
      </c>
      <c r="E1785">
        <v>28217</v>
      </c>
      <c r="F1785">
        <v>26072</v>
      </c>
      <c r="G1785">
        <v>26072</v>
      </c>
      <c r="H1785">
        <v>0</v>
      </c>
      <c r="I1785">
        <v>2020</v>
      </c>
      <c r="J1785">
        <v>1</v>
      </c>
      <c r="K1785">
        <f>allFYsTable[[#This Row],[Actual]]-allFYsTable[[#This Row],[OriginalBudget]]</f>
        <v>-2145</v>
      </c>
      <c r="L1785" s="11">
        <f>allFYsTable[[#This Row],[DiffAmount]]/allFYsTable[[#This Row],[OriginalBudget]]</f>
        <v>-7.6018003331325093E-2</v>
      </c>
    </row>
    <row r="1786" spans="1:12" x14ac:dyDescent="0.45">
      <c r="A1786" t="s">
        <v>1025</v>
      </c>
      <c r="B1786" t="s">
        <v>11</v>
      </c>
      <c r="C1786" t="s">
        <v>723</v>
      </c>
      <c r="D1786" t="s">
        <v>160</v>
      </c>
      <c r="E1786">
        <v>5552</v>
      </c>
      <c r="F1786">
        <v>5552</v>
      </c>
      <c r="G1786">
        <v>5075</v>
      </c>
      <c r="H1786">
        <v>477</v>
      </c>
      <c r="I1786">
        <v>2020</v>
      </c>
      <c r="J1786">
        <v>2</v>
      </c>
      <c r="K1786">
        <f>allFYsTable[[#This Row],[Actual]]-allFYsTable[[#This Row],[OriginalBudget]]</f>
        <v>-477</v>
      </c>
      <c r="L1786" s="11">
        <f>allFYsTable[[#This Row],[DiffAmount]]/allFYsTable[[#This Row],[OriginalBudget]]</f>
        <v>-8.5914985590778092E-2</v>
      </c>
    </row>
    <row r="1787" spans="1:12" x14ac:dyDescent="0.45">
      <c r="A1787" t="s">
        <v>1025</v>
      </c>
      <c r="B1787" t="s">
        <v>11</v>
      </c>
      <c r="C1787" t="s">
        <v>731</v>
      </c>
      <c r="D1787" t="s">
        <v>161</v>
      </c>
      <c r="E1787">
        <v>245</v>
      </c>
      <c r="F1787">
        <v>245</v>
      </c>
      <c r="G1787">
        <v>237</v>
      </c>
      <c r="H1787">
        <v>8</v>
      </c>
      <c r="I1787">
        <v>2020</v>
      </c>
      <c r="J1787">
        <v>3</v>
      </c>
      <c r="K1787">
        <f>allFYsTable[[#This Row],[Actual]]-allFYsTable[[#This Row],[OriginalBudget]]</f>
        <v>-8</v>
      </c>
      <c r="L1787" s="11">
        <f>allFYsTable[[#This Row],[DiffAmount]]/allFYsTable[[#This Row],[OriginalBudget]]</f>
        <v>-3.2653061224489799E-2</v>
      </c>
    </row>
    <row r="1788" spans="1:12" x14ac:dyDescent="0.45">
      <c r="A1788" t="s">
        <v>1025</v>
      </c>
      <c r="B1788" t="s">
        <v>11</v>
      </c>
      <c r="C1788" t="s">
        <v>711</v>
      </c>
      <c r="D1788" t="s">
        <v>162</v>
      </c>
      <c r="E1788">
        <v>1500</v>
      </c>
      <c r="F1788">
        <v>1500</v>
      </c>
      <c r="G1788">
        <v>1154</v>
      </c>
      <c r="H1788">
        <v>346</v>
      </c>
      <c r="I1788">
        <v>2020</v>
      </c>
      <c r="J1788">
        <v>4</v>
      </c>
      <c r="K1788">
        <f>allFYsTable[[#This Row],[Actual]]-allFYsTable[[#This Row],[OriginalBudget]]</f>
        <v>-346</v>
      </c>
      <c r="L1788" s="11">
        <f>allFYsTable[[#This Row],[DiffAmount]]/allFYsTable[[#This Row],[OriginalBudget]]</f>
        <v>-0.23066666666666666</v>
      </c>
    </row>
    <row r="1789" spans="1:12" x14ac:dyDescent="0.45">
      <c r="A1789" t="s">
        <v>1025</v>
      </c>
      <c r="B1789" t="s">
        <v>11</v>
      </c>
      <c r="C1789" t="s">
        <v>707</v>
      </c>
      <c r="D1789" t="s">
        <v>163</v>
      </c>
      <c r="E1789">
        <v>13921</v>
      </c>
      <c r="F1789">
        <v>13626</v>
      </c>
      <c r="G1789">
        <v>13284</v>
      </c>
      <c r="H1789">
        <v>342</v>
      </c>
      <c r="I1789">
        <v>2020</v>
      </c>
      <c r="J1789">
        <v>5</v>
      </c>
      <c r="K1789">
        <f>allFYsTable[[#This Row],[Actual]]-allFYsTable[[#This Row],[OriginalBudget]]</f>
        <v>-637</v>
      </c>
      <c r="L1789" s="11">
        <f>allFYsTable[[#This Row],[DiffAmount]]/allFYsTable[[#This Row],[OriginalBudget]]</f>
        <v>-4.5758207025357371E-2</v>
      </c>
    </row>
    <row r="1790" spans="1:12" x14ac:dyDescent="0.45">
      <c r="A1790" t="s">
        <v>1025</v>
      </c>
      <c r="B1790" t="s">
        <v>11</v>
      </c>
      <c r="C1790" t="s">
        <v>708</v>
      </c>
      <c r="D1790" t="s">
        <v>102</v>
      </c>
      <c r="E1790">
        <v>1657</v>
      </c>
      <c r="F1790">
        <v>1232</v>
      </c>
      <c r="G1790">
        <v>1092</v>
      </c>
      <c r="H1790">
        <v>140</v>
      </c>
      <c r="I1790">
        <v>2020</v>
      </c>
      <c r="J1790">
        <v>6</v>
      </c>
      <c r="K1790">
        <f>allFYsTable[[#This Row],[Actual]]-allFYsTable[[#This Row],[OriginalBudget]]</f>
        <v>-565</v>
      </c>
      <c r="L1790" s="11">
        <f>allFYsTable[[#This Row],[DiffAmount]]/allFYsTable[[#This Row],[OriginalBudget]]</f>
        <v>-0.34097767048883526</v>
      </c>
    </row>
    <row r="1791" spans="1:12" x14ac:dyDescent="0.45">
      <c r="A1791" t="s">
        <v>1025</v>
      </c>
      <c r="B1791" t="s">
        <v>11</v>
      </c>
      <c r="C1791" t="s">
        <v>726</v>
      </c>
      <c r="D1791" t="s">
        <v>103</v>
      </c>
      <c r="E1791">
        <v>3464</v>
      </c>
      <c r="F1791">
        <v>3282</v>
      </c>
      <c r="G1791">
        <v>3139</v>
      </c>
      <c r="H1791">
        <v>143</v>
      </c>
      <c r="I1791">
        <v>2020</v>
      </c>
      <c r="J1791">
        <v>7</v>
      </c>
      <c r="K1791">
        <f>allFYsTable[[#This Row],[Actual]]-allFYsTable[[#This Row],[OriginalBudget]]</f>
        <v>-325</v>
      </c>
      <c r="L1791" s="11">
        <f>allFYsTable[[#This Row],[DiffAmount]]/allFYsTable[[#This Row],[OriginalBudget]]</f>
        <v>-9.3822170900692836E-2</v>
      </c>
    </row>
    <row r="1792" spans="1:12" x14ac:dyDescent="0.45">
      <c r="A1792" t="s">
        <v>1025</v>
      </c>
      <c r="B1792" t="s">
        <v>11</v>
      </c>
      <c r="C1792" t="s">
        <v>725</v>
      </c>
      <c r="D1792" t="s">
        <v>104</v>
      </c>
      <c r="E1792">
        <v>3490</v>
      </c>
      <c r="F1792">
        <v>3604</v>
      </c>
      <c r="G1792">
        <v>3541</v>
      </c>
      <c r="H1792">
        <v>63</v>
      </c>
      <c r="I1792">
        <v>2020</v>
      </c>
      <c r="J1792">
        <v>8</v>
      </c>
      <c r="K1792">
        <f>allFYsTable[[#This Row],[Actual]]-allFYsTable[[#This Row],[OriginalBudget]]</f>
        <v>51</v>
      </c>
      <c r="L1792" s="11">
        <f>allFYsTable[[#This Row],[DiffAmount]]/allFYsTable[[#This Row],[OriginalBudget]]</f>
        <v>1.4613180515759312E-2</v>
      </c>
    </row>
    <row r="1793" spans="1:12" x14ac:dyDescent="0.45">
      <c r="A1793" t="s">
        <v>1025</v>
      </c>
      <c r="B1793" t="s">
        <v>11</v>
      </c>
      <c r="C1793" t="s">
        <v>724</v>
      </c>
      <c r="D1793" t="s">
        <v>105</v>
      </c>
      <c r="E1793">
        <v>16120</v>
      </c>
      <c r="F1793">
        <v>14820</v>
      </c>
      <c r="G1793">
        <v>12779</v>
      </c>
      <c r="H1793">
        <v>2041</v>
      </c>
      <c r="I1793">
        <v>2020</v>
      </c>
      <c r="J1793">
        <v>9</v>
      </c>
      <c r="K1793">
        <f>allFYsTable[[#This Row],[Actual]]-allFYsTable[[#This Row],[OriginalBudget]]</f>
        <v>-3341</v>
      </c>
      <c r="L1793" s="11">
        <f>allFYsTable[[#This Row],[DiffAmount]]/allFYsTable[[#This Row],[OriginalBudget]]</f>
        <v>-0.20725806451612902</v>
      </c>
    </row>
    <row r="1794" spans="1:12" x14ac:dyDescent="0.45">
      <c r="A1794" t="s">
        <v>1025</v>
      </c>
      <c r="B1794" t="s">
        <v>11</v>
      </c>
      <c r="C1794" t="s">
        <v>701</v>
      </c>
      <c r="D1794" t="s">
        <v>106</v>
      </c>
      <c r="E1794">
        <v>2152</v>
      </c>
      <c r="F1794">
        <v>3422</v>
      </c>
      <c r="G1794">
        <v>3296</v>
      </c>
      <c r="H1794">
        <v>126</v>
      </c>
      <c r="I1794">
        <v>2020</v>
      </c>
      <c r="J1794">
        <v>10</v>
      </c>
      <c r="K1794">
        <f>allFYsTable[[#This Row],[Actual]]-allFYsTable[[#This Row],[OriginalBudget]]</f>
        <v>1144</v>
      </c>
      <c r="L1794" s="11">
        <f>allFYsTable[[#This Row],[DiffAmount]]/allFYsTable[[#This Row],[OriginalBudget]]</f>
        <v>0.53159851301115246</v>
      </c>
    </row>
    <row r="1795" spans="1:12" x14ac:dyDescent="0.45">
      <c r="A1795" t="s">
        <v>1025</v>
      </c>
      <c r="B1795" t="s">
        <v>11</v>
      </c>
      <c r="C1795" t="s">
        <v>722</v>
      </c>
      <c r="D1795" t="s">
        <v>164</v>
      </c>
      <c r="E1795">
        <v>10968</v>
      </c>
      <c r="F1795">
        <v>10731</v>
      </c>
      <c r="G1795">
        <v>10253</v>
      </c>
      <c r="H1795">
        <v>478</v>
      </c>
      <c r="I1795">
        <v>2020</v>
      </c>
      <c r="J1795">
        <v>11</v>
      </c>
      <c r="K1795">
        <f>allFYsTable[[#This Row],[Actual]]-allFYsTable[[#This Row],[OriginalBudget]]</f>
        <v>-715</v>
      </c>
      <c r="L1795" s="11">
        <f>allFYsTable[[#This Row],[DiffAmount]]/allFYsTable[[#This Row],[OriginalBudget]]</f>
        <v>-6.5189642596644781E-2</v>
      </c>
    </row>
    <row r="1796" spans="1:12" x14ac:dyDescent="0.45">
      <c r="A1796" t="s">
        <v>1025</v>
      </c>
      <c r="B1796" t="s">
        <v>11</v>
      </c>
      <c r="C1796" t="s">
        <v>704</v>
      </c>
      <c r="D1796" t="s">
        <v>108</v>
      </c>
      <c r="E1796">
        <v>11363</v>
      </c>
      <c r="F1796">
        <v>12081</v>
      </c>
      <c r="G1796">
        <v>11827</v>
      </c>
      <c r="H1796">
        <v>254</v>
      </c>
      <c r="I1796">
        <v>2020</v>
      </c>
      <c r="J1796">
        <v>12</v>
      </c>
      <c r="K1796">
        <f>allFYsTable[[#This Row],[Actual]]-allFYsTable[[#This Row],[OriginalBudget]]</f>
        <v>464</v>
      </c>
      <c r="L1796" s="11">
        <f>allFYsTable[[#This Row],[DiffAmount]]/allFYsTable[[#This Row],[OriginalBudget]]</f>
        <v>4.0834286720056324E-2</v>
      </c>
    </row>
    <row r="1797" spans="1:12" x14ac:dyDescent="0.45">
      <c r="A1797" t="s">
        <v>1025</v>
      </c>
      <c r="B1797" t="s">
        <v>11</v>
      </c>
      <c r="C1797" t="s">
        <v>716</v>
      </c>
      <c r="D1797" t="s">
        <v>109</v>
      </c>
      <c r="E1797">
        <v>28468</v>
      </c>
      <c r="F1797">
        <v>28085</v>
      </c>
      <c r="G1797">
        <v>28016</v>
      </c>
      <c r="H1797">
        <v>69</v>
      </c>
      <c r="I1797">
        <v>2020</v>
      </c>
      <c r="J1797">
        <v>13</v>
      </c>
      <c r="K1797">
        <f>allFYsTable[[#This Row],[Actual]]-allFYsTable[[#This Row],[OriginalBudget]]</f>
        <v>-452</v>
      </c>
      <c r="L1797" s="11">
        <f>allFYsTable[[#This Row],[DiffAmount]]/allFYsTable[[#This Row],[OriginalBudget]]</f>
        <v>-1.5877476464802587E-2</v>
      </c>
    </row>
    <row r="1798" spans="1:12" x14ac:dyDescent="0.45">
      <c r="A1798" t="s">
        <v>1025</v>
      </c>
      <c r="B1798" t="s">
        <v>11</v>
      </c>
      <c r="C1798" t="s">
        <v>705</v>
      </c>
      <c r="D1798" t="s">
        <v>110</v>
      </c>
      <c r="E1798">
        <v>326513</v>
      </c>
      <c r="F1798">
        <v>351970</v>
      </c>
      <c r="G1798">
        <v>349825</v>
      </c>
      <c r="H1798">
        <v>2145</v>
      </c>
      <c r="I1798">
        <v>2020</v>
      </c>
      <c r="J1798">
        <v>14</v>
      </c>
      <c r="K1798">
        <f>allFYsTable[[#This Row],[Actual]]-allFYsTable[[#This Row],[OriginalBudget]]</f>
        <v>23312</v>
      </c>
      <c r="L1798" s="11">
        <f>allFYsTable[[#This Row],[DiffAmount]]/allFYsTable[[#This Row],[OriginalBudget]]</f>
        <v>7.139685096764907E-2</v>
      </c>
    </row>
    <row r="1799" spans="1:12" x14ac:dyDescent="0.45">
      <c r="A1799" t="s">
        <v>1025</v>
      </c>
      <c r="B1799" t="s">
        <v>11</v>
      </c>
      <c r="C1799" t="s">
        <v>713</v>
      </c>
      <c r="D1799" t="s">
        <v>111</v>
      </c>
      <c r="E1799">
        <v>24187</v>
      </c>
      <c r="F1799">
        <v>66029</v>
      </c>
      <c r="G1799">
        <v>65978</v>
      </c>
      <c r="H1799">
        <v>51</v>
      </c>
      <c r="I1799">
        <v>2020</v>
      </c>
      <c r="J1799">
        <v>15</v>
      </c>
      <c r="K1799">
        <f>allFYsTable[[#This Row],[Actual]]-allFYsTable[[#This Row],[OriginalBudget]]</f>
        <v>41791</v>
      </c>
      <c r="L1799" s="11">
        <f>allFYsTable[[#This Row],[DiffAmount]]/allFYsTable[[#This Row],[OriginalBudget]]</f>
        <v>1.7278289990490761</v>
      </c>
    </row>
    <row r="1800" spans="1:12" x14ac:dyDescent="0.45">
      <c r="A1800" t="s">
        <v>1025</v>
      </c>
      <c r="B1800" t="s">
        <v>11</v>
      </c>
      <c r="C1800" t="s">
        <v>702</v>
      </c>
      <c r="D1800" t="s">
        <v>112</v>
      </c>
      <c r="E1800">
        <v>1824</v>
      </c>
      <c r="F1800">
        <v>1762</v>
      </c>
      <c r="G1800">
        <v>1760</v>
      </c>
      <c r="H1800">
        <v>2</v>
      </c>
      <c r="I1800">
        <v>2020</v>
      </c>
      <c r="J1800">
        <v>16</v>
      </c>
      <c r="K1800">
        <f>allFYsTable[[#This Row],[Actual]]-allFYsTable[[#This Row],[OriginalBudget]]</f>
        <v>-64</v>
      </c>
      <c r="L1800" s="11">
        <f>allFYsTable[[#This Row],[DiffAmount]]/allFYsTable[[#This Row],[OriginalBudget]]</f>
        <v>-3.5087719298245612E-2</v>
      </c>
    </row>
    <row r="1801" spans="1:12" x14ac:dyDescent="0.45">
      <c r="A1801" t="s">
        <v>1025</v>
      </c>
      <c r="B1801" t="s">
        <v>11</v>
      </c>
      <c r="C1801" t="s">
        <v>720</v>
      </c>
      <c r="D1801" t="s">
        <v>113</v>
      </c>
      <c r="E1801">
        <v>144908</v>
      </c>
      <c r="F1801">
        <v>142908</v>
      </c>
      <c r="G1801">
        <v>142714</v>
      </c>
      <c r="H1801">
        <v>194</v>
      </c>
      <c r="I1801">
        <v>2020</v>
      </c>
      <c r="J1801">
        <v>17</v>
      </c>
      <c r="K1801">
        <f>allFYsTable[[#This Row],[Actual]]-allFYsTable[[#This Row],[OriginalBudget]]</f>
        <v>-2194</v>
      </c>
      <c r="L1801" s="11">
        <f>allFYsTable[[#This Row],[DiffAmount]]/allFYsTable[[#This Row],[OriginalBudget]]</f>
        <v>-1.5140640958401192E-2</v>
      </c>
    </row>
    <row r="1802" spans="1:12" x14ac:dyDescent="0.45">
      <c r="A1802" t="s">
        <v>1025</v>
      </c>
      <c r="B1802" t="s">
        <v>11</v>
      </c>
      <c r="C1802" t="s">
        <v>719</v>
      </c>
      <c r="D1802" t="s">
        <v>114</v>
      </c>
      <c r="E1802">
        <v>74576</v>
      </c>
      <c r="F1802">
        <v>73057</v>
      </c>
      <c r="G1802">
        <v>72742</v>
      </c>
      <c r="H1802">
        <v>315</v>
      </c>
      <c r="I1802">
        <v>2020</v>
      </c>
      <c r="J1802">
        <v>18</v>
      </c>
      <c r="K1802">
        <f>allFYsTable[[#This Row],[Actual]]-allFYsTable[[#This Row],[OriginalBudget]]</f>
        <v>-1834</v>
      </c>
      <c r="L1802" s="11">
        <f>allFYsTable[[#This Row],[DiffAmount]]/allFYsTable[[#This Row],[OriginalBudget]]</f>
        <v>-2.4592362154044197E-2</v>
      </c>
    </row>
    <row r="1803" spans="1:12" x14ac:dyDescent="0.45">
      <c r="A1803" t="s">
        <v>1025</v>
      </c>
      <c r="B1803" t="s">
        <v>11</v>
      </c>
      <c r="C1803" t="s">
        <v>718</v>
      </c>
      <c r="D1803" t="s">
        <v>115</v>
      </c>
      <c r="E1803">
        <v>4713</v>
      </c>
      <c r="F1803">
        <v>4344</v>
      </c>
      <c r="G1803">
        <v>4083</v>
      </c>
      <c r="H1803">
        <v>261</v>
      </c>
      <c r="I1803">
        <v>2020</v>
      </c>
      <c r="J1803">
        <v>19</v>
      </c>
      <c r="K1803">
        <f>allFYsTable[[#This Row],[Actual]]-allFYsTable[[#This Row],[OriginalBudget]]</f>
        <v>-630</v>
      </c>
      <c r="L1803" s="11">
        <f>allFYsTable[[#This Row],[DiffAmount]]/allFYsTable[[#This Row],[OriginalBudget]]</f>
        <v>-0.13367281985996179</v>
      </c>
    </row>
    <row r="1804" spans="1:12" x14ac:dyDescent="0.45">
      <c r="A1804" t="s">
        <v>1025</v>
      </c>
      <c r="B1804" t="s">
        <v>11</v>
      </c>
      <c r="C1804" t="s">
        <v>714</v>
      </c>
      <c r="D1804" t="s">
        <v>116</v>
      </c>
      <c r="E1804">
        <v>1187</v>
      </c>
      <c r="F1804">
        <v>1135</v>
      </c>
      <c r="G1804">
        <v>1101</v>
      </c>
      <c r="H1804">
        <v>34</v>
      </c>
      <c r="I1804">
        <v>2020</v>
      </c>
      <c r="J1804">
        <v>20</v>
      </c>
      <c r="K1804">
        <f>allFYsTable[[#This Row],[Actual]]-allFYsTable[[#This Row],[OriginalBudget]]</f>
        <v>-86</v>
      </c>
      <c r="L1804" s="11">
        <f>allFYsTable[[#This Row],[DiffAmount]]/allFYsTable[[#This Row],[OriginalBudget]]</f>
        <v>-7.2451558550968825E-2</v>
      </c>
    </row>
    <row r="1805" spans="1:12" x14ac:dyDescent="0.45">
      <c r="A1805" t="s">
        <v>1025</v>
      </c>
      <c r="B1805" t="s">
        <v>11</v>
      </c>
      <c r="C1805" t="s">
        <v>733</v>
      </c>
      <c r="D1805" t="s">
        <v>117</v>
      </c>
      <c r="E1805">
        <v>60</v>
      </c>
      <c r="F1805">
        <v>60</v>
      </c>
      <c r="G1805">
        <v>37</v>
      </c>
      <c r="H1805">
        <v>23</v>
      </c>
      <c r="I1805">
        <v>2020</v>
      </c>
      <c r="J1805">
        <v>21</v>
      </c>
      <c r="K1805">
        <f>allFYsTable[[#This Row],[Actual]]-allFYsTable[[#This Row],[OriginalBudget]]</f>
        <v>-23</v>
      </c>
      <c r="L1805" s="11">
        <f>allFYsTable[[#This Row],[DiffAmount]]/allFYsTable[[#This Row],[OriginalBudget]]</f>
        <v>-0.38333333333333336</v>
      </c>
    </row>
    <row r="1806" spans="1:12" x14ac:dyDescent="0.45">
      <c r="A1806" t="s">
        <v>1025</v>
      </c>
      <c r="B1806" t="s">
        <v>11</v>
      </c>
      <c r="C1806" t="s">
        <v>721</v>
      </c>
      <c r="D1806" t="s">
        <v>118</v>
      </c>
      <c r="E1806">
        <v>75255</v>
      </c>
      <c r="F1806">
        <v>67926</v>
      </c>
      <c r="G1806">
        <v>67881</v>
      </c>
      <c r="H1806">
        <v>45</v>
      </c>
      <c r="I1806">
        <v>2020</v>
      </c>
      <c r="J1806">
        <v>22</v>
      </c>
      <c r="K1806">
        <f>allFYsTable[[#This Row],[Actual]]-allFYsTable[[#This Row],[OriginalBudget]]</f>
        <v>-7374</v>
      </c>
      <c r="L1806" s="11">
        <f>allFYsTable[[#This Row],[DiffAmount]]/allFYsTable[[#This Row],[OriginalBudget]]</f>
        <v>-9.7986844727925057E-2</v>
      </c>
    </row>
    <row r="1807" spans="1:12" x14ac:dyDescent="0.45">
      <c r="A1807" t="s">
        <v>1025</v>
      </c>
      <c r="B1807" t="s">
        <v>11</v>
      </c>
      <c r="C1807" t="s">
        <v>699</v>
      </c>
      <c r="D1807" t="s">
        <v>119</v>
      </c>
      <c r="E1807">
        <v>9608</v>
      </c>
      <c r="F1807">
        <v>9828</v>
      </c>
      <c r="G1807">
        <v>9588</v>
      </c>
      <c r="H1807">
        <v>240</v>
      </c>
      <c r="I1807">
        <v>2020</v>
      </c>
      <c r="J1807">
        <v>23</v>
      </c>
      <c r="K1807">
        <f>allFYsTable[[#This Row],[Actual]]-allFYsTable[[#This Row],[OriginalBudget]]</f>
        <v>-20</v>
      </c>
      <c r="L1807" s="11">
        <f>allFYsTable[[#This Row],[DiffAmount]]/allFYsTable[[#This Row],[OriginalBudget]]</f>
        <v>-2.0815986677768525E-3</v>
      </c>
    </row>
    <row r="1808" spans="1:12" x14ac:dyDescent="0.45">
      <c r="A1808" t="s">
        <v>1025</v>
      </c>
      <c r="B1808" t="s">
        <v>11</v>
      </c>
      <c r="C1808" t="s">
        <v>712</v>
      </c>
      <c r="D1808" t="s">
        <v>120</v>
      </c>
      <c r="E1808">
        <v>7533</v>
      </c>
      <c r="F1808">
        <v>7395</v>
      </c>
      <c r="G1808">
        <v>7167</v>
      </c>
      <c r="H1808">
        <v>228</v>
      </c>
      <c r="I1808">
        <v>2020</v>
      </c>
      <c r="J1808">
        <v>24</v>
      </c>
      <c r="K1808">
        <f>allFYsTable[[#This Row],[Actual]]-allFYsTable[[#This Row],[OriginalBudget]]</f>
        <v>-366</v>
      </c>
      <c r="L1808" s="11">
        <f>allFYsTable[[#This Row],[DiffAmount]]/allFYsTable[[#This Row],[OriginalBudget]]</f>
        <v>-4.8586220629231382E-2</v>
      </c>
    </row>
    <row r="1809" spans="1:12" x14ac:dyDescent="0.45">
      <c r="A1809" t="s">
        <v>1025</v>
      </c>
      <c r="B1809" t="s">
        <v>11</v>
      </c>
      <c r="C1809" t="s">
        <v>730</v>
      </c>
      <c r="D1809" t="s">
        <v>125</v>
      </c>
      <c r="E1809">
        <v>1321</v>
      </c>
      <c r="F1809">
        <v>1193</v>
      </c>
      <c r="G1809">
        <v>1117</v>
      </c>
      <c r="H1809">
        <v>76</v>
      </c>
      <c r="I1809">
        <v>2020</v>
      </c>
      <c r="J1809">
        <v>25</v>
      </c>
      <c r="K1809">
        <f>allFYsTable[[#This Row],[Actual]]-allFYsTable[[#This Row],[OriginalBudget]]</f>
        <v>-204</v>
      </c>
      <c r="L1809" s="11">
        <f>allFYsTable[[#This Row],[DiffAmount]]/allFYsTable[[#This Row],[OriginalBudget]]</f>
        <v>-0.15442846328538987</v>
      </c>
    </row>
    <row r="1810" spans="1:12" x14ac:dyDescent="0.45">
      <c r="A1810" t="s">
        <v>1025</v>
      </c>
      <c r="B1810" t="s">
        <v>11</v>
      </c>
      <c r="C1810" t="s">
        <v>715</v>
      </c>
      <c r="D1810" t="s">
        <v>126</v>
      </c>
      <c r="E1810">
        <v>2236</v>
      </c>
      <c r="F1810">
        <v>2201</v>
      </c>
      <c r="G1810">
        <v>2176</v>
      </c>
      <c r="H1810">
        <v>25</v>
      </c>
      <c r="I1810">
        <v>2020</v>
      </c>
      <c r="J1810">
        <v>26</v>
      </c>
      <c r="K1810">
        <f>allFYsTable[[#This Row],[Actual]]-allFYsTable[[#This Row],[OriginalBudget]]</f>
        <v>-60</v>
      </c>
      <c r="L1810" s="11">
        <f>allFYsTable[[#This Row],[DiffAmount]]/allFYsTable[[#This Row],[OriginalBudget]]</f>
        <v>-2.6833631484794274E-2</v>
      </c>
    </row>
    <row r="1811" spans="1:12" x14ac:dyDescent="0.45">
      <c r="A1811" t="s">
        <v>1025</v>
      </c>
      <c r="B1811" t="s">
        <v>11</v>
      </c>
      <c r="C1811" t="s">
        <v>709</v>
      </c>
      <c r="D1811" t="s">
        <v>127</v>
      </c>
      <c r="E1811">
        <v>554</v>
      </c>
      <c r="F1811">
        <v>554</v>
      </c>
      <c r="G1811">
        <v>554</v>
      </c>
      <c r="H1811">
        <v>0</v>
      </c>
      <c r="I1811">
        <v>2020</v>
      </c>
      <c r="J1811">
        <v>27</v>
      </c>
      <c r="K1811">
        <f>allFYsTable[[#This Row],[Actual]]-allFYsTable[[#This Row],[OriginalBudget]]</f>
        <v>0</v>
      </c>
      <c r="L1811" s="11">
        <f>allFYsTable[[#This Row],[DiffAmount]]/allFYsTable[[#This Row],[OriginalBudget]]</f>
        <v>0</v>
      </c>
    </row>
    <row r="1812" spans="1:12" x14ac:dyDescent="0.45">
      <c r="A1812" t="s">
        <v>1025</v>
      </c>
      <c r="B1812" t="s">
        <v>11</v>
      </c>
      <c r="C1812" t="s">
        <v>700</v>
      </c>
      <c r="D1812" t="s">
        <v>165</v>
      </c>
      <c r="E1812">
        <v>2625</v>
      </c>
      <c r="F1812">
        <v>2554</v>
      </c>
      <c r="G1812">
        <v>2471</v>
      </c>
      <c r="H1812">
        <v>83</v>
      </c>
      <c r="I1812">
        <v>2020</v>
      </c>
      <c r="J1812">
        <v>28</v>
      </c>
      <c r="K1812">
        <f>allFYsTable[[#This Row],[Actual]]-allFYsTable[[#This Row],[OriginalBudget]]</f>
        <v>-154</v>
      </c>
      <c r="L1812" s="11">
        <f>allFYsTable[[#This Row],[DiffAmount]]/allFYsTable[[#This Row],[OriginalBudget]]</f>
        <v>-5.8666666666666666E-2</v>
      </c>
    </row>
    <row r="1813" spans="1:12" x14ac:dyDescent="0.45">
      <c r="A1813" t="s">
        <v>1025</v>
      </c>
      <c r="B1813" t="s">
        <v>11</v>
      </c>
      <c r="C1813" t="s">
        <v>873</v>
      </c>
      <c r="D1813" t="s">
        <v>166</v>
      </c>
      <c r="E1813">
        <v>1000</v>
      </c>
      <c r="F1813">
        <v>76</v>
      </c>
      <c r="G1813">
        <v>76</v>
      </c>
      <c r="H1813">
        <v>0</v>
      </c>
      <c r="I1813">
        <v>2020</v>
      </c>
      <c r="J1813">
        <v>29</v>
      </c>
      <c r="K1813">
        <f>allFYsTable[[#This Row],[Actual]]-allFYsTable[[#This Row],[OriginalBudget]]</f>
        <v>-924</v>
      </c>
      <c r="L1813" s="11">
        <f>allFYsTable[[#This Row],[DiffAmount]]/allFYsTable[[#This Row],[OriginalBudget]]</f>
        <v>-0.92400000000000004</v>
      </c>
    </row>
    <row r="1814" spans="1:12" x14ac:dyDescent="0.45">
      <c r="A1814" t="s">
        <v>1025</v>
      </c>
      <c r="B1814" t="s">
        <v>11</v>
      </c>
      <c r="C1814" t="s">
        <v>865</v>
      </c>
      <c r="D1814" t="s">
        <v>914</v>
      </c>
      <c r="E1814">
        <v>0</v>
      </c>
      <c r="F1814">
        <v>604</v>
      </c>
      <c r="G1814">
        <v>604</v>
      </c>
      <c r="H1814">
        <v>0</v>
      </c>
      <c r="I1814">
        <v>2020</v>
      </c>
      <c r="J1814">
        <v>30</v>
      </c>
      <c r="K1814">
        <f>allFYsTable[[#This Row],[Actual]]-allFYsTable[[#This Row],[OriginalBudget]]</f>
        <v>604</v>
      </c>
      <c r="L1814" s="11" t="e">
        <f>allFYsTable[[#This Row],[DiffAmount]]/allFYsTable[[#This Row],[OriginalBudget]]</f>
        <v>#DIV/0!</v>
      </c>
    </row>
    <row r="1815" spans="1:12" x14ac:dyDescent="0.45">
      <c r="A1815" t="s">
        <v>1025</v>
      </c>
      <c r="B1815" t="s">
        <v>129</v>
      </c>
      <c r="C1815" t="s">
        <v>743</v>
      </c>
      <c r="D1815" t="s">
        <v>167</v>
      </c>
      <c r="E1815">
        <v>26585</v>
      </c>
      <c r="F1815">
        <v>30259</v>
      </c>
      <c r="G1815">
        <v>29778</v>
      </c>
      <c r="H1815">
        <v>481</v>
      </c>
      <c r="I1815">
        <v>2020</v>
      </c>
      <c r="J1815">
        <v>31</v>
      </c>
      <c r="K1815">
        <f>allFYsTable[[#This Row],[Actual]]-allFYsTable[[#This Row],[OriginalBudget]]</f>
        <v>3193</v>
      </c>
      <c r="L1815" s="11">
        <f>allFYsTable[[#This Row],[DiffAmount]]/allFYsTable[[#This Row],[OriginalBudget]]</f>
        <v>0.12010532255031033</v>
      </c>
    </row>
    <row r="1816" spans="1:12" x14ac:dyDescent="0.45">
      <c r="A1816" t="s">
        <v>1025</v>
      </c>
      <c r="B1816" t="s">
        <v>129</v>
      </c>
      <c r="C1816" t="s">
        <v>738</v>
      </c>
      <c r="D1816" t="s">
        <v>22</v>
      </c>
      <c r="E1816">
        <v>15953</v>
      </c>
      <c r="F1816">
        <v>15865</v>
      </c>
      <c r="G1816">
        <v>15660</v>
      </c>
      <c r="H1816">
        <v>205</v>
      </c>
      <c r="I1816">
        <v>2020</v>
      </c>
      <c r="J1816">
        <v>32</v>
      </c>
      <c r="K1816">
        <f>allFYsTable[[#This Row],[Actual]]-allFYsTable[[#This Row],[OriginalBudget]]</f>
        <v>-293</v>
      </c>
      <c r="L1816" s="11">
        <f>allFYsTable[[#This Row],[DiffAmount]]/allFYsTable[[#This Row],[OriginalBudget]]</f>
        <v>-1.8366451451137716E-2</v>
      </c>
    </row>
    <row r="1817" spans="1:12" x14ac:dyDescent="0.45">
      <c r="A1817" t="s">
        <v>1025</v>
      </c>
      <c r="B1817" t="s">
        <v>129</v>
      </c>
      <c r="C1817" t="s">
        <v>742</v>
      </c>
      <c r="D1817" t="s">
        <v>26</v>
      </c>
      <c r="E1817">
        <v>13684</v>
      </c>
      <c r="F1817">
        <v>13191</v>
      </c>
      <c r="G1817">
        <v>12834</v>
      </c>
      <c r="H1817">
        <v>357</v>
      </c>
      <c r="I1817">
        <v>2020</v>
      </c>
      <c r="J1817">
        <v>33</v>
      </c>
      <c r="K1817">
        <f>allFYsTable[[#This Row],[Actual]]-allFYsTable[[#This Row],[OriginalBudget]]</f>
        <v>-850</v>
      </c>
      <c r="L1817" s="11">
        <f>allFYsTable[[#This Row],[DiffAmount]]/allFYsTable[[#This Row],[OriginalBudget]]</f>
        <v>-6.2116340251388485E-2</v>
      </c>
    </row>
    <row r="1818" spans="1:12" x14ac:dyDescent="0.45">
      <c r="A1818" t="s">
        <v>1025</v>
      </c>
      <c r="B1818" t="s">
        <v>129</v>
      </c>
      <c r="C1818" t="s">
        <v>744</v>
      </c>
      <c r="D1818" t="s">
        <v>29</v>
      </c>
      <c r="E1818">
        <v>3311</v>
      </c>
      <c r="F1818">
        <v>3121</v>
      </c>
      <c r="G1818">
        <v>2940</v>
      </c>
      <c r="H1818">
        <v>181</v>
      </c>
      <c r="I1818">
        <v>2020</v>
      </c>
      <c r="J1818">
        <v>34</v>
      </c>
      <c r="K1818">
        <f>allFYsTable[[#This Row],[Actual]]-allFYsTable[[#This Row],[OriginalBudget]]</f>
        <v>-371</v>
      </c>
      <c r="L1818" s="11">
        <f>allFYsTable[[#This Row],[DiffAmount]]/allFYsTable[[#This Row],[OriginalBudget]]</f>
        <v>-0.11205073995771671</v>
      </c>
    </row>
    <row r="1819" spans="1:12" x14ac:dyDescent="0.45">
      <c r="A1819" t="s">
        <v>1025</v>
      </c>
      <c r="B1819" t="s">
        <v>129</v>
      </c>
      <c r="C1819" t="s">
        <v>737</v>
      </c>
      <c r="D1819" t="s">
        <v>21</v>
      </c>
      <c r="E1819">
        <v>31556</v>
      </c>
      <c r="F1819">
        <v>31415</v>
      </c>
      <c r="G1819">
        <v>29053</v>
      </c>
      <c r="H1819">
        <v>2362</v>
      </c>
      <c r="I1819">
        <v>2020</v>
      </c>
      <c r="J1819">
        <v>35</v>
      </c>
      <c r="K1819">
        <f>allFYsTable[[#This Row],[Actual]]-allFYsTable[[#This Row],[OriginalBudget]]</f>
        <v>-2503</v>
      </c>
      <c r="L1819" s="11">
        <f>allFYsTable[[#This Row],[DiffAmount]]/allFYsTable[[#This Row],[OriginalBudget]]</f>
        <v>-7.9319305361896311E-2</v>
      </c>
    </row>
    <row r="1820" spans="1:12" x14ac:dyDescent="0.45">
      <c r="A1820" t="s">
        <v>1025</v>
      </c>
      <c r="B1820" t="s">
        <v>129</v>
      </c>
      <c r="C1820" t="s">
        <v>741</v>
      </c>
      <c r="D1820" t="s">
        <v>25</v>
      </c>
      <c r="E1820">
        <v>1699</v>
      </c>
      <c r="F1820">
        <v>1794</v>
      </c>
      <c r="G1820">
        <v>1788</v>
      </c>
      <c r="H1820">
        <v>6</v>
      </c>
      <c r="I1820">
        <v>2020</v>
      </c>
      <c r="J1820">
        <v>36</v>
      </c>
      <c r="K1820">
        <f>allFYsTable[[#This Row],[Actual]]-allFYsTable[[#This Row],[OriginalBudget]]</f>
        <v>89</v>
      </c>
      <c r="L1820" s="11">
        <f>allFYsTable[[#This Row],[DiffAmount]]/allFYsTable[[#This Row],[OriginalBudget]]</f>
        <v>5.2383755150088286E-2</v>
      </c>
    </row>
    <row r="1821" spans="1:12" x14ac:dyDescent="0.45">
      <c r="A1821" t="s">
        <v>1025</v>
      </c>
      <c r="B1821" t="s">
        <v>129</v>
      </c>
      <c r="C1821" t="s">
        <v>769</v>
      </c>
      <c r="D1821" t="s">
        <v>55</v>
      </c>
      <c r="E1821">
        <v>60401</v>
      </c>
      <c r="F1821">
        <v>57208</v>
      </c>
      <c r="G1821">
        <v>55791</v>
      </c>
      <c r="H1821">
        <v>1417</v>
      </c>
      <c r="I1821">
        <v>2020</v>
      </c>
      <c r="J1821">
        <v>37</v>
      </c>
      <c r="K1821">
        <f>allFYsTable[[#This Row],[Actual]]-allFYsTable[[#This Row],[OriginalBudget]]</f>
        <v>-4610</v>
      </c>
      <c r="L1821" s="11">
        <f>allFYsTable[[#This Row],[DiffAmount]]/allFYsTable[[#This Row],[OriginalBudget]]</f>
        <v>-7.6323239681462221E-2</v>
      </c>
    </row>
    <row r="1822" spans="1:12" x14ac:dyDescent="0.45">
      <c r="A1822" t="s">
        <v>1025</v>
      </c>
      <c r="B1822" t="s">
        <v>129</v>
      </c>
      <c r="C1822" t="s">
        <v>745</v>
      </c>
      <c r="D1822" t="s">
        <v>30</v>
      </c>
      <c r="E1822">
        <v>1784</v>
      </c>
      <c r="F1822">
        <v>1904</v>
      </c>
      <c r="G1822">
        <v>1829</v>
      </c>
      <c r="H1822">
        <v>75</v>
      </c>
      <c r="I1822">
        <v>2020</v>
      </c>
      <c r="J1822">
        <v>38</v>
      </c>
      <c r="K1822">
        <f>allFYsTable[[#This Row],[Actual]]-allFYsTable[[#This Row],[OriginalBudget]]</f>
        <v>45</v>
      </c>
      <c r="L1822" s="11">
        <f>allFYsTable[[#This Row],[DiffAmount]]/allFYsTable[[#This Row],[OriginalBudget]]</f>
        <v>2.5224215246636771E-2</v>
      </c>
    </row>
    <row r="1823" spans="1:12" x14ac:dyDescent="0.45">
      <c r="A1823" t="s">
        <v>1025</v>
      </c>
      <c r="B1823" t="s">
        <v>129</v>
      </c>
      <c r="C1823" t="s">
        <v>797</v>
      </c>
      <c r="D1823" t="s">
        <v>73</v>
      </c>
      <c r="E1823">
        <v>27502</v>
      </c>
      <c r="F1823">
        <v>27152</v>
      </c>
      <c r="G1823">
        <v>26937</v>
      </c>
      <c r="H1823">
        <v>215</v>
      </c>
      <c r="I1823">
        <v>2020</v>
      </c>
      <c r="J1823">
        <v>39</v>
      </c>
      <c r="K1823">
        <f>allFYsTable[[#This Row],[Actual]]-allFYsTable[[#This Row],[OriginalBudget]]</f>
        <v>-565</v>
      </c>
      <c r="L1823" s="11">
        <f>allFYsTable[[#This Row],[DiffAmount]]/allFYsTable[[#This Row],[OriginalBudget]]</f>
        <v>-2.0543960439240783E-2</v>
      </c>
    </row>
    <row r="1824" spans="1:12" x14ac:dyDescent="0.45">
      <c r="A1824" t="s">
        <v>1025</v>
      </c>
      <c r="B1824" t="s">
        <v>129</v>
      </c>
      <c r="C1824" t="s">
        <v>795</v>
      </c>
      <c r="D1824" t="s">
        <v>72</v>
      </c>
      <c r="E1824">
        <v>1170</v>
      </c>
      <c r="F1824">
        <v>1170</v>
      </c>
      <c r="G1824">
        <v>587</v>
      </c>
      <c r="H1824">
        <v>583</v>
      </c>
      <c r="I1824">
        <v>2020</v>
      </c>
      <c r="J1824">
        <v>40</v>
      </c>
      <c r="K1824">
        <f>allFYsTable[[#This Row],[Actual]]-allFYsTable[[#This Row],[OriginalBudget]]</f>
        <v>-583</v>
      </c>
      <c r="L1824" s="11">
        <f>allFYsTable[[#This Row],[DiffAmount]]/allFYsTable[[#This Row],[OriginalBudget]]</f>
        <v>-0.4982905982905983</v>
      </c>
    </row>
    <row r="1825" spans="1:12" x14ac:dyDescent="0.45">
      <c r="A1825" t="s">
        <v>1025</v>
      </c>
      <c r="B1825" t="s">
        <v>129</v>
      </c>
      <c r="C1825" t="s">
        <v>736</v>
      </c>
      <c r="D1825" t="s">
        <v>168</v>
      </c>
      <c r="E1825">
        <v>34022</v>
      </c>
      <c r="F1825">
        <v>33039</v>
      </c>
      <c r="G1825">
        <v>30221</v>
      </c>
      <c r="H1825">
        <v>2818</v>
      </c>
      <c r="I1825">
        <v>2020</v>
      </c>
      <c r="J1825">
        <v>41</v>
      </c>
      <c r="K1825">
        <f>allFYsTable[[#This Row],[Actual]]-allFYsTable[[#This Row],[OriginalBudget]]</f>
        <v>-3801</v>
      </c>
      <c r="L1825" s="11">
        <f>allFYsTable[[#This Row],[DiffAmount]]/allFYsTable[[#This Row],[OriginalBudget]]</f>
        <v>-0.1117218270530833</v>
      </c>
    </row>
    <row r="1826" spans="1:12" x14ac:dyDescent="0.45">
      <c r="A1826" t="s">
        <v>1025</v>
      </c>
      <c r="B1826" t="s">
        <v>129</v>
      </c>
      <c r="C1826" t="s">
        <v>739</v>
      </c>
      <c r="D1826" t="s">
        <v>23</v>
      </c>
      <c r="E1826">
        <v>145361</v>
      </c>
      <c r="F1826">
        <v>154552</v>
      </c>
      <c r="G1826">
        <v>146303</v>
      </c>
      <c r="H1826">
        <v>8249</v>
      </c>
      <c r="I1826">
        <v>2020</v>
      </c>
      <c r="J1826">
        <v>42</v>
      </c>
      <c r="K1826">
        <f>allFYsTable[[#This Row],[Actual]]-allFYsTable[[#This Row],[OriginalBudget]]</f>
        <v>942</v>
      </c>
      <c r="L1826" s="11">
        <f>allFYsTable[[#This Row],[DiffAmount]]/allFYsTable[[#This Row],[OriginalBudget]]</f>
        <v>6.4804177186453035E-3</v>
      </c>
    </row>
    <row r="1827" spans="1:12" x14ac:dyDescent="0.45">
      <c r="A1827" t="s">
        <v>1025</v>
      </c>
      <c r="B1827" t="s">
        <v>129</v>
      </c>
      <c r="C1827" t="s">
        <v>734</v>
      </c>
      <c r="D1827" t="s">
        <v>12</v>
      </c>
      <c r="E1827">
        <v>0</v>
      </c>
      <c r="F1827">
        <v>0</v>
      </c>
      <c r="G1827">
        <v>0</v>
      </c>
      <c r="H1827">
        <v>0</v>
      </c>
      <c r="I1827">
        <v>2020</v>
      </c>
      <c r="J1827">
        <v>43</v>
      </c>
      <c r="K1827">
        <f>allFYsTable[[#This Row],[Actual]]-allFYsTable[[#This Row],[OriginalBudget]]</f>
        <v>0</v>
      </c>
      <c r="L1827" s="11" t="e">
        <f>allFYsTable[[#This Row],[DiffAmount]]/allFYsTable[[#This Row],[OriginalBudget]]</f>
        <v>#DIV/0!</v>
      </c>
    </row>
    <row r="1828" spans="1:12" x14ac:dyDescent="0.45">
      <c r="A1828" t="s">
        <v>1025</v>
      </c>
      <c r="B1828" t="s">
        <v>129</v>
      </c>
      <c r="C1828" t="s">
        <v>740</v>
      </c>
      <c r="D1828" t="s">
        <v>24</v>
      </c>
      <c r="E1828">
        <v>38645</v>
      </c>
      <c r="F1828">
        <v>38645</v>
      </c>
      <c r="G1828">
        <v>38645</v>
      </c>
      <c r="H1828">
        <v>0</v>
      </c>
      <c r="I1828">
        <v>2020</v>
      </c>
      <c r="J1828">
        <v>44</v>
      </c>
      <c r="K1828">
        <f>allFYsTable[[#This Row],[Actual]]-allFYsTable[[#This Row],[OriginalBudget]]</f>
        <v>0</v>
      </c>
      <c r="L1828" s="11">
        <f>allFYsTable[[#This Row],[DiffAmount]]/allFYsTable[[#This Row],[OriginalBudget]]</f>
        <v>0</v>
      </c>
    </row>
    <row r="1829" spans="1:12" x14ac:dyDescent="0.45">
      <c r="A1829" t="s">
        <v>1025</v>
      </c>
      <c r="B1829" t="s">
        <v>129</v>
      </c>
      <c r="C1829" t="s">
        <v>839</v>
      </c>
      <c r="D1829" t="s">
        <v>28</v>
      </c>
      <c r="E1829">
        <v>3524</v>
      </c>
      <c r="F1829">
        <v>3212</v>
      </c>
      <c r="G1829">
        <v>2941</v>
      </c>
      <c r="H1829">
        <v>271</v>
      </c>
      <c r="I1829">
        <v>2020</v>
      </c>
      <c r="J1829">
        <v>45</v>
      </c>
      <c r="K1829">
        <f>allFYsTable[[#This Row],[Actual]]-allFYsTable[[#This Row],[OriginalBudget]]</f>
        <v>-583</v>
      </c>
      <c r="L1829" s="11">
        <f>allFYsTable[[#This Row],[DiffAmount]]/allFYsTable[[#This Row],[OriginalBudget]]</f>
        <v>-0.16543700340522133</v>
      </c>
    </row>
    <row r="1830" spans="1:12" x14ac:dyDescent="0.45">
      <c r="A1830" t="s">
        <v>1025</v>
      </c>
      <c r="B1830" t="s">
        <v>129</v>
      </c>
      <c r="C1830" t="s">
        <v>806</v>
      </c>
      <c r="D1830" t="s">
        <v>82</v>
      </c>
      <c r="E1830">
        <v>0</v>
      </c>
      <c r="F1830">
        <v>0</v>
      </c>
      <c r="G1830">
        <v>0</v>
      </c>
      <c r="H1830">
        <v>0</v>
      </c>
      <c r="I1830">
        <v>2020</v>
      </c>
      <c r="J1830">
        <v>46</v>
      </c>
      <c r="K1830">
        <f>allFYsTable[[#This Row],[Actual]]-allFYsTable[[#This Row],[OriginalBudget]]</f>
        <v>0</v>
      </c>
      <c r="L1830" s="11" t="e">
        <f>allFYsTable[[#This Row],[DiffAmount]]/allFYsTable[[#This Row],[OriginalBudget]]</f>
        <v>#DIV/0!</v>
      </c>
    </row>
    <row r="1831" spans="1:12" x14ac:dyDescent="0.45">
      <c r="A1831" t="s">
        <v>1025</v>
      </c>
      <c r="B1831" t="s">
        <v>129</v>
      </c>
      <c r="C1831" t="s">
        <v>800</v>
      </c>
      <c r="D1831" t="s">
        <v>76</v>
      </c>
      <c r="E1831">
        <v>0</v>
      </c>
      <c r="F1831">
        <v>0</v>
      </c>
      <c r="G1831">
        <v>0</v>
      </c>
      <c r="H1831">
        <v>0</v>
      </c>
      <c r="I1831">
        <v>2020</v>
      </c>
      <c r="J1831">
        <v>47</v>
      </c>
      <c r="K1831">
        <f>allFYsTable[[#This Row],[Actual]]-allFYsTable[[#This Row],[OriginalBudget]]</f>
        <v>0</v>
      </c>
      <c r="L1831" s="11" t="e">
        <f>allFYsTable[[#This Row],[DiffAmount]]/allFYsTable[[#This Row],[OriginalBudget]]</f>
        <v>#DIV/0!</v>
      </c>
    </row>
    <row r="1832" spans="1:12" x14ac:dyDescent="0.45">
      <c r="A1832" t="s">
        <v>1025</v>
      </c>
      <c r="B1832" t="s">
        <v>129</v>
      </c>
      <c r="C1832" t="s">
        <v>805</v>
      </c>
      <c r="D1832" t="s">
        <v>81</v>
      </c>
      <c r="E1832">
        <v>689</v>
      </c>
      <c r="F1832">
        <v>615</v>
      </c>
      <c r="G1832">
        <v>607</v>
      </c>
      <c r="H1832">
        <v>8</v>
      </c>
      <c r="I1832">
        <v>2020</v>
      </c>
      <c r="J1832">
        <v>48</v>
      </c>
      <c r="K1832">
        <f>allFYsTable[[#This Row],[Actual]]-allFYsTable[[#This Row],[OriginalBudget]]</f>
        <v>-82</v>
      </c>
      <c r="L1832" s="11">
        <f>allFYsTable[[#This Row],[DiffAmount]]/allFYsTable[[#This Row],[OriginalBudget]]</f>
        <v>-0.11901306240928883</v>
      </c>
    </row>
    <row r="1833" spans="1:12" x14ac:dyDescent="0.45">
      <c r="A1833" t="s">
        <v>1025</v>
      </c>
      <c r="B1833" t="s">
        <v>129</v>
      </c>
      <c r="C1833" t="s">
        <v>735</v>
      </c>
      <c r="D1833" t="s">
        <v>31</v>
      </c>
      <c r="E1833">
        <v>1398</v>
      </c>
      <c r="F1833">
        <v>1333</v>
      </c>
      <c r="G1833">
        <v>1258</v>
      </c>
      <c r="H1833">
        <v>75</v>
      </c>
      <c r="I1833">
        <v>2020</v>
      </c>
      <c r="J1833">
        <v>49</v>
      </c>
      <c r="K1833">
        <f>allFYsTable[[#This Row],[Actual]]-allFYsTable[[#This Row],[OriginalBudget]]</f>
        <v>-140</v>
      </c>
      <c r="L1833" s="11">
        <f>allFYsTable[[#This Row],[DiffAmount]]/allFYsTable[[#This Row],[OriginalBudget]]</f>
        <v>-0.10014306151645208</v>
      </c>
    </row>
    <row r="1834" spans="1:12" x14ac:dyDescent="0.45">
      <c r="A1834" t="s">
        <v>1025</v>
      </c>
      <c r="B1834" t="s">
        <v>6</v>
      </c>
      <c r="C1834" t="s">
        <v>758</v>
      </c>
      <c r="D1834" t="s">
        <v>44</v>
      </c>
      <c r="E1834">
        <v>515374</v>
      </c>
      <c r="F1834">
        <v>448389</v>
      </c>
      <c r="G1834">
        <v>445416</v>
      </c>
      <c r="H1834">
        <v>2973</v>
      </c>
      <c r="I1834">
        <v>2020</v>
      </c>
      <c r="J1834">
        <v>50</v>
      </c>
      <c r="K1834">
        <f>allFYsTable[[#This Row],[Actual]]-allFYsTable[[#This Row],[OriginalBudget]]</f>
        <v>-69958</v>
      </c>
      <c r="L1834" s="11">
        <f>allFYsTable[[#This Row],[DiffAmount]]/allFYsTable[[#This Row],[OriginalBudget]]</f>
        <v>-0.13574219886917074</v>
      </c>
    </row>
    <row r="1835" spans="1:12" x14ac:dyDescent="0.45">
      <c r="A1835" t="s">
        <v>1025</v>
      </c>
      <c r="B1835" t="s">
        <v>6</v>
      </c>
      <c r="C1835" t="s">
        <v>755</v>
      </c>
      <c r="D1835" t="s">
        <v>131</v>
      </c>
      <c r="E1835">
        <v>279539</v>
      </c>
      <c r="F1835">
        <v>225098</v>
      </c>
      <c r="G1835">
        <v>219955</v>
      </c>
      <c r="H1835">
        <v>5143</v>
      </c>
      <c r="I1835">
        <v>2020</v>
      </c>
      <c r="J1835">
        <v>51</v>
      </c>
      <c r="K1835">
        <f>allFYsTable[[#This Row],[Actual]]-allFYsTable[[#This Row],[OriginalBudget]]</f>
        <v>-59584</v>
      </c>
      <c r="L1835" s="11">
        <f>allFYsTable[[#This Row],[DiffAmount]]/allFYsTable[[#This Row],[OriginalBudget]]</f>
        <v>-0.21315093779401084</v>
      </c>
    </row>
    <row r="1836" spans="1:12" x14ac:dyDescent="0.45">
      <c r="A1836" t="s">
        <v>1025</v>
      </c>
      <c r="B1836" t="s">
        <v>6</v>
      </c>
      <c r="C1836" t="s">
        <v>768</v>
      </c>
      <c r="D1836" t="s">
        <v>132</v>
      </c>
      <c r="E1836">
        <v>93061</v>
      </c>
      <c r="F1836">
        <v>93061</v>
      </c>
      <c r="G1836">
        <v>93061</v>
      </c>
      <c r="H1836">
        <v>0</v>
      </c>
      <c r="I1836">
        <v>2020</v>
      </c>
      <c r="J1836">
        <v>52</v>
      </c>
      <c r="K1836">
        <f>allFYsTable[[#This Row],[Actual]]-allFYsTable[[#This Row],[OriginalBudget]]</f>
        <v>0</v>
      </c>
      <c r="L1836" s="11">
        <f>allFYsTable[[#This Row],[DiffAmount]]/allFYsTable[[#This Row],[OriginalBudget]]</f>
        <v>0</v>
      </c>
    </row>
    <row r="1837" spans="1:12" x14ac:dyDescent="0.45">
      <c r="A1837" t="s">
        <v>1025</v>
      </c>
      <c r="B1837" t="s">
        <v>6</v>
      </c>
      <c r="C1837" t="s">
        <v>759</v>
      </c>
      <c r="D1837" t="s">
        <v>133</v>
      </c>
      <c r="E1837">
        <v>10285</v>
      </c>
      <c r="F1837">
        <v>9904</v>
      </c>
      <c r="G1837">
        <v>9726</v>
      </c>
      <c r="H1837">
        <v>178</v>
      </c>
      <c r="I1837">
        <v>2020</v>
      </c>
      <c r="J1837">
        <v>53</v>
      </c>
      <c r="K1837">
        <f>allFYsTable[[#This Row],[Actual]]-allFYsTable[[#This Row],[OriginalBudget]]</f>
        <v>-559</v>
      </c>
      <c r="L1837" s="11">
        <f>allFYsTable[[#This Row],[DiffAmount]]/allFYsTable[[#This Row],[OriginalBudget]]</f>
        <v>-5.4350996596985904E-2</v>
      </c>
    </row>
    <row r="1838" spans="1:12" x14ac:dyDescent="0.45">
      <c r="A1838" t="s">
        <v>1025</v>
      </c>
      <c r="B1838" t="s">
        <v>6</v>
      </c>
      <c r="C1838" t="s">
        <v>749</v>
      </c>
      <c r="D1838" t="s">
        <v>35</v>
      </c>
      <c r="E1838">
        <v>1474</v>
      </c>
      <c r="F1838">
        <v>1242</v>
      </c>
      <c r="G1838">
        <v>1242</v>
      </c>
      <c r="H1838">
        <v>0</v>
      </c>
      <c r="I1838">
        <v>2020</v>
      </c>
      <c r="J1838">
        <v>54</v>
      </c>
      <c r="K1838">
        <f>allFYsTable[[#This Row],[Actual]]-allFYsTable[[#This Row],[OriginalBudget]]</f>
        <v>-232</v>
      </c>
      <c r="L1838" s="11">
        <f>allFYsTable[[#This Row],[DiffAmount]]/allFYsTable[[#This Row],[OriginalBudget]]</f>
        <v>-0.15739484396200815</v>
      </c>
    </row>
    <row r="1839" spans="1:12" x14ac:dyDescent="0.45">
      <c r="A1839" t="s">
        <v>1025</v>
      </c>
      <c r="B1839" t="s">
        <v>6</v>
      </c>
      <c r="C1839" t="s">
        <v>747</v>
      </c>
      <c r="D1839" t="s">
        <v>33</v>
      </c>
      <c r="E1839">
        <v>736</v>
      </c>
      <c r="F1839">
        <v>744</v>
      </c>
      <c r="G1839">
        <v>744</v>
      </c>
      <c r="H1839">
        <v>0</v>
      </c>
      <c r="I1839">
        <v>2020</v>
      </c>
      <c r="J1839">
        <v>55</v>
      </c>
      <c r="K1839">
        <f>allFYsTable[[#This Row],[Actual]]-allFYsTable[[#This Row],[OriginalBudget]]</f>
        <v>8</v>
      </c>
      <c r="L1839" s="11">
        <f>allFYsTable[[#This Row],[DiffAmount]]/allFYsTable[[#This Row],[OriginalBudget]]</f>
        <v>1.0869565217391304E-2</v>
      </c>
    </row>
    <row r="1840" spans="1:12" x14ac:dyDescent="0.45">
      <c r="A1840" t="s">
        <v>1025</v>
      </c>
      <c r="B1840" t="s">
        <v>6</v>
      </c>
      <c r="C1840" t="s">
        <v>750</v>
      </c>
      <c r="D1840" t="s">
        <v>36</v>
      </c>
      <c r="E1840">
        <v>152936</v>
      </c>
      <c r="F1840">
        <v>126870</v>
      </c>
      <c r="G1840">
        <v>126407</v>
      </c>
      <c r="H1840">
        <v>463</v>
      </c>
      <c r="I1840">
        <v>2020</v>
      </c>
      <c r="J1840">
        <v>56</v>
      </c>
      <c r="K1840">
        <f>allFYsTable[[#This Row],[Actual]]-allFYsTable[[#This Row],[OriginalBudget]]</f>
        <v>-26529</v>
      </c>
      <c r="L1840" s="11">
        <f>allFYsTable[[#This Row],[DiffAmount]]/allFYsTable[[#This Row],[OriginalBudget]]</f>
        <v>-0.17346471726735366</v>
      </c>
    </row>
    <row r="1841" spans="1:12" x14ac:dyDescent="0.45">
      <c r="A1841" t="s">
        <v>1025</v>
      </c>
      <c r="B1841" t="s">
        <v>6</v>
      </c>
      <c r="C1841" t="s">
        <v>764</v>
      </c>
      <c r="D1841" t="s">
        <v>50</v>
      </c>
      <c r="E1841">
        <v>12945</v>
      </c>
      <c r="F1841">
        <v>10384</v>
      </c>
      <c r="G1841">
        <v>10283</v>
      </c>
      <c r="H1841">
        <v>101</v>
      </c>
      <c r="I1841">
        <v>2020</v>
      </c>
      <c r="J1841">
        <v>57</v>
      </c>
      <c r="K1841">
        <f>allFYsTable[[#This Row],[Actual]]-allFYsTable[[#This Row],[OriginalBudget]]</f>
        <v>-2662</v>
      </c>
      <c r="L1841" s="11">
        <f>allFYsTable[[#This Row],[DiffAmount]]/allFYsTable[[#This Row],[OriginalBudget]]</f>
        <v>-0.20563924295094632</v>
      </c>
    </row>
    <row r="1842" spans="1:12" x14ac:dyDescent="0.45">
      <c r="A1842" t="s">
        <v>1025</v>
      </c>
      <c r="B1842" t="s">
        <v>6</v>
      </c>
      <c r="C1842" t="s">
        <v>753</v>
      </c>
      <c r="D1842" t="s">
        <v>169</v>
      </c>
      <c r="E1842">
        <v>4938</v>
      </c>
      <c r="F1842">
        <v>4575</v>
      </c>
      <c r="G1842">
        <v>4348</v>
      </c>
      <c r="H1842">
        <v>227</v>
      </c>
      <c r="I1842">
        <v>2020</v>
      </c>
      <c r="J1842">
        <v>58</v>
      </c>
      <c r="K1842">
        <f>allFYsTable[[#This Row],[Actual]]-allFYsTable[[#This Row],[OriginalBudget]]</f>
        <v>-590</v>
      </c>
      <c r="L1842" s="11">
        <f>allFYsTable[[#This Row],[DiffAmount]]/allFYsTable[[#This Row],[OriginalBudget]]</f>
        <v>-0.11948157148643175</v>
      </c>
    </row>
    <row r="1843" spans="1:12" x14ac:dyDescent="0.45">
      <c r="A1843" t="s">
        <v>1025</v>
      </c>
      <c r="B1843" t="s">
        <v>6</v>
      </c>
      <c r="C1843" t="s">
        <v>756</v>
      </c>
      <c r="D1843" t="s">
        <v>42</v>
      </c>
      <c r="E1843">
        <v>5497</v>
      </c>
      <c r="F1843">
        <v>5623</v>
      </c>
      <c r="G1843">
        <v>5322</v>
      </c>
      <c r="H1843">
        <v>301</v>
      </c>
      <c r="I1843">
        <v>2020</v>
      </c>
      <c r="J1843">
        <v>59</v>
      </c>
      <c r="K1843">
        <f>allFYsTable[[#This Row],[Actual]]-allFYsTable[[#This Row],[OriginalBudget]]</f>
        <v>-175</v>
      </c>
      <c r="L1843" s="11">
        <f>allFYsTable[[#This Row],[DiffAmount]]/allFYsTable[[#This Row],[OriginalBudget]]</f>
        <v>-3.1835546661815539E-2</v>
      </c>
    </row>
    <row r="1844" spans="1:12" x14ac:dyDescent="0.45">
      <c r="A1844" t="s">
        <v>1025</v>
      </c>
      <c r="B1844" t="s">
        <v>6</v>
      </c>
      <c r="C1844" t="s">
        <v>746</v>
      </c>
      <c r="D1844" t="s">
        <v>32</v>
      </c>
      <c r="E1844">
        <v>35</v>
      </c>
      <c r="F1844">
        <v>35</v>
      </c>
      <c r="G1844">
        <v>35</v>
      </c>
      <c r="H1844">
        <v>0</v>
      </c>
      <c r="I1844">
        <v>2020</v>
      </c>
      <c r="J1844">
        <v>60</v>
      </c>
      <c r="K1844">
        <f>allFYsTable[[#This Row],[Actual]]-allFYsTable[[#This Row],[OriginalBudget]]</f>
        <v>0</v>
      </c>
      <c r="L1844" s="11">
        <f>allFYsTable[[#This Row],[DiffAmount]]/allFYsTable[[#This Row],[OriginalBudget]]</f>
        <v>0</v>
      </c>
    </row>
    <row r="1845" spans="1:12" x14ac:dyDescent="0.45">
      <c r="A1845" t="s">
        <v>1025</v>
      </c>
      <c r="B1845" t="s">
        <v>6</v>
      </c>
      <c r="C1845" t="s">
        <v>757</v>
      </c>
      <c r="D1845" t="s">
        <v>43</v>
      </c>
      <c r="E1845">
        <v>8</v>
      </c>
      <c r="F1845">
        <v>8</v>
      </c>
      <c r="G1845">
        <v>8</v>
      </c>
      <c r="H1845">
        <v>0</v>
      </c>
      <c r="I1845">
        <v>2020</v>
      </c>
      <c r="J1845">
        <v>61</v>
      </c>
      <c r="K1845">
        <f>allFYsTable[[#This Row],[Actual]]-allFYsTable[[#This Row],[OriginalBudget]]</f>
        <v>0</v>
      </c>
      <c r="L1845" s="11">
        <f>allFYsTable[[#This Row],[DiffAmount]]/allFYsTable[[#This Row],[OriginalBudget]]</f>
        <v>0</v>
      </c>
    </row>
    <row r="1846" spans="1:12" x14ac:dyDescent="0.45">
      <c r="A1846" t="s">
        <v>1025</v>
      </c>
      <c r="B1846" t="s">
        <v>6</v>
      </c>
      <c r="C1846" t="s">
        <v>762</v>
      </c>
      <c r="D1846" t="s">
        <v>48</v>
      </c>
      <c r="E1846">
        <v>2791</v>
      </c>
      <c r="F1846">
        <v>2589</v>
      </c>
      <c r="G1846">
        <v>2495</v>
      </c>
      <c r="H1846">
        <v>94</v>
      </c>
      <c r="I1846">
        <v>2020</v>
      </c>
      <c r="J1846">
        <v>62</v>
      </c>
      <c r="K1846">
        <f>allFYsTable[[#This Row],[Actual]]-allFYsTable[[#This Row],[OriginalBudget]]</f>
        <v>-296</v>
      </c>
      <c r="L1846" s="11">
        <f>allFYsTable[[#This Row],[DiffAmount]]/allFYsTable[[#This Row],[OriginalBudget]]</f>
        <v>-0.10605517735578646</v>
      </c>
    </row>
    <row r="1847" spans="1:12" x14ac:dyDescent="0.45">
      <c r="A1847" t="s">
        <v>1025</v>
      </c>
      <c r="B1847" t="s">
        <v>6</v>
      </c>
      <c r="C1847" t="s">
        <v>766</v>
      </c>
      <c r="D1847" t="s">
        <v>52</v>
      </c>
      <c r="E1847">
        <v>32260</v>
      </c>
      <c r="F1847">
        <v>30325</v>
      </c>
      <c r="G1847">
        <v>30306</v>
      </c>
      <c r="H1847">
        <v>19</v>
      </c>
      <c r="I1847">
        <v>2020</v>
      </c>
      <c r="J1847">
        <v>63</v>
      </c>
      <c r="K1847">
        <f>allFYsTable[[#This Row],[Actual]]-allFYsTable[[#This Row],[OriginalBudget]]</f>
        <v>-1954</v>
      </c>
      <c r="L1847" s="11">
        <f>allFYsTable[[#This Row],[DiffAmount]]/allFYsTable[[#This Row],[OriginalBudget]]</f>
        <v>-6.0570365778053317E-2</v>
      </c>
    </row>
    <row r="1848" spans="1:12" x14ac:dyDescent="0.45">
      <c r="A1848" t="s">
        <v>1025</v>
      </c>
      <c r="B1848" t="s">
        <v>6</v>
      </c>
      <c r="C1848" t="s">
        <v>767</v>
      </c>
      <c r="D1848" t="s">
        <v>53</v>
      </c>
      <c r="E1848">
        <v>38052</v>
      </c>
      <c r="F1848">
        <v>35989</v>
      </c>
      <c r="G1848">
        <v>35416</v>
      </c>
      <c r="H1848">
        <v>573</v>
      </c>
      <c r="I1848">
        <v>2020</v>
      </c>
      <c r="J1848">
        <v>64</v>
      </c>
      <c r="K1848">
        <f>allFYsTable[[#This Row],[Actual]]-allFYsTable[[#This Row],[OriginalBudget]]</f>
        <v>-2636</v>
      </c>
      <c r="L1848" s="11">
        <f>allFYsTable[[#This Row],[DiffAmount]]/allFYsTable[[#This Row],[OriginalBudget]]</f>
        <v>-6.9273625565016289E-2</v>
      </c>
    </row>
    <row r="1849" spans="1:12" x14ac:dyDescent="0.45">
      <c r="A1849" t="s">
        <v>1025</v>
      </c>
      <c r="B1849" t="s">
        <v>6</v>
      </c>
      <c r="C1849" t="s">
        <v>754</v>
      </c>
      <c r="D1849" t="s">
        <v>170</v>
      </c>
      <c r="E1849">
        <v>1267</v>
      </c>
      <c r="F1849">
        <v>1119</v>
      </c>
      <c r="G1849">
        <v>1106</v>
      </c>
      <c r="H1849">
        <v>13</v>
      </c>
      <c r="I1849">
        <v>2020</v>
      </c>
      <c r="J1849">
        <v>65</v>
      </c>
      <c r="K1849">
        <f>allFYsTable[[#This Row],[Actual]]-allFYsTable[[#This Row],[OriginalBudget]]</f>
        <v>-161</v>
      </c>
      <c r="L1849" s="11">
        <f>allFYsTable[[#This Row],[DiffAmount]]/allFYsTable[[#This Row],[OriginalBudget]]</f>
        <v>-0.1270718232044199</v>
      </c>
    </row>
    <row r="1850" spans="1:12" x14ac:dyDescent="0.45">
      <c r="A1850" t="s">
        <v>1025</v>
      </c>
      <c r="B1850" t="s">
        <v>6</v>
      </c>
      <c r="C1850" t="s">
        <v>765</v>
      </c>
      <c r="D1850" t="s">
        <v>51</v>
      </c>
      <c r="E1850">
        <v>1571</v>
      </c>
      <c r="F1850">
        <v>1483</v>
      </c>
      <c r="G1850">
        <v>1457</v>
      </c>
      <c r="H1850">
        <v>26</v>
      </c>
      <c r="I1850">
        <v>2020</v>
      </c>
      <c r="J1850">
        <v>66</v>
      </c>
      <c r="K1850">
        <f>allFYsTable[[#This Row],[Actual]]-allFYsTable[[#This Row],[OriginalBudget]]</f>
        <v>-114</v>
      </c>
      <c r="L1850" s="11">
        <f>allFYsTable[[#This Row],[DiffAmount]]/allFYsTable[[#This Row],[OriginalBudget]]</f>
        <v>-7.2565245066836412E-2</v>
      </c>
    </row>
    <row r="1851" spans="1:12" x14ac:dyDescent="0.45">
      <c r="A1851" t="s">
        <v>1025</v>
      </c>
      <c r="B1851" t="s">
        <v>6</v>
      </c>
      <c r="C1851" t="s">
        <v>751</v>
      </c>
      <c r="D1851" t="s">
        <v>37</v>
      </c>
      <c r="E1851">
        <v>28057</v>
      </c>
      <c r="F1851">
        <v>27378</v>
      </c>
      <c r="G1851">
        <v>27227</v>
      </c>
      <c r="H1851">
        <v>151</v>
      </c>
      <c r="I1851">
        <v>2020</v>
      </c>
      <c r="J1851">
        <v>67</v>
      </c>
      <c r="K1851">
        <f>allFYsTable[[#This Row],[Actual]]-allFYsTable[[#This Row],[OriginalBudget]]</f>
        <v>-830</v>
      </c>
      <c r="L1851" s="11">
        <f>allFYsTable[[#This Row],[DiffAmount]]/allFYsTable[[#This Row],[OriginalBudget]]</f>
        <v>-2.9582635349467156E-2</v>
      </c>
    </row>
    <row r="1852" spans="1:12" x14ac:dyDescent="0.45">
      <c r="A1852" t="s">
        <v>1025</v>
      </c>
      <c r="B1852" t="s">
        <v>6</v>
      </c>
      <c r="C1852" t="s">
        <v>748</v>
      </c>
      <c r="D1852" t="s">
        <v>34</v>
      </c>
      <c r="E1852">
        <v>723</v>
      </c>
      <c r="F1852">
        <v>640</v>
      </c>
      <c r="G1852">
        <v>638</v>
      </c>
      <c r="H1852">
        <v>2</v>
      </c>
      <c r="I1852">
        <v>2020</v>
      </c>
      <c r="J1852">
        <v>68</v>
      </c>
      <c r="K1852">
        <f>allFYsTable[[#This Row],[Actual]]-allFYsTable[[#This Row],[OriginalBudget]]</f>
        <v>-85</v>
      </c>
      <c r="L1852" s="11">
        <f>allFYsTable[[#This Row],[DiffAmount]]/allFYsTable[[#This Row],[OriginalBudget]]</f>
        <v>-0.11756569847856155</v>
      </c>
    </row>
    <row r="1853" spans="1:12" x14ac:dyDescent="0.45">
      <c r="A1853" t="s">
        <v>1025</v>
      </c>
      <c r="B1853" t="s">
        <v>6</v>
      </c>
      <c r="C1853" t="s">
        <v>761</v>
      </c>
      <c r="D1853" t="s">
        <v>171</v>
      </c>
      <c r="E1853">
        <v>7579</v>
      </c>
      <c r="F1853">
        <v>7472</v>
      </c>
      <c r="G1853">
        <v>7301</v>
      </c>
      <c r="H1853">
        <v>171</v>
      </c>
      <c r="I1853">
        <v>2020</v>
      </c>
      <c r="J1853">
        <v>69</v>
      </c>
      <c r="K1853">
        <f>allFYsTable[[#This Row],[Actual]]-allFYsTable[[#This Row],[OriginalBudget]]</f>
        <v>-278</v>
      </c>
      <c r="L1853" s="11">
        <f>allFYsTable[[#This Row],[DiffAmount]]/allFYsTable[[#This Row],[OriginalBudget]]</f>
        <v>-3.6680300831244225E-2</v>
      </c>
    </row>
    <row r="1854" spans="1:12" x14ac:dyDescent="0.45">
      <c r="A1854" t="s">
        <v>1025</v>
      </c>
      <c r="B1854" t="s">
        <v>136</v>
      </c>
      <c r="C1854" t="s">
        <v>773</v>
      </c>
      <c r="D1854" t="s">
        <v>60</v>
      </c>
      <c r="E1854">
        <v>902523</v>
      </c>
      <c r="F1854">
        <v>913577</v>
      </c>
      <c r="G1854">
        <v>912452</v>
      </c>
      <c r="H1854">
        <v>1125</v>
      </c>
      <c r="I1854">
        <v>2020</v>
      </c>
      <c r="J1854">
        <v>70</v>
      </c>
      <c r="K1854">
        <f>allFYsTable[[#This Row],[Actual]]-allFYsTable[[#This Row],[OriginalBudget]]</f>
        <v>9929</v>
      </c>
      <c r="L1854" s="11">
        <f>allFYsTable[[#This Row],[DiffAmount]]/allFYsTable[[#This Row],[OriginalBudget]]</f>
        <v>1.1001381682239677E-2</v>
      </c>
    </row>
    <row r="1855" spans="1:12" x14ac:dyDescent="0.45">
      <c r="A1855" t="s">
        <v>1025</v>
      </c>
      <c r="B1855" t="s">
        <v>136</v>
      </c>
      <c r="C1855" t="s">
        <v>870</v>
      </c>
      <c r="D1855" t="s">
        <v>172</v>
      </c>
      <c r="E1855">
        <v>0</v>
      </c>
      <c r="F1855">
        <v>13350</v>
      </c>
      <c r="G1855">
        <v>13350</v>
      </c>
      <c r="H1855">
        <v>0</v>
      </c>
      <c r="I1855">
        <v>2020</v>
      </c>
      <c r="J1855">
        <v>71</v>
      </c>
      <c r="K1855">
        <f>allFYsTable[[#This Row],[Actual]]-allFYsTable[[#This Row],[OriginalBudget]]</f>
        <v>13350</v>
      </c>
      <c r="L1855" s="11" t="e">
        <f>allFYsTable[[#This Row],[DiffAmount]]/allFYsTable[[#This Row],[OriginalBudget]]</f>
        <v>#DIV/0!</v>
      </c>
    </row>
    <row r="1856" spans="1:12" x14ac:dyDescent="0.45">
      <c r="A1856" t="s">
        <v>1025</v>
      </c>
      <c r="B1856" t="s">
        <v>136</v>
      </c>
      <c r="C1856" t="s">
        <v>772</v>
      </c>
      <c r="D1856" t="s">
        <v>173</v>
      </c>
      <c r="E1856">
        <v>904769</v>
      </c>
      <c r="F1856">
        <v>595887</v>
      </c>
      <c r="G1856">
        <v>595887</v>
      </c>
      <c r="H1856">
        <v>0</v>
      </c>
      <c r="I1856">
        <v>2020</v>
      </c>
      <c r="J1856">
        <v>72</v>
      </c>
      <c r="K1856">
        <f>allFYsTable[[#This Row],[Actual]]-allFYsTable[[#This Row],[OriginalBudget]]</f>
        <v>-308882</v>
      </c>
      <c r="L1856" s="11">
        <f>allFYsTable[[#This Row],[DiffAmount]]/allFYsTable[[#This Row],[OriginalBudget]]</f>
        <v>-0.34139321749529439</v>
      </c>
    </row>
    <row r="1857" spans="1:12" x14ac:dyDescent="0.45">
      <c r="A1857" t="s">
        <v>1025</v>
      </c>
      <c r="B1857" t="s">
        <v>136</v>
      </c>
      <c r="C1857" t="s">
        <v>869</v>
      </c>
      <c r="D1857" t="s">
        <v>174</v>
      </c>
      <c r="E1857">
        <v>0</v>
      </c>
      <c r="F1857">
        <v>325762</v>
      </c>
      <c r="G1857">
        <v>325762</v>
      </c>
      <c r="H1857">
        <v>0</v>
      </c>
      <c r="I1857">
        <v>2020</v>
      </c>
      <c r="J1857">
        <v>73</v>
      </c>
      <c r="K1857">
        <f>allFYsTable[[#This Row],[Actual]]-allFYsTable[[#This Row],[OriginalBudget]]</f>
        <v>325762</v>
      </c>
      <c r="L1857" s="11" t="e">
        <f>allFYsTable[[#This Row],[DiffAmount]]/allFYsTable[[#This Row],[OriginalBudget]]</f>
        <v>#DIV/0!</v>
      </c>
    </row>
    <row r="1858" spans="1:12" x14ac:dyDescent="0.45">
      <c r="A1858" t="s">
        <v>1025</v>
      </c>
      <c r="B1858" t="s">
        <v>136</v>
      </c>
      <c r="C1858" t="s">
        <v>782</v>
      </c>
      <c r="D1858" t="s">
        <v>139</v>
      </c>
      <c r="E1858">
        <v>58888</v>
      </c>
      <c r="F1858">
        <v>58888</v>
      </c>
      <c r="G1858">
        <v>58580</v>
      </c>
      <c r="H1858">
        <v>308</v>
      </c>
      <c r="I1858">
        <v>2020</v>
      </c>
      <c r="J1858">
        <v>74</v>
      </c>
      <c r="K1858">
        <f>allFYsTable[[#This Row],[Actual]]-allFYsTable[[#This Row],[OriginalBudget]]</f>
        <v>-308</v>
      </c>
      <c r="L1858" s="11">
        <f>allFYsTable[[#This Row],[DiffAmount]]/allFYsTable[[#This Row],[OriginalBudget]]</f>
        <v>-5.2302676266811577E-3</v>
      </c>
    </row>
    <row r="1859" spans="1:12" x14ac:dyDescent="0.45">
      <c r="A1859" t="s">
        <v>1025</v>
      </c>
      <c r="B1859" t="s">
        <v>136</v>
      </c>
      <c r="C1859" t="s">
        <v>784</v>
      </c>
      <c r="D1859" t="s">
        <v>140</v>
      </c>
      <c r="E1859">
        <v>90303</v>
      </c>
      <c r="F1859">
        <v>89123</v>
      </c>
      <c r="G1859">
        <v>89123</v>
      </c>
      <c r="H1859">
        <v>0</v>
      </c>
      <c r="I1859">
        <v>2020</v>
      </c>
      <c r="J1859">
        <v>75</v>
      </c>
      <c r="K1859">
        <f>allFYsTable[[#This Row],[Actual]]-allFYsTable[[#This Row],[OriginalBudget]]</f>
        <v>-1180</v>
      </c>
      <c r="L1859" s="11">
        <f>allFYsTable[[#This Row],[DiffAmount]]/allFYsTable[[#This Row],[OriginalBudget]]</f>
        <v>-1.3067118478898819E-2</v>
      </c>
    </row>
    <row r="1860" spans="1:12" x14ac:dyDescent="0.45">
      <c r="A1860" t="s">
        <v>1025</v>
      </c>
      <c r="B1860" t="s">
        <v>136</v>
      </c>
      <c r="C1860" t="s">
        <v>779</v>
      </c>
      <c r="D1860" t="s">
        <v>141</v>
      </c>
      <c r="E1860">
        <v>184398</v>
      </c>
      <c r="F1860">
        <v>189355</v>
      </c>
      <c r="G1860">
        <v>187763</v>
      </c>
      <c r="H1860">
        <v>1592</v>
      </c>
      <c r="I1860">
        <v>2020</v>
      </c>
      <c r="J1860">
        <v>76</v>
      </c>
      <c r="K1860">
        <f>allFYsTable[[#This Row],[Actual]]-allFYsTable[[#This Row],[OriginalBudget]]</f>
        <v>3365</v>
      </c>
      <c r="L1860" s="11">
        <f>allFYsTable[[#This Row],[DiffAmount]]/allFYsTable[[#This Row],[OriginalBudget]]</f>
        <v>1.8248571025716115E-2</v>
      </c>
    </row>
    <row r="1861" spans="1:12" x14ac:dyDescent="0.45">
      <c r="A1861" t="s">
        <v>1025</v>
      </c>
      <c r="B1861" t="s">
        <v>136</v>
      </c>
      <c r="C1861" t="s">
        <v>776</v>
      </c>
      <c r="D1861" t="s">
        <v>175</v>
      </c>
      <c r="E1861">
        <v>1200</v>
      </c>
      <c r="F1861">
        <v>1181</v>
      </c>
      <c r="G1861">
        <v>1175</v>
      </c>
      <c r="H1861">
        <v>6</v>
      </c>
      <c r="I1861">
        <v>2020</v>
      </c>
      <c r="J1861">
        <v>77</v>
      </c>
      <c r="K1861">
        <f>allFYsTable[[#This Row],[Actual]]-allFYsTable[[#This Row],[OriginalBudget]]</f>
        <v>-25</v>
      </c>
      <c r="L1861" s="11">
        <f>allFYsTable[[#This Row],[DiffAmount]]/allFYsTable[[#This Row],[OriginalBudget]]</f>
        <v>-2.0833333333333332E-2</v>
      </c>
    </row>
    <row r="1862" spans="1:12" x14ac:dyDescent="0.45">
      <c r="A1862" t="s">
        <v>1025</v>
      </c>
      <c r="B1862" t="s">
        <v>136</v>
      </c>
      <c r="C1862" t="s">
        <v>781</v>
      </c>
      <c r="D1862" t="s">
        <v>176</v>
      </c>
      <c r="E1862">
        <v>2160</v>
      </c>
      <c r="F1862">
        <v>2008</v>
      </c>
      <c r="G1862">
        <v>1876</v>
      </c>
      <c r="H1862">
        <v>132</v>
      </c>
      <c r="I1862">
        <v>2020</v>
      </c>
      <c r="J1862">
        <v>78</v>
      </c>
      <c r="K1862">
        <f>allFYsTable[[#This Row],[Actual]]-allFYsTable[[#This Row],[OriginalBudget]]</f>
        <v>-284</v>
      </c>
      <c r="L1862" s="11">
        <f>allFYsTable[[#This Row],[DiffAmount]]/allFYsTable[[#This Row],[OriginalBudget]]</f>
        <v>-0.13148148148148148</v>
      </c>
    </row>
    <row r="1863" spans="1:12" x14ac:dyDescent="0.45">
      <c r="A1863" t="s">
        <v>1025</v>
      </c>
      <c r="B1863" t="s">
        <v>136</v>
      </c>
      <c r="C1863" t="s">
        <v>774</v>
      </c>
      <c r="D1863" t="s">
        <v>177</v>
      </c>
      <c r="E1863">
        <v>64976</v>
      </c>
      <c r="F1863">
        <v>64623</v>
      </c>
      <c r="G1863">
        <v>62518</v>
      </c>
      <c r="H1863">
        <v>2105</v>
      </c>
      <c r="I1863">
        <v>2020</v>
      </c>
      <c r="J1863">
        <v>79</v>
      </c>
      <c r="K1863">
        <f>allFYsTable[[#This Row],[Actual]]-allFYsTable[[#This Row],[OriginalBudget]]</f>
        <v>-2458</v>
      </c>
      <c r="L1863" s="11">
        <f>allFYsTable[[#This Row],[DiffAmount]]/allFYsTable[[#This Row],[OriginalBudget]]</f>
        <v>-3.7829352376262004E-2</v>
      </c>
    </row>
    <row r="1864" spans="1:12" x14ac:dyDescent="0.45">
      <c r="A1864" t="s">
        <v>1025</v>
      </c>
      <c r="B1864" t="s">
        <v>136</v>
      </c>
      <c r="C1864" t="s">
        <v>771</v>
      </c>
      <c r="D1864" t="s">
        <v>178</v>
      </c>
      <c r="E1864">
        <v>1800</v>
      </c>
      <c r="F1864">
        <v>1800</v>
      </c>
      <c r="G1864">
        <v>1800</v>
      </c>
      <c r="H1864">
        <v>0</v>
      </c>
      <c r="I1864">
        <v>2020</v>
      </c>
      <c r="J1864">
        <v>80</v>
      </c>
      <c r="K1864">
        <f>allFYsTable[[#This Row],[Actual]]-allFYsTable[[#This Row],[OriginalBudget]]</f>
        <v>0</v>
      </c>
      <c r="L1864" s="11">
        <f>allFYsTable[[#This Row],[DiffAmount]]/allFYsTable[[#This Row],[OriginalBudget]]</f>
        <v>0</v>
      </c>
    </row>
    <row r="1865" spans="1:12" x14ac:dyDescent="0.45">
      <c r="A1865" t="s">
        <v>1025</v>
      </c>
      <c r="B1865" t="s">
        <v>136</v>
      </c>
      <c r="C1865" t="s">
        <v>780</v>
      </c>
      <c r="D1865" t="s">
        <v>143</v>
      </c>
      <c r="E1865">
        <v>94546</v>
      </c>
      <c r="F1865">
        <v>107741</v>
      </c>
      <c r="G1865">
        <v>106944</v>
      </c>
      <c r="H1865">
        <v>797</v>
      </c>
      <c r="I1865">
        <v>2020</v>
      </c>
      <c r="J1865">
        <v>81</v>
      </c>
      <c r="K1865">
        <f>allFYsTable[[#This Row],[Actual]]-allFYsTable[[#This Row],[OriginalBudget]]</f>
        <v>12398</v>
      </c>
      <c r="L1865" s="11">
        <f>allFYsTable[[#This Row],[DiffAmount]]/allFYsTable[[#This Row],[OriginalBudget]]</f>
        <v>0.1311319357772936</v>
      </c>
    </row>
    <row r="1866" spans="1:12" x14ac:dyDescent="0.45">
      <c r="A1866" t="s">
        <v>1025</v>
      </c>
      <c r="B1866" t="s">
        <v>136</v>
      </c>
      <c r="C1866" t="s">
        <v>777</v>
      </c>
      <c r="D1866" t="s">
        <v>64</v>
      </c>
      <c r="E1866">
        <v>60010</v>
      </c>
      <c r="F1866">
        <v>59706</v>
      </c>
      <c r="G1866">
        <v>59583</v>
      </c>
      <c r="H1866">
        <v>123</v>
      </c>
      <c r="I1866">
        <v>2020</v>
      </c>
      <c r="J1866">
        <v>82</v>
      </c>
      <c r="K1866">
        <f>allFYsTable[[#This Row],[Actual]]-allFYsTable[[#This Row],[OriginalBudget]]</f>
        <v>-427</v>
      </c>
      <c r="L1866" s="11">
        <f>allFYsTable[[#This Row],[DiffAmount]]/allFYsTable[[#This Row],[OriginalBudget]]</f>
        <v>-7.1154807532077986E-3</v>
      </c>
    </row>
    <row r="1867" spans="1:12" x14ac:dyDescent="0.45">
      <c r="A1867" t="s">
        <v>1025</v>
      </c>
      <c r="B1867" t="s">
        <v>136</v>
      </c>
      <c r="C1867" t="s">
        <v>778</v>
      </c>
      <c r="D1867" t="s">
        <v>65</v>
      </c>
      <c r="E1867">
        <v>21309</v>
      </c>
      <c r="F1867">
        <v>16877</v>
      </c>
      <c r="G1867">
        <v>15531</v>
      </c>
      <c r="H1867">
        <v>1346</v>
      </c>
      <c r="I1867">
        <v>2020</v>
      </c>
      <c r="J1867">
        <v>83</v>
      </c>
      <c r="K1867">
        <f>allFYsTable[[#This Row],[Actual]]-allFYsTable[[#This Row],[OriginalBudget]]</f>
        <v>-5778</v>
      </c>
      <c r="L1867" s="11">
        <f>allFYsTable[[#This Row],[DiffAmount]]/allFYsTable[[#This Row],[OriginalBudget]]</f>
        <v>-0.27115303392932566</v>
      </c>
    </row>
    <row r="1868" spans="1:12" x14ac:dyDescent="0.45">
      <c r="A1868" t="s">
        <v>1025</v>
      </c>
      <c r="B1868" t="s">
        <v>136</v>
      </c>
      <c r="C1868" t="s">
        <v>874</v>
      </c>
      <c r="D1868" t="s">
        <v>179</v>
      </c>
      <c r="E1868">
        <v>0</v>
      </c>
      <c r="F1868">
        <v>9734</v>
      </c>
      <c r="G1868">
        <v>9734</v>
      </c>
      <c r="H1868">
        <v>0</v>
      </c>
      <c r="I1868">
        <v>2020</v>
      </c>
      <c r="J1868">
        <v>84</v>
      </c>
      <c r="K1868">
        <f>allFYsTable[[#This Row],[Actual]]-allFYsTable[[#This Row],[OriginalBudget]]</f>
        <v>9734</v>
      </c>
      <c r="L1868" s="11" t="e">
        <f>allFYsTable[[#This Row],[DiffAmount]]/allFYsTable[[#This Row],[OriginalBudget]]</f>
        <v>#DIV/0!</v>
      </c>
    </row>
    <row r="1869" spans="1:12" x14ac:dyDescent="0.45">
      <c r="A1869" t="s">
        <v>1025</v>
      </c>
      <c r="B1869" t="s">
        <v>14</v>
      </c>
      <c r="C1869" t="s">
        <v>790</v>
      </c>
      <c r="D1869" t="s">
        <v>144</v>
      </c>
      <c r="E1869">
        <v>400124</v>
      </c>
      <c r="F1869">
        <v>412878</v>
      </c>
      <c r="G1869">
        <v>412094</v>
      </c>
      <c r="H1869">
        <v>784</v>
      </c>
      <c r="I1869">
        <v>2020</v>
      </c>
      <c r="J1869">
        <v>85</v>
      </c>
      <c r="K1869">
        <f>allFYsTable[[#This Row],[Actual]]-allFYsTable[[#This Row],[OriginalBudget]]</f>
        <v>11970</v>
      </c>
      <c r="L1869" s="11">
        <f>allFYsTable[[#This Row],[DiffAmount]]/allFYsTable[[#This Row],[OriginalBudget]]</f>
        <v>2.991572612490128E-2</v>
      </c>
    </row>
    <row r="1870" spans="1:12" x14ac:dyDescent="0.45">
      <c r="A1870" t="s">
        <v>1025</v>
      </c>
      <c r="B1870" t="s">
        <v>14</v>
      </c>
      <c r="C1870" t="s">
        <v>788</v>
      </c>
      <c r="D1870" t="s">
        <v>145</v>
      </c>
      <c r="E1870">
        <v>86917</v>
      </c>
      <c r="F1870">
        <v>81171</v>
      </c>
      <c r="G1870">
        <v>80292</v>
      </c>
      <c r="H1870">
        <v>879</v>
      </c>
      <c r="I1870">
        <v>2020</v>
      </c>
      <c r="J1870">
        <v>86</v>
      </c>
      <c r="K1870">
        <f>allFYsTable[[#This Row],[Actual]]-allFYsTable[[#This Row],[OriginalBudget]]</f>
        <v>-6625</v>
      </c>
      <c r="L1870" s="11">
        <f>allFYsTable[[#This Row],[DiffAmount]]/allFYsTable[[#This Row],[OriginalBudget]]</f>
        <v>-7.6222142963977127E-2</v>
      </c>
    </row>
    <row r="1871" spans="1:12" x14ac:dyDescent="0.45">
      <c r="A1871" t="s">
        <v>1025</v>
      </c>
      <c r="B1871" t="s">
        <v>14</v>
      </c>
      <c r="C1871" t="s">
        <v>770</v>
      </c>
      <c r="D1871" t="s">
        <v>56</v>
      </c>
      <c r="E1871">
        <v>54642</v>
      </c>
      <c r="F1871">
        <v>51816</v>
      </c>
      <c r="G1871">
        <v>51048</v>
      </c>
      <c r="H1871">
        <v>768</v>
      </c>
      <c r="I1871">
        <v>2020</v>
      </c>
      <c r="J1871">
        <v>87</v>
      </c>
      <c r="K1871">
        <f>allFYsTable[[#This Row],[Actual]]-allFYsTable[[#This Row],[OriginalBudget]]</f>
        <v>-3594</v>
      </c>
      <c r="L1871" s="11">
        <f>allFYsTable[[#This Row],[DiffAmount]]/allFYsTable[[#This Row],[OriginalBudget]]</f>
        <v>-6.577358076205117E-2</v>
      </c>
    </row>
    <row r="1872" spans="1:12" x14ac:dyDescent="0.45">
      <c r="A1872" t="s">
        <v>1025</v>
      </c>
      <c r="B1872" t="s">
        <v>14</v>
      </c>
      <c r="C1872" t="s">
        <v>786</v>
      </c>
      <c r="D1872" t="s">
        <v>146</v>
      </c>
      <c r="E1872">
        <v>41999</v>
      </c>
      <c r="F1872">
        <v>40308</v>
      </c>
      <c r="G1872">
        <v>39513</v>
      </c>
      <c r="H1872">
        <v>795</v>
      </c>
      <c r="I1872">
        <v>2020</v>
      </c>
      <c r="J1872">
        <v>88</v>
      </c>
      <c r="K1872">
        <f>allFYsTable[[#This Row],[Actual]]-allFYsTable[[#This Row],[OriginalBudget]]</f>
        <v>-2486</v>
      </c>
      <c r="L1872" s="11">
        <f>allFYsTable[[#This Row],[DiffAmount]]/allFYsTable[[#This Row],[OriginalBudget]]</f>
        <v>-5.9191885521083835E-2</v>
      </c>
    </row>
    <row r="1873" spans="1:12" x14ac:dyDescent="0.45">
      <c r="A1873" t="s">
        <v>1025</v>
      </c>
      <c r="B1873" t="s">
        <v>14</v>
      </c>
      <c r="C1873" t="s">
        <v>783</v>
      </c>
      <c r="D1873" t="s">
        <v>70</v>
      </c>
      <c r="E1873">
        <v>5480</v>
      </c>
      <c r="F1873">
        <v>7947</v>
      </c>
      <c r="G1873">
        <v>7947</v>
      </c>
      <c r="H1873">
        <v>0</v>
      </c>
      <c r="I1873">
        <v>2020</v>
      </c>
      <c r="J1873">
        <v>89</v>
      </c>
      <c r="K1873">
        <f>allFYsTable[[#This Row],[Actual]]-allFYsTable[[#This Row],[OriginalBudget]]</f>
        <v>2467</v>
      </c>
      <c r="L1873" s="11">
        <f>allFYsTable[[#This Row],[DiffAmount]]/allFYsTable[[#This Row],[OriginalBudget]]</f>
        <v>0.45018248175182479</v>
      </c>
    </row>
    <row r="1874" spans="1:12" x14ac:dyDescent="0.45">
      <c r="A1874" t="s">
        <v>1025</v>
      </c>
      <c r="B1874" t="s">
        <v>14</v>
      </c>
      <c r="C1874" t="s">
        <v>706</v>
      </c>
      <c r="D1874" t="s">
        <v>122</v>
      </c>
      <c r="E1874">
        <v>25552</v>
      </c>
      <c r="F1874">
        <v>21763</v>
      </c>
      <c r="G1874">
        <v>21177</v>
      </c>
      <c r="H1874">
        <v>586</v>
      </c>
      <c r="I1874">
        <v>2020</v>
      </c>
      <c r="J1874">
        <v>90</v>
      </c>
      <c r="K1874">
        <f>allFYsTable[[#This Row],[Actual]]-allFYsTable[[#This Row],[OriginalBudget]]</f>
        <v>-4375</v>
      </c>
      <c r="L1874" s="11">
        <f>allFYsTable[[#This Row],[DiffAmount]]/allFYsTable[[#This Row],[OriginalBudget]]</f>
        <v>-0.17121947401377582</v>
      </c>
    </row>
    <row r="1875" spans="1:12" x14ac:dyDescent="0.45">
      <c r="A1875" t="s">
        <v>1025</v>
      </c>
      <c r="B1875" t="s">
        <v>14</v>
      </c>
      <c r="C1875" t="s">
        <v>760</v>
      </c>
      <c r="D1875" t="s">
        <v>46</v>
      </c>
      <c r="E1875">
        <v>5647</v>
      </c>
      <c r="F1875">
        <v>4918</v>
      </c>
      <c r="G1875">
        <v>4773</v>
      </c>
      <c r="H1875">
        <v>145</v>
      </c>
      <c r="I1875">
        <v>2020</v>
      </c>
      <c r="J1875">
        <v>91</v>
      </c>
      <c r="K1875">
        <f>allFYsTable[[#This Row],[Actual]]-allFYsTable[[#This Row],[OriginalBudget]]</f>
        <v>-874</v>
      </c>
      <c r="L1875" s="11">
        <f>allFYsTable[[#This Row],[DiffAmount]]/allFYsTable[[#This Row],[OriginalBudget]]</f>
        <v>-0.15477244554630779</v>
      </c>
    </row>
    <row r="1876" spans="1:12" x14ac:dyDescent="0.45">
      <c r="A1876" t="s">
        <v>1025</v>
      </c>
      <c r="B1876" t="s">
        <v>14</v>
      </c>
      <c r="C1876" t="s">
        <v>729</v>
      </c>
      <c r="D1876" t="s">
        <v>123</v>
      </c>
      <c r="E1876">
        <v>5453</v>
      </c>
      <c r="F1876">
        <v>5381</v>
      </c>
      <c r="G1876">
        <v>5337</v>
      </c>
      <c r="H1876">
        <v>44</v>
      </c>
      <c r="I1876">
        <v>2020</v>
      </c>
      <c r="J1876">
        <v>92</v>
      </c>
      <c r="K1876">
        <f>allFYsTable[[#This Row],[Actual]]-allFYsTable[[#This Row],[OriginalBudget]]</f>
        <v>-116</v>
      </c>
      <c r="L1876" s="11">
        <f>allFYsTable[[#This Row],[DiffAmount]]/allFYsTable[[#This Row],[OriginalBudget]]</f>
        <v>-2.127269392994682E-2</v>
      </c>
    </row>
    <row r="1877" spans="1:12" x14ac:dyDescent="0.45">
      <c r="A1877" t="s">
        <v>1025</v>
      </c>
      <c r="B1877" t="s">
        <v>14</v>
      </c>
      <c r="C1877" t="s">
        <v>785</v>
      </c>
      <c r="D1877" t="s">
        <v>147</v>
      </c>
      <c r="E1877">
        <v>160315</v>
      </c>
      <c r="F1877">
        <v>154816</v>
      </c>
      <c r="G1877">
        <v>154094</v>
      </c>
      <c r="H1877">
        <v>722</v>
      </c>
      <c r="I1877">
        <v>2020</v>
      </c>
      <c r="J1877">
        <v>93</v>
      </c>
      <c r="K1877">
        <f>allFYsTable[[#This Row],[Actual]]-allFYsTable[[#This Row],[OriginalBudget]]</f>
        <v>-6221</v>
      </c>
      <c r="L1877" s="11">
        <f>allFYsTable[[#This Row],[DiffAmount]]/allFYsTable[[#This Row],[OriginalBudget]]</f>
        <v>-3.8804852945763031E-2</v>
      </c>
    </row>
    <row r="1878" spans="1:12" x14ac:dyDescent="0.45">
      <c r="A1878" t="s">
        <v>1025</v>
      </c>
      <c r="B1878" t="s">
        <v>14</v>
      </c>
      <c r="C1878" t="s">
        <v>787</v>
      </c>
      <c r="D1878" t="s">
        <v>148</v>
      </c>
      <c r="E1878">
        <v>266941</v>
      </c>
      <c r="F1878">
        <v>273519</v>
      </c>
      <c r="G1878">
        <v>273265</v>
      </c>
      <c r="H1878">
        <v>254</v>
      </c>
      <c r="I1878">
        <v>2020</v>
      </c>
      <c r="J1878">
        <v>94</v>
      </c>
      <c r="K1878">
        <f>allFYsTable[[#This Row],[Actual]]-allFYsTable[[#This Row],[OriginalBudget]]</f>
        <v>6324</v>
      </c>
      <c r="L1878" s="11">
        <f>allFYsTable[[#This Row],[DiffAmount]]/allFYsTable[[#This Row],[OriginalBudget]]</f>
        <v>2.3690628266171177E-2</v>
      </c>
    </row>
    <row r="1879" spans="1:12" x14ac:dyDescent="0.45">
      <c r="A1879" t="s">
        <v>1025</v>
      </c>
      <c r="B1879" t="s">
        <v>14</v>
      </c>
      <c r="C1879" t="s">
        <v>728</v>
      </c>
      <c r="D1879" t="s">
        <v>121</v>
      </c>
      <c r="E1879">
        <v>904</v>
      </c>
      <c r="F1879">
        <v>896</v>
      </c>
      <c r="G1879">
        <v>891</v>
      </c>
      <c r="H1879">
        <v>5</v>
      </c>
      <c r="I1879">
        <v>2020</v>
      </c>
      <c r="J1879">
        <v>95</v>
      </c>
      <c r="K1879">
        <f>allFYsTable[[#This Row],[Actual]]-allFYsTable[[#This Row],[OriginalBudget]]</f>
        <v>-13</v>
      </c>
      <c r="L1879" s="11">
        <f>allFYsTable[[#This Row],[DiffAmount]]/allFYsTable[[#This Row],[OriginalBudget]]</f>
        <v>-1.4380530973451327E-2</v>
      </c>
    </row>
    <row r="1880" spans="1:12" x14ac:dyDescent="0.45">
      <c r="A1880" t="s">
        <v>1025</v>
      </c>
      <c r="B1880" t="s">
        <v>14</v>
      </c>
      <c r="C1880" t="s">
        <v>727</v>
      </c>
      <c r="D1880" t="s">
        <v>180</v>
      </c>
      <c r="E1880">
        <v>838</v>
      </c>
      <c r="F1880">
        <v>830</v>
      </c>
      <c r="G1880">
        <v>569</v>
      </c>
      <c r="H1880">
        <v>261</v>
      </c>
      <c r="I1880">
        <v>2020</v>
      </c>
      <c r="J1880">
        <v>96</v>
      </c>
      <c r="K1880">
        <f>allFYsTable[[#This Row],[Actual]]-allFYsTable[[#This Row],[OriginalBudget]]</f>
        <v>-269</v>
      </c>
      <c r="L1880" s="11">
        <f>allFYsTable[[#This Row],[DiffAmount]]/allFYsTable[[#This Row],[OriginalBudget]]</f>
        <v>-0.32100238663484487</v>
      </c>
    </row>
    <row r="1881" spans="1:12" x14ac:dyDescent="0.45">
      <c r="A1881" t="s">
        <v>1025</v>
      </c>
      <c r="B1881" t="s">
        <v>14</v>
      </c>
      <c r="C1881" t="s">
        <v>752</v>
      </c>
      <c r="D1881" t="s">
        <v>38</v>
      </c>
      <c r="E1881">
        <v>89907</v>
      </c>
      <c r="F1881">
        <v>82690</v>
      </c>
      <c r="G1881">
        <v>82144</v>
      </c>
      <c r="H1881">
        <v>546</v>
      </c>
      <c r="I1881">
        <v>2020</v>
      </c>
      <c r="J1881">
        <v>97</v>
      </c>
      <c r="K1881">
        <f>allFYsTable[[#This Row],[Actual]]-allFYsTable[[#This Row],[OriginalBudget]]</f>
        <v>-7763</v>
      </c>
      <c r="L1881" s="11">
        <f>allFYsTable[[#This Row],[DiffAmount]]/allFYsTable[[#This Row],[OriginalBudget]]</f>
        <v>-8.6344778493331997E-2</v>
      </c>
    </row>
    <row r="1882" spans="1:12" x14ac:dyDescent="0.45">
      <c r="A1882" t="s">
        <v>1025</v>
      </c>
      <c r="B1882" t="s">
        <v>14</v>
      </c>
      <c r="C1882" t="s">
        <v>791</v>
      </c>
      <c r="D1882" t="s">
        <v>149</v>
      </c>
      <c r="E1882">
        <v>138251</v>
      </c>
      <c r="F1882">
        <v>116751</v>
      </c>
      <c r="G1882">
        <v>115176</v>
      </c>
      <c r="H1882">
        <v>1575</v>
      </c>
      <c r="I1882">
        <v>2020</v>
      </c>
      <c r="J1882">
        <v>98</v>
      </c>
      <c r="K1882">
        <f>allFYsTable[[#This Row],[Actual]]-allFYsTable[[#This Row],[OriginalBudget]]</f>
        <v>-23075</v>
      </c>
      <c r="L1882" s="11">
        <f>allFYsTable[[#This Row],[DiffAmount]]/allFYsTable[[#This Row],[OriginalBudget]]</f>
        <v>-0.16690656848775054</v>
      </c>
    </row>
    <row r="1883" spans="1:12" x14ac:dyDescent="0.45">
      <c r="A1883" t="s">
        <v>1025</v>
      </c>
      <c r="B1883" t="s">
        <v>14</v>
      </c>
      <c r="C1883" t="s">
        <v>789</v>
      </c>
      <c r="D1883" t="s">
        <v>150</v>
      </c>
      <c r="E1883">
        <v>911547</v>
      </c>
      <c r="F1883">
        <v>825825</v>
      </c>
      <c r="G1883">
        <v>795219</v>
      </c>
      <c r="H1883">
        <v>30606</v>
      </c>
      <c r="I1883">
        <v>2020</v>
      </c>
      <c r="J1883">
        <v>99</v>
      </c>
      <c r="K1883">
        <f>allFYsTable[[#This Row],[Actual]]-allFYsTable[[#This Row],[OriginalBudget]]</f>
        <v>-116328</v>
      </c>
      <c r="L1883" s="11">
        <f>allFYsTable[[#This Row],[DiffAmount]]/allFYsTable[[#This Row],[OriginalBudget]]</f>
        <v>-0.1276160197993082</v>
      </c>
    </row>
    <row r="1884" spans="1:12" x14ac:dyDescent="0.45">
      <c r="A1884" t="s">
        <v>1025</v>
      </c>
      <c r="B1884" t="s">
        <v>14</v>
      </c>
      <c r="C1884" t="s">
        <v>793</v>
      </c>
      <c r="D1884" t="s">
        <v>181</v>
      </c>
      <c r="E1884">
        <v>1878</v>
      </c>
      <c r="F1884">
        <v>2172</v>
      </c>
      <c r="G1884">
        <v>2125</v>
      </c>
      <c r="H1884">
        <v>47</v>
      </c>
      <c r="I1884">
        <v>2020</v>
      </c>
      <c r="J1884">
        <v>100</v>
      </c>
      <c r="K1884">
        <f>allFYsTable[[#This Row],[Actual]]-allFYsTable[[#This Row],[OriginalBudget]]</f>
        <v>247</v>
      </c>
      <c r="L1884" s="11">
        <f>allFYsTable[[#This Row],[DiffAmount]]/allFYsTable[[#This Row],[OriginalBudget]]</f>
        <v>0.13152289669861555</v>
      </c>
    </row>
    <row r="1885" spans="1:12" x14ac:dyDescent="0.45">
      <c r="A1885" t="s">
        <v>1025</v>
      </c>
      <c r="B1885" t="s">
        <v>14</v>
      </c>
      <c r="C1885" t="s">
        <v>792</v>
      </c>
      <c r="D1885" t="s">
        <v>152</v>
      </c>
      <c r="E1885">
        <v>22137</v>
      </c>
      <c r="F1885">
        <v>22137</v>
      </c>
      <c r="G1885">
        <v>22137</v>
      </c>
      <c r="H1885">
        <v>0</v>
      </c>
      <c r="I1885">
        <v>2020</v>
      </c>
      <c r="J1885">
        <v>101</v>
      </c>
      <c r="K1885">
        <f>allFYsTable[[#This Row],[Actual]]-allFYsTable[[#This Row],[OriginalBudget]]</f>
        <v>0</v>
      </c>
      <c r="L1885" s="11">
        <f>allFYsTable[[#This Row],[DiffAmount]]/allFYsTable[[#This Row],[OriginalBudget]]</f>
        <v>0</v>
      </c>
    </row>
    <row r="1886" spans="1:12" x14ac:dyDescent="0.45">
      <c r="A1886" t="s">
        <v>1025</v>
      </c>
      <c r="B1886" t="s">
        <v>182</v>
      </c>
      <c r="C1886" t="s">
        <v>804</v>
      </c>
      <c r="D1886" t="s">
        <v>183</v>
      </c>
      <c r="E1886">
        <v>1304</v>
      </c>
      <c r="F1886">
        <v>1224</v>
      </c>
      <c r="G1886">
        <v>1115</v>
      </c>
      <c r="H1886">
        <v>109</v>
      </c>
      <c r="I1886">
        <v>2020</v>
      </c>
      <c r="J1886">
        <v>102</v>
      </c>
      <c r="K1886">
        <f>allFYsTable[[#This Row],[Actual]]-allFYsTable[[#This Row],[OriginalBudget]]</f>
        <v>-189</v>
      </c>
      <c r="L1886" s="11">
        <f>allFYsTable[[#This Row],[DiffAmount]]/allFYsTable[[#This Row],[OriginalBudget]]</f>
        <v>-0.14493865030674846</v>
      </c>
    </row>
    <row r="1887" spans="1:12" x14ac:dyDescent="0.45">
      <c r="A1887" t="s">
        <v>1025</v>
      </c>
      <c r="B1887" t="s">
        <v>182</v>
      </c>
      <c r="C1887" t="s">
        <v>802</v>
      </c>
      <c r="D1887" t="s">
        <v>78</v>
      </c>
      <c r="E1887">
        <v>150885</v>
      </c>
      <c r="F1887">
        <v>147736</v>
      </c>
      <c r="G1887">
        <v>146535</v>
      </c>
      <c r="H1887">
        <v>1201</v>
      </c>
      <c r="I1887">
        <v>2020</v>
      </c>
      <c r="J1887">
        <v>103</v>
      </c>
      <c r="K1887">
        <f>allFYsTable[[#This Row],[Actual]]-allFYsTable[[#This Row],[OriginalBudget]]</f>
        <v>-4350</v>
      </c>
      <c r="L1887" s="11">
        <f>allFYsTable[[#This Row],[DiffAmount]]/allFYsTable[[#This Row],[OriginalBudget]]</f>
        <v>-2.8829903568943233E-2</v>
      </c>
    </row>
    <row r="1888" spans="1:12" x14ac:dyDescent="0.45">
      <c r="A1888" t="s">
        <v>1025</v>
      </c>
      <c r="B1888" t="s">
        <v>182</v>
      </c>
      <c r="C1888" t="s">
        <v>803</v>
      </c>
      <c r="D1888" t="s">
        <v>155</v>
      </c>
      <c r="E1888">
        <v>108641</v>
      </c>
      <c r="F1888">
        <v>112894</v>
      </c>
      <c r="G1888">
        <v>111085</v>
      </c>
      <c r="H1888">
        <v>1809</v>
      </c>
      <c r="I1888">
        <v>2020</v>
      </c>
      <c r="J1888">
        <v>104</v>
      </c>
      <c r="K1888">
        <f>allFYsTable[[#This Row],[Actual]]-allFYsTable[[#This Row],[OriginalBudget]]</f>
        <v>2444</v>
      </c>
      <c r="L1888" s="11">
        <f>allFYsTable[[#This Row],[DiffAmount]]/allFYsTable[[#This Row],[OriginalBudget]]</f>
        <v>2.2496111044633241E-2</v>
      </c>
    </row>
    <row r="1889" spans="1:12" x14ac:dyDescent="0.45">
      <c r="A1889" t="s">
        <v>1025</v>
      </c>
      <c r="B1889" t="s">
        <v>182</v>
      </c>
      <c r="C1889" t="s">
        <v>799</v>
      </c>
      <c r="D1889" t="s">
        <v>75</v>
      </c>
      <c r="E1889">
        <v>5895</v>
      </c>
      <c r="F1889">
        <v>5525</v>
      </c>
      <c r="G1889">
        <v>5406</v>
      </c>
      <c r="H1889">
        <v>119</v>
      </c>
      <c r="I1889">
        <v>2020</v>
      </c>
      <c r="J1889">
        <v>105</v>
      </c>
      <c r="K1889">
        <f>allFYsTable[[#This Row],[Actual]]-allFYsTable[[#This Row],[OriginalBudget]]</f>
        <v>-489</v>
      </c>
      <c r="L1889" s="11">
        <f>allFYsTable[[#This Row],[DiffAmount]]/allFYsTable[[#This Row],[OriginalBudget]]</f>
        <v>-8.2951653944020362E-2</v>
      </c>
    </row>
    <row r="1890" spans="1:12" x14ac:dyDescent="0.45">
      <c r="A1890" t="s">
        <v>1025</v>
      </c>
      <c r="B1890" t="s">
        <v>182</v>
      </c>
      <c r="C1890" t="s">
        <v>801</v>
      </c>
      <c r="D1890" t="s">
        <v>77</v>
      </c>
      <c r="E1890">
        <v>34776</v>
      </c>
      <c r="F1890">
        <v>37021</v>
      </c>
      <c r="G1890">
        <v>35749</v>
      </c>
      <c r="H1890">
        <v>1272</v>
      </c>
      <c r="I1890">
        <v>2020</v>
      </c>
      <c r="J1890">
        <v>106</v>
      </c>
      <c r="K1890">
        <f>allFYsTable[[#This Row],[Actual]]-allFYsTable[[#This Row],[OriginalBudget]]</f>
        <v>973</v>
      </c>
      <c r="L1890" s="11">
        <f>allFYsTable[[#This Row],[DiffAmount]]/allFYsTable[[#This Row],[OriginalBudget]]</f>
        <v>2.7979066022544283E-2</v>
      </c>
    </row>
    <row r="1891" spans="1:12" x14ac:dyDescent="0.45">
      <c r="A1891" t="s">
        <v>1025</v>
      </c>
      <c r="B1891" t="s">
        <v>182</v>
      </c>
      <c r="C1891" t="s">
        <v>808</v>
      </c>
      <c r="D1891" t="s">
        <v>156</v>
      </c>
      <c r="E1891">
        <v>158</v>
      </c>
      <c r="F1891">
        <v>158</v>
      </c>
      <c r="G1891">
        <v>158</v>
      </c>
      <c r="H1891">
        <v>0</v>
      </c>
      <c r="I1891">
        <v>2020</v>
      </c>
      <c r="J1891">
        <v>107</v>
      </c>
      <c r="K1891">
        <f>allFYsTable[[#This Row],[Actual]]-allFYsTable[[#This Row],[OriginalBudget]]</f>
        <v>0</v>
      </c>
      <c r="L1891" s="11">
        <f>allFYsTable[[#This Row],[DiffAmount]]/allFYsTable[[#This Row],[OriginalBudget]]</f>
        <v>0</v>
      </c>
    </row>
    <row r="1892" spans="1:12" x14ac:dyDescent="0.45">
      <c r="A1892" t="s">
        <v>1025</v>
      </c>
      <c r="B1892" t="s">
        <v>182</v>
      </c>
      <c r="C1892" t="s">
        <v>807</v>
      </c>
      <c r="D1892" t="s">
        <v>157</v>
      </c>
      <c r="E1892">
        <v>419622</v>
      </c>
      <c r="F1892">
        <v>390186</v>
      </c>
      <c r="G1892">
        <v>389453</v>
      </c>
      <c r="H1892">
        <v>733</v>
      </c>
      <c r="I1892">
        <v>2020</v>
      </c>
      <c r="J1892">
        <v>108</v>
      </c>
      <c r="K1892">
        <f>allFYsTable[[#This Row],[Actual]]-allFYsTable[[#This Row],[OriginalBudget]]</f>
        <v>-30169</v>
      </c>
      <c r="L1892" s="11">
        <f>allFYsTable[[#This Row],[DiffAmount]]/allFYsTable[[#This Row],[OriginalBudget]]</f>
        <v>-7.1895658473578608E-2</v>
      </c>
    </row>
    <row r="1893" spans="1:12" x14ac:dyDescent="0.45">
      <c r="A1893" t="s">
        <v>1025</v>
      </c>
      <c r="B1893" t="s">
        <v>182</v>
      </c>
      <c r="C1893" t="s">
        <v>798</v>
      </c>
      <c r="D1893" t="s">
        <v>74</v>
      </c>
      <c r="E1893">
        <v>30395</v>
      </c>
      <c r="F1893">
        <v>27010</v>
      </c>
      <c r="G1893">
        <v>26429</v>
      </c>
      <c r="H1893">
        <v>581</v>
      </c>
      <c r="I1893">
        <v>2020</v>
      </c>
      <c r="J1893">
        <v>109</v>
      </c>
      <c r="K1893">
        <f>allFYsTable[[#This Row],[Actual]]-allFYsTable[[#This Row],[OriginalBudget]]</f>
        <v>-3966</v>
      </c>
      <c r="L1893" s="11">
        <f>allFYsTable[[#This Row],[DiffAmount]]/allFYsTable[[#This Row],[OriginalBudget]]</f>
        <v>-0.13048198716894227</v>
      </c>
    </row>
    <row r="1894" spans="1:12" x14ac:dyDescent="0.45">
      <c r="A1894" t="s">
        <v>1025</v>
      </c>
      <c r="B1894" t="s">
        <v>10</v>
      </c>
      <c r="C1894" t="s">
        <v>775</v>
      </c>
      <c r="D1894" t="s">
        <v>18</v>
      </c>
      <c r="E1894">
        <v>793784</v>
      </c>
      <c r="F1894">
        <v>782461</v>
      </c>
      <c r="G1894">
        <v>781731</v>
      </c>
      <c r="H1894">
        <v>730</v>
      </c>
      <c r="I1894">
        <v>2020</v>
      </c>
      <c r="J1894">
        <v>110</v>
      </c>
      <c r="K1894">
        <f>allFYsTable[[#This Row],[Actual]]-allFYsTable[[#This Row],[OriginalBudget]]</f>
        <v>-12053</v>
      </c>
      <c r="L1894" s="11">
        <f>allFYsTable[[#This Row],[DiffAmount]]/allFYsTable[[#This Row],[OriginalBudget]]</f>
        <v>-1.5184231478588633E-2</v>
      </c>
    </row>
    <row r="1895" spans="1:12" x14ac:dyDescent="0.45">
      <c r="A1895" t="s">
        <v>1025</v>
      </c>
      <c r="B1895" t="s">
        <v>10</v>
      </c>
      <c r="C1895" t="s">
        <v>817</v>
      </c>
      <c r="D1895" t="s">
        <v>158</v>
      </c>
      <c r="E1895">
        <v>9000</v>
      </c>
      <c r="F1895">
        <v>9000</v>
      </c>
      <c r="G1895">
        <v>6127</v>
      </c>
      <c r="H1895">
        <v>2873</v>
      </c>
      <c r="I1895">
        <v>2020</v>
      </c>
      <c r="J1895">
        <v>111</v>
      </c>
      <c r="K1895">
        <f>allFYsTable[[#This Row],[Actual]]-allFYsTable[[#This Row],[OriginalBudget]]</f>
        <v>-2873</v>
      </c>
      <c r="L1895" s="11">
        <f>allFYsTable[[#This Row],[DiffAmount]]/allFYsTable[[#This Row],[OriginalBudget]]</f>
        <v>-0.31922222222222224</v>
      </c>
    </row>
    <row r="1896" spans="1:12" x14ac:dyDescent="0.45">
      <c r="A1896" t="s">
        <v>1025</v>
      </c>
      <c r="B1896" t="s">
        <v>10</v>
      </c>
      <c r="C1896" t="s">
        <v>818</v>
      </c>
      <c r="D1896" t="s">
        <v>83</v>
      </c>
      <c r="E1896">
        <v>10000</v>
      </c>
      <c r="F1896">
        <v>4841</v>
      </c>
      <c r="G1896">
        <v>4841</v>
      </c>
      <c r="H1896">
        <v>0</v>
      </c>
      <c r="I1896">
        <v>2020</v>
      </c>
      <c r="J1896">
        <v>112</v>
      </c>
      <c r="K1896">
        <f>allFYsTable[[#This Row],[Actual]]-allFYsTable[[#This Row],[OriginalBudget]]</f>
        <v>-5159</v>
      </c>
      <c r="L1896" s="11">
        <f>allFYsTable[[#This Row],[DiffAmount]]/allFYsTable[[#This Row],[OriginalBudget]]</f>
        <v>-0.51590000000000003</v>
      </c>
    </row>
    <row r="1897" spans="1:12" x14ac:dyDescent="0.45">
      <c r="A1897" t="s">
        <v>1025</v>
      </c>
      <c r="B1897" t="s">
        <v>10</v>
      </c>
      <c r="C1897" t="s">
        <v>819</v>
      </c>
      <c r="D1897" t="s">
        <v>84</v>
      </c>
      <c r="E1897">
        <v>28025</v>
      </c>
      <c r="F1897">
        <v>16478</v>
      </c>
      <c r="G1897">
        <v>16154</v>
      </c>
      <c r="H1897">
        <v>324</v>
      </c>
      <c r="I1897">
        <v>2020</v>
      </c>
      <c r="J1897">
        <v>113</v>
      </c>
      <c r="K1897">
        <f>allFYsTable[[#This Row],[Actual]]-allFYsTable[[#This Row],[OriginalBudget]]</f>
        <v>-11871</v>
      </c>
      <c r="L1897" s="11">
        <f>allFYsTable[[#This Row],[DiffAmount]]/allFYsTable[[#This Row],[OriginalBudget]]</f>
        <v>-0.42358608385370206</v>
      </c>
    </row>
    <row r="1898" spans="1:12" x14ac:dyDescent="0.45">
      <c r="A1898" t="s">
        <v>1025</v>
      </c>
      <c r="B1898" t="s">
        <v>10</v>
      </c>
      <c r="C1898" t="s">
        <v>814</v>
      </c>
      <c r="D1898" t="s">
        <v>85</v>
      </c>
      <c r="E1898">
        <v>3807</v>
      </c>
      <c r="F1898">
        <v>4540</v>
      </c>
      <c r="G1898">
        <v>4081</v>
      </c>
      <c r="H1898">
        <v>459</v>
      </c>
      <c r="I1898">
        <v>2020</v>
      </c>
      <c r="J1898">
        <v>114</v>
      </c>
      <c r="K1898">
        <f>allFYsTable[[#This Row],[Actual]]-allFYsTable[[#This Row],[OriginalBudget]]</f>
        <v>274</v>
      </c>
      <c r="L1898" s="11">
        <f>allFYsTable[[#This Row],[DiffAmount]]/allFYsTable[[#This Row],[OriginalBudget]]</f>
        <v>7.1972681901759913E-2</v>
      </c>
    </row>
    <row r="1899" spans="1:12" x14ac:dyDescent="0.45">
      <c r="A1899" t="s">
        <v>1025</v>
      </c>
      <c r="B1899" t="s">
        <v>10</v>
      </c>
      <c r="C1899" t="s">
        <v>811</v>
      </c>
      <c r="D1899" t="s">
        <v>86</v>
      </c>
      <c r="E1899">
        <v>47300</v>
      </c>
      <c r="F1899">
        <v>47300</v>
      </c>
      <c r="G1899">
        <v>47300</v>
      </c>
      <c r="H1899">
        <v>0</v>
      </c>
      <c r="I1899">
        <v>2020</v>
      </c>
      <c r="J1899">
        <v>115</v>
      </c>
      <c r="K1899">
        <f>allFYsTable[[#This Row],[Actual]]-allFYsTable[[#This Row],[OriginalBudget]]</f>
        <v>0</v>
      </c>
      <c r="L1899" s="11">
        <f>allFYsTable[[#This Row],[DiffAmount]]/allFYsTable[[#This Row],[OriginalBudget]]</f>
        <v>0</v>
      </c>
    </row>
    <row r="1900" spans="1:12" x14ac:dyDescent="0.45">
      <c r="A1900" t="s">
        <v>1025</v>
      </c>
      <c r="B1900" t="s">
        <v>10</v>
      </c>
      <c r="C1900" t="s">
        <v>829</v>
      </c>
      <c r="D1900" t="s">
        <v>87</v>
      </c>
      <c r="E1900">
        <v>7839</v>
      </c>
      <c r="F1900">
        <v>7839</v>
      </c>
      <c r="G1900">
        <v>6293</v>
      </c>
      <c r="H1900">
        <v>1546</v>
      </c>
      <c r="I1900">
        <v>2020</v>
      </c>
      <c r="J1900">
        <v>116</v>
      </c>
      <c r="K1900">
        <f>allFYsTable[[#This Row],[Actual]]-allFYsTable[[#This Row],[OriginalBudget]]</f>
        <v>-1546</v>
      </c>
      <c r="L1900" s="11">
        <f>allFYsTable[[#This Row],[DiffAmount]]/allFYsTable[[#This Row],[OriginalBudget]]</f>
        <v>-0.19721903303992855</v>
      </c>
    </row>
    <row r="1901" spans="1:12" x14ac:dyDescent="0.45">
      <c r="A1901" t="s">
        <v>1025</v>
      </c>
      <c r="B1901" t="s">
        <v>10</v>
      </c>
      <c r="C1901" t="s">
        <v>810</v>
      </c>
      <c r="D1901" t="s">
        <v>88</v>
      </c>
      <c r="E1901">
        <v>149497</v>
      </c>
      <c r="F1901">
        <v>84167</v>
      </c>
      <c r="G1901">
        <v>84167</v>
      </c>
      <c r="H1901">
        <v>0</v>
      </c>
      <c r="I1901">
        <v>2020</v>
      </c>
      <c r="J1901">
        <v>117</v>
      </c>
      <c r="K1901">
        <f>allFYsTable[[#This Row],[Actual]]-allFYsTable[[#This Row],[OriginalBudget]]</f>
        <v>-65330</v>
      </c>
      <c r="L1901" s="11">
        <f>allFYsTable[[#This Row],[DiffAmount]]/allFYsTable[[#This Row],[OriginalBudget]]</f>
        <v>-0.43699873576058385</v>
      </c>
    </row>
    <row r="1902" spans="1:12" x14ac:dyDescent="0.45">
      <c r="A1902" t="s">
        <v>1025</v>
      </c>
      <c r="B1902" t="s">
        <v>10</v>
      </c>
      <c r="C1902" t="s">
        <v>813</v>
      </c>
      <c r="D1902" t="s">
        <v>89</v>
      </c>
      <c r="E1902">
        <v>26298</v>
      </c>
      <c r="F1902">
        <v>22472</v>
      </c>
      <c r="G1902">
        <v>22472</v>
      </c>
      <c r="H1902">
        <v>0</v>
      </c>
      <c r="I1902">
        <v>2020</v>
      </c>
      <c r="J1902">
        <v>118</v>
      </c>
      <c r="K1902">
        <f>allFYsTable[[#This Row],[Actual]]-allFYsTable[[#This Row],[OriginalBudget]]</f>
        <v>-3826</v>
      </c>
      <c r="L1902" s="11">
        <f>allFYsTable[[#This Row],[DiffAmount]]/allFYsTable[[#This Row],[OriginalBudget]]</f>
        <v>-0.14548634877176972</v>
      </c>
    </row>
    <row r="1903" spans="1:12" x14ac:dyDescent="0.45">
      <c r="A1903" t="s">
        <v>1025</v>
      </c>
      <c r="B1903" t="s">
        <v>10</v>
      </c>
      <c r="C1903" t="s">
        <v>812</v>
      </c>
      <c r="D1903" t="s">
        <v>90</v>
      </c>
      <c r="E1903">
        <v>0</v>
      </c>
      <c r="F1903">
        <v>43000</v>
      </c>
      <c r="G1903">
        <v>43000</v>
      </c>
      <c r="H1903">
        <v>0</v>
      </c>
      <c r="I1903">
        <v>2020</v>
      </c>
      <c r="J1903">
        <v>119</v>
      </c>
      <c r="K1903">
        <f>allFYsTable[[#This Row],[Actual]]-allFYsTable[[#This Row],[OriginalBudget]]</f>
        <v>43000</v>
      </c>
      <c r="L1903" s="11" t="e">
        <f>allFYsTable[[#This Row],[DiffAmount]]/allFYsTable[[#This Row],[OriginalBudget]]</f>
        <v>#DIV/0!</v>
      </c>
    </row>
    <row r="1904" spans="1:12" x14ac:dyDescent="0.45">
      <c r="A1904" t="s">
        <v>1025</v>
      </c>
      <c r="B1904" t="s">
        <v>10</v>
      </c>
      <c r="C1904" t="s">
        <v>821</v>
      </c>
      <c r="D1904" t="s">
        <v>91</v>
      </c>
      <c r="E1904">
        <v>89068</v>
      </c>
      <c r="F1904">
        <v>5311</v>
      </c>
      <c r="G1904">
        <v>0</v>
      </c>
      <c r="H1904">
        <v>5311</v>
      </c>
      <c r="I1904">
        <v>2020</v>
      </c>
      <c r="J1904">
        <v>120</v>
      </c>
      <c r="K1904">
        <f>allFYsTable[[#This Row],[Actual]]-allFYsTable[[#This Row],[OriginalBudget]]</f>
        <v>-89068</v>
      </c>
      <c r="L1904" s="11">
        <f>allFYsTable[[#This Row],[DiffAmount]]/allFYsTable[[#This Row],[OriginalBudget]]</f>
        <v>-1</v>
      </c>
    </row>
    <row r="1905" spans="1:12" x14ac:dyDescent="0.45">
      <c r="A1905" t="s">
        <v>1025</v>
      </c>
      <c r="B1905" t="s">
        <v>10</v>
      </c>
      <c r="C1905" t="s">
        <v>832</v>
      </c>
      <c r="D1905" t="s">
        <v>200</v>
      </c>
      <c r="E1905">
        <v>4486</v>
      </c>
      <c r="F1905">
        <v>4486</v>
      </c>
      <c r="G1905">
        <v>4486</v>
      </c>
      <c r="H1905">
        <v>0</v>
      </c>
      <c r="I1905">
        <v>2020</v>
      </c>
      <c r="J1905">
        <v>121</v>
      </c>
      <c r="K1905">
        <f>allFYsTable[[#This Row],[Actual]]-allFYsTable[[#This Row],[OriginalBudget]]</f>
        <v>0</v>
      </c>
      <c r="L1905" s="11">
        <f>allFYsTable[[#This Row],[DiffAmount]]/allFYsTable[[#This Row],[OriginalBudget]]</f>
        <v>0</v>
      </c>
    </row>
    <row r="1906" spans="1:12" x14ac:dyDescent="0.45">
      <c r="A1906" t="s">
        <v>1025</v>
      </c>
      <c r="B1906" t="s">
        <v>10</v>
      </c>
      <c r="C1906" t="s">
        <v>816</v>
      </c>
      <c r="D1906" t="s">
        <v>93</v>
      </c>
      <c r="E1906">
        <v>203245</v>
      </c>
      <c r="F1906">
        <v>204445</v>
      </c>
      <c r="G1906">
        <v>204445</v>
      </c>
      <c r="H1906">
        <v>0</v>
      </c>
      <c r="I1906">
        <v>2020</v>
      </c>
      <c r="J1906">
        <v>122</v>
      </c>
      <c r="K1906">
        <f>allFYsTable[[#This Row],[Actual]]-allFYsTable[[#This Row],[OriginalBudget]]</f>
        <v>1200</v>
      </c>
      <c r="L1906" s="11">
        <f>allFYsTable[[#This Row],[DiffAmount]]/allFYsTable[[#This Row],[OriginalBudget]]</f>
        <v>5.9042042854682772E-3</v>
      </c>
    </row>
    <row r="1907" spans="1:12" x14ac:dyDescent="0.45">
      <c r="A1907" t="s">
        <v>1025</v>
      </c>
      <c r="B1907" t="s">
        <v>10</v>
      </c>
      <c r="C1907" t="s">
        <v>815</v>
      </c>
      <c r="D1907" t="s">
        <v>95</v>
      </c>
      <c r="E1907">
        <v>3100</v>
      </c>
      <c r="F1907">
        <v>14253</v>
      </c>
      <c r="G1907">
        <v>0</v>
      </c>
      <c r="H1907">
        <v>14253</v>
      </c>
      <c r="I1907">
        <v>2020</v>
      </c>
      <c r="J1907">
        <v>123</v>
      </c>
      <c r="K1907">
        <f>allFYsTable[[#This Row],[Actual]]-allFYsTable[[#This Row],[OriginalBudget]]</f>
        <v>-3100</v>
      </c>
      <c r="L1907" s="11">
        <f>allFYsTable[[#This Row],[DiffAmount]]/allFYsTable[[#This Row],[OriginalBudget]]</f>
        <v>-1</v>
      </c>
    </row>
    <row r="1908" spans="1:12" x14ac:dyDescent="0.45">
      <c r="A1908" t="s">
        <v>1024</v>
      </c>
      <c r="B1908" t="s">
        <v>97</v>
      </c>
      <c r="C1908" t="s">
        <v>703</v>
      </c>
      <c r="D1908" t="s">
        <v>96</v>
      </c>
      <c r="E1908">
        <v>28657</v>
      </c>
      <c r="F1908">
        <v>27189</v>
      </c>
      <c r="G1908">
        <v>27189</v>
      </c>
      <c r="H1908">
        <v>0</v>
      </c>
      <c r="I1908">
        <v>2021</v>
      </c>
      <c r="J1908">
        <v>1</v>
      </c>
      <c r="K1908">
        <f>allFYsTable[[#This Row],[Actual]]-allFYsTable[[#This Row],[OriginalBudget]]</f>
        <v>-1468</v>
      </c>
      <c r="L1908" s="11">
        <f>allFYsTable[[#This Row],[DiffAmount]]/allFYsTable[[#This Row],[OriginalBudget]]</f>
        <v>-5.1226576403671002E-2</v>
      </c>
    </row>
    <row r="1909" spans="1:12" x14ac:dyDescent="0.45">
      <c r="A1909" t="s">
        <v>1024</v>
      </c>
      <c r="B1909" t="s">
        <v>97</v>
      </c>
      <c r="C1909" t="s">
        <v>723</v>
      </c>
      <c r="D1909" t="s">
        <v>98</v>
      </c>
      <c r="E1909">
        <v>5653</v>
      </c>
      <c r="F1909">
        <v>6004</v>
      </c>
      <c r="G1909">
        <v>5523</v>
      </c>
      <c r="H1909">
        <v>481</v>
      </c>
      <c r="I1909">
        <v>2021</v>
      </c>
      <c r="J1909">
        <v>2</v>
      </c>
      <c r="K1909">
        <f>allFYsTable[[#This Row],[Actual]]-allFYsTable[[#This Row],[OriginalBudget]]</f>
        <v>-130</v>
      </c>
      <c r="L1909" s="11">
        <f>allFYsTable[[#This Row],[DiffAmount]]/allFYsTable[[#This Row],[OriginalBudget]]</f>
        <v>-2.299663895276844E-2</v>
      </c>
    </row>
    <row r="1910" spans="1:12" x14ac:dyDescent="0.45">
      <c r="A1910" t="s">
        <v>1024</v>
      </c>
      <c r="B1910" t="s">
        <v>97</v>
      </c>
      <c r="C1910" t="s">
        <v>731</v>
      </c>
      <c r="D1910" t="s">
        <v>99</v>
      </c>
      <c r="E1910">
        <v>241</v>
      </c>
      <c r="F1910">
        <v>252</v>
      </c>
      <c r="G1910">
        <v>252</v>
      </c>
      <c r="H1910">
        <v>0</v>
      </c>
      <c r="I1910">
        <v>2021</v>
      </c>
      <c r="J1910">
        <v>3</v>
      </c>
      <c r="K1910">
        <f>allFYsTable[[#This Row],[Actual]]-allFYsTable[[#This Row],[OriginalBudget]]</f>
        <v>11</v>
      </c>
      <c r="L1910" s="11">
        <f>allFYsTable[[#This Row],[DiffAmount]]/allFYsTable[[#This Row],[OriginalBudget]]</f>
        <v>4.5643153526970952E-2</v>
      </c>
    </row>
    <row r="1911" spans="1:12" x14ac:dyDescent="0.45">
      <c r="A1911" t="s">
        <v>1024</v>
      </c>
      <c r="B1911" t="s">
        <v>97</v>
      </c>
      <c r="C1911" t="s">
        <v>711</v>
      </c>
      <c r="D1911" t="s">
        <v>100</v>
      </c>
      <c r="E1911">
        <v>1630</v>
      </c>
      <c r="F1911">
        <v>1630</v>
      </c>
      <c r="G1911">
        <v>1355</v>
      </c>
      <c r="H1911">
        <v>275</v>
      </c>
      <c r="I1911">
        <v>2021</v>
      </c>
      <c r="J1911">
        <v>4</v>
      </c>
      <c r="K1911">
        <f>allFYsTable[[#This Row],[Actual]]-allFYsTable[[#This Row],[OriginalBudget]]</f>
        <v>-275</v>
      </c>
      <c r="L1911" s="11">
        <f>allFYsTable[[#This Row],[DiffAmount]]/allFYsTable[[#This Row],[OriginalBudget]]</f>
        <v>-0.16871165644171779</v>
      </c>
    </row>
    <row r="1912" spans="1:12" x14ac:dyDescent="0.45">
      <c r="A1912" t="s">
        <v>1024</v>
      </c>
      <c r="B1912" t="s">
        <v>97</v>
      </c>
      <c r="C1912" t="s">
        <v>707</v>
      </c>
      <c r="D1912" t="s">
        <v>101</v>
      </c>
      <c r="E1912">
        <v>11868</v>
      </c>
      <c r="F1912">
        <v>11925</v>
      </c>
      <c r="G1912">
        <v>11911</v>
      </c>
      <c r="H1912">
        <v>14</v>
      </c>
      <c r="I1912">
        <v>2021</v>
      </c>
      <c r="J1912">
        <v>5</v>
      </c>
      <c r="K1912">
        <f>allFYsTable[[#This Row],[Actual]]-allFYsTable[[#This Row],[OriginalBudget]]</f>
        <v>43</v>
      </c>
      <c r="L1912" s="11">
        <f>allFYsTable[[#This Row],[DiffAmount]]/allFYsTable[[#This Row],[OriginalBudget]]</f>
        <v>3.6231884057971015E-3</v>
      </c>
    </row>
    <row r="1913" spans="1:12" x14ac:dyDescent="0.45">
      <c r="A1913" t="s">
        <v>1024</v>
      </c>
      <c r="B1913" t="s">
        <v>97</v>
      </c>
      <c r="C1913" t="s">
        <v>708</v>
      </c>
      <c r="D1913" t="s">
        <v>102</v>
      </c>
      <c r="E1913">
        <v>1638</v>
      </c>
      <c r="F1913">
        <v>1570</v>
      </c>
      <c r="G1913">
        <v>1567</v>
      </c>
      <c r="H1913">
        <v>3</v>
      </c>
      <c r="I1913">
        <v>2021</v>
      </c>
      <c r="J1913">
        <v>6</v>
      </c>
      <c r="K1913">
        <f>allFYsTable[[#This Row],[Actual]]-allFYsTable[[#This Row],[OriginalBudget]]</f>
        <v>-71</v>
      </c>
      <c r="L1913" s="11">
        <f>allFYsTable[[#This Row],[DiffAmount]]/allFYsTable[[#This Row],[OriginalBudget]]</f>
        <v>-4.3345543345543344E-2</v>
      </c>
    </row>
    <row r="1914" spans="1:12" x14ac:dyDescent="0.45">
      <c r="A1914" t="s">
        <v>1024</v>
      </c>
      <c r="B1914" t="s">
        <v>97</v>
      </c>
      <c r="C1914" t="s">
        <v>726</v>
      </c>
      <c r="D1914" t="s">
        <v>103</v>
      </c>
      <c r="E1914">
        <v>3344</v>
      </c>
      <c r="F1914">
        <v>3386</v>
      </c>
      <c r="G1914">
        <v>3353</v>
      </c>
      <c r="H1914">
        <v>33</v>
      </c>
      <c r="I1914">
        <v>2021</v>
      </c>
      <c r="J1914">
        <v>7</v>
      </c>
      <c r="K1914">
        <f>allFYsTable[[#This Row],[Actual]]-allFYsTable[[#This Row],[OriginalBudget]]</f>
        <v>9</v>
      </c>
      <c r="L1914" s="11">
        <f>allFYsTable[[#This Row],[DiffAmount]]/allFYsTable[[#This Row],[OriginalBudget]]</f>
        <v>2.6913875598086126E-3</v>
      </c>
    </row>
    <row r="1915" spans="1:12" x14ac:dyDescent="0.45">
      <c r="A1915" t="s">
        <v>1024</v>
      </c>
      <c r="B1915" t="s">
        <v>97</v>
      </c>
      <c r="C1915" t="s">
        <v>725</v>
      </c>
      <c r="D1915" t="s">
        <v>104</v>
      </c>
      <c r="E1915">
        <v>3706</v>
      </c>
      <c r="F1915">
        <v>3806</v>
      </c>
      <c r="G1915">
        <v>3775</v>
      </c>
      <c r="H1915">
        <v>31</v>
      </c>
      <c r="I1915">
        <v>2021</v>
      </c>
      <c r="J1915">
        <v>8</v>
      </c>
      <c r="K1915">
        <f>allFYsTable[[#This Row],[Actual]]-allFYsTable[[#This Row],[OriginalBudget]]</f>
        <v>69</v>
      </c>
      <c r="L1915" s="11">
        <f>allFYsTable[[#This Row],[DiffAmount]]/allFYsTable[[#This Row],[OriginalBudget]]</f>
        <v>1.8618456556934702E-2</v>
      </c>
    </row>
    <row r="1916" spans="1:12" x14ac:dyDescent="0.45">
      <c r="A1916" t="s">
        <v>1024</v>
      </c>
      <c r="B1916" t="s">
        <v>97</v>
      </c>
      <c r="C1916" t="s">
        <v>724</v>
      </c>
      <c r="D1916" t="s">
        <v>105</v>
      </c>
      <c r="E1916">
        <v>15849</v>
      </c>
      <c r="F1916">
        <v>14562</v>
      </c>
      <c r="G1916">
        <v>13336</v>
      </c>
      <c r="H1916">
        <v>1226</v>
      </c>
      <c r="I1916">
        <v>2021</v>
      </c>
      <c r="J1916">
        <v>9</v>
      </c>
      <c r="K1916">
        <f>allFYsTable[[#This Row],[Actual]]-allFYsTable[[#This Row],[OriginalBudget]]</f>
        <v>-2513</v>
      </c>
      <c r="L1916" s="11">
        <f>allFYsTable[[#This Row],[DiffAmount]]/allFYsTable[[#This Row],[OriginalBudget]]</f>
        <v>-0.15855889961511768</v>
      </c>
    </row>
    <row r="1917" spans="1:12" x14ac:dyDescent="0.45">
      <c r="A1917" t="s">
        <v>1024</v>
      </c>
      <c r="B1917" t="s">
        <v>97</v>
      </c>
      <c r="C1917" t="s">
        <v>701</v>
      </c>
      <c r="D1917" t="s">
        <v>106</v>
      </c>
      <c r="E1917">
        <v>3744</v>
      </c>
      <c r="F1917">
        <v>6970</v>
      </c>
      <c r="G1917">
        <v>6864</v>
      </c>
      <c r="H1917">
        <v>106</v>
      </c>
      <c r="I1917">
        <v>2021</v>
      </c>
      <c r="J1917">
        <v>10</v>
      </c>
      <c r="K1917">
        <f>allFYsTable[[#This Row],[Actual]]-allFYsTable[[#This Row],[OriginalBudget]]</f>
        <v>3120</v>
      </c>
      <c r="L1917" s="11">
        <f>allFYsTable[[#This Row],[DiffAmount]]/allFYsTable[[#This Row],[OriginalBudget]]</f>
        <v>0.83333333333333337</v>
      </c>
    </row>
    <row r="1918" spans="1:12" x14ac:dyDescent="0.45">
      <c r="A1918" t="s">
        <v>1024</v>
      </c>
      <c r="B1918" t="s">
        <v>97</v>
      </c>
      <c r="C1918" t="s">
        <v>722</v>
      </c>
      <c r="D1918" t="s">
        <v>107</v>
      </c>
      <c r="E1918">
        <v>10897</v>
      </c>
      <c r="F1918">
        <v>10368</v>
      </c>
      <c r="G1918">
        <v>9499</v>
      </c>
      <c r="H1918">
        <v>869</v>
      </c>
      <c r="I1918">
        <v>2021</v>
      </c>
      <c r="J1918">
        <v>11</v>
      </c>
      <c r="K1918">
        <f>allFYsTable[[#This Row],[Actual]]-allFYsTable[[#This Row],[OriginalBudget]]</f>
        <v>-1398</v>
      </c>
      <c r="L1918" s="11">
        <f>allFYsTable[[#This Row],[DiffAmount]]/allFYsTable[[#This Row],[OriginalBudget]]</f>
        <v>-0.12829219051114985</v>
      </c>
    </row>
    <row r="1919" spans="1:12" x14ac:dyDescent="0.45">
      <c r="A1919" t="s">
        <v>1024</v>
      </c>
      <c r="B1919" t="s">
        <v>97</v>
      </c>
      <c r="C1919" t="s">
        <v>704</v>
      </c>
      <c r="D1919" t="s">
        <v>108</v>
      </c>
      <c r="E1919">
        <v>10519</v>
      </c>
      <c r="F1919">
        <v>10125</v>
      </c>
      <c r="G1919">
        <v>10034</v>
      </c>
      <c r="H1919">
        <v>91</v>
      </c>
      <c r="I1919">
        <v>2021</v>
      </c>
      <c r="J1919">
        <v>12</v>
      </c>
      <c r="K1919">
        <f>allFYsTable[[#This Row],[Actual]]-allFYsTable[[#This Row],[OriginalBudget]]</f>
        <v>-485</v>
      </c>
      <c r="L1919" s="11">
        <f>allFYsTable[[#This Row],[DiffAmount]]/allFYsTable[[#This Row],[OriginalBudget]]</f>
        <v>-4.6107044395855119E-2</v>
      </c>
    </row>
    <row r="1920" spans="1:12" x14ac:dyDescent="0.45">
      <c r="A1920" t="s">
        <v>1024</v>
      </c>
      <c r="B1920" t="s">
        <v>97</v>
      </c>
      <c r="C1920" t="s">
        <v>716</v>
      </c>
      <c r="D1920" t="s">
        <v>109</v>
      </c>
      <c r="E1920">
        <v>30650</v>
      </c>
      <c r="F1920">
        <v>30650</v>
      </c>
      <c r="G1920">
        <v>29916</v>
      </c>
      <c r="H1920">
        <v>734</v>
      </c>
      <c r="I1920">
        <v>2021</v>
      </c>
      <c r="J1920">
        <v>13</v>
      </c>
      <c r="K1920">
        <f>allFYsTable[[#This Row],[Actual]]-allFYsTable[[#This Row],[OriginalBudget]]</f>
        <v>-734</v>
      </c>
      <c r="L1920" s="11">
        <f>allFYsTable[[#This Row],[DiffAmount]]/allFYsTable[[#This Row],[OriginalBudget]]</f>
        <v>-2.394779771615008E-2</v>
      </c>
    </row>
    <row r="1921" spans="1:12" x14ac:dyDescent="0.45">
      <c r="A1921" t="s">
        <v>1024</v>
      </c>
      <c r="B1921" t="s">
        <v>97</v>
      </c>
      <c r="C1921" t="s">
        <v>705</v>
      </c>
      <c r="D1921" t="s">
        <v>110</v>
      </c>
      <c r="E1921">
        <v>325406</v>
      </c>
      <c r="F1921">
        <v>378987</v>
      </c>
      <c r="G1921">
        <v>375429</v>
      </c>
      <c r="H1921">
        <v>3558</v>
      </c>
      <c r="I1921">
        <v>2021</v>
      </c>
      <c r="J1921">
        <v>14</v>
      </c>
      <c r="K1921">
        <f>allFYsTable[[#This Row],[Actual]]-allFYsTable[[#This Row],[OriginalBudget]]</f>
        <v>50023</v>
      </c>
      <c r="L1921" s="11">
        <f>allFYsTable[[#This Row],[DiffAmount]]/allFYsTable[[#This Row],[OriginalBudget]]</f>
        <v>0.15372488522030939</v>
      </c>
    </row>
    <row r="1922" spans="1:12" x14ac:dyDescent="0.45">
      <c r="A1922" t="s">
        <v>1024</v>
      </c>
      <c r="B1922" t="s">
        <v>97</v>
      </c>
      <c r="C1922" t="s">
        <v>713</v>
      </c>
      <c r="D1922" t="s">
        <v>111</v>
      </c>
      <c r="E1922">
        <v>24413</v>
      </c>
      <c r="F1922">
        <v>109131</v>
      </c>
      <c r="G1922">
        <v>108568</v>
      </c>
      <c r="H1922">
        <v>563</v>
      </c>
      <c r="I1922">
        <v>2021</v>
      </c>
      <c r="J1922">
        <v>15</v>
      </c>
      <c r="K1922">
        <f>allFYsTable[[#This Row],[Actual]]-allFYsTable[[#This Row],[OriginalBudget]]</f>
        <v>84155</v>
      </c>
      <c r="L1922" s="11">
        <f>allFYsTable[[#This Row],[DiffAmount]]/allFYsTable[[#This Row],[OriginalBudget]]</f>
        <v>3.4471388194814239</v>
      </c>
    </row>
    <row r="1923" spans="1:12" x14ac:dyDescent="0.45">
      <c r="A1923" t="s">
        <v>1024</v>
      </c>
      <c r="B1923" t="s">
        <v>97</v>
      </c>
      <c r="C1923" t="s">
        <v>702</v>
      </c>
      <c r="D1923" t="s">
        <v>112</v>
      </c>
      <c r="E1923">
        <v>1780</v>
      </c>
      <c r="F1923">
        <v>1809</v>
      </c>
      <c r="G1923">
        <v>1783</v>
      </c>
      <c r="H1923">
        <v>26</v>
      </c>
      <c r="I1923">
        <v>2021</v>
      </c>
      <c r="J1923">
        <v>16</v>
      </c>
      <c r="K1923">
        <f>allFYsTable[[#This Row],[Actual]]-allFYsTable[[#This Row],[OriginalBudget]]</f>
        <v>3</v>
      </c>
      <c r="L1923" s="11">
        <f>allFYsTable[[#This Row],[DiffAmount]]/allFYsTable[[#This Row],[OriginalBudget]]</f>
        <v>1.6853932584269663E-3</v>
      </c>
    </row>
    <row r="1924" spans="1:12" x14ac:dyDescent="0.45">
      <c r="A1924" t="s">
        <v>1024</v>
      </c>
      <c r="B1924" t="s">
        <v>97</v>
      </c>
      <c r="C1924" t="s">
        <v>720</v>
      </c>
      <c r="D1924" t="s">
        <v>113</v>
      </c>
      <c r="E1924">
        <v>143909</v>
      </c>
      <c r="F1924">
        <v>145660</v>
      </c>
      <c r="G1924">
        <v>145463</v>
      </c>
      <c r="H1924">
        <v>197</v>
      </c>
      <c r="I1924">
        <v>2021</v>
      </c>
      <c r="J1924">
        <v>17</v>
      </c>
      <c r="K1924">
        <f>allFYsTable[[#This Row],[Actual]]-allFYsTable[[#This Row],[OriginalBudget]]</f>
        <v>1554</v>
      </c>
      <c r="L1924" s="11">
        <f>allFYsTable[[#This Row],[DiffAmount]]/allFYsTable[[#This Row],[OriginalBudget]]</f>
        <v>1.0798490712881057E-2</v>
      </c>
    </row>
    <row r="1925" spans="1:12" x14ac:dyDescent="0.45">
      <c r="A1925" t="s">
        <v>1024</v>
      </c>
      <c r="B1925" t="s">
        <v>97</v>
      </c>
      <c r="C1925" t="s">
        <v>719</v>
      </c>
      <c r="D1925" t="s">
        <v>114</v>
      </c>
      <c r="E1925">
        <v>86377</v>
      </c>
      <c r="F1925">
        <v>81122</v>
      </c>
      <c r="G1925">
        <v>79148</v>
      </c>
      <c r="H1925">
        <v>1974</v>
      </c>
      <c r="I1925">
        <v>2021</v>
      </c>
      <c r="J1925">
        <v>18</v>
      </c>
      <c r="K1925">
        <f>allFYsTable[[#This Row],[Actual]]-allFYsTable[[#This Row],[OriginalBudget]]</f>
        <v>-7229</v>
      </c>
      <c r="L1925" s="11">
        <f>allFYsTable[[#This Row],[DiffAmount]]/allFYsTable[[#This Row],[OriginalBudget]]</f>
        <v>-8.3691260404968909E-2</v>
      </c>
    </row>
    <row r="1926" spans="1:12" x14ac:dyDescent="0.45">
      <c r="A1926" t="s">
        <v>1024</v>
      </c>
      <c r="B1926" t="s">
        <v>97</v>
      </c>
      <c r="C1926" t="s">
        <v>718</v>
      </c>
      <c r="D1926" t="s">
        <v>115</v>
      </c>
      <c r="E1926">
        <v>4266</v>
      </c>
      <c r="F1926">
        <v>4065</v>
      </c>
      <c r="G1926">
        <v>3886</v>
      </c>
      <c r="H1926">
        <v>179</v>
      </c>
      <c r="I1926">
        <v>2021</v>
      </c>
      <c r="J1926">
        <v>19</v>
      </c>
      <c r="K1926">
        <f>allFYsTable[[#This Row],[Actual]]-allFYsTable[[#This Row],[OriginalBudget]]</f>
        <v>-380</v>
      </c>
      <c r="L1926" s="11">
        <f>allFYsTable[[#This Row],[DiffAmount]]/allFYsTable[[#This Row],[OriginalBudget]]</f>
        <v>-8.9076418190342246E-2</v>
      </c>
    </row>
    <row r="1927" spans="1:12" x14ac:dyDescent="0.45">
      <c r="A1927" t="s">
        <v>1024</v>
      </c>
      <c r="B1927" t="s">
        <v>97</v>
      </c>
      <c r="C1927" t="s">
        <v>714</v>
      </c>
      <c r="D1927" t="s">
        <v>116</v>
      </c>
      <c r="E1927">
        <v>1153</v>
      </c>
      <c r="F1927">
        <v>1099</v>
      </c>
      <c r="G1927">
        <v>1016</v>
      </c>
      <c r="H1927">
        <v>83</v>
      </c>
      <c r="I1927">
        <v>2021</v>
      </c>
      <c r="J1927">
        <v>20</v>
      </c>
      <c r="K1927">
        <f>allFYsTable[[#This Row],[Actual]]-allFYsTable[[#This Row],[OriginalBudget]]</f>
        <v>-137</v>
      </c>
      <c r="L1927" s="11">
        <f>allFYsTable[[#This Row],[DiffAmount]]/allFYsTable[[#This Row],[OriginalBudget]]</f>
        <v>-0.11882046834345186</v>
      </c>
    </row>
    <row r="1928" spans="1:12" x14ac:dyDescent="0.45">
      <c r="A1928" t="s">
        <v>1024</v>
      </c>
      <c r="B1928" t="s">
        <v>97</v>
      </c>
      <c r="C1928" t="s">
        <v>733</v>
      </c>
      <c r="D1928" t="s">
        <v>117</v>
      </c>
      <c r="E1928">
        <v>60</v>
      </c>
      <c r="F1928">
        <v>60</v>
      </c>
      <c r="G1928">
        <v>42</v>
      </c>
      <c r="H1928">
        <v>18</v>
      </c>
      <c r="I1928">
        <v>2021</v>
      </c>
      <c r="J1928">
        <v>21</v>
      </c>
      <c r="K1928">
        <f>allFYsTable[[#This Row],[Actual]]-allFYsTable[[#This Row],[OriginalBudget]]</f>
        <v>-18</v>
      </c>
      <c r="L1928" s="11">
        <f>allFYsTable[[#This Row],[DiffAmount]]/allFYsTable[[#This Row],[OriginalBudget]]</f>
        <v>-0.3</v>
      </c>
    </row>
    <row r="1929" spans="1:12" x14ac:dyDescent="0.45">
      <c r="A1929" t="s">
        <v>1024</v>
      </c>
      <c r="B1929" t="s">
        <v>97</v>
      </c>
      <c r="C1929" t="s">
        <v>721</v>
      </c>
      <c r="D1929" t="s">
        <v>118</v>
      </c>
      <c r="E1929">
        <v>69802</v>
      </c>
      <c r="F1929">
        <v>67619</v>
      </c>
      <c r="G1929">
        <v>66198</v>
      </c>
      <c r="H1929">
        <v>1421</v>
      </c>
      <c r="I1929">
        <v>2021</v>
      </c>
      <c r="J1929">
        <v>22</v>
      </c>
      <c r="K1929">
        <f>allFYsTable[[#This Row],[Actual]]-allFYsTable[[#This Row],[OriginalBudget]]</f>
        <v>-3604</v>
      </c>
      <c r="L1929" s="11">
        <f>allFYsTable[[#This Row],[DiffAmount]]/allFYsTable[[#This Row],[OriginalBudget]]</f>
        <v>-5.1631758402338045E-2</v>
      </c>
    </row>
    <row r="1930" spans="1:12" x14ac:dyDescent="0.45">
      <c r="A1930" t="s">
        <v>1024</v>
      </c>
      <c r="B1930" t="s">
        <v>97</v>
      </c>
      <c r="C1930" t="s">
        <v>699</v>
      </c>
      <c r="D1930" t="s">
        <v>119</v>
      </c>
      <c r="E1930">
        <v>9551</v>
      </c>
      <c r="F1930">
        <v>9773</v>
      </c>
      <c r="G1930">
        <v>9542</v>
      </c>
      <c r="H1930">
        <v>231</v>
      </c>
      <c r="I1930">
        <v>2021</v>
      </c>
      <c r="J1930">
        <v>23</v>
      </c>
      <c r="K1930">
        <f>allFYsTable[[#This Row],[Actual]]-allFYsTable[[#This Row],[OriginalBudget]]</f>
        <v>-9</v>
      </c>
      <c r="L1930" s="11">
        <f>allFYsTable[[#This Row],[DiffAmount]]/allFYsTable[[#This Row],[OriginalBudget]]</f>
        <v>-9.4230970578996966E-4</v>
      </c>
    </row>
    <row r="1931" spans="1:12" x14ac:dyDescent="0.45">
      <c r="A1931" t="s">
        <v>1024</v>
      </c>
      <c r="B1931" t="s">
        <v>97</v>
      </c>
      <c r="C1931" t="s">
        <v>712</v>
      </c>
      <c r="D1931" t="s">
        <v>120</v>
      </c>
      <c r="E1931">
        <v>8577</v>
      </c>
      <c r="F1931">
        <v>8177</v>
      </c>
      <c r="G1931">
        <v>4083</v>
      </c>
      <c r="H1931">
        <v>4094</v>
      </c>
      <c r="I1931">
        <v>2021</v>
      </c>
      <c r="J1931">
        <v>24</v>
      </c>
      <c r="K1931">
        <f>allFYsTable[[#This Row],[Actual]]-allFYsTable[[#This Row],[OriginalBudget]]</f>
        <v>-4494</v>
      </c>
      <c r="L1931" s="11">
        <f>allFYsTable[[#This Row],[DiffAmount]]/allFYsTable[[#This Row],[OriginalBudget]]</f>
        <v>-0.52395942637285764</v>
      </c>
    </row>
    <row r="1932" spans="1:12" x14ac:dyDescent="0.45">
      <c r="A1932" t="s">
        <v>1024</v>
      </c>
      <c r="B1932" t="s">
        <v>97</v>
      </c>
      <c r="C1932" t="s">
        <v>728</v>
      </c>
      <c r="D1932" t="s">
        <v>121</v>
      </c>
      <c r="E1932">
        <v>1335</v>
      </c>
      <c r="F1932">
        <v>1335</v>
      </c>
      <c r="G1932">
        <v>1243</v>
      </c>
      <c r="H1932">
        <v>92</v>
      </c>
      <c r="I1932">
        <v>2021</v>
      </c>
      <c r="J1932">
        <v>25</v>
      </c>
      <c r="K1932">
        <f>allFYsTable[[#This Row],[Actual]]-allFYsTable[[#This Row],[OriginalBudget]]</f>
        <v>-92</v>
      </c>
      <c r="L1932" s="11">
        <f>allFYsTable[[#This Row],[DiffAmount]]/allFYsTable[[#This Row],[OriginalBudget]]</f>
        <v>-6.8913857677902618E-2</v>
      </c>
    </row>
    <row r="1933" spans="1:12" x14ac:dyDescent="0.45">
      <c r="A1933" t="s">
        <v>1024</v>
      </c>
      <c r="B1933" t="s">
        <v>97</v>
      </c>
      <c r="C1933" t="s">
        <v>706</v>
      </c>
      <c r="D1933" t="s">
        <v>122</v>
      </c>
      <c r="E1933">
        <v>22147</v>
      </c>
      <c r="F1933">
        <v>22147</v>
      </c>
      <c r="G1933">
        <v>18618</v>
      </c>
      <c r="H1933">
        <v>3529</v>
      </c>
      <c r="I1933">
        <v>2021</v>
      </c>
      <c r="J1933">
        <v>26</v>
      </c>
      <c r="K1933">
        <f>allFYsTable[[#This Row],[Actual]]-allFYsTable[[#This Row],[OriginalBudget]]</f>
        <v>-3529</v>
      </c>
      <c r="L1933" s="11">
        <f>allFYsTable[[#This Row],[DiffAmount]]/allFYsTable[[#This Row],[OriginalBudget]]</f>
        <v>-0.15934438072876689</v>
      </c>
    </row>
    <row r="1934" spans="1:12" x14ac:dyDescent="0.45">
      <c r="A1934" t="s">
        <v>1024</v>
      </c>
      <c r="B1934" t="s">
        <v>97</v>
      </c>
      <c r="C1934" t="s">
        <v>729</v>
      </c>
      <c r="D1934" t="s">
        <v>123</v>
      </c>
      <c r="E1934">
        <v>5386</v>
      </c>
      <c r="F1934">
        <v>5402</v>
      </c>
      <c r="G1934">
        <v>5381</v>
      </c>
      <c r="H1934">
        <v>21</v>
      </c>
      <c r="I1934">
        <v>2021</v>
      </c>
      <c r="J1934">
        <v>27</v>
      </c>
      <c r="K1934">
        <f>allFYsTable[[#This Row],[Actual]]-allFYsTable[[#This Row],[OriginalBudget]]</f>
        <v>-5</v>
      </c>
      <c r="L1934" s="11">
        <f>allFYsTable[[#This Row],[DiffAmount]]/allFYsTable[[#This Row],[OriginalBudget]]</f>
        <v>-9.2833271444485704E-4</v>
      </c>
    </row>
    <row r="1935" spans="1:12" x14ac:dyDescent="0.45">
      <c r="A1935" t="s">
        <v>1024</v>
      </c>
      <c r="B1935" t="s">
        <v>97</v>
      </c>
      <c r="C1935" t="s">
        <v>727</v>
      </c>
      <c r="D1935" t="s">
        <v>124</v>
      </c>
      <c r="E1935">
        <v>838</v>
      </c>
      <c r="F1935">
        <v>808</v>
      </c>
      <c r="G1935">
        <v>635</v>
      </c>
      <c r="H1935">
        <v>173</v>
      </c>
      <c r="I1935">
        <v>2021</v>
      </c>
      <c r="J1935">
        <v>28</v>
      </c>
      <c r="K1935">
        <f>allFYsTable[[#This Row],[Actual]]-allFYsTable[[#This Row],[OriginalBudget]]</f>
        <v>-203</v>
      </c>
      <c r="L1935" s="11">
        <f>allFYsTable[[#This Row],[DiffAmount]]/allFYsTable[[#This Row],[OriginalBudget]]</f>
        <v>-0.24224343675417662</v>
      </c>
    </row>
    <row r="1936" spans="1:12" x14ac:dyDescent="0.45">
      <c r="A1936" t="s">
        <v>1024</v>
      </c>
      <c r="B1936" t="s">
        <v>97</v>
      </c>
      <c r="C1936" t="s">
        <v>730</v>
      </c>
      <c r="D1936" t="s">
        <v>125</v>
      </c>
      <c r="E1936">
        <v>1296</v>
      </c>
      <c r="F1936">
        <v>1244</v>
      </c>
      <c r="G1936">
        <v>1226</v>
      </c>
      <c r="H1936">
        <v>18</v>
      </c>
      <c r="I1936">
        <v>2021</v>
      </c>
      <c r="J1936">
        <v>29</v>
      </c>
      <c r="K1936">
        <f>allFYsTable[[#This Row],[Actual]]-allFYsTable[[#This Row],[OriginalBudget]]</f>
        <v>-70</v>
      </c>
      <c r="L1936" s="11">
        <f>allFYsTable[[#This Row],[DiffAmount]]/allFYsTable[[#This Row],[OriginalBudget]]</f>
        <v>-5.4012345679012343E-2</v>
      </c>
    </row>
    <row r="1937" spans="1:12" x14ac:dyDescent="0.45">
      <c r="A1937" t="s">
        <v>1024</v>
      </c>
      <c r="B1937" t="s">
        <v>97</v>
      </c>
      <c r="C1937" t="s">
        <v>715</v>
      </c>
      <c r="D1937" t="s">
        <v>126</v>
      </c>
      <c r="E1937">
        <v>2234</v>
      </c>
      <c r="F1937">
        <v>2270</v>
      </c>
      <c r="G1937">
        <v>2234</v>
      </c>
      <c r="H1937">
        <v>36</v>
      </c>
      <c r="I1937">
        <v>2021</v>
      </c>
      <c r="J1937">
        <v>30</v>
      </c>
      <c r="K1937">
        <f>allFYsTable[[#This Row],[Actual]]-allFYsTable[[#This Row],[OriginalBudget]]</f>
        <v>0</v>
      </c>
      <c r="L1937" s="11">
        <f>allFYsTable[[#This Row],[DiffAmount]]/allFYsTable[[#This Row],[OriginalBudget]]</f>
        <v>0</v>
      </c>
    </row>
    <row r="1938" spans="1:12" x14ac:dyDescent="0.45">
      <c r="A1938" t="s">
        <v>1024</v>
      </c>
      <c r="B1938" t="s">
        <v>97</v>
      </c>
      <c r="C1938" t="s">
        <v>709</v>
      </c>
      <c r="D1938" t="s">
        <v>127</v>
      </c>
      <c r="E1938">
        <v>586</v>
      </c>
      <c r="F1938">
        <v>586</v>
      </c>
      <c r="G1938">
        <v>586</v>
      </c>
      <c r="H1938">
        <v>0</v>
      </c>
      <c r="I1938">
        <v>2021</v>
      </c>
      <c r="J1938">
        <v>31</v>
      </c>
      <c r="K1938">
        <f>allFYsTable[[#This Row],[Actual]]-allFYsTable[[#This Row],[OriginalBudget]]</f>
        <v>0</v>
      </c>
      <c r="L1938" s="11">
        <f>allFYsTable[[#This Row],[DiffAmount]]/allFYsTable[[#This Row],[OriginalBudget]]</f>
        <v>0</v>
      </c>
    </row>
    <row r="1939" spans="1:12" x14ac:dyDescent="0.45">
      <c r="A1939" t="s">
        <v>1024</v>
      </c>
      <c r="B1939" t="s">
        <v>97</v>
      </c>
      <c r="C1939" t="s">
        <v>700</v>
      </c>
      <c r="D1939" t="s">
        <v>128</v>
      </c>
      <c r="E1939">
        <v>2953</v>
      </c>
      <c r="F1939">
        <v>2953</v>
      </c>
      <c r="G1939">
        <v>2880</v>
      </c>
      <c r="H1939">
        <v>73</v>
      </c>
      <c r="I1939">
        <v>2021</v>
      </c>
      <c r="J1939">
        <v>32</v>
      </c>
      <c r="K1939">
        <f>allFYsTable[[#This Row],[Actual]]-allFYsTable[[#This Row],[OriginalBudget]]</f>
        <v>-73</v>
      </c>
      <c r="L1939" s="11">
        <f>allFYsTable[[#This Row],[DiffAmount]]/allFYsTable[[#This Row],[OriginalBudget]]</f>
        <v>-2.4720623095157466E-2</v>
      </c>
    </row>
    <row r="1940" spans="1:12" x14ac:dyDescent="0.45">
      <c r="A1940" t="s">
        <v>1024</v>
      </c>
      <c r="B1940" t="s">
        <v>129</v>
      </c>
      <c r="C1940" t="s">
        <v>743</v>
      </c>
      <c r="D1940" t="s">
        <v>27</v>
      </c>
      <c r="E1940">
        <v>27762</v>
      </c>
      <c r="F1940">
        <v>33007</v>
      </c>
      <c r="G1940">
        <v>32996</v>
      </c>
      <c r="H1940">
        <v>11</v>
      </c>
      <c r="I1940">
        <v>2021</v>
      </c>
      <c r="J1940">
        <v>33</v>
      </c>
      <c r="K1940">
        <f>allFYsTable[[#This Row],[Actual]]-allFYsTable[[#This Row],[OriginalBudget]]</f>
        <v>5234</v>
      </c>
      <c r="L1940" s="11">
        <f>allFYsTable[[#This Row],[DiffAmount]]/allFYsTable[[#This Row],[OriginalBudget]]</f>
        <v>0.18853108565665297</v>
      </c>
    </row>
    <row r="1941" spans="1:12" x14ac:dyDescent="0.45">
      <c r="A1941" t="s">
        <v>1024</v>
      </c>
      <c r="B1941" t="s">
        <v>129</v>
      </c>
      <c r="C1941" t="s">
        <v>738</v>
      </c>
      <c r="D1941" t="s">
        <v>22</v>
      </c>
      <c r="E1941">
        <v>16224</v>
      </c>
      <c r="F1941">
        <v>16043</v>
      </c>
      <c r="G1941">
        <v>15886</v>
      </c>
      <c r="H1941">
        <v>157</v>
      </c>
      <c r="I1941">
        <v>2021</v>
      </c>
      <c r="J1941">
        <v>34</v>
      </c>
      <c r="K1941">
        <f>allFYsTable[[#This Row],[Actual]]-allFYsTable[[#This Row],[OriginalBudget]]</f>
        <v>-338</v>
      </c>
      <c r="L1941" s="11">
        <f>allFYsTable[[#This Row],[DiffAmount]]/allFYsTable[[#This Row],[OriginalBudget]]</f>
        <v>-2.0833333333333332E-2</v>
      </c>
    </row>
    <row r="1942" spans="1:12" x14ac:dyDescent="0.45">
      <c r="A1942" t="s">
        <v>1024</v>
      </c>
      <c r="B1942" t="s">
        <v>129</v>
      </c>
      <c r="C1942" t="s">
        <v>742</v>
      </c>
      <c r="D1942" t="s">
        <v>26</v>
      </c>
      <c r="E1942">
        <v>11315</v>
      </c>
      <c r="F1942">
        <v>11426</v>
      </c>
      <c r="G1942">
        <v>11192</v>
      </c>
      <c r="H1942">
        <v>234</v>
      </c>
      <c r="I1942">
        <v>2021</v>
      </c>
      <c r="J1942">
        <v>35</v>
      </c>
      <c r="K1942">
        <f>allFYsTable[[#This Row],[Actual]]-allFYsTable[[#This Row],[OriginalBudget]]</f>
        <v>-123</v>
      </c>
      <c r="L1942" s="11">
        <f>allFYsTable[[#This Row],[DiffAmount]]/allFYsTable[[#This Row],[OriginalBudget]]</f>
        <v>-1.0870525850640743E-2</v>
      </c>
    </row>
    <row r="1943" spans="1:12" x14ac:dyDescent="0.45">
      <c r="A1943" t="s">
        <v>1024</v>
      </c>
      <c r="B1943" t="s">
        <v>129</v>
      </c>
      <c r="C1943" t="s">
        <v>744</v>
      </c>
      <c r="D1943" t="s">
        <v>29</v>
      </c>
      <c r="E1943">
        <v>3232</v>
      </c>
      <c r="F1943">
        <v>3114</v>
      </c>
      <c r="G1943">
        <v>3054</v>
      </c>
      <c r="H1943">
        <v>60</v>
      </c>
      <c r="I1943">
        <v>2021</v>
      </c>
      <c r="J1943">
        <v>36</v>
      </c>
      <c r="K1943">
        <f>allFYsTable[[#This Row],[Actual]]-allFYsTable[[#This Row],[OriginalBudget]]</f>
        <v>-178</v>
      </c>
      <c r="L1943" s="11">
        <f>allFYsTable[[#This Row],[DiffAmount]]/allFYsTable[[#This Row],[OriginalBudget]]</f>
        <v>-5.5074257425742575E-2</v>
      </c>
    </row>
    <row r="1944" spans="1:12" x14ac:dyDescent="0.45">
      <c r="A1944" t="s">
        <v>1024</v>
      </c>
      <c r="B1944" t="s">
        <v>129</v>
      </c>
      <c r="C1944" t="s">
        <v>737</v>
      </c>
      <c r="D1944" t="s">
        <v>21</v>
      </c>
      <c r="E1944">
        <v>19287</v>
      </c>
      <c r="F1944">
        <v>17763</v>
      </c>
      <c r="G1944">
        <v>15317</v>
      </c>
      <c r="H1944">
        <v>2446</v>
      </c>
      <c r="I1944">
        <v>2021</v>
      </c>
      <c r="J1944">
        <v>37</v>
      </c>
      <c r="K1944">
        <f>allFYsTable[[#This Row],[Actual]]-allFYsTable[[#This Row],[OriginalBudget]]</f>
        <v>-3970</v>
      </c>
      <c r="L1944" s="11">
        <f>allFYsTable[[#This Row],[DiffAmount]]/allFYsTable[[#This Row],[OriginalBudget]]</f>
        <v>-0.20583812930989787</v>
      </c>
    </row>
    <row r="1945" spans="1:12" x14ac:dyDescent="0.45">
      <c r="A1945" t="s">
        <v>1024</v>
      </c>
      <c r="B1945" t="s">
        <v>129</v>
      </c>
      <c r="C1945" t="s">
        <v>741</v>
      </c>
      <c r="D1945" t="s">
        <v>25</v>
      </c>
      <c r="E1945">
        <v>2634</v>
      </c>
      <c r="F1945">
        <v>2636</v>
      </c>
      <c r="G1945">
        <v>2453</v>
      </c>
      <c r="H1945">
        <v>183</v>
      </c>
      <c r="I1945">
        <v>2021</v>
      </c>
      <c r="J1945">
        <v>38</v>
      </c>
      <c r="K1945">
        <f>allFYsTable[[#This Row],[Actual]]-allFYsTable[[#This Row],[OriginalBudget]]</f>
        <v>-181</v>
      </c>
      <c r="L1945" s="11">
        <f>allFYsTable[[#This Row],[DiffAmount]]/allFYsTable[[#This Row],[OriginalBudget]]</f>
        <v>-6.8716780561883073E-2</v>
      </c>
    </row>
    <row r="1946" spans="1:12" x14ac:dyDescent="0.45">
      <c r="A1946" t="s">
        <v>1024</v>
      </c>
      <c r="B1946" t="s">
        <v>129</v>
      </c>
      <c r="C1946" t="s">
        <v>745</v>
      </c>
      <c r="D1946" t="s">
        <v>30</v>
      </c>
      <c r="E1946">
        <v>1826</v>
      </c>
      <c r="F1946">
        <v>1750</v>
      </c>
      <c r="G1946">
        <v>1734</v>
      </c>
      <c r="H1946">
        <v>16</v>
      </c>
      <c r="I1946">
        <v>2021</v>
      </c>
      <c r="J1946">
        <v>39</v>
      </c>
      <c r="K1946">
        <f>allFYsTable[[#This Row],[Actual]]-allFYsTable[[#This Row],[OriginalBudget]]</f>
        <v>-92</v>
      </c>
      <c r="L1946" s="11">
        <f>allFYsTable[[#This Row],[DiffAmount]]/allFYsTable[[#This Row],[OriginalBudget]]</f>
        <v>-5.0383351588170866E-2</v>
      </c>
    </row>
    <row r="1947" spans="1:12" x14ac:dyDescent="0.45">
      <c r="A1947" t="s">
        <v>1024</v>
      </c>
      <c r="B1947" t="s">
        <v>129</v>
      </c>
      <c r="C1947" t="s">
        <v>736</v>
      </c>
      <c r="D1947" t="s">
        <v>130</v>
      </c>
      <c r="E1947">
        <v>37848</v>
      </c>
      <c r="F1947">
        <v>37848</v>
      </c>
      <c r="G1947">
        <v>34103</v>
      </c>
      <c r="H1947">
        <v>3745</v>
      </c>
      <c r="I1947">
        <v>2021</v>
      </c>
      <c r="J1947">
        <v>40</v>
      </c>
      <c r="K1947">
        <f>allFYsTable[[#This Row],[Actual]]-allFYsTable[[#This Row],[OriginalBudget]]</f>
        <v>-3745</v>
      </c>
      <c r="L1947" s="11">
        <f>allFYsTable[[#This Row],[DiffAmount]]/allFYsTable[[#This Row],[OriginalBudget]]</f>
        <v>-9.8948425280067642E-2</v>
      </c>
    </row>
    <row r="1948" spans="1:12" x14ac:dyDescent="0.45">
      <c r="A1948" t="s">
        <v>1024</v>
      </c>
      <c r="B1948" t="s">
        <v>129</v>
      </c>
      <c r="C1948" t="s">
        <v>739</v>
      </c>
      <c r="D1948" t="s">
        <v>23</v>
      </c>
      <c r="E1948">
        <v>158453</v>
      </c>
      <c r="F1948">
        <v>166023</v>
      </c>
      <c r="G1948">
        <v>161825</v>
      </c>
      <c r="H1948">
        <v>4198</v>
      </c>
      <c r="I1948">
        <v>2021</v>
      </c>
      <c r="J1948">
        <v>41</v>
      </c>
      <c r="K1948">
        <f>allFYsTable[[#This Row],[Actual]]-allFYsTable[[#This Row],[OriginalBudget]]</f>
        <v>3372</v>
      </c>
      <c r="L1948" s="11">
        <f>allFYsTable[[#This Row],[DiffAmount]]/allFYsTable[[#This Row],[OriginalBudget]]</f>
        <v>2.1280758332123721E-2</v>
      </c>
    </row>
    <row r="1949" spans="1:12" x14ac:dyDescent="0.45">
      <c r="A1949" t="s">
        <v>1024</v>
      </c>
      <c r="B1949" t="s">
        <v>129</v>
      </c>
      <c r="C1949" t="s">
        <v>734</v>
      </c>
      <c r="D1949" t="s">
        <v>12</v>
      </c>
      <c r="E1949">
        <v>1125</v>
      </c>
      <c r="F1949">
        <v>1125</v>
      </c>
      <c r="G1949">
        <v>1125</v>
      </c>
      <c r="H1949">
        <v>0</v>
      </c>
      <c r="I1949">
        <v>2021</v>
      </c>
      <c r="J1949">
        <v>42</v>
      </c>
      <c r="K1949">
        <f>allFYsTable[[#This Row],[Actual]]-allFYsTable[[#This Row],[OriginalBudget]]</f>
        <v>0</v>
      </c>
      <c r="L1949" s="11">
        <f>allFYsTable[[#This Row],[DiffAmount]]/allFYsTable[[#This Row],[OriginalBudget]]</f>
        <v>0</v>
      </c>
    </row>
    <row r="1950" spans="1:12" x14ac:dyDescent="0.45">
      <c r="A1950" t="s">
        <v>1024</v>
      </c>
      <c r="B1950" t="s">
        <v>129</v>
      </c>
      <c r="C1950" t="s">
        <v>740</v>
      </c>
      <c r="D1950" t="s">
        <v>24</v>
      </c>
      <c r="E1950">
        <v>17538</v>
      </c>
      <c r="F1950">
        <v>17538</v>
      </c>
      <c r="G1950">
        <v>17538</v>
      </c>
      <c r="H1950">
        <v>0</v>
      </c>
      <c r="I1950">
        <v>2021</v>
      </c>
      <c r="J1950">
        <v>43</v>
      </c>
      <c r="K1950">
        <f>allFYsTable[[#This Row],[Actual]]-allFYsTable[[#This Row],[OriginalBudget]]</f>
        <v>0</v>
      </c>
      <c r="L1950" s="11">
        <f>allFYsTable[[#This Row],[DiffAmount]]/allFYsTable[[#This Row],[OriginalBudget]]</f>
        <v>0</v>
      </c>
    </row>
    <row r="1951" spans="1:12" x14ac:dyDescent="0.45">
      <c r="A1951" t="s">
        <v>1024</v>
      </c>
      <c r="B1951" t="s">
        <v>129</v>
      </c>
      <c r="C1951" t="s">
        <v>839</v>
      </c>
      <c r="D1951" t="s">
        <v>28</v>
      </c>
      <c r="E1951">
        <v>3467</v>
      </c>
      <c r="F1951">
        <v>2924</v>
      </c>
      <c r="G1951">
        <v>2872</v>
      </c>
      <c r="H1951">
        <v>52</v>
      </c>
      <c r="I1951">
        <v>2021</v>
      </c>
      <c r="J1951">
        <v>44</v>
      </c>
      <c r="K1951">
        <f>allFYsTable[[#This Row],[Actual]]-allFYsTable[[#This Row],[OriginalBudget]]</f>
        <v>-595</v>
      </c>
      <c r="L1951" s="11">
        <f>allFYsTable[[#This Row],[DiffAmount]]/allFYsTable[[#This Row],[OriginalBudget]]</f>
        <v>-0.17161811364291896</v>
      </c>
    </row>
    <row r="1952" spans="1:12" x14ac:dyDescent="0.45">
      <c r="A1952" t="s">
        <v>1024</v>
      </c>
      <c r="B1952" t="s">
        <v>129</v>
      </c>
      <c r="C1952" t="s">
        <v>735</v>
      </c>
      <c r="D1952" t="s">
        <v>31</v>
      </c>
      <c r="E1952">
        <v>1328</v>
      </c>
      <c r="F1952">
        <v>1230</v>
      </c>
      <c r="G1952">
        <v>1228</v>
      </c>
      <c r="H1952">
        <v>2</v>
      </c>
      <c r="I1952">
        <v>2021</v>
      </c>
      <c r="J1952">
        <v>45</v>
      </c>
      <c r="K1952">
        <f>allFYsTable[[#This Row],[Actual]]-allFYsTable[[#This Row],[OriginalBudget]]</f>
        <v>-100</v>
      </c>
      <c r="L1952" s="11">
        <f>allFYsTable[[#This Row],[DiffAmount]]/allFYsTable[[#This Row],[OriginalBudget]]</f>
        <v>-7.5301204819277115E-2</v>
      </c>
    </row>
    <row r="1953" spans="1:12" x14ac:dyDescent="0.45">
      <c r="A1953" t="s">
        <v>1024</v>
      </c>
      <c r="B1953" t="s">
        <v>6</v>
      </c>
      <c r="C1953" t="s">
        <v>758</v>
      </c>
      <c r="D1953" t="s">
        <v>44</v>
      </c>
      <c r="E1953">
        <v>523217</v>
      </c>
      <c r="F1953">
        <v>520216</v>
      </c>
      <c r="G1953">
        <v>518537</v>
      </c>
      <c r="H1953">
        <v>1679</v>
      </c>
      <c r="I1953">
        <v>2021</v>
      </c>
      <c r="J1953">
        <v>46</v>
      </c>
      <c r="K1953">
        <f>allFYsTable[[#This Row],[Actual]]-allFYsTable[[#This Row],[OriginalBudget]]</f>
        <v>-4680</v>
      </c>
      <c r="L1953" s="11">
        <f>allFYsTable[[#This Row],[DiffAmount]]/allFYsTable[[#This Row],[OriginalBudget]]</f>
        <v>-8.9446634952610477E-3</v>
      </c>
    </row>
    <row r="1954" spans="1:12" x14ac:dyDescent="0.45">
      <c r="A1954" t="s">
        <v>1024</v>
      </c>
      <c r="B1954" t="s">
        <v>6</v>
      </c>
      <c r="C1954" t="s">
        <v>755</v>
      </c>
      <c r="D1954" t="s">
        <v>131</v>
      </c>
      <c r="E1954">
        <v>261802</v>
      </c>
      <c r="F1954">
        <v>234353</v>
      </c>
      <c r="G1954">
        <v>234198</v>
      </c>
      <c r="H1954">
        <v>155</v>
      </c>
      <c r="I1954">
        <v>2021</v>
      </c>
      <c r="J1954">
        <v>47</v>
      </c>
      <c r="K1954">
        <f>allFYsTable[[#This Row],[Actual]]-allFYsTable[[#This Row],[OriginalBudget]]</f>
        <v>-27604</v>
      </c>
      <c r="L1954" s="11">
        <f>allFYsTable[[#This Row],[DiffAmount]]/allFYsTable[[#This Row],[OriginalBudget]]</f>
        <v>-0.10543846112711133</v>
      </c>
    </row>
    <row r="1955" spans="1:12" x14ac:dyDescent="0.45">
      <c r="A1955" t="s">
        <v>1024</v>
      </c>
      <c r="B1955" t="s">
        <v>6</v>
      </c>
      <c r="C1955" t="s">
        <v>768</v>
      </c>
      <c r="D1955" t="s">
        <v>132</v>
      </c>
      <c r="E1955">
        <v>109933</v>
      </c>
      <c r="F1955">
        <v>109933</v>
      </c>
      <c r="G1955">
        <v>109933</v>
      </c>
      <c r="H1955">
        <v>0</v>
      </c>
      <c r="I1955">
        <v>2021</v>
      </c>
      <c r="J1955">
        <v>48</v>
      </c>
      <c r="K1955">
        <f>allFYsTable[[#This Row],[Actual]]-allFYsTable[[#This Row],[OriginalBudget]]</f>
        <v>0</v>
      </c>
      <c r="L1955" s="11">
        <f>allFYsTable[[#This Row],[DiffAmount]]/allFYsTable[[#This Row],[OriginalBudget]]</f>
        <v>0</v>
      </c>
    </row>
    <row r="1956" spans="1:12" x14ac:dyDescent="0.45">
      <c r="A1956" t="s">
        <v>1024</v>
      </c>
      <c r="B1956" t="s">
        <v>6</v>
      </c>
      <c r="C1956" t="s">
        <v>759</v>
      </c>
      <c r="D1956" t="s">
        <v>133</v>
      </c>
      <c r="E1956">
        <v>10323</v>
      </c>
      <c r="F1956">
        <v>9760</v>
      </c>
      <c r="G1956">
        <v>9615</v>
      </c>
      <c r="H1956">
        <v>145</v>
      </c>
      <c r="I1956">
        <v>2021</v>
      </c>
      <c r="J1956">
        <v>49</v>
      </c>
      <c r="K1956">
        <f>allFYsTable[[#This Row],[Actual]]-allFYsTable[[#This Row],[OriginalBudget]]</f>
        <v>-708</v>
      </c>
      <c r="L1956" s="11">
        <f>allFYsTable[[#This Row],[DiffAmount]]/allFYsTable[[#This Row],[OriginalBudget]]</f>
        <v>-6.858471374600407E-2</v>
      </c>
    </row>
    <row r="1957" spans="1:12" x14ac:dyDescent="0.45">
      <c r="A1957" t="s">
        <v>1024</v>
      </c>
      <c r="B1957" t="s">
        <v>6</v>
      </c>
      <c r="C1957" t="s">
        <v>749</v>
      </c>
      <c r="D1957" t="s">
        <v>35</v>
      </c>
      <c r="E1957">
        <v>1666</v>
      </c>
      <c r="F1957">
        <v>1466</v>
      </c>
      <c r="G1957">
        <v>1439</v>
      </c>
      <c r="H1957">
        <v>27</v>
      </c>
      <c r="I1957">
        <v>2021</v>
      </c>
      <c r="J1957">
        <v>50</v>
      </c>
      <c r="K1957">
        <f>allFYsTable[[#This Row],[Actual]]-allFYsTable[[#This Row],[OriginalBudget]]</f>
        <v>-227</v>
      </c>
      <c r="L1957" s="11">
        <f>allFYsTable[[#This Row],[DiffAmount]]/allFYsTable[[#This Row],[OriginalBudget]]</f>
        <v>-0.1362545018007203</v>
      </c>
    </row>
    <row r="1958" spans="1:12" x14ac:dyDescent="0.45">
      <c r="A1958" t="s">
        <v>1024</v>
      </c>
      <c r="B1958" t="s">
        <v>6</v>
      </c>
      <c r="C1958" t="s">
        <v>747</v>
      </c>
      <c r="D1958" t="s">
        <v>33</v>
      </c>
      <c r="E1958">
        <v>878</v>
      </c>
      <c r="F1958">
        <v>770</v>
      </c>
      <c r="G1958">
        <v>770</v>
      </c>
      <c r="H1958">
        <v>0</v>
      </c>
      <c r="I1958">
        <v>2021</v>
      </c>
      <c r="J1958">
        <v>51</v>
      </c>
      <c r="K1958">
        <f>allFYsTable[[#This Row],[Actual]]-allFYsTable[[#This Row],[OriginalBudget]]</f>
        <v>-108</v>
      </c>
      <c r="L1958" s="11">
        <f>allFYsTable[[#This Row],[DiffAmount]]/allFYsTable[[#This Row],[OriginalBudget]]</f>
        <v>-0.12300683371298406</v>
      </c>
    </row>
    <row r="1959" spans="1:12" x14ac:dyDescent="0.45">
      <c r="A1959" t="s">
        <v>1024</v>
      </c>
      <c r="B1959" t="s">
        <v>6</v>
      </c>
      <c r="C1959" t="s">
        <v>750</v>
      </c>
      <c r="D1959" t="s">
        <v>36</v>
      </c>
      <c r="E1959">
        <v>148000</v>
      </c>
      <c r="F1959">
        <v>148335</v>
      </c>
      <c r="G1959">
        <v>147999</v>
      </c>
      <c r="H1959">
        <v>336</v>
      </c>
      <c r="I1959">
        <v>2021</v>
      </c>
      <c r="J1959">
        <v>52</v>
      </c>
      <c r="K1959">
        <f>allFYsTable[[#This Row],[Actual]]-allFYsTable[[#This Row],[OriginalBudget]]</f>
        <v>-1</v>
      </c>
      <c r="L1959" s="11">
        <f>allFYsTable[[#This Row],[DiffAmount]]/allFYsTable[[#This Row],[OriginalBudget]]</f>
        <v>-6.7567567567567567E-6</v>
      </c>
    </row>
    <row r="1960" spans="1:12" x14ac:dyDescent="0.45">
      <c r="A1960" t="s">
        <v>1024</v>
      </c>
      <c r="B1960" t="s">
        <v>6</v>
      </c>
      <c r="C1960" t="s">
        <v>764</v>
      </c>
      <c r="D1960" t="s">
        <v>50</v>
      </c>
      <c r="E1960">
        <v>12195</v>
      </c>
      <c r="F1960">
        <v>12385</v>
      </c>
      <c r="G1960">
        <v>12196</v>
      </c>
      <c r="H1960">
        <v>189</v>
      </c>
      <c r="I1960">
        <v>2021</v>
      </c>
      <c r="J1960">
        <v>53</v>
      </c>
      <c r="K1960">
        <f>allFYsTable[[#This Row],[Actual]]-allFYsTable[[#This Row],[OriginalBudget]]</f>
        <v>1</v>
      </c>
      <c r="L1960" s="11">
        <f>allFYsTable[[#This Row],[DiffAmount]]/allFYsTable[[#This Row],[OriginalBudget]]</f>
        <v>8.2000820008200083E-5</v>
      </c>
    </row>
    <row r="1961" spans="1:12" x14ac:dyDescent="0.45">
      <c r="A1961" t="s">
        <v>1024</v>
      </c>
      <c r="B1961" t="s">
        <v>6</v>
      </c>
      <c r="C1961" t="s">
        <v>753</v>
      </c>
      <c r="D1961" t="s">
        <v>134</v>
      </c>
      <c r="E1961">
        <v>5088</v>
      </c>
      <c r="F1961">
        <v>4846</v>
      </c>
      <c r="G1961">
        <v>4700</v>
      </c>
      <c r="H1961">
        <v>146</v>
      </c>
      <c r="I1961">
        <v>2021</v>
      </c>
      <c r="J1961">
        <v>54</v>
      </c>
      <c r="K1961">
        <f>allFYsTable[[#This Row],[Actual]]-allFYsTable[[#This Row],[OriginalBudget]]</f>
        <v>-388</v>
      </c>
      <c r="L1961" s="11">
        <f>allFYsTable[[#This Row],[DiffAmount]]/allFYsTable[[#This Row],[OriginalBudget]]</f>
        <v>-7.6257861635220123E-2</v>
      </c>
    </row>
    <row r="1962" spans="1:12" x14ac:dyDescent="0.45">
      <c r="A1962" t="s">
        <v>1024</v>
      </c>
      <c r="B1962" t="s">
        <v>6</v>
      </c>
      <c r="C1962" t="s">
        <v>756</v>
      </c>
      <c r="D1962" t="s">
        <v>42</v>
      </c>
      <c r="E1962">
        <v>5531</v>
      </c>
      <c r="F1962">
        <v>6016</v>
      </c>
      <c r="G1962">
        <v>5993</v>
      </c>
      <c r="H1962">
        <v>23</v>
      </c>
      <c r="I1962">
        <v>2021</v>
      </c>
      <c r="J1962">
        <v>55</v>
      </c>
      <c r="K1962">
        <f>allFYsTable[[#This Row],[Actual]]-allFYsTable[[#This Row],[OriginalBudget]]</f>
        <v>462</v>
      </c>
      <c r="L1962" s="11">
        <f>allFYsTable[[#This Row],[DiffAmount]]/allFYsTable[[#This Row],[OriginalBudget]]</f>
        <v>8.3529199059844517E-2</v>
      </c>
    </row>
    <row r="1963" spans="1:12" x14ac:dyDescent="0.45">
      <c r="A1963" t="s">
        <v>1024</v>
      </c>
      <c r="B1963" t="s">
        <v>6</v>
      </c>
      <c r="C1963" t="s">
        <v>746</v>
      </c>
      <c r="D1963" t="s">
        <v>32</v>
      </c>
      <c r="E1963">
        <v>82</v>
      </c>
      <c r="F1963">
        <v>82</v>
      </c>
      <c r="G1963">
        <v>68</v>
      </c>
      <c r="H1963">
        <v>14</v>
      </c>
      <c r="I1963">
        <v>2021</v>
      </c>
      <c r="J1963">
        <v>56</v>
      </c>
      <c r="K1963">
        <f>allFYsTable[[#This Row],[Actual]]-allFYsTable[[#This Row],[OriginalBudget]]</f>
        <v>-14</v>
      </c>
      <c r="L1963" s="11">
        <f>allFYsTable[[#This Row],[DiffAmount]]/allFYsTable[[#This Row],[OriginalBudget]]</f>
        <v>-0.17073170731707318</v>
      </c>
    </row>
    <row r="1964" spans="1:12" x14ac:dyDescent="0.45">
      <c r="A1964" t="s">
        <v>1024</v>
      </c>
      <c r="B1964" t="s">
        <v>6</v>
      </c>
      <c r="C1964" t="s">
        <v>757</v>
      </c>
      <c r="D1964" t="s">
        <v>43</v>
      </c>
      <c r="E1964">
        <v>36</v>
      </c>
      <c r="F1964">
        <v>36</v>
      </c>
      <c r="G1964">
        <v>29</v>
      </c>
      <c r="H1964">
        <v>7</v>
      </c>
      <c r="I1964">
        <v>2021</v>
      </c>
      <c r="J1964">
        <v>57</v>
      </c>
      <c r="K1964">
        <f>allFYsTable[[#This Row],[Actual]]-allFYsTable[[#This Row],[OriginalBudget]]</f>
        <v>-7</v>
      </c>
      <c r="L1964" s="11">
        <f>allFYsTable[[#This Row],[DiffAmount]]/allFYsTable[[#This Row],[OriginalBudget]]</f>
        <v>-0.19444444444444445</v>
      </c>
    </row>
    <row r="1965" spans="1:12" x14ac:dyDescent="0.45">
      <c r="A1965" t="s">
        <v>1024</v>
      </c>
      <c r="B1965" t="s">
        <v>6</v>
      </c>
      <c r="C1965" t="s">
        <v>762</v>
      </c>
      <c r="D1965" t="s">
        <v>48</v>
      </c>
      <c r="E1965">
        <v>2613</v>
      </c>
      <c r="F1965">
        <v>2422</v>
      </c>
      <c r="G1965">
        <v>2328</v>
      </c>
      <c r="H1965">
        <v>94</v>
      </c>
      <c r="I1965">
        <v>2021</v>
      </c>
      <c r="J1965">
        <v>58</v>
      </c>
      <c r="K1965">
        <f>allFYsTable[[#This Row],[Actual]]-allFYsTable[[#This Row],[OriginalBudget]]</f>
        <v>-285</v>
      </c>
      <c r="L1965" s="11">
        <f>allFYsTable[[#This Row],[DiffAmount]]/allFYsTable[[#This Row],[OriginalBudget]]</f>
        <v>-0.10907003444316878</v>
      </c>
    </row>
    <row r="1966" spans="1:12" x14ac:dyDescent="0.45">
      <c r="A1966" t="s">
        <v>1024</v>
      </c>
      <c r="B1966" t="s">
        <v>6</v>
      </c>
      <c r="C1966" t="s">
        <v>766</v>
      </c>
      <c r="D1966" t="s">
        <v>52</v>
      </c>
      <c r="E1966">
        <v>30373</v>
      </c>
      <c r="F1966">
        <v>29110</v>
      </c>
      <c r="G1966">
        <v>28933</v>
      </c>
      <c r="H1966">
        <v>177</v>
      </c>
      <c r="I1966">
        <v>2021</v>
      </c>
      <c r="J1966">
        <v>59</v>
      </c>
      <c r="K1966">
        <f>allFYsTable[[#This Row],[Actual]]-allFYsTable[[#This Row],[OriginalBudget]]</f>
        <v>-1440</v>
      </c>
      <c r="L1966" s="11">
        <f>allFYsTable[[#This Row],[DiffAmount]]/allFYsTable[[#This Row],[OriginalBudget]]</f>
        <v>-4.7410529088335034E-2</v>
      </c>
    </row>
    <row r="1967" spans="1:12" x14ac:dyDescent="0.45">
      <c r="A1967" t="s">
        <v>1024</v>
      </c>
      <c r="B1967" t="s">
        <v>6</v>
      </c>
      <c r="C1967" t="s">
        <v>767</v>
      </c>
      <c r="D1967" t="s">
        <v>53</v>
      </c>
      <c r="E1967">
        <v>43616</v>
      </c>
      <c r="F1967">
        <v>42564</v>
      </c>
      <c r="G1967">
        <v>41561</v>
      </c>
      <c r="H1967">
        <v>1003</v>
      </c>
      <c r="I1967">
        <v>2021</v>
      </c>
      <c r="J1967">
        <v>60</v>
      </c>
      <c r="K1967">
        <f>allFYsTable[[#This Row],[Actual]]-allFYsTable[[#This Row],[OriginalBudget]]</f>
        <v>-2055</v>
      </c>
      <c r="L1967" s="11">
        <f>allFYsTable[[#This Row],[DiffAmount]]/allFYsTable[[#This Row],[OriginalBudget]]</f>
        <v>-4.7115737344093911E-2</v>
      </c>
    </row>
    <row r="1968" spans="1:12" x14ac:dyDescent="0.45">
      <c r="A1968" t="s">
        <v>1024</v>
      </c>
      <c r="B1968" t="s">
        <v>6</v>
      </c>
      <c r="C1968" t="s">
        <v>754</v>
      </c>
      <c r="D1968" t="s">
        <v>40</v>
      </c>
      <c r="E1968">
        <v>1258</v>
      </c>
      <c r="F1968">
        <v>1139</v>
      </c>
      <c r="G1968">
        <v>1113</v>
      </c>
      <c r="H1968">
        <v>26</v>
      </c>
      <c r="I1968">
        <v>2021</v>
      </c>
      <c r="J1968">
        <v>61</v>
      </c>
      <c r="K1968">
        <f>allFYsTable[[#This Row],[Actual]]-allFYsTable[[#This Row],[OriginalBudget]]</f>
        <v>-145</v>
      </c>
      <c r="L1968" s="11">
        <f>allFYsTable[[#This Row],[DiffAmount]]/allFYsTable[[#This Row],[OriginalBudget]]</f>
        <v>-0.11526232114467408</v>
      </c>
    </row>
    <row r="1969" spans="1:12" x14ac:dyDescent="0.45">
      <c r="A1969" t="s">
        <v>1024</v>
      </c>
      <c r="B1969" t="s">
        <v>6</v>
      </c>
      <c r="C1969" t="s">
        <v>765</v>
      </c>
      <c r="D1969" t="s">
        <v>51</v>
      </c>
      <c r="E1969">
        <v>1687</v>
      </c>
      <c r="F1969">
        <v>1861</v>
      </c>
      <c r="G1969">
        <v>1647</v>
      </c>
      <c r="H1969">
        <v>214</v>
      </c>
      <c r="I1969">
        <v>2021</v>
      </c>
      <c r="J1969">
        <v>62</v>
      </c>
      <c r="K1969">
        <f>allFYsTable[[#This Row],[Actual]]-allFYsTable[[#This Row],[OriginalBudget]]</f>
        <v>-40</v>
      </c>
      <c r="L1969" s="11">
        <f>allFYsTable[[#This Row],[DiffAmount]]/allFYsTable[[#This Row],[OriginalBudget]]</f>
        <v>-2.3710729104919975E-2</v>
      </c>
    </row>
    <row r="1970" spans="1:12" x14ac:dyDescent="0.45">
      <c r="A1970" t="s">
        <v>1024</v>
      </c>
      <c r="B1970" t="s">
        <v>6</v>
      </c>
      <c r="C1970" t="s">
        <v>751</v>
      </c>
      <c r="D1970" t="s">
        <v>37</v>
      </c>
      <c r="E1970">
        <v>28427</v>
      </c>
      <c r="F1970">
        <v>27773</v>
      </c>
      <c r="G1970">
        <v>27610</v>
      </c>
      <c r="H1970">
        <v>163</v>
      </c>
      <c r="I1970">
        <v>2021</v>
      </c>
      <c r="J1970">
        <v>63</v>
      </c>
      <c r="K1970">
        <f>allFYsTable[[#This Row],[Actual]]-allFYsTable[[#This Row],[OriginalBudget]]</f>
        <v>-817</v>
      </c>
      <c r="L1970" s="11">
        <f>allFYsTable[[#This Row],[DiffAmount]]/allFYsTable[[#This Row],[OriginalBudget]]</f>
        <v>-2.8740282126147678E-2</v>
      </c>
    </row>
    <row r="1971" spans="1:12" x14ac:dyDescent="0.45">
      <c r="A1971" t="s">
        <v>1024</v>
      </c>
      <c r="B1971" t="s">
        <v>6</v>
      </c>
      <c r="C1971" t="s">
        <v>748</v>
      </c>
      <c r="D1971" t="s">
        <v>34</v>
      </c>
      <c r="E1971">
        <v>813</v>
      </c>
      <c r="F1971">
        <v>809</v>
      </c>
      <c r="G1971">
        <v>729</v>
      </c>
      <c r="H1971">
        <v>80</v>
      </c>
      <c r="I1971">
        <v>2021</v>
      </c>
      <c r="J1971">
        <v>64</v>
      </c>
      <c r="K1971">
        <f>allFYsTable[[#This Row],[Actual]]-allFYsTable[[#This Row],[OriginalBudget]]</f>
        <v>-84</v>
      </c>
      <c r="L1971" s="11">
        <f>allFYsTable[[#This Row],[DiffAmount]]/allFYsTable[[#This Row],[OriginalBudget]]</f>
        <v>-0.10332103321033211</v>
      </c>
    </row>
    <row r="1972" spans="1:12" x14ac:dyDescent="0.45">
      <c r="A1972" t="s">
        <v>1024</v>
      </c>
      <c r="B1972" t="s">
        <v>6</v>
      </c>
      <c r="C1972" t="s">
        <v>760</v>
      </c>
      <c r="D1972" t="s">
        <v>46</v>
      </c>
      <c r="E1972">
        <v>7942</v>
      </c>
      <c r="F1972">
        <v>7464</v>
      </c>
      <c r="G1972">
        <v>5462</v>
      </c>
      <c r="H1972">
        <v>2002</v>
      </c>
      <c r="I1972">
        <v>2021</v>
      </c>
      <c r="J1972">
        <v>65</v>
      </c>
      <c r="K1972">
        <f>allFYsTable[[#This Row],[Actual]]-allFYsTable[[#This Row],[OriginalBudget]]</f>
        <v>-2480</v>
      </c>
      <c r="L1972" s="11">
        <f>allFYsTable[[#This Row],[DiffAmount]]/allFYsTable[[#This Row],[OriginalBudget]]</f>
        <v>-0.31226391337194659</v>
      </c>
    </row>
    <row r="1973" spans="1:12" x14ac:dyDescent="0.45">
      <c r="A1973" t="s">
        <v>1024</v>
      </c>
      <c r="B1973" t="s">
        <v>6</v>
      </c>
      <c r="C1973" t="s">
        <v>752</v>
      </c>
      <c r="D1973" t="s">
        <v>38</v>
      </c>
      <c r="E1973">
        <v>84176</v>
      </c>
      <c r="F1973">
        <v>82737</v>
      </c>
      <c r="G1973">
        <v>82081</v>
      </c>
      <c r="H1973">
        <v>656</v>
      </c>
      <c r="I1973">
        <v>2021</v>
      </c>
      <c r="J1973">
        <v>66</v>
      </c>
      <c r="K1973">
        <f>allFYsTable[[#This Row],[Actual]]-allFYsTable[[#This Row],[OriginalBudget]]</f>
        <v>-2095</v>
      </c>
      <c r="L1973" s="11">
        <f>allFYsTable[[#This Row],[DiffAmount]]/allFYsTable[[#This Row],[OriginalBudget]]</f>
        <v>-2.488832921497814E-2</v>
      </c>
    </row>
    <row r="1974" spans="1:12" x14ac:dyDescent="0.45">
      <c r="A1974" t="s">
        <v>1024</v>
      </c>
      <c r="B1974" t="s">
        <v>6</v>
      </c>
      <c r="C1974" t="s">
        <v>761</v>
      </c>
      <c r="D1974" t="s">
        <v>47</v>
      </c>
      <c r="E1974">
        <v>10355</v>
      </c>
      <c r="F1974">
        <v>9046</v>
      </c>
      <c r="G1974">
        <v>8520</v>
      </c>
      <c r="H1974">
        <v>526</v>
      </c>
      <c r="I1974">
        <v>2021</v>
      </c>
      <c r="J1974">
        <v>67</v>
      </c>
      <c r="K1974">
        <f>allFYsTable[[#This Row],[Actual]]-allFYsTable[[#This Row],[OriginalBudget]]</f>
        <v>-1835</v>
      </c>
      <c r="L1974" s="11">
        <f>allFYsTable[[#This Row],[DiffAmount]]/allFYsTable[[#This Row],[OriginalBudget]]</f>
        <v>-0.17720907774022213</v>
      </c>
    </row>
    <row r="1975" spans="1:12" x14ac:dyDescent="0.45">
      <c r="A1975" t="s">
        <v>1024</v>
      </c>
      <c r="B1975" t="s">
        <v>6</v>
      </c>
      <c r="C1975" t="s">
        <v>763</v>
      </c>
      <c r="D1975" t="s">
        <v>135</v>
      </c>
      <c r="E1975">
        <v>1890</v>
      </c>
      <c r="F1975">
        <v>1765</v>
      </c>
      <c r="G1975">
        <v>1614</v>
      </c>
      <c r="H1975">
        <v>151</v>
      </c>
      <c r="I1975">
        <v>2021</v>
      </c>
      <c r="J1975">
        <v>68</v>
      </c>
      <c r="K1975">
        <f>allFYsTable[[#This Row],[Actual]]-allFYsTable[[#This Row],[OriginalBudget]]</f>
        <v>-276</v>
      </c>
      <c r="L1975" s="11">
        <f>allFYsTable[[#This Row],[DiffAmount]]/allFYsTable[[#This Row],[OriginalBudget]]</f>
        <v>-0.14603174603174604</v>
      </c>
    </row>
    <row r="1976" spans="1:12" x14ac:dyDescent="0.45">
      <c r="A1976" t="s">
        <v>1024</v>
      </c>
      <c r="B1976" t="s">
        <v>136</v>
      </c>
      <c r="C1976" t="s">
        <v>773</v>
      </c>
      <c r="D1976" t="s">
        <v>60</v>
      </c>
      <c r="E1976">
        <v>982009</v>
      </c>
      <c r="F1976">
        <v>970165</v>
      </c>
      <c r="G1976">
        <v>952159</v>
      </c>
      <c r="H1976">
        <v>18006</v>
      </c>
      <c r="I1976">
        <v>2021</v>
      </c>
      <c r="J1976">
        <v>69</v>
      </c>
      <c r="K1976">
        <f>allFYsTable[[#This Row],[Actual]]-allFYsTable[[#This Row],[OriginalBudget]]</f>
        <v>-29850</v>
      </c>
      <c r="L1976" s="11">
        <f>allFYsTable[[#This Row],[DiffAmount]]/allFYsTable[[#This Row],[OriginalBudget]]</f>
        <v>-3.0396870089785328E-2</v>
      </c>
    </row>
    <row r="1977" spans="1:12" x14ac:dyDescent="0.45">
      <c r="A1977" t="s">
        <v>1024</v>
      </c>
      <c r="B1977" t="s">
        <v>136</v>
      </c>
      <c r="C1977" t="s">
        <v>870</v>
      </c>
      <c r="D1977" t="s">
        <v>137</v>
      </c>
      <c r="E1977">
        <v>0</v>
      </c>
      <c r="F1977">
        <v>8102</v>
      </c>
      <c r="G1977">
        <v>8102</v>
      </c>
      <c r="H1977">
        <v>0</v>
      </c>
      <c r="I1977">
        <v>2021</v>
      </c>
      <c r="J1977">
        <v>70</v>
      </c>
      <c r="K1977">
        <f>allFYsTable[[#This Row],[Actual]]-allFYsTable[[#This Row],[OriginalBudget]]</f>
        <v>8102</v>
      </c>
      <c r="L1977" s="11" t="e">
        <f>allFYsTable[[#This Row],[DiffAmount]]/allFYsTable[[#This Row],[OriginalBudget]]</f>
        <v>#DIV/0!</v>
      </c>
    </row>
    <row r="1978" spans="1:12" x14ac:dyDescent="0.45">
      <c r="A1978" t="s">
        <v>1024</v>
      </c>
      <c r="B1978" t="s">
        <v>136</v>
      </c>
      <c r="C1978" t="s">
        <v>772</v>
      </c>
      <c r="D1978" t="s">
        <v>58</v>
      </c>
      <c r="E1978">
        <v>934900</v>
      </c>
      <c r="F1978">
        <v>624184</v>
      </c>
      <c r="G1978">
        <v>624184</v>
      </c>
      <c r="H1978">
        <v>0</v>
      </c>
      <c r="I1978">
        <v>2021</v>
      </c>
      <c r="J1978">
        <v>71</v>
      </c>
      <c r="K1978">
        <f>allFYsTable[[#This Row],[Actual]]-allFYsTable[[#This Row],[OriginalBudget]]</f>
        <v>-310716</v>
      </c>
      <c r="L1978" s="11">
        <f>allFYsTable[[#This Row],[DiffAmount]]/allFYsTable[[#This Row],[OriginalBudget]]</f>
        <v>-0.33235212322173496</v>
      </c>
    </row>
    <row r="1979" spans="1:12" x14ac:dyDescent="0.45">
      <c r="A1979" t="s">
        <v>1024</v>
      </c>
      <c r="B1979" t="s">
        <v>136</v>
      </c>
      <c r="C1979" t="s">
        <v>869</v>
      </c>
      <c r="D1979" t="s">
        <v>138</v>
      </c>
      <c r="E1979">
        <v>0</v>
      </c>
      <c r="F1979">
        <v>352380</v>
      </c>
      <c r="G1979">
        <v>352380</v>
      </c>
      <c r="H1979">
        <v>0</v>
      </c>
      <c r="I1979">
        <v>2021</v>
      </c>
      <c r="J1979">
        <v>72</v>
      </c>
      <c r="K1979">
        <f>allFYsTable[[#This Row],[Actual]]-allFYsTable[[#This Row],[OriginalBudget]]</f>
        <v>352380</v>
      </c>
      <c r="L1979" s="11" t="e">
        <f>allFYsTable[[#This Row],[DiffAmount]]/allFYsTable[[#This Row],[OriginalBudget]]</f>
        <v>#DIV/0!</v>
      </c>
    </row>
    <row r="1980" spans="1:12" x14ac:dyDescent="0.45">
      <c r="A1980" t="s">
        <v>1024</v>
      </c>
      <c r="B1980" t="s">
        <v>136</v>
      </c>
      <c r="C1980" t="s">
        <v>782</v>
      </c>
      <c r="D1980" t="s">
        <v>139</v>
      </c>
      <c r="E1980">
        <v>70478</v>
      </c>
      <c r="F1980">
        <v>70478</v>
      </c>
      <c r="G1980">
        <v>70135</v>
      </c>
      <c r="H1980">
        <v>343</v>
      </c>
      <c r="I1980">
        <v>2021</v>
      </c>
      <c r="J1980">
        <v>73</v>
      </c>
      <c r="K1980">
        <f>allFYsTable[[#This Row],[Actual]]-allFYsTable[[#This Row],[OriginalBudget]]</f>
        <v>-343</v>
      </c>
      <c r="L1980" s="11">
        <f>allFYsTable[[#This Row],[DiffAmount]]/allFYsTable[[#This Row],[OriginalBudget]]</f>
        <v>-4.866766934362496E-3</v>
      </c>
    </row>
    <row r="1981" spans="1:12" x14ac:dyDescent="0.45">
      <c r="A1981" t="s">
        <v>1024</v>
      </c>
      <c r="B1981" t="s">
        <v>136</v>
      </c>
      <c r="C1981" t="s">
        <v>784</v>
      </c>
      <c r="D1981" t="s">
        <v>140</v>
      </c>
      <c r="E1981">
        <v>90303</v>
      </c>
      <c r="F1981">
        <v>90833</v>
      </c>
      <c r="G1981">
        <v>90833</v>
      </c>
      <c r="H1981">
        <v>0</v>
      </c>
      <c r="I1981">
        <v>2021</v>
      </c>
      <c r="J1981">
        <v>74</v>
      </c>
      <c r="K1981">
        <f>allFYsTable[[#This Row],[Actual]]-allFYsTable[[#This Row],[OriginalBudget]]</f>
        <v>530</v>
      </c>
      <c r="L1981" s="11">
        <f>allFYsTable[[#This Row],[DiffAmount]]/allFYsTable[[#This Row],[OriginalBudget]]</f>
        <v>5.8691294862850624E-3</v>
      </c>
    </row>
    <row r="1982" spans="1:12" x14ac:dyDescent="0.45">
      <c r="A1982" t="s">
        <v>1024</v>
      </c>
      <c r="B1982" t="s">
        <v>136</v>
      </c>
      <c r="C1982" t="s">
        <v>779</v>
      </c>
      <c r="D1982" t="s">
        <v>141</v>
      </c>
      <c r="E1982">
        <v>175176</v>
      </c>
      <c r="F1982">
        <v>172299</v>
      </c>
      <c r="G1982">
        <v>167198</v>
      </c>
      <c r="H1982">
        <v>5101</v>
      </c>
      <c r="I1982">
        <v>2021</v>
      </c>
      <c r="J1982">
        <v>75</v>
      </c>
      <c r="K1982">
        <f>allFYsTable[[#This Row],[Actual]]-allFYsTable[[#This Row],[OriginalBudget]]</f>
        <v>-7978</v>
      </c>
      <c r="L1982" s="11">
        <f>allFYsTable[[#This Row],[DiffAmount]]/allFYsTable[[#This Row],[OriginalBudget]]</f>
        <v>-4.5542768415764719E-2</v>
      </c>
    </row>
    <row r="1983" spans="1:12" x14ac:dyDescent="0.45">
      <c r="A1983" t="s">
        <v>1024</v>
      </c>
      <c r="B1983" t="s">
        <v>136</v>
      </c>
      <c r="C1983" t="s">
        <v>776</v>
      </c>
      <c r="D1983" t="s">
        <v>63</v>
      </c>
      <c r="E1983">
        <v>1186</v>
      </c>
      <c r="F1983">
        <v>1106</v>
      </c>
      <c r="G1983">
        <v>1079</v>
      </c>
      <c r="H1983">
        <v>27</v>
      </c>
      <c r="I1983">
        <v>2021</v>
      </c>
      <c r="J1983">
        <v>76</v>
      </c>
      <c r="K1983">
        <f>allFYsTable[[#This Row],[Actual]]-allFYsTable[[#This Row],[OriginalBudget]]</f>
        <v>-107</v>
      </c>
      <c r="L1983" s="11">
        <f>allFYsTable[[#This Row],[DiffAmount]]/allFYsTable[[#This Row],[OriginalBudget]]</f>
        <v>-9.0219224283305227E-2</v>
      </c>
    </row>
    <row r="1984" spans="1:12" x14ac:dyDescent="0.45">
      <c r="A1984" t="s">
        <v>1024</v>
      </c>
      <c r="B1984" t="s">
        <v>136</v>
      </c>
      <c r="C1984" t="s">
        <v>781</v>
      </c>
      <c r="D1984" t="s">
        <v>68</v>
      </c>
      <c r="E1984">
        <v>2187</v>
      </c>
      <c r="F1984">
        <v>2127</v>
      </c>
      <c r="G1984">
        <v>2044</v>
      </c>
      <c r="H1984">
        <v>83</v>
      </c>
      <c r="I1984">
        <v>2021</v>
      </c>
      <c r="J1984">
        <v>77</v>
      </c>
      <c r="K1984">
        <f>allFYsTable[[#This Row],[Actual]]-allFYsTable[[#This Row],[OriginalBudget]]</f>
        <v>-143</v>
      </c>
      <c r="L1984" s="11">
        <f>allFYsTable[[#This Row],[DiffAmount]]/allFYsTable[[#This Row],[OriginalBudget]]</f>
        <v>-6.5386374028349334E-2</v>
      </c>
    </row>
    <row r="1985" spans="1:12" x14ac:dyDescent="0.45">
      <c r="A1985" t="s">
        <v>1024</v>
      </c>
      <c r="B1985" t="s">
        <v>136</v>
      </c>
      <c r="C1985" t="s">
        <v>774</v>
      </c>
      <c r="D1985" t="s">
        <v>62</v>
      </c>
      <c r="E1985">
        <v>70672</v>
      </c>
      <c r="F1985">
        <v>66976</v>
      </c>
      <c r="G1985">
        <v>63688</v>
      </c>
      <c r="H1985">
        <v>3288</v>
      </c>
      <c r="I1985">
        <v>2021</v>
      </c>
      <c r="J1985">
        <v>78</v>
      </c>
      <c r="K1985">
        <f>allFYsTable[[#This Row],[Actual]]-allFYsTable[[#This Row],[OriginalBudget]]</f>
        <v>-6984</v>
      </c>
      <c r="L1985" s="11">
        <f>allFYsTable[[#This Row],[DiffAmount]]/allFYsTable[[#This Row],[OriginalBudget]]</f>
        <v>-9.8822730359972827E-2</v>
      </c>
    </row>
    <row r="1986" spans="1:12" x14ac:dyDescent="0.45">
      <c r="A1986" t="s">
        <v>1024</v>
      </c>
      <c r="B1986" t="s">
        <v>136</v>
      </c>
      <c r="C1986" t="s">
        <v>771</v>
      </c>
      <c r="D1986" t="s">
        <v>142</v>
      </c>
      <c r="E1986">
        <v>0</v>
      </c>
      <c r="F1986">
        <v>2330</v>
      </c>
      <c r="G1986">
        <v>2330</v>
      </c>
      <c r="H1986">
        <v>0</v>
      </c>
      <c r="I1986">
        <v>2021</v>
      </c>
      <c r="J1986">
        <v>79</v>
      </c>
      <c r="K1986">
        <f>allFYsTable[[#This Row],[Actual]]-allFYsTable[[#This Row],[OriginalBudget]]</f>
        <v>2330</v>
      </c>
      <c r="L1986" s="11" t="e">
        <f>allFYsTable[[#This Row],[DiffAmount]]/allFYsTable[[#This Row],[OriginalBudget]]</f>
        <v>#DIV/0!</v>
      </c>
    </row>
    <row r="1987" spans="1:12" x14ac:dyDescent="0.45">
      <c r="A1987" t="s">
        <v>1024</v>
      </c>
      <c r="B1987" t="s">
        <v>136</v>
      </c>
      <c r="C1987" t="s">
        <v>783</v>
      </c>
      <c r="D1987" t="s">
        <v>70</v>
      </c>
      <c r="E1987">
        <v>5480</v>
      </c>
      <c r="F1987">
        <v>3009</v>
      </c>
      <c r="G1987">
        <v>2167</v>
      </c>
      <c r="H1987">
        <v>842</v>
      </c>
      <c r="I1987">
        <v>2021</v>
      </c>
      <c r="J1987">
        <v>80</v>
      </c>
      <c r="K1987">
        <f>allFYsTable[[#This Row],[Actual]]-allFYsTable[[#This Row],[OriginalBudget]]</f>
        <v>-3313</v>
      </c>
      <c r="L1987" s="11">
        <f>allFYsTable[[#This Row],[DiffAmount]]/allFYsTable[[#This Row],[OriginalBudget]]</f>
        <v>-0.6045620437956204</v>
      </c>
    </row>
    <row r="1988" spans="1:12" x14ac:dyDescent="0.45">
      <c r="A1988" t="s">
        <v>1024</v>
      </c>
      <c r="B1988" t="s">
        <v>136</v>
      </c>
      <c r="C1988" t="s">
        <v>769</v>
      </c>
      <c r="D1988" t="s">
        <v>55</v>
      </c>
      <c r="E1988">
        <v>56001</v>
      </c>
      <c r="F1988">
        <v>54225</v>
      </c>
      <c r="G1988">
        <v>49562</v>
      </c>
      <c r="H1988">
        <v>4663</v>
      </c>
      <c r="I1988">
        <v>2021</v>
      </c>
      <c r="J1988">
        <v>81</v>
      </c>
      <c r="K1988">
        <f>allFYsTable[[#This Row],[Actual]]-allFYsTable[[#This Row],[OriginalBudget]]</f>
        <v>-6439</v>
      </c>
      <c r="L1988" s="11">
        <f>allFYsTable[[#This Row],[DiffAmount]]/allFYsTable[[#This Row],[OriginalBudget]]</f>
        <v>-0.1149800896412564</v>
      </c>
    </row>
    <row r="1989" spans="1:12" x14ac:dyDescent="0.45">
      <c r="A1989" t="s">
        <v>1024</v>
      </c>
      <c r="B1989" t="s">
        <v>136</v>
      </c>
      <c r="C1989" t="s">
        <v>770</v>
      </c>
      <c r="D1989" t="s">
        <v>56</v>
      </c>
      <c r="E1989">
        <v>54896</v>
      </c>
      <c r="F1989">
        <v>54575</v>
      </c>
      <c r="G1989">
        <v>53647</v>
      </c>
      <c r="H1989">
        <v>928</v>
      </c>
      <c r="I1989">
        <v>2021</v>
      </c>
      <c r="J1989">
        <v>82</v>
      </c>
      <c r="K1989">
        <f>allFYsTable[[#This Row],[Actual]]-allFYsTable[[#This Row],[OriginalBudget]]</f>
        <v>-1249</v>
      </c>
      <c r="L1989" s="11">
        <f>allFYsTable[[#This Row],[DiffAmount]]/allFYsTable[[#This Row],[OriginalBudget]]</f>
        <v>-2.2752113086563684E-2</v>
      </c>
    </row>
    <row r="1990" spans="1:12" x14ac:dyDescent="0.45">
      <c r="A1990" t="s">
        <v>1024</v>
      </c>
      <c r="B1990" t="s">
        <v>136</v>
      </c>
      <c r="C1990" t="s">
        <v>780</v>
      </c>
      <c r="D1990" t="s">
        <v>143</v>
      </c>
      <c r="E1990">
        <v>111123</v>
      </c>
      <c r="F1990">
        <v>108214</v>
      </c>
      <c r="G1990">
        <v>104959</v>
      </c>
      <c r="H1990">
        <v>3255</v>
      </c>
      <c r="I1990">
        <v>2021</v>
      </c>
      <c r="J1990">
        <v>83</v>
      </c>
      <c r="K1990">
        <f>allFYsTable[[#This Row],[Actual]]-allFYsTable[[#This Row],[OriginalBudget]]</f>
        <v>-6164</v>
      </c>
      <c r="L1990" s="11">
        <f>allFYsTable[[#This Row],[DiffAmount]]/allFYsTable[[#This Row],[OriginalBudget]]</f>
        <v>-5.547006470307677E-2</v>
      </c>
    </row>
    <row r="1991" spans="1:12" x14ac:dyDescent="0.45">
      <c r="A1991" t="s">
        <v>1024</v>
      </c>
      <c r="B1991" t="s">
        <v>136</v>
      </c>
      <c r="C1991" t="s">
        <v>777</v>
      </c>
      <c r="D1991" t="s">
        <v>64</v>
      </c>
      <c r="E1991">
        <v>59238</v>
      </c>
      <c r="F1991">
        <v>59238</v>
      </c>
      <c r="G1991">
        <v>58888</v>
      </c>
      <c r="H1991">
        <v>350</v>
      </c>
      <c r="I1991">
        <v>2021</v>
      </c>
      <c r="J1991">
        <v>84</v>
      </c>
      <c r="K1991">
        <f>allFYsTable[[#This Row],[Actual]]-allFYsTable[[#This Row],[OriginalBudget]]</f>
        <v>-350</v>
      </c>
      <c r="L1991" s="11">
        <f>allFYsTable[[#This Row],[DiffAmount]]/allFYsTable[[#This Row],[OriginalBudget]]</f>
        <v>-5.908369627603903E-3</v>
      </c>
    </row>
    <row r="1992" spans="1:12" x14ac:dyDescent="0.45">
      <c r="A1992" t="s">
        <v>1024</v>
      </c>
      <c r="B1992" t="s">
        <v>136</v>
      </c>
      <c r="C1992" t="s">
        <v>778</v>
      </c>
      <c r="D1992" t="s">
        <v>65</v>
      </c>
      <c r="E1992">
        <v>21138</v>
      </c>
      <c r="F1992">
        <v>21091</v>
      </c>
      <c r="G1992">
        <v>20537</v>
      </c>
      <c r="H1992">
        <v>554</v>
      </c>
      <c r="I1992">
        <v>2021</v>
      </c>
      <c r="J1992">
        <v>85</v>
      </c>
      <c r="K1992">
        <f>allFYsTable[[#This Row],[Actual]]-allFYsTable[[#This Row],[OriginalBudget]]</f>
        <v>-601</v>
      </c>
      <c r="L1992" s="11">
        <f>allFYsTable[[#This Row],[DiffAmount]]/allFYsTable[[#This Row],[OriginalBudget]]</f>
        <v>-2.8432207398997066E-2</v>
      </c>
    </row>
    <row r="1993" spans="1:12" x14ac:dyDescent="0.45">
      <c r="A1993" t="s">
        <v>1024</v>
      </c>
      <c r="B1993" t="s">
        <v>14</v>
      </c>
      <c r="C1993" t="s">
        <v>790</v>
      </c>
      <c r="D1993" t="s">
        <v>144</v>
      </c>
      <c r="E1993">
        <v>419714</v>
      </c>
      <c r="F1993">
        <v>412635</v>
      </c>
      <c r="G1993">
        <v>409952</v>
      </c>
      <c r="H1993">
        <v>2683</v>
      </c>
      <c r="I1993">
        <v>2021</v>
      </c>
      <c r="J1993">
        <v>86</v>
      </c>
      <c r="K1993">
        <f>allFYsTable[[#This Row],[Actual]]-allFYsTable[[#This Row],[OriginalBudget]]</f>
        <v>-9762</v>
      </c>
      <c r="L1993" s="11">
        <f>allFYsTable[[#This Row],[DiffAmount]]/allFYsTable[[#This Row],[OriginalBudget]]</f>
        <v>-2.3258695206736017E-2</v>
      </c>
    </row>
    <row r="1994" spans="1:12" x14ac:dyDescent="0.45">
      <c r="A1994" t="s">
        <v>1024</v>
      </c>
      <c r="B1994" t="s">
        <v>14</v>
      </c>
      <c r="C1994" t="s">
        <v>788</v>
      </c>
      <c r="D1994" t="s">
        <v>145</v>
      </c>
      <c r="E1994">
        <v>90029</v>
      </c>
      <c r="F1994">
        <v>87381</v>
      </c>
      <c r="G1994">
        <v>86712</v>
      </c>
      <c r="H1994">
        <v>669</v>
      </c>
      <c r="I1994">
        <v>2021</v>
      </c>
      <c r="J1994">
        <v>87</v>
      </c>
      <c r="K1994">
        <f>allFYsTable[[#This Row],[Actual]]-allFYsTable[[#This Row],[OriginalBudget]]</f>
        <v>-3317</v>
      </c>
      <c r="L1994" s="11">
        <f>allFYsTable[[#This Row],[DiffAmount]]/allFYsTable[[#This Row],[OriginalBudget]]</f>
        <v>-3.6843683701918269E-2</v>
      </c>
    </row>
    <row r="1995" spans="1:12" x14ac:dyDescent="0.45">
      <c r="A1995" t="s">
        <v>1024</v>
      </c>
      <c r="B1995" t="s">
        <v>14</v>
      </c>
      <c r="C1995" t="s">
        <v>786</v>
      </c>
      <c r="D1995" t="s">
        <v>146</v>
      </c>
      <c r="E1995">
        <v>40973</v>
      </c>
      <c r="F1995">
        <v>40416</v>
      </c>
      <c r="G1995">
        <v>40353</v>
      </c>
      <c r="H1995">
        <v>63</v>
      </c>
      <c r="I1995">
        <v>2021</v>
      </c>
      <c r="J1995">
        <v>88</v>
      </c>
      <c r="K1995">
        <f>allFYsTable[[#This Row],[Actual]]-allFYsTable[[#This Row],[OriginalBudget]]</f>
        <v>-620</v>
      </c>
      <c r="L1995" s="11">
        <f>allFYsTable[[#This Row],[DiffAmount]]/allFYsTable[[#This Row],[OriginalBudget]]</f>
        <v>-1.5131916139897006E-2</v>
      </c>
    </row>
    <row r="1996" spans="1:12" x14ac:dyDescent="0.45">
      <c r="A1996" t="s">
        <v>1024</v>
      </c>
      <c r="B1996" t="s">
        <v>14</v>
      </c>
      <c r="C1996" t="s">
        <v>785</v>
      </c>
      <c r="D1996" t="s">
        <v>147</v>
      </c>
      <c r="E1996">
        <v>151739</v>
      </c>
      <c r="F1996">
        <v>143233</v>
      </c>
      <c r="G1996">
        <v>143084</v>
      </c>
      <c r="H1996">
        <v>149</v>
      </c>
      <c r="I1996">
        <v>2021</v>
      </c>
      <c r="J1996">
        <v>89</v>
      </c>
      <c r="K1996">
        <f>allFYsTable[[#This Row],[Actual]]-allFYsTable[[#This Row],[OriginalBudget]]</f>
        <v>-8655</v>
      </c>
      <c r="L1996" s="11">
        <f>allFYsTable[[#This Row],[DiffAmount]]/allFYsTable[[#This Row],[OriginalBudget]]</f>
        <v>-5.7038730978851843E-2</v>
      </c>
    </row>
    <row r="1997" spans="1:12" x14ac:dyDescent="0.45">
      <c r="A1997" t="s">
        <v>1024</v>
      </c>
      <c r="B1997" t="s">
        <v>14</v>
      </c>
      <c r="C1997" t="s">
        <v>787</v>
      </c>
      <c r="D1997" t="s">
        <v>148</v>
      </c>
      <c r="E1997">
        <v>272204</v>
      </c>
      <c r="F1997">
        <v>262864</v>
      </c>
      <c r="G1997">
        <v>261161</v>
      </c>
      <c r="H1997">
        <v>1703</v>
      </c>
      <c r="I1997">
        <v>2021</v>
      </c>
      <c r="J1997">
        <v>90</v>
      </c>
      <c r="K1997">
        <f>allFYsTable[[#This Row],[Actual]]-allFYsTable[[#This Row],[OriginalBudget]]</f>
        <v>-11043</v>
      </c>
      <c r="L1997" s="11">
        <f>allFYsTable[[#This Row],[DiffAmount]]/allFYsTable[[#This Row],[OriginalBudget]]</f>
        <v>-4.0568838077324358E-2</v>
      </c>
    </row>
    <row r="1998" spans="1:12" x14ac:dyDescent="0.45">
      <c r="A1998" t="s">
        <v>1024</v>
      </c>
      <c r="B1998" t="s">
        <v>14</v>
      </c>
      <c r="C1998" t="s">
        <v>791</v>
      </c>
      <c r="D1998" t="s">
        <v>149</v>
      </c>
      <c r="E1998">
        <v>131048</v>
      </c>
      <c r="F1998">
        <v>104500</v>
      </c>
      <c r="G1998">
        <v>101223</v>
      </c>
      <c r="H1998">
        <v>3277</v>
      </c>
      <c r="I1998">
        <v>2021</v>
      </c>
      <c r="J1998">
        <v>91</v>
      </c>
      <c r="K1998">
        <f>allFYsTable[[#This Row],[Actual]]-allFYsTable[[#This Row],[OriginalBudget]]</f>
        <v>-29825</v>
      </c>
      <c r="L1998" s="11">
        <f>allFYsTable[[#This Row],[DiffAmount]]/allFYsTable[[#This Row],[OriginalBudget]]</f>
        <v>-0.22758836456870765</v>
      </c>
    </row>
    <row r="1999" spans="1:12" x14ac:dyDescent="0.45">
      <c r="A1999" t="s">
        <v>1024</v>
      </c>
      <c r="B1999" t="s">
        <v>14</v>
      </c>
      <c r="C1999" t="s">
        <v>789</v>
      </c>
      <c r="D1999" t="s">
        <v>150</v>
      </c>
      <c r="E1999">
        <v>955818</v>
      </c>
      <c r="F1999">
        <v>844411</v>
      </c>
      <c r="G1999">
        <v>842983</v>
      </c>
      <c r="H1999">
        <v>1428</v>
      </c>
      <c r="I1999">
        <v>2021</v>
      </c>
      <c r="J1999">
        <v>92</v>
      </c>
      <c r="K1999">
        <f>allFYsTable[[#This Row],[Actual]]-allFYsTable[[#This Row],[OriginalBudget]]</f>
        <v>-112835</v>
      </c>
      <c r="L1999" s="11">
        <f>allFYsTable[[#This Row],[DiffAmount]]/allFYsTable[[#This Row],[OriginalBudget]]</f>
        <v>-0.11805071676825504</v>
      </c>
    </row>
    <row r="2000" spans="1:12" x14ac:dyDescent="0.45">
      <c r="A2000" t="s">
        <v>1024</v>
      </c>
      <c r="B2000" t="s">
        <v>14</v>
      </c>
      <c r="C2000" t="s">
        <v>793</v>
      </c>
      <c r="D2000" t="s">
        <v>151</v>
      </c>
      <c r="E2000">
        <v>2116</v>
      </c>
      <c r="F2000">
        <v>2054</v>
      </c>
      <c r="G2000">
        <v>1969</v>
      </c>
      <c r="H2000">
        <v>85</v>
      </c>
      <c r="I2000">
        <v>2021</v>
      </c>
      <c r="J2000">
        <v>93</v>
      </c>
      <c r="K2000">
        <f>allFYsTable[[#This Row],[Actual]]-allFYsTable[[#This Row],[OriginalBudget]]</f>
        <v>-147</v>
      </c>
      <c r="L2000" s="11">
        <f>allFYsTable[[#This Row],[DiffAmount]]/allFYsTable[[#This Row],[OriginalBudget]]</f>
        <v>-6.9470699432892247E-2</v>
      </c>
    </row>
    <row r="2001" spans="1:12" x14ac:dyDescent="0.45">
      <c r="A2001" t="s">
        <v>1024</v>
      </c>
      <c r="B2001" t="s">
        <v>14</v>
      </c>
      <c r="C2001" t="s">
        <v>792</v>
      </c>
      <c r="D2001" t="s">
        <v>152</v>
      </c>
      <c r="E2001">
        <v>15000</v>
      </c>
      <c r="F2001">
        <v>40000</v>
      </c>
      <c r="G2001">
        <v>40000</v>
      </c>
      <c r="H2001">
        <v>0</v>
      </c>
      <c r="I2001">
        <v>2021</v>
      </c>
      <c r="J2001">
        <v>94</v>
      </c>
      <c r="K2001">
        <f>allFYsTable[[#This Row],[Actual]]-allFYsTable[[#This Row],[OriginalBudget]]</f>
        <v>25000</v>
      </c>
      <c r="L2001" s="11">
        <f>allFYsTable[[#This Row],[DiffAmount]]/allFYsTable[[#This Row],[OriginalBudget]]</f>
        <v>1.6666666666666667</v>
      </c>
    </row>
    <row r="2002" spans="1:12" x14ac:dyDescent="0.45">
      <c r="A2002" t="s">
        <v>1024</v>
      </c>
      <c r="B2002" t="s">
        <v>14</v>
      </c>
      <c r="C2002" t="s">
        <v>872</v>
      </c>
      <c r="D2002" t="s">
        <v>153</v>
      </c>
      <c r="E2002">
        <v>17540</v>
      </c>
      <c r="F2002">
        <v>540</v>
      </c>
      <c r="G2002">
        <v>0</v>
      </c>
      <c r="H2002">
        <v>540</v>
      </c>
      <c r="I2002">
        <v>2021</v>
      </c>
      <c r="J2002">
        <v>95</v>
      </c>
      <c r="K2002">
        <f>allFYsTable[[#This Row],[Actual]]-allFYsTable[[#This Row],[OriginalBudget]]</f>
        <v>-17540</v>
      </c>
      <c r="L2002" s="11">
        <f>allFYsTable[[#This Row],[DiffAmount]]/allFYsTable[[#This Row],[OriginalBudget]]</f>
        <v>-1</v>
      </c>
    </row>
    <row r="2003" spans="1:12" x14ac:dyDescent="0.45">
      <c r="A2003" t="s">
        <v>1024</v>
      </c>
      <c r="B2003" t="s">
        <v>9</v>
      </c>
      <c r="C2003" t="s">
        <v>804</v>
      </c>
      <c r="D2003" t="s">
        <v>154</v>
      </c>
      <c r="E2003">
        <v>1298</v>
      </c>
      <c r="F2003">
        <v>1157</v>
      </c>
      <c r="G2003">
        <v>1157</v>
      </c>
      <c r="H2003">
        <v>0</v>
      </c>
      <c r="I2003">
        <v>2021</v>
      </c>
      <c r="J2003">
        <v>96</v>
      </c>
      <c r="K2003">
        <f>allFYsTable[[#This Row],[Actual]]-allFYsTable[[#This Row],[OriginalBudget]]</f>
        <v>-141</v>
      </c>
      <c r="L2003" s="11">
        <f>allFYsTable[[#This Row],[DiffAmount]]/allFYsTable[[#This Row],[OriginalBudget]]</f>
        <v>-0.10862865947611711</v>
      </c>
    </row>
    <row r="2004" spans="1:12" x14ac:dyDescent="0.45">
      <c r="A2004" t="s">
        <v>1024</v>
      </c>
      <c r="B2004" t="s">
        <v>9</v>
      </c>
      <c r="C2004" t="s">
        <v>802</v>
      </c>
      <c r="D2004" t="s">
        <v>78</v>
      </c>
      <c r="E2004">
        <v>147648</v>
      </c>
      <c r="F2004">
        <v>153064</v>
      </c>
      <c r="G2004">
        <v>152830</v>
      </c>
      <c r="H2004">
        <v>234</v>
      </c>
      <c r="I2004">
        <v>2021</v>
      </c>
      <c r="J2004">
        <v>97</v>
      </c>
      <c r="K2004">
        <f>allFYsTable[[#This Row],[Actual]]-allFYsTable[[#This Row],[OriginalBudget]]</f>
        <v>5182</v>
      </c>
      <c r="L2004" s="11">
        <f>allFYsTable[[#This Row],[DiffAmount]]/allFYsTable[[#This Row],[OriginalBudget]]</f>
        <v>3.5096987429562201E-2</v>
      </c>
    </row>
    <row r="2005" spans="1:12" x14ac:dyDescent="0.45">
      <c r="A2005" t="s">
        <v>1024</v>
      </c>
      <c r="B2005" t="s">
        <v>9</v>
      </c>
      <c r="C2005" t="s">
        <v>803</v>
      </c>
      <c r="D2005" t="s">
        <v>155</v>
      </c>
      <c r="E2005">
        <v>110972</v>
      </c>
      <c r="F2005">
        <v>107847</v>
      </c>
      <c r="G2005">
        <v>107591</v>
      </c>
      <c r="H2005">
        <v>256</v>
      </c>
      <c r="I2005">
        <v>2021</v>
      </c>
      <c r="J2005">
        <v>98</v>
      </c>
      <c r="K2005">
        <f>allFYsTable[[#This Row],[Actual]]-allFYsTable[[#This Row],[OriginalBudget]]</f>
        <v>-3381</v>
      </c>
      <c r="L2005" s="11">
        <f>allFYsTable[[#This Row],[DiffAmount]]/allFYsTable[[#This Row],[OriginalBudget]]</f>
        <v>-3.0467144865371446E-2</v>
      </c>
    </row>
    <row r="2006" spans="1:12" x14ac:dyDescent="0.45">
      <c r="A2006" t="s">
        <v>1024</v>
      </c>
      <c r="B2006" t="s">
        <v>9</v>
      </c>
      <c r="C2006" t="s">
        <v>797</v>
      </c>
      <c r="D2006" t="s">
        <v>73</v>
      </c>
      <c r="E2006">
        <v>27539</v>
      </c>
      <c r="F2006">
        <v>31867</v>
      </c>
      <c r="G2006">
        <v>31787</v>
      </c>
      <c r="H2006">
        <v>80</v>
      </c>
      <c r="I2006">
        <v>2021</v>
      </c>
      <c r="J2006">
        <v>99</v>
      </c>
      <c r="K2006">
        <f>allFYsTable[[#This Row],[Actual]]-allFYsTable[[#This Row],[OriginalBudget]]</f>
        <v>4248</v>
      </c>
      <c r="L2006" s="11">
        <f>allFYsTable[[#This Row],[DiffAmount]]/allFYsTable[[#This Row],[OriginalBudget]]</f>
        <v>0.15425396710120193</v>
      </c>
    </row>
    <row r="2007" spans="1:12" x14ac:dyDescent="0.45">
      <c r="A2007" t="s">
        <v>1024</v>
      </c>
      <c r="B2007" t="s">
        <v>9</v>
      </c>
      <c r="C2007" t="s">
        <v>806</v>
      </c>
      <c r="D2007" t="s">
        <v>82</v>
      </c>
      <c r="E2007">
        <v>0</v>
      </c>
      <c r="F2007">
        <v>0</v>
      </c>
      <c r="G2007">
        <v>0</v>
      </c>
      <c r="H2007">
        <v>0</v>
      </c>
      <c r="I2007">
        <v>2021</v>
      </c>
      <c r="J2007">
        <v>100</v>
      </c>
      <c r="K2007">
        <f>allFYsTable[[#This Row],[Actual]]-allFYsTable[[#This Row],[OriginalBudget]]</f>
        <v>0</v>
      </c>
      <c r="L2007" s="11" t="e">
        <f>allFYsTable[[#This Row],[DiffAmount]]/allFYsTable[[#This Row],[OriginalBudget]]</f>
        <v>#DIV/0!</v>
      </c>
    </row>
    <row r="2008" spans="1:12" x14ac:dyDescent="0.45">
      <c r="A2008" t="s">
        <v>1024</v>
      </c>
      <c r="B2008" t="s">
        <v>9</v>
      </c>
      <c r="C2008" t="s">
        <v>805</v>
      </c>
      <c r="D2008" t="s">
        <v>81</v>
      </c>
      <c r="E2008">
        <v>689</v>
      </c>
      <c r="F2008">
        <v>700</v>
      </c>
      <c r="G2008">
        <v>691</v>
      </c>
      <c r="H2008">
        <v>9</v>
      </c>
      <c r="I2008">
        <v>2021</v>
      </c>
      <c r="J2008">
        <v>101</v>
      </c>
      <c r="K2008">
        <f>allFYsTable[[#This Row],[Actual]]-allFYsTable[[#This Row],[OriginalBudget]]</f>
        <v>2</v>
      </c>
      <c r="L2008" s="11">
        <f>allFYsTable[[#This Row],[DiffAmount]]/allFYsTable[[#This Row],[OriginalBudget]]</f>
        <v>2.9027576197387518E-3</v>
      </c>
    </row>
    <row r="2009" spans="1:12" x14ac:dyDescent="0.45">
      <c r="A2009" t="s">
        <v>1024</v>
      </c>
      <c r="B2009" t="s">
        <v>9</v>
      </c>
      <c r="C2009" t="s">
        <v>795</v>
      </c>
      <c r="D2009" t="s">
        <v>72</v>
      </c>
      <c r="E2009">
        <v>1553</v>
      </c>
      <c r="F2009">
        <v>1490</v>
      </c>
      <c r="G2009">
        <v>574</v>
      </c>
      <c r="H2009">
        <v>916</v>
      </c>
      <c r="I2009">
        <v>2021</v>
      </c>
      <c r="J2009">
        <v>102</v>
      </c>
      <c r="K2009">
        <f>allFYsTable[[#This Row],[Actual]]-allFYsTable[[#This Row],[OriginalBudget]]</f>
        <v>-979</v>
      </c>
      <c r="L2009" s="11">
        <f>allFYsTable[[#This Row],[DiffAmount]]/allFYsTable[[#This Row],[OriginalBudget]]</f>
        <v>-0.63039278815196398</v>
      </c>
    </row>
    <row r="2010" spans="1:12" x14ac:dyDescent="0.45">
      <c r="A2010" t="s">
        <v>1024</v>
      </c>
      <c r="B2010" t="s">
        <v>9</v>
      </c>
      <c r="C2010" t="s">
        <v>800</v>
      </c>
      <c r="D2010" t="s">
        <v>76</v>
      </c>
      <c r="E2010">
        <v>0</v>
      </c>
      <c r="F2010">
        <v>0</v>
      </c>
      <c r="G2010">
        <v>0</v>
      </c>
      <c r="H2010">
        <v>0</v>
      </c>
      <c r="I2010">
        <v>2021</v>
      </c>
      <c r="J2010">
        <v>103</v>
      </c>
      <c r="K2010">
        <f>allFYsTable[[#This Row],[Actual]]-allFYsTable[[#This Row],[OriginalBudget]]</f>
        <v>0</v>
      </c>
      <c r="L2010" s="11" t="e">
        <f>allFYsTable[[#This Row],[DiffAmount]]/allFYsTable[[#This Row],[OriginalBudget]]</f>
        <v>#DIV/0!</v>
      </c>
    </row>
    <row r="2011" spans="1:12" x14ac:dyDescent="0.45">
      <c r="A2011" t="s">
        <v>1024</v>
      </c>
      <c r="B2011" t="s">
        <v>9</v>
      </c>
      <c r="C2011" t="s">
        <v>799</v>
      </c>
      <c r="D2011" t="s">
        <v>75</v>
      </c>
      <c r="E2011">
        <v>5889</v>
      </c>
      <c r="F2011">
        <v>11791</v>
      </c>
      <c r="G2011">
        <v>11731</v>
      </c>
      <c r="H2011">
        <v>60</v>
      </c>
      <c r="I2011">
        <v>2021</v>
      </c>
      <c r="J2011">
        <v>104</v>
      </c>
      <c r="K2011">
        <f>allFYsTable[[#This Row],[Actual]]-allFYsTable[[#This Row],[OriginalBudget]]</f>
        <v>5842</v>
      </c>
      <c r="L2011" s="11">
        <f>allFYsTable[[#This Row],[DiffAmount]]/allFYsTable[[#This Row],[OriginalBudget]]</f>
        <v>0.99201901850908469</v>
      </c>
    </row>
    <row r="2012" spans="1:12" x14ac:dyDescent="0.45">
      <c r="A2012" t="s">
        <v>1024</v>
      </c>
      <c r="B2012" t="s">
        <v>9</v>
      </c>
      <c r="C2012" t="s">
        <v>801</v>
      </c>
      <c r="D2012" t="s">
        <v>77</v>
      </c>
      <c r="E2012">
        <v>37542</v>
      </c>
      <c r="F2012">
        <v>36128</v>
      </c>
      <c r="G2012">
        <v>35354</v>
      </c>
      <c r="H2012">
        <v>774</v>
      </c>
      <c r="I2012">
        <v>2021</v>
      </c>
      <c r="J2012">
        <v>105</v>
      </c>
      <c r="K2012">
        <f>allFYsTable[[#This Row],[Actual]]-allFYsTable[[#This Row],[OriginalBudget]]</f>
        <v>-2188</v>
      </c>
      <c r="L2012" s="11">
        <f>allFYsTable[[#This Row],[DiffAmount]]/allFYsTable[[#This Row],[OriginalBudget]]</f>
        <v>-5.8281391508177509E-2</v>
      </c>
    </row>
    <row r="2013" spans="1:12" x14ac:dyDescent="0.45">
      <c r="A2013" t="s">
        <v>1024</v>
      </c>
      <c r="B2013" t="s">
        <v>9</v>
      </c>
      <c r="C2013" t="s">
        <v>808</v>
      </c>
      <c r="D2013" t="s">
        <v>156</v>
      </c>
      <c r="E2013">
        <v>165</v>
      </c>
      <c r="F2013">
        <v>165</v>
      </c>
      <c r="G2013">
        <v>165</v>
      </c>
      <c r="H2013">
        <v>0</v>
      </c>
      <c r="I2013">
        <v>2021</v>
      </c>
      <c r="J2013">
        <v>106</v>
      </c>
      <c r="K2013">
        <f>allFYsTable[[#This Row],[Actual]]-allFYsTable[[#This Row],[OriginalBudget]]</f>
        <v>0</v>
      </c>
      <c r="L2013" s="11">
        <f>allFYsTable[[#This Row],[DiffAmount]]/allFYsTable[[#This Row],[OriginalBudget]]</f>
        <v>0</v>
      </c>
    </row>
    <row r="2014" spans="1:12" x14ac:dyDescent="0.45">
      <c r="A2014" t="s">
        <v>1024</v>
      </c>
      <c r="B2014" t="s">
        <v>9</v>
      </c>
      <c r="C2014" t="s">
        <v>807</v>
      </c>
      <c r="D2014" t="s">
        <v>157</v>
      </c>
      <c r="E2014">
        <v>419957</v>
      </c>
      <c r="F2014">
        <v>441046</v>
      </c>
      <c r="G2014">
        <v>441046</v>
      </c>
      <c r="H2014">
        <v>0</v>
      </c>
      <c r="I2014">
        <v>2021</v>
      </c>
      <c r="J2014">
        <v>107</v>
      </c>
      <c r="K2014">
        <f>allFYsTable[[#This Row],[Actual]]-allFYsTable[[#This Row],[OriginalBudget]]</f>
        <v>21089</v>
      </c>
      <c r="L2014" s="11">
        <f>allFYsTable[[#This Row],[DiffAmount]]/allFYsTable[[#This Row],[OriginalBudget]]</f>
        <v>5.0217046030903163E-2</v>
      </c>
    </row>
    <row r="2015" spans="1:12" x14ac:dyDescent="0.45">
      <c r="A2015" t="s">
        <v>1024</v>
      </c>
      <c r="B2015" t="s">
        <v>9</v>
      </c>
      <c r="C2015" t="s">
        <v>798</v>
      </c>
      <c r="D2015" t="s">
        <v>74</v>
      </c>
      <c r="E2015">
        <v>23432</v>
      </c>
      <c r="F2015">
        <v>23090</v>
      </c>
      <c r="G2015">
        <v>22811</v>
      </c>
      <c r="H2015">
        <v>279</v>
      </c>
      <c r="I2015">
        <v>2021</v>
      </c>
      <c r="J2015">
        <v>108</v>
      </c>
      <c r="K2015">
        <f>allFYsTable[[#This Row],[Actual]]-allFYsTable[[#This Row],[OriginalBudget]]</f>
        <v>-621</v>
      </c>
      <c r="L2015" s="11">
        <f>allFYsTable[[#This Row],[DiffAmount]]/allFYsTable[[#This Row],[OriginalBudget]]</f>
        <v>-2.6502219187435984E-2</v>
      </c>
    </row>
    <row r="2016" spans="1:12" x14ac:dyDescent="0.45">
      <c r="A2016" t="s">
        <v>1024</v>
      </c>
      <c r="B2016" t="s">
        <v>10</v>
      </c>
      <c r="C2016" t="s">
        <v>775</v>
      </c>
      <c r="D2016" t="s">
        <v>18</v>
      </c>
      <c r="E2016">
        <v>784900</v>
      </c>
      <c r="F2016">
        <v>781209</v>
      </c>
      <c r="G2016">
        <v>781209</v>
      </c>
      <c r="H2016">
        <v>0</v>
      </c>
      <c r="I2016">
        <v>2021</v>
      </c>
      <c r="J2016">
        <v>109</v>
      </c>
      <c r="K2016">
        <f>allFYsTable[[#This Row],[Actual]]-allFYsTable[[#This Row],[OriginalBudget]]</f>
        <v>-3691</v>
      </c>
      <c r="L2016" s="11">
        <f>allFYsTable[[#This Row],[DiffAmount]]/allFYsTable[[#This Row],[OriginalBudget]]</f>
        <v>-4.702509873869283E-3</v>
      </c>
    </row>
    <row r="2017" spans="1:12" x14ac:dyDescent="0.45">
      <c r="A2017" t="s">
        <v>1024</v>
      </c>
      <c r="B2017" t="s">
        <v>10</v>
      </c>
      <c r="C2017" t="s">
        <v>817</v>
      </c>
      <c r="D2017" t="s">
        <v>158</v>
      </c>
      <c r="E2017">
        <v>10000</v>
      </c>
      <c r="F2017">
        <v>1000</v>
      </c>
      <c r="G2017">
        <v>498</v>
      </c>
      <c r="H2017">
        <v>502</v>
      </c>
      <c r="I2017">
        <v>2021</v>
      </c>
      <c r="J2017">
        <v>110</v>
      </c>
      <c r="K2017">
        <f>allFYsTable[[#This Row],[Actual]]-allFYsTable[[#This Row],[OriginalBudget]]</f>
        <v>-9502</v>
      </c>
      <c r="L2017" s="11">
        <f>allFYsTable[[#This Row],[DiffAmount]]/allFYsTable[[#This Row],[OriginalBudget]]</f>
        <v>-0.95020000000000004</v>
      </c>
    </row>
    <row r="2018" spans="1:12" x14ac:dyDescent="0.45">
      <c r="A2018" t="s">
        <v>1024</v>
      </c>
      <c r="B2018" t="s">
        <v>10</v>
      </c>
      <c r="C2018" t="s">
        <v>818</v>
      </c>
      <c r="D2018" t="s">
        <v>83</v>
      </c>
      <c r="E2018">
        <v>6000</v>
      </c>
      <c r="F2018">
        <v>1853</v>
      </c>
      <c r="G2018">
        <v>1853</v>
      </c>
      <c r="H2018">
        <v>0</v>
      </c>
      <c r="I2018">
        <v>2021</v>
      </c>
      <c r="J2018">
        <v>111</v>
      </c>
      <c r="K2018">
        <f>allFYsTable[[#This Row],[Actual]]-allFYsTable[[#This Row],[OriginalBudget]]</f>
        <v>-4147</v>
      </c>
      <c r="L2018" s="11">
        <f>allFYsTable[[#This Row],[DiffAmount]]/allFYsTable[[#This Row],[OriginalBudget]]</f>
        <v>-0.69116666666666671</v>
      </c>
    </row>
    <row r="2019" spans="1:12" x14ac:dyDescent="0.45">
      <c r="A2019" t="s">
        <v>1024</v>
      </c>
      <c r="B2019" t="s">
        <v>10</v>
      </c>
      <c r="C2019" t="s">
        <v>819</v>
      </c>
      <c r="D2019" t="s">
        <v>84</v>
      </c>
      <c r="E2019">
        <v>28025</v>
      </c>
      <c r="F2019">
        <v>18225</v>
      </c>
      <c r="G2019">
        <v>18029</v>
      </c>
      <c r="H2019">
        <v>196</v>
      </c>
      <c r="I2019">
        <v>2021</v>
      </c>
      <c r="J2019">
        <v>112</v>
      </c>
      <c r="K2019">
        <f>allFYsTable[[#This Row],[Actual]]-allFYsTable[[#This Row],[OriginalBudget]]</f>
        <v>-9996</v>
      </c>
      <c r="L2019" s="11">
        <f>allFYsTable[[#This Row],[DiffAmount]]/allFYsTable[[#This Row],[OriginalBudget]]</f>
        <v>-0.35668153434433542</v>
      </c>
    </row>
    <row r="2020" spans="1:12" x14ac:dyDescent="0.45">
      <c r="A2020" t="s">
        <v>1024</v>
      </c>
      <c r="B2020" t="s">
        <v>10</v>
      </c>
      <c r="C2020" t="s">
        <v>822</v>
      </c>
      <c r="D2020" t="s">
        <v>159</v>
      </c>
      <c r="E2020">
        <v>0</v>
      </c>
      <c r="F2020">
        <v>0</v>
      </c>
      <c r="G2020">
        <v>0</v>
      </c>
      <c r="H2020">
        <v>0</v>
      </c>
      <c r="I2020">
        <v>2021</v>
      </c>
      <c r="J2020">
        <v>113</v>
      </c>
      <c r="K2020">
        <f>allFYsTable[[#This Row],[Actual]]-allFYsTable[[#This Row],[OriginalBudget]]</f>
        <v>0</v>
      </c>
      <c r="L2020" s="11" t="e">
        <f>allFYsTable[[#This Row],[DiffAmount]]/allFYsTable[[#This Row],[OriginalBudget]]</f>
        <v>#DIV/0!</v>
      </c>
    </row>
    <row r="2021" spans="1:12" x14ac:dyDescent="0.45">
      <c r="A2021" t="s">
        <v>1024</v>
      </c>
      <c r="B2021" t="s">
        <v>10</v>
      </c>
      <c r="C2021" t="s">
        <v>814</v>
      </c>
      <c r="D2021" t="s">
        <v>85</v>
      </c>
      <c r="E2021">
        <v>4464</v>
      </c>
      <c r="F2021">
        <v>4121</v>
      </c>
      <c r="G2021">
        <v>3823</v>
      </c>
      <c r="H2021">
        <v>298</v>
      </c>
      <c r="I2021">
        <v>2021</v>
      </c>
      <c r="J2021">
        <v>114</v>
      </c>
      <c r="K2021">
        <f>allFYsTable[[#This Row],[Actual]]-allFYsTable[[#This Row],[OriginalBudget]]</f>
        <v>-641</v>
      </c>
      <c r="L2021" s="11">
        <f>allFYsTable[[#This Row],[DiffAmount]]/allFYsTable[[#This Row],[OriginalBudget]]</f>
        <v>-0.14359318996415771</v>
      </c>
    </row>
    <row r="2022" spans="1:12" x14ac:dyDescent="0.45">
      <c r="A2022" t="s">
        <v>1024</v>
      </c>
      <c r="B2022" t="s">
        <v>10</v>
      </c>
      <c r="C2022" t="s">
        <v>811</v>
      </c>
      <c r="D2022" t="s">
        <v>86</v>
      </c>
      <c r="E2022">
        <v>48400</v>
      </c>
      <c r="F2022">
        <v>53600</v>
      </c>
      <c r="G2022">
        <v>53600</v>
      </c>
      <c r="H2022">
        <v>0</v>
      </c>
      <c r="I2022">
        <v>2021</v>
      </c>
      <c r="J2022">
        <v>115</v>
      </c>
      <c r="K2022">
        <f>allFYsTable[[#This Row],[Actual]]-allFYsTable[[#This Row],[OriginalBudget]]</f>
        <v>5200</v>
      </c>
      <c r="L2022" s="11">
        <f>allFYsTable[[#This Row],[DiffAmount]]/allFYsTable[[#This Row],[OriginalBudget]]</f>
        <v>0.10743801652892562</v>
      </c>
    </row>
    <row r="2023" spans="1:12" x14ac:dyDescent="0.45">
      <c r="A2023" t="s">
        <v>1024</v>
      </c>
      <c r="B2023" t="s">
        <v>10</v>
      </c>
      <c r="C2023" t="s">
        <v>829</v>
      </c>
      <c r="D2023" t="s">
        <v>87</v>
      </c>
      <c r="E2023">
        <v>5691</v>
      </c>
      <c r="F2023">
        <v>5691</v>
      </c>
      <c r="G2023">
        <v>3771</v>
      </c>
      <c r="H2023">
        <v>1920</v>
      </c>
      <c r="I2023">
        <v>2021</v>
      </c>
      <c r="J2023">
        <v>116</v>
      </c>
      <c r="K2023">
        <f>allFYsTable[[#This Row],[Actual]]-allFYsTable[[#This Row],[OriginalBudget]]</f>
        <v>-1920</v>
      </c>
      <c r="L2023" s="11">
        <f>allFYsTable[[#This Row],[DiffAmount]]/allFYsTable[[#This Row],[OriginalBudget]]</f>
        <v>-0.33737480231945177</v>
      </c>
    </row>
    <row r="2024" spans="1:12" x14ac:dyDescent="0.45">
      <c r="A2024" t="s">
        <v>1024</v>
      </c>
      <c r="B2024" t="s">
        <v>10</v>
      </c>
      <c r="C2024" t="s">
        <v>810</v>
      </c>
      <c r="D2024" t="s">
        <v>88</v>
      </c>
      <c r="E2024">
        <v>93145</v>
      </c>
      <c r="F2024">
        <v>110245</v>
      </c>
      <c r="G2024">
        <v>72032</v>
      </c>
      <c r="H2024">
        <v>38213</v>
      </c>
      <c r="I2024">
        <v>2021</v>
      </c>
      <c r="J2024">
        <v>117</v>
      </c>
      <c r="K2024">
        <f>allFYsTable[[#This Row],[Actual]]-allFYsTable[[#This Row],[OriginalBudget]]</f>
        <v>-21113</v>
      </c>
      <c r="L2024" s="11">
        <f>allFYsTable[[#This Row],[DiffAmount]]/allFYsTable[[#This Row],[OriginalBudget]]</f>
        <v>-0.22666809812657684</v>
      </c>
    </row>
    <row r="2025" spans="1:12" x14ac:dyDescent="0.45">
      <c r="A2025" t="s">
        <v>1024</v>
      </c>
      <c r="B2025" t="s">
        <v>10</v>
      </c>
      <c r="C2025" t="s">
        <v>813</v>
      </c>
      <c r="D2025" t="s">
        <v>89</v>
      </c>
      <c r="E2025">
        <v>24642</v>
      </c>
      <c r="F2025">
        <v>24642</v>
      </c>
      <c r="G2025">
        <v>23618</v>
      </c>
      <c r="H2025">
        <v>1024</v>
      </c>
      <c r="I2025">
        <v>2021</v>
      </c>
      <c r="J2025">
        <v>118</v>
      </c>
      <c r="K2025">
        <f>allFYsTable[[#This Row],[Actual]]-allFYsTable[[#This Row],[OriginalBudget]]</f>
        <v>-1024</v>
      </c>
      <c r="L2025" s="11">
        <f>allFYsTable[[#This Row],[DiffAmount]]/allFYsTable[[#This Row],[OriginalBudget]]</f>
        <v>-4.1555068582095608E-2</v>
      </c>
    </row>
    <row r="2026" spans="1:12" x14ac:dyDescent="0.45">
      <c r="A2026" t="s">
        <v>1024</v>
      </c>
      <c r="B2026" t="s">
        <v>10</v>
      </c>
      <c r="C2026" t="s">
        <v>812</v>
      </c>
      <c r="D2026" t="s">
        <v>90</v>
      </c>
      <c r="E2026">
        <v>0</v>
      </c>
      <c r="F2026">
        <v>18400</v>
      </c>
      <c r="G2026">
        <v>14673</v>
      </c>
      <c r="H2026">
        <v>3727</v>
      </c>
      <c r="I2026">
        <v>2021</v>
      </c>
      <c r="J2026">
        <v>119</v>
      </c>
      <c r="K2026">
        <f>allFYsTable[[#This Row],[Actual]]-allFYsTable[[#This Row],[OriginalBudget]]</f>
        <v>14673</v>
      </c>
      <c r="L2026" s="11" t="e">
        <f>allFYsTable[[#This Row],[DiffAmount]]/allFYsTable[[#This Row],[OriginalBudget]]</f>
        <v>#DIV/0!</v>
      </c>
    </row>
    <row r="2027" spans="1:12" x14ac:dyDescent="0.45">
      <c r="A2027" t="s">
        <v>1024</v>
      </c>
      <c r="B2027" t="s">
        <v>10</v>
      </c>
      <c r="C2027" t="s">
        <v>821</v>
      </c>
      <c r="D2027" t="s">
        <v>91</v>
      </c>
      <c r="E2027">
        <v>0</v>
      </c>
      <c r="F2027">
        <v>15192</v>
      </c>
      <c r="G2027">
        <v>0</v>
      </c>
      <c r="H2027">
        <v>15192</v>
      </c>
      <c r="I2027">
        <v>2021</v>
      </c>
      <c r="J2027">
        <v>120</v>
      </c>
      <c r="K2027">
        <f>allFYsTable[[#This Row],[Actual]]-allFYsTable[[#This Row],[OriginalBudget]]</f>
        <v>0</v>
      </c>
      <c r="L2027" s="11" t="e">
        <f>allFYsTable[[#This Row],[DiffAmount]]/allFYsTable[[#This Row],[OriginalBudget]]</f>
        <v>#DIV/0!</v>
      </c>
    </row>
    <row r="2028" spans="1:12" x14ac:dyDescent="0.45">
      <c r="A2028" t="s">
        <v>1024</v>
      </c>
      <c r="B2028" t="s">
        <v>10</v>
      </c>
      <c r="C2028" t="s">
        <v>816</v>
      </c>
      <c r="D2028" t="s">
        <v>93</v>
      </c>
      <c r="E2028">
        <v>198855</v>
      </c>
      <c r="F2028">
        <v>212215</v>
      </c>
      <c r="G2028">
        <v>212215</v>
      </c>
      <c r="H2028">
        <v>0</v>
      </c>
      <c r="I2028">
        <v>2021</v>
      </c>
      <c r="J2028">
        <v>121</v>
      </c>
      <c r="K2028">
        <f>allFYsTable[[#This Row],[Actual]]-allFYsTable[[#This Row],[OriginalBudget]]</f>
        <v>13360</v>
      </c>
      <c r="L2028" s="11">
        <f>allFYsTable[[#This Row],[DiffAmount]]/allFYsTable[[#This Row],[OriginalBudget]]</f>
        <v>6.7184632018304796E-2</v>
      </c>
    </row>
    <row r="2029" spans="1:12" x14ac:dyDescent="0.45">
      <c r="A2029" t="s">
        <v>1024</v>
      </c>
      <c r="B2029" t="s">
        <v>10</v>
      </c>
      <c r="C2029" t="s">
        <v>815</v>
      </c>
      <c r="D2029" t="s">
        <v>95</v>
      </c>
      <c r="E2029">
        <v>2850</v>
      </c>
      <c r="F2029">
        <v>250</v>
      </c>
      <c r="G2029">
        <v>0</v>
      </c>
      <c r="H2029">
        <v>250</v>
      </c>
      <c r="I2029">
        <v>2021</v>
      </c>
      <c r="J2029">
        <v>122</v>
      </c>
      <c r="K2029">
        <f>allFYsTable[[#This Row],[Actual]]-allFYsTable[[#This Row],[OriginalBudget]]</f>
        <v>-2850</v>
      </c>
      <c r="L2029" s="11">
        <f>allFYsTable[[#This Row],[DiffAmount]]/allFYsTable[[#This Row],[OriginalBudget]]</f>
        <v>-1</v>
      </c>
    </row>
    <row r="2030" spans="1:12" x14ac:dyDescent="0.45">
      <c r="A2030" t="s">
        <v>1023</v>
      </c>
      <c r="B2030" t="s">
        <v>19</v>
      </c>
      <c r="C2030" t="s">
        <v>699</v>
      </c>
      <c r="D2030" t="s">
        <v>119</v>
      </c>
      <c r="E2030">
        <v>12185</v>
      </c>
      <c r="F2030">
        <v>13462</v>
      </c>
      <c r="G2030">
        <v>13150</v>
      </c>
      <c r="H2030">
        <v>312</v>
      </c>
      <c r="I2030">
        <v>2022</v>
      </c>
      <c r="J2030">
        <v>1</v>
      </c>
      <c r="K2030">
        <f>allFYsTable[[#This Row],[Actual]]-allFYsTable[[#This Row],[OriginalBudget]]</f>
        <v>965</v>
      </c>
      <c r="L2030" s="11">
        <f>allFYsTable[[#This Row],[DiffAmount]]/allFYsTable[[#This Row],[OriginalBudget]]</f>
        <v>7.9195732457940093E-2</v>
      </c>
    </row>
    <row r="2031" spans="1:12" x14ac:dyDescent="0.45">
      <c r="A2031" t="s">
        <v>1023</v>
      </c>
      <c r="B2031" t="s">
        <v>19</v>
      </c>
      <c r="C2031" t="s">
        <v>700</v>
      </c>
      <c r="D2031" t="s">
        <v>128</v>
      </c>
      <c r="E2031">
        <v>3517</v>
      </c>
      <c r="F2031">
        <v>3517</v>
      </c>
      <c r="G2031">
        <v>3460</v>
      </c>
      <c r="H2031">
        <v>57</v>
      </c>
      <c r="I2031">
        <v>2022</v>
      </c>
      <c r="J2031">
        <v>2</v>
      </c>
      <c r="K2031">
        <f>allFYsTable[[#This Row],[Actual]]-allFYsTable[[#This Row],[OriginalBudget]]</f>
        <v>-57</v>
      </c>
      <c r="L2031" s="11">
        <f>allFYsTable[[#This Row],[DiffAmount]]/allFYsTable[[#This Row],[OriginalBudget]]</f>
        <v>-1.6206994597668469E-2</v>
      </c>
    </row>
    <row r="2032" spans="1:12" x14ac:dyDescent="0.45">
      <c r="A2032" t="s">
        <v>1023</v>
      </c>
      <c r="B2032" t="s">
        <v>19</v>
      </c>
      <c r="C2032" t="s">
        <v>701</v>
      </c>
      <c r="D2032" t="s">
        <v>106</v>
      </c>
      <c r="E2032">
        <v>5213</v>
      </c>
      <c r="F2032">
        <v>7933</v>
      </c>
      <c r="G2032">
        <v>7796</v>
      </c>
      <c r="H2032">
        <v>137</v>
      </c>
      <c r="I2032">
        <v>2022</v>
      </c>
      <c r="J2032">
        <v>3</v>
      </c>
      <c r="K2032">
        <f>allFYsTable[[#This Row],[Actual]]-allFYsTable[[#This Row],[OriginalBudget]]</f>
        <v>2583</v>
      </c>
      <c r="L2032" s="11">
        <f>allFYsTable[[#This Row],[DiffAmount]]/allFYsTable[[#This Row],[OriginalBudget]]</f>
        <v>0.49549203913293688</v>
      </c>
    </row>
    <row r="2033" spans="1:12" x14ac:dyDescent="0.45">
      <c r="A2033" t="s">
        <v>1023</v>
      </c>
      <c r="B2033" t="s">
        <v>19</v>
      </c>
      <c r="C2033" t="s">
        <v>702</v>
      </c>
      <c r="D2033" t="s">
        <v>112</v>
      </c>
      <c r="E2033">
        <v>1897</v>
      </c>
      <c r="F2033">
        <v>1956</v>
      </c>
      <c r="G2033">
        <v>1942</v>
      </c>
      <c r="H2033">
        <v>14</v>
      </c>
      <c r="I2033">
        <v>2022</v>
      </c>
      <c r="J2033">
        <v>4</v>
      </c>
      <c r="K2033">
        <f>allFYsTable[[#This Row],[Actual]]-allFYsTable[[#This Row],[OriginalBudget]]</f>
        <v>45</v>
      </c>
      <c r="L2033" s="11">
        <f>allFYsTable[[#This Row],[DiffAmount]]/allFYsTable[[#This Row],[OriginalBudget]]</f>
        <v>2.3721665788086453E-2</v>
      </c>
    </row>
    <row r="2034" spans="1:12" x14ac:dyDescent="0.45">
      <c r="A2034" t="s">
        <v>1023</v>
      </c>
      <c r="B2034" t="s">
        <v>19</v>
      </c>
      <c r="C2034" t="s">
        <v>703</v>
      </c>
      <c r="D2034" t="s">
        <v>96</v>
      </c>
      <c r="E2034">
        <v>30582</v>
      </c>
      <c r="F2034">
        <v>29024</v>
      </c>
      <c r="G2034">
        <v>29024</v>
      </c>
      <c r="H2034">
        <v>0</v>
      </c>
      <c r="I2034">
        <v>2022</v>
      </c>
      <c r="J2034">
        <v>5</v>
      </c>
      <c r="K2034">
        <f>allFYsTable[[#This Row],[Actual]]-allFYsTable[[#This Row],[OriginalBudget]]</f>
        <v>-1558</v>
      </c>
      <c r="L2034" s="11">
        <f>allFYsTable[[#This Row],[DiffAmount]]/allFYsTable[[#This Row],[OriginalBudget]]</f>
        <v>-5.0945000326989731E-2</v>
      </c>
    </row>
    <row r="2035" spans="1:12" x14ac:dyDescent="0.45">
      <c r="A2035" t="s">
        <v>1023</v>
      </c>
      <c r="B2035" t="s">
        <v>19</v>
      </c>
      <c r="C2035" t="s">
        <v>704</v>
      </c>
      <c r="D2035" t="s">
        <v>887</v>
      </c>
      <c r="E2035">
        <v>11495</v>
      </c>
      <c r="F2035">
        <v>11305</v>
      </c>
      <c r="G2035">
        <v>11153</v>
      </c>
      <c r="H2035">
        <v>152</v>
      </c>
      <c r="I2035">
        <v>2022</v>
      </c>
      <c r="J2035">
        <v>6</v>
      </c>
      <c r="K2035">
        <f>allFYsTable[[#This Row],[Actual]]-allFYsTable[[#This Row],[OriginalBudget]]</f>
        <v>-342</v>
      </c>
      <c r="L2035" s="11">
        <f>allFYsTable[[#This Row],[DiffAmount]]/allFYsTable[[#This Row],[OriginalBudget]]</f>
        <v>-2.9752066115702479E-2</v>
      </c>
    </row>
    <row r="2036" spans="1:12" x14ac:dyDescent="0.45">
      <c r="A2036" t="s">
        <v>1023</v>
      </c>
      <c r="B2036" t="s">
        <v>19</v>
      </c>
      <c r="C2036" t="s">
        <v>705</v>
      </c>
      <c r="D2036" t="s">
        <v>110</v>
      </c>
      <c r="E2036">
        <v>300962</v>
      </c>
      <c r="F2036">
        <v>408526</v>
      </c>
      <c r="G2036">
        <v>403103</v>
      </c>
      <c r="H2036">
        <v>5423</v>
      </c>
      <c r="I2036">
        <v>2022</v>
      </c>
      <c r="J2036">
        <v>7</v>
      </c>
      <c r="K2036">
        <f>allFYsTable[[#This Row],[Actual]]-allFYsTable[[#This Row],[OriginalBudget]]</f>
        <v>102141</v>
      </c>
      <c r="L2036" s="11">
        <f>allFYsTable[[#This Row],[DiffAmount]]/allFYsTable[[#This Row],[OriginalBudget]]</f>
        <v>0.33938171596414163</v>
      </c>
    </row>
    <row r="2037" spans="1:12" x14ac:dyDescent="0.45">
      <c r="A2037" t="s">
        <v>1023</v>
      </c>
      <c r="B2037" t="s">
        <v>19</v>
      </c>
      <c r="C2037" t="s">
        <v>706</v>
      </c>
      <c r="D2037" t="s">
        <v>122</v>
      </c>
      <c r="E2037">
        <v>22147</v>
      </c>
      <c r="F2037">
        <v>22147</v>
      </c>
      <c r="G2037">
        <v>18559</v>
      </c>
      <c r="H2037">
        <v>3588</v>
      </c>
      <c r="I2037">
        <v>2022</v>
      </c>
      <c r="J2037">
        <v>8</v>
      </c>
      <c r="K2037">
        <f>allFYsTable[[#This Row],[Actual]]-allFYsTable[[#This Row],[OriginalBudget]]</f>
        <v>-3588</v>
      </c>
      <c r="L2037" s="11">
        <f>allFYsTable[[#This Row],[DiffAmount]]/allFYsTable[[#This Row],[OriginalBudget]]</f>
        <v>-0.16200839842868109</v>
      </c>
    </row>
    <row r="2038" spans="1:12" x14ac:dyDescent="0.45">
      <c r="A2038" t="s">
        <v>1023</v>
      </c>
      <c r="B2038" t="s">
        <v>19</v>
      </c>
      <c r="C2038" t="s">
        <v>707</v>
      </c>
      <c r="D2038" t="s">
        <v>101</v>
      </c>
      <c r="E2038">
        <v>13118</v>
      </c>
      <c r="F2038">
        <v>13718</v>
      </c>
      <c r="G2038">
        <v>13360</v>
      </c>
      <c r="H2038">
        <v>358</v>
      </c>
      <c r="I2038">
        <v>2022</v>
      </c>
      <c r="J2038">
        <v>9</v>
      </c>
      <c r="K2038">
        <f>allFYsTable[[#This Row],[Actual]]-allFYsTable[[#This Row],[OriginalBudget]]</f>
        <v>242</v>
      </c>
      <c r="L2038" s="11">
        <f>allFYsTable[[#This Row],[DiffAmount]]/allFYsTable[[#This Row],[OriginalBudget]]</f>
        <v>1.8447934136301265E-2</v>
      </c>
    </row>
    <row r="2039" spans="1:12" x14ac:dyDescent="0.45">
      <c r="A2039" t="s">
        <v>1023</v>
      </c>
      <c r="B2039" t="s">
        <v>19</v>
      </c>
      <c r="C2039" t="s">
        <v>708</v>
      </c>
      <c r="D2039" t="s">
        <v>102</v>
      </c>
      <c r="E2039">
        <v>1638</v>
      </c>
      <c r="F2039">
        <v>1638</v>
      </c>
      <c r="G2039">
        <v>1506</v>
      </c>
      <c r="H2039">
        <v>132</v>
      </c>
      <c r="I2039">
        <v>2022</v>
      </c>
      <c r="J2039">
        <v>10</v>
      </c>
      <c r="K2039">
        <f>allFYsTable[[#This Row],[Actual]]-allFYsTable[[#This Row],[OriginalBudget]]</f>
        <v>-132</v>
      </c>
      <c r="L2039" s="11">
        <f>allFYsTable[[#This Row],[DiffAmount]]/allFYsTable[[#This Row],[OriginalBudget]]</f>
        <v>-8.0586080586080591E-2</v>
      </c>
    </row>
    <row r="2040" spans="1:12" x14ac:dyDescent="0.45">
      <c r="A2040" t="s">
        <v>1023</v>
      </c>
      <c r="B2040" t="s">
        <v>19</v>
      </c>
      <c r="C2040" t="s">
        <v>709</v>
      </c>
      <c r="D2040" t="s">
        <v>127</v>
      </c>
      <c r="E2040">
        <v>595</v>
      </c>
      <c r="F2040">
        <v>595</v>
      </c>
      <c r="G2040">
        <v>555</v>
      </c>
      <c r="H2040">
        <v>40</v>
      </c>
      <c r="I2040">
        <v>2022</v>
      </c>
      <c r="J2040">
        <v>11</v>
      </c>
      <c r="K2040">
        <f>allFYsTable[[#This Row],[Actual]]-allFYsTable[[#This Row],[OriginalBudget]]</f>
        <v>-40</v>
      </c>
      <c r="L2040" s="11">
        <f>allFYsTable[[#This Row],[DiffAmount]]/allFYsTable[[#This Row],[OriginalBudget]]</f>
        <v>-6.7226890756302518E-2</v>
      </c>
    </row>
    <row r="2041" spans="1:12" x14ac:dyDescent="0.45">
      <c r="A2041" t="s">
        <v>1023</v>
      </c>
      <c r="B2041" t="s">
        <v>19</v>
      </c>
      <c r="C2041" t="s">
        <v>711</v>
      </c>
      <c r="D2041" t="s">
        <v>100</v>
      </c>
      <c r="E2041">
        <v>1912</v>
      </c>
      <c r="F2041">
        <v>1937</v>
      </c>
      <c r="G2041">
        <v>1343</v>
      </c>
      <c r="H2041">
        <v>594</v>
      </c>
      <c r="I2041">
        <v>2022</v>
      </c>
      <c r="J2041">
        <v>12</v>
      </c>
      <c r="K2041">
        <f>allFYsTable[[#This Row],[Actual]]-allFYsTable[[#This Row],[OriginalBudget]]</f>
        <v>-569</v>
      </c>
      <c r="L2041" s="11">
        <f>allFYsTable[[#This Row],[DiffAmount]]/allFYsTable[[#This Row],[OriginalBudget]]</f>
        <v>-0.29759414225941422</v>
      </c>
    </row>
    <row r="2042" spans="1:12" x14ac:dyDescent="0.45">
      <c r="A2042" t="s">
        <v>1023</v>
      </c>
      <c r="B2042" t="s">
        <v>19</v>
      </c>
      <c r="C2042" t="s">
        <v>712</v>
      </c>
      <c r="D2042" t="s">
        <v>120</v>
      </c>
      <c r="E2042">
        <v>23439</v>
      </c>
      <c r="F2042">
        <v>23439</v>
      </c>
      <c r="G2042">
        <v>15306</v>
      </c>
      <c r="H2042">
        <v>8133</v>
      </c>
      <c r="I2042">
        <v>2022</v>
      </c>
      <c r="J2042">
        <v>13</v>
      </c>
      <c r="K2042">
        <f>allFYsTable[[#This Row],[Actual]]-allFYsTable[[#This Row],[OriginalBudget]]</f>
        <v>-8133</v>
      </c>
      <c r="L2042" s="11">
        <f>allFYsTable[[#This Row],[DiffAmount]]/allFYsTable[[#This Row],[OriginalBudget]]</f>
        <v>-0.3469857929092538</v>
      </c>
    </row>
    <row r="2043" spans="1:12" x14ac:dyDescent="0.45">
      <c r="A2043" t="s">
        <v>1023</v>
      </c>
      <c r="B2043" t="s">
        <v>19</v>
      </c>
      <c r="C2043" t="s">
        <v>713</v>
      </c>
      <c r="D2043" t="s">
        <v>111</v>
      </c>
      <c r="E2043">
        <v>28276</v>
      </c>
      <c r="F2043">
        <v>139496</v>
      </c>
      <c r="G2043">
        <v>138304</v>
      </c>
      <c r="H2043">
        <v>1192</v>
      </c>
      <c r="I2043">
        <v>2022</v>
      </c>
      <c r="J2043">
        <v>14</v>
      </c>
      <c r="K2043">
        <f>allFYsTable[[#This Row],[Actual]]-allFYsTable[[#This Row],[OriginalBudget]]</f>
        <v>110028</v>
      </c>
      <c r="L2043" s="11">
        <f>allFYsTable[[#This Row],[DiffAmount]]/allFYsTable[[#This Row],[OriginalBudget]]</f>
        <v>3.8912151648040743</v>
      </c>
    </row>
    <row r="2044" spans="1:12" x14ac:dyDescent="0.45">
      <c r="A2044" t="s">
        <v>1023</v>
      </c>
      <c r="B2044" t="s">
        <v>19</v>
      </c>
      <c r="C2044" t="s">
        <v>714</v>
      </c>
      <c r="D2044" t="s">
        <v>116</v>
      </c>
      <c r="E2044">
        <v>1349</v>
      </c>
      <c r="F2044">
        <v>1349</v>
      </c>
      <c r="G2044">
        <v>1270</v>
      </c>
      <c r="H2044">
        <v>79</v>
      </c>
      <c r="I2044">
        <v>2022</v>
      </c>
      <c r="J2044">
        <v>15</v>
      </c>
      <c r="K2044">
        <f>allFYsTable[[#This Row],[Actual]]-allFYsTable[[#This Row],[OriginalBudget]]</f>
        <v>-79</v>
      </c>
      <c r="L2044" s="11">
        <f>allFYsTable[[#This Row],[DiffAmount]]/allFYsTable[[#This Row],[OriginalBudget]]</f>
        <v>-5.8561897702001479E-2</v>
      </c>
    </row>
    <row r="2045" spans="1:12" x14ac:dyDescent="0.45">
      <c r="A2045" t="s">
        <v>1023</v>
      </c>
      <c r="B2045" t="s">
        <v>19</v>
      </c>
      <c r="C2045" t="s">
        <v>715</v>
      </c>
      <c r="D2045" t="s">
        <v>126</v>
      </c>
      <c r="E2045">
        <v>2234</v>
      </c>
      <c r="F2045">
        <v>2388</v>
      </c>
      <c r="G2045">
        <v>2381</v>
      </c>
      <c r="H2045">
        <v>7</v>
      </c>
      <c r="I2045">
        <v>2022</v>
      </c>
      <c r="J2045">
        <v>16</v>
      </c>
      <c r="K2045">
        <f>allFYsTable[[#This Row],[Actual]]-allFYsTable[[#This Row],[OriginalBudget]]</f>
        <v>147</v>
      </c>
      <c r="L2045" s="11">
        <f>allFYsTable[[#This Row],[DiffAmount]]/allFYsTable[[#This Row],[OriginalBudget]]</f>
        <v>6.580125335720681E-2</v>
      </c>
    </row>
    <row r="2046" spans="1:12" x14ac:dyDescent="0.45">
      <c r="A2046" t="s">
        <v>1023</v>
      </c>
      <c r="B2046" t="s">
        <v>19</v>
      </c>
      <c r="C2046" t="s">
        <v>716</v>
      </c>
      <c r="D2046" t="s">
        <v>109</v>
      </c>
      <c r="E2046">
        <v>31581</v>
      </c>
      <c r="F2046">
        <v>31779</v>
      </c>
      <c r="G2046">
        <v>31343</v>
      </c>
      <c r="H2046">
        <v>436</v>
      </c>
      <c r="I2046">
        <v>2022</v>
      </c>
      <c r="J2046">
        <v>17</v>
      </c>
      <c r="K2046">
        <f>allFYsTable[[#This Row],[Actual]]-allFYsTable[[#This Row],[OriginalBudget]]</f>
        <v>-238</v>
      </c>
      <c r="L2046" s="11">
        <f>allFYsTable[[#This Row],[DiffAmount]]/allFYsTable[[#This Row],[OriginalBudget]]</f>
        <v>-7.5361768151736806E-3</v>
      </c>
    </row>
    <row r="2047" spans="1:12" x14ac:dyDescent="0.45">
      <c r="A2047" t="s">
        <v>1023</v>
      </c>
      <c r="B2047" t="s">
        <v>19</v>
      </c>
      <c r="C2047" t="s">
        <v>717</v>
      </c>
      <c r="D2047" t="s">
        <v>888</v>
      </c>
      <c r="E2047">
        <v>2586</v>
      </c>
      <c r="F2047">
        <v>2586</v>
      </c>
      <c r="G2047">
        <v>2359</v>
      </c>
      <c r="H2047">
        <v>227</v>
      </c>
      <c r="I2047">
        <v>2022</v>
      </c>
      <c r="J2047">
        <v>18</v>
      </c>
      <c r="K2047">
        <f>allFYsTable[[#This Row],[Actual]]-allFYsTable[[#This Row],[OriginalBudget]]</f>
        <v>-227</v>
      </c>
      <c r="L2047" s="11">
        <f>allFYsTable[[#This Row],[DiffAmount]]/allFYsTable[[#This Row],[OriginalBudget]]</f>
        <v>-8.7780355761794271E-2</v>
      </c>
    </row>
    <row r="2048" spans="1:12" x14ac:dyDescent="0.45">
      <c r="A2048" t="s">
        <v>1023</v>
      </c>
      <c r="B2048" t="s">
        <v>19</v>
      </c>
      <c r="C2048" t="s">
        <v>718</v>
      </c>
      <c r="D2048" t="s">
        <v>115</v>
      </c>
      <c r="E2048">
        <v>4104</v>
      </c>
      <c r="F2048">
        <v>4276</v>
      </c>
      <c r="G2048">
        <v>4272</v>
      </c>
      <c r="H2048">
        <v>4</v>
      </c>
      <c r="I2048">
        <v>2022</v>
      </c>
      <c r="J2048">
        <v>19</v>
      </c>
      <c r="K2048">
        <f>allFYsTable[[#This Row],[Actual]]-allFYsTable[[#This Row],[OriginalBudget]]</f>
        <v>168</v>
      </c>
      <c r="L2048" s="11">
        <f>allFYsTable[[#This Row],[DiffAmount]]/allFYsTable[[#This Row],[OriginalBudget]]</f>
        <v>4.0935672514619881E-2</v>
      </c>
    </row>
    <row r="2049" spans="1:12" x14ac:dyDescent="0.45">
      <c r="A2049" t="s">
        <v>1023</v>
      </c>
      <c r="B2049" t="s">
        <v>19</v>
      </c>
      <c r="C2049" t="s">
        <v>719</v>
      </c>
      <c r="D2049" t="s">
        <v>114</v>
      </c>
      <c r="E2049">
        <v>92816</v>
      </c>
      <c r="F2049">
        <v>91770</v>
      </c>
      <c r="G2049">
        <v>90265</v>
      </c>
      <c r="H2049">
        <v>1505</v>
      </c>
      <c r="I2049">
        <v>2022</v>
      </c>
      <c r="J2049">
        <v>20</v>
      </c>
      <c r="K2049">
        <f>allFYsTable[[#This Row],[Actual]]-allFYsTable[[#This Row],[OriginalBudget]]</f>
        <v>-2551</v>
      </c>
      <c r="L2049" s="11">
        <f>allFYsTable[[#This Row],[DiffAmount]]/allFYsTable[[#This Row],[OriginalBudget]]</f>
        <v>-2.7484485433545942E-2</v>
      </c>
    </row>
    <row r="2050" spans="1:12" x14ac:dyDescent="0.45">
      <c r="A2050" t="s">
        <v>1023</v>
      </c>
      <c r="B2050" t="s">
        <v>19</v>
      </c>
      <c r="C2050" t="s">
        <v>720</v>
      </c>
      <c r="D2050" t="s">
        <v>113</v>
      </c>
      <c r="E2050">
        <v>147888</v>
      </c>
      <c r="F2050">
        <v>158856</v>
      </c>
      <c r="G2050">
        <v>158747</v>
      </c>
      <c r="H2050">
        <v>109</v>
      </c>
      <c r="I2050">
        <v>2022</v>
      </c>
      <c r="J2050">
        <v>21</v>
      </c>
      <c r="K2050">
        <f>allFYsTable[[#This Row],[Actual]]-allFYsTable[[#This Row],[OriginalBudget]]</f>
        <v>10859</v>
      </c>
      <c r="L2050" s="11">
        <f>allFYsTable[[#This Row],[DiffAmount]]/allFYsTable[[#This Row],[OriginalBudget]]</f>
        <v>7.3427188142378016E-2</v>
      </c>
    </row>
    <row r="2051" spans="1:12" x14ac:dyDescent="0.45">
      <c r="A2051" t="s">
        <v>1023</v>
      </c>
      <c r="B2051" t="s">
        <v>19</v>
      </c>
      <c r="C2051" t="s">
        <v>721</v>
      </c>
      <c r="D2051" t="s">
        <v>118</v>
      </c>
      <c r="E2051">
        <v>72928</v>
      </c>
      <c r="F2051">
        <v>73138</v>
      </c>
      <c r="G2051">
        <v>73070</v>
      </c>
      <c r="H2051">
        <v>68</v>
      </c>
      <c r="I2051">
        <v>2022</v>
      </c>
      <c r="J2051">
        <v>22</v>
      </c>
      <c r="K2051">
        <f>allFYsTable[[#This Row],[Actual]]-allFYsTable[[#This Row],[OriginalBudget]]</f>
        <v>142</v>
      </c>
      <c r="L2051" s="11">
        <f>allFYsTable[[#This Row],[DiffAmount]]/allFYsTable[[#This Row],[OriginalBudget]]</f>
        <v>1.9471259324265028E-3</v>
      </c>
    </row>
    <row r="2052" spans="1:12" x14ac:dyDescent="0.45">
      <c r="A2052" t="s">
        <v>1023</v>
      </c>
      <c r="B2052" t="s">
        <v>19</v>
      </c>
      <c r="C2052" t="s">
        <v>722</v>
      </c>
      <c r="D2052" t="s">
        <v>107</v>
      </c>
      <c r="E2052">
        <v>10814</v>
      </c>
      <c r="F2052">
        <v>7553</v>
      </c>
      <c r="G2052">
        <v>7504</v>
      </c>
      <c r="H2052">
        <v>49</v>
      </c>
      <c r="I2052">
        <v>2022</v>
      </c>
      <c r="J2052">
        <v>23</v>
      </c>
      <c r="K2052">
        <f>allFYsTable[[#This Row],[Actual]]-allFYsTable[[#This Row],[OriginalBudget]]</f>
        <v>-3310</v>
      </c>
      <c r="L2052" s="11">
        <f>allFYsTable[[#This Row],[DiffAmount]]/allFYsTable[[#This Row],[OriginalBudget]]</f>
        <v>-0.30608470501202145</v>
      </c>
    </row>
    <row r="2053" spans="1:12" x14ac:dyDescent="0.45">
      <c r="A2053" t="s">
        <v>1023</v>
      </c>
      <c r="B2053" t="s">
        <v>19</v>
      </c>
      <c r="C2053" t="s">
        <v>723</v>
      </c>
      <c r="D2053" t="s">
        <v>98</v>
      </c>
      <c r="E2053">
        <v>6876</v>
      </c>
      <c r="F2053">
        <v>6632</v>
      </c>
      <c r="G2053">
        <v>5257</v>
      </c>
      <c r="H2053">
        <v>1375</v>
      </c>
      <c r="I2053">
        <v>2022</v>
      </c>
      <c r="J2053">
        <v>24</v>
      </c>
      <c r="K2053">
        <f>allFYsTable[[#This Row],[Actual]]-allFYsTable[[#This Row],[OriginalBudget]]</f>
        <v>-1619</v>
      </c>
      <c r="L2053" s="11">
        <f>allFYsTable[[#This Row],[DiffAmount]]/allFYsTable[[#This Row],[OriginalBudget]]</f>
        <v>-0.23545666084933101</v>
      </c>
    </row>
    <row r="2054" spans="1:12" x14ac:dyDescent="0.45">
      <c r="A2054" t="s">
        <v>1023</v>
      </c>
      <c r="B2054" t="s">
        <v>19</v>
      </c>
      <c r="C2054" t="s">
        <v>724</v>
      </c>
      <c r="D2054" t="s">
        <v>105</v>
      </c>
      <c r="E2054">
        <v>19673</v>
      </c>
      <c r="F2054">
        <v>16234</v>
      </c>
      <c r="G2054">
        <v>14967</v>
      </c>
      <c r="H2054">
        <v>1267</v>
      </c>
      <c r="I2054">
        <v>2022</v>
      </c>
      <c r="J2054">
        <v>25</v>
      </c>
      <c r="K2054">
        <f>allFYsTable[[#This Row],[Actual]]-allFYsTable[[#This Row],[OriginalBudget]]</f>
        <v>-4706</v>
      </c>
      <c r="L2054" s="11">
        <f>allFYsTable[[#This Row],[DiffAmount]]/allFYsTable[[#This Row],[OriginalBudget]]</f>
        <v>-0.23921110150968333</v>
      </c>
    </row>
    <row r="2055" spans="1:12" x14ac:dyDescent="0.45">
      <c r="A2055" t="s">
        <v>1023</v>
      </c>
      <c r="B2055" t="s">
        <v>19</v>
      </c>
      <c r="C2055" t="s">
        <v>725</v>
      </c>
      <c r="D2055" t="s">
        <v>104</v>
      </c>
      <c r="E2055">
        <v>3435</v>
      </c>
      <c r="F2055">
        <v>3732</v>
      </c>
      <c r="G2055">
        <v>3617</v>
      </c>
      <c r="H2055">
        <v>115</v>
      </c>
      <c r="I2055">
        <v>2022</v>
      </c>
      <c r="J2055">
        <v>26</v>
      </c>
      <c r="K2055">
        <f>allFYsTable[[#This Row],[Actual]]-allFYsTable[[#This Row],[OriginalBudget]]</f>
        <v>182</v>
      </c>
      <c r="L2055" s="11">
        <f>allFYsTable[[#This Row],[DiffAmount]]/allFYsTable[[#This Row],[OriginalBudget]]</f>
        <v>5.2983988355167391E-2</v>
      </c>
    </row>
    <row r="2056" spans="1:12" x14ac:dyDescent="0.45">
      <c r="A2056" t="s">
        <v>1023</v>
      </c>
      <c r="B2056" t="s">
        <v>19</v>
      </c>
      <c r="C2056" t="s">
        <v>726</v>
      </c>
      <c r="D2056" t="s">
        <v>103</v>
      </c>
      <c r="E2056">
        <v>3409</v>
      </c>
      <c r="F2056">
        <v>3323</v>
      </c>
      <c r="G2056">
        <v>3118</v>
      </c>
      <c r="H2056">
        <v>205</v>
      </c>
      <c r="I2056">
        <v>2022</v>
      </c>
      <c r="J2056">
        <v>27</v>
      </c>
      <c r="K2056">
        <f>allFYsTable[[#This Row],[Actual]]-allFYsTable[[#This Row],[OriginalBudget]]</f>
        <v>-291</v>
      </c>
      <c r="L2056" s="11">
        <f>allFYsTable[[#This Row],[DiffAmount]]/allFYsTable[[#This Row],[OriginalBudget]]</f>
        <v>-8.536227632736873E-2</v>
      </c>
    </row>
    <row r="2057" spans="1:12" x14ac:dyDescent="0.45">
      <c r="A2057" t="s">
        <v>1023</v>
      </c>
      <c r="B2057" t="s">
        <v>19</v>
      </c>
      <c r="C2057" t="s">
        <v>727</v>
      </c>
      <c r="D2057" t="s">
        <v>124</v>
      </c>
      <c r="E2057">
        <v>1125</v>
      </c>
      <c r="F2057">
        <v>1125</v>
      </c>
      <c r="G2057">
        <v>957</v>
      </c>
      <c r="H2057">
        <v>168</v>
      </c>
      <c r="I2057">
        <v>2022</v>
      </c>
      <c r="J2057">
        <v>28</v>
      </c>
      <c r="K2057">
        <f>allFYsTable[[#This Row],[Actual]]-allFYsTable[[#This Row],[OriginalBudget]]</f>
        <v>-168</v>
      </c>
      <c r="L2057" s="11">
        <f>allFYsTable[[#This Row],[DiffAmount]]/allFYsTable[[#This Row],[OriginalBudget]]</f>
        <v>-0.14933333333333335</v>
      </c>
    </row>
    <row r="2058" spans="1:12" x14ac:dyDescent="0.45">
      <c r="A2058" t="s">
        <v>1023</v>
      </c>
      <c r="B2058" t="s">
        <v>19</v>
      </c>
      <c r="C2058" t="s">
        <v>728</v>
      </c>
      <c r="D2058" t="s">
        <v>121</v>
      </c>
      <c r="E2058">
        <v>1385</v>
      </c>
      <c r="F2058">
        <v>1385</v>
      </c>
      <c r="G2058">
        <v>1307</v>
      </c>
      <c r="H2058">
        <v>78</v>
      </c>
      <c r="I2058">
        <v>2022</v>
      </c>
      <c r="J2058">
        <v>29</v>
      </c>
      <c r="K2058">
        <f>allFYsTable[[#This Row],[Actual]]-allFYsTable[[#This Row],[OriginalBudget]]</f>
        <v>-78</v>
      </c>
      <c r="L2058" s="11">
        <f>allFYsTable[[#This Row],[DiffAmount]]/allFYsTable[[#This Row],[OriginalBudget]]</f>
        <v>-5.6317689530685923E-2</v>
      </c>
    </row>
    <row r="2059" spans="1:12" x14ac:dyDescent="0.45">
      <c r="A2059" t="s">
        <v>1023</v>
      </c>
      <c r="B2059" t="s">
        <v>19</v>
      </c>
      <c r="C2059" t="s">
        <v>729</v>
      </c>
      <c r="D2059" t="s">
        <v>123</v>
      </c>
      <c r="E2059">
        <v>6386</v>
      </c>
      <c r="F2059">
        <v>6361</v>
      </c>
      <c r="G2059">
        <v>6351</v>
      </c>
      <c r="H2059">
        <v>10</v>
      </c>
      <c r="I2059">
        <v>2022</v>
      </c>
      <c r="J2059">
        <v>30</v>
      </c>
      <c r="K2059">
        <f>allFYsTable[[#This Row],[Actual]]-allFYsTable[[#This Row],[OriginalBudget]]</f>
        <v>-35</v>
      </c>
      <c r="L2059" s="11">
        <f>allFYsTable[[#This Row],[DiffAmount]]/allFYsTable[[#This Row],[OriginalBudget]]</f>
        <v>-5.4807391168180397E-3</v>
      </c>
    </row>
    <row r="2060" spans="1:12" x14ac:dyDescent="0.45">
      <c r="A2060" t="s">
        <v>1023</v>
      </c>
      <c r="B2060" t="s">
        <v>19</v>
      </c>
      <c r="C2060" t="s">
        <v>730</v>
      </c>
      <c r="D2060" t="s">
        <v>125</v>
      </c>
      <c r="E2060">
        <v>1315</v>
      </c>
      <c r="F2060">
        <v>1250</v>
      </c>
      <c r="G2060">
        <v>1227</v>
      </c>
      <c r="H2060">
        <v>23</v>
      </c>
      <c r="I2060">
        <v>2022</v>
      </c>
      <c r="J2060">
        <v>31</v>
      </c>
      <c r="K2060">
        <f>allFYsTable[[#This Row],[Actual]]-allFYsTable[[#This Row],[OriginalBudget]]</f>
        <v>-88</v>
      </c>
      <c r="L2060" s="11">
        <f>allFYsTable[[#This Row],[DiffAmount]]/allFYsTable[[#This Row],[OriginalBudget]]</f>
        <v>-6.692015209125475E-2</v>
      </c>
    </row>
    <row r="2061" spans="1:12" x14ac:dyDescent="0.45">
      <c r="A2061" t="s">
        <v>1023</v>
      </c>
      <c r="B2061" t="s">
        <v>19</v>
      </c>
      <c r="C2061" t="s">
        <v>731</v>
      </c>
      <c r="D2061" t="s">
        <v>99</v>
      </c>
      <c r="E2061">
        <v>241</v>
      </c>
      <c r="F2061">
        <v>248</v>
      </c>
      <c r="G2061">
        <v>248</v>
      </c>
      <c r="H2061">
        <v>0</v>
      </c>
      <c r="I2061">
        <v>2022</v>
      </c>
      <c r="J2061">
        <v>32</v>
      </c>
      <c r="K2061">
        <f>allFYsTable[[#This Row],[Actual]]-allFYsTable[[#This Row],[OriginalBudget]]</f>
        <v>7</v>
      </c>
      <c r="L2061" s="11">
        <f>allFYsTable[[#This Row],[DiffAmount]]/allFYsTable[[#This Row],[OriginalBudget]]</f>
        <v>2.9045643153526972E-2</v>
      </c>
    </row>
    <row r="2062" spans="1:12" x14ac:dyDescent="0.45">
      <c r="A2062" t="s">
        <v>1023</v>
      </c>
      <c r="B2062" t="s">
        <v>19</v>
      </c>
      <c r="C2062" t="s">
        <v>732</v>
      </c>
      <c r="D2062" t="s">
        <v>313</v>
      </c>
      <c r="E2062">
        <v>989</v>
      </c>
      <c r="F2062">
        <v>13</v>
      </c>
      <c r="G2062">
        <v>13</v>
      </c>
      <c r="H2062">
        <v>0</v>
      </c>
      <c r="I2062">
        <v>2022</v>
      </c>
      <c r="J2062">
        <v>33</v>
      </c>
      <c r="K2062">
        <f>allFYsTable[[#This Row],[Actual]]-allFYsTable[[#This Row],[OriginalBudget]]</f>
        <v>-976</v>
      </c>
      <c r="L2062" s="11">
        <f>allFYsTable[[#This Row],[DiffAmount]]/allFYsTable[[#This Row],[OriginalBudget]]</f>
        <v>-0.98685540950455009</v>
      </c>
    </row>
    <row r="2063" spans="1:12" x14ac:dyDescent="0.45">
      <c r="A2063" t="s">
        <v>1023</v>
      </c>
      <c r="B2063" t="s">
        <v>19</v>
      </c>
      <c r="C2063" t="s">
        <v>733</v>
      </c>
      <c r="D2063" t="s">
        <v>117</v>
      </c>
      <c r="E2063">
        <v>60</v>
      </c>
      <c r="F2063">
        <v>60</v>
      </c>
      <c r="G2063">
        <v>58</v>
      </c>
      <c r="H2063">
        <v>2</v>
      </c>
      <c r="I2063">
        <v>2022</v>
      </c>
      <c r="J2063">
        <v>34</v>
      </c>
      <c r="K2063">
        <f>allFYsTable[[#This Row],[Actual]]-allFYsTable[[#This Row],[OriginalBudget]]</f>
        <v>-2</v>
      </c>
      <c r="L2063" s="11">
        <f>allFYsTable[[#This Row],[DiffAmount]]/allFYsTable[[#This Row],[OriginalBudget]]</f>
        <v>-3.3333333333333333E-2</v>
      </c>
    </row>
    <row r="2064" spans="1:12" x14ac:dyDescent="0.45">
      <c r="A2064" t="s">
        <v>1023</v>
      </c>
      <c r="B2064" t="s">
        <v>129</v>
      </c>
      <c r="C2064" t="s">
        <v>734</v>
      </c>
      <c r="D2064" t="s">
        <v>12</v>
      </c>
      <c r="E2064">
        <v>250</v>
      </c>
      <c r="F2064">
        <v>550</v>
      </c>
      <c r="G2064">
        <v>550</v>
      </c>
      <c r="H2064">
        <v>0</v>
      </c>
      <c r="I2064">
        <v>2022</v>
      </c>
      <c r="J2064">
        <v>35</v>
      </c>
      <c r="K2064">
        <f>allFYsTable[[#This Row],[Actual]]-allFYsTable[[#This Row],[OriginalBudget]]</f>
        <v>300</v>
      </c>
      <c r="L2064" s="11">
        <f>allFYsTable[[#This Row],[DiffAmount]]/allFYsTable[[#This Row],[OriginalBudget]]</f>
        <v>1.2</v>
      </c>
    </row>
    <row r="2065" spans="1:12" x14ac:dyDescent="0.45">
      <c r="A2065" t="s">
        <v>1023</v>
      </c>
      <c r="B2065" t="s">
        <v>129</v>
      </c>
      <c r="C2065" t="s">
        <v>736</v>
      </c>
      <c r="D2065" t="s">
        <v>20</v>
      </c>
      <c r="E2065">
        <v>37523</v>
      </c>
      <c r="F2065">
        <v>42323</v>
      </c>
      <c r="G2065">
        <v>38535</v>
      </c>
      <c r="H2065">
        <v>3788</v>
      </c>
      <c r="I2065">
        <v>2022</v>
      </c>
      <c r="J2065">
        <v>36</v>
      </c>
      <c r="K2065">
        <f>allFYsTable[[#This Row],[Actual]]-allFYsTable[[#This Row],[OriginalBudget]]</f>
        <v>1012</v>
      </c>
      <c r="L2065" s="11">
        <f>allFYsTable[[#This Row],[DiffAmount]]/allFYsTable[[#This Row],[OriginalBudget]]</f>
        <v>2.6970124990006131E-2</v>
      </c>
    </row>
    <row r="2066" spans="1:12" x14ac:dyDescent="0.45">
      <c r="A2066" t="s">
        <v>1023</v>
      </c>
      <c r="B2066" t="s">
        <v>129</v>
      </c>
      <c r="C2066" t="s">
        <v>737</v>
      </c>
      <c r="D2066" t="s">
        <v>21</v>
      </c>
      <c r="E2066">
        <v>33447</v>
      </c>
      <c r="F2066">
        <v>18123</v>
      </c>
      <c r="G2066">
        <v>17163</v>
      </c>
      <c r="H2066">
        <v>960</v>
      </c>
      <c r="I2066">
        <v>2022</v>
      </c>
      <c r="J2066">
        <v>37</v>
      </c>
      <c r="K2066">
        <f>allFYsTable[[#This Row],[Actual]]-allFYsTable[[#This Row],[OriginalBudget]]</f>
        <v>-16284</v>
      </c>
      <c r="L2066" s="11">
        <f>allFYsTable[[#This Row],[DiffAmount]]/allFYsTable[[#This Row],[OriginalBudget]]</f>
        <v>-0.48685980805453405</v>
      </c>
    </row>
    <row r="2067" spans="1:12" x14ac:dyDescent="0.45">
      <c r="A2067" t="s">
        <v>1023</v>
      </c>
      <c r="B2067" t="s">
        <v>129</v>
      </c>
      <c r="C2067" t="s">
        <v>738</v>
      </c>
      <c r="D2067" t="s">
        <v>22</v>
      </c>
      <c r="E2067">
        <v>21150</v>
      </c>
      <c r="F2067">
        <v>20981</v>
      </c>
      <c r="G2067">
        <v>20896</v>
      </c>
      <c r="H2067">
        <v>85</v>
      </c>
      <c r="I2067">
        <v>2022</v>
      </c>
      <c r="J2067">
        <v>38</v>
      </c>
      <c r="K2067">
        <f>allFYsTable[[#This Row],[Actual]]-allFYsTable[[#This Row],[OriginalBudget]]</f>
        <v>-254</v>
      </c>
      <c r="L2067" s="11">
        <f>allFYsTable[[#This Row],[DiffAmount]]/allFYsTable[[#This Row],[OriginalBudget]]</f>
        <v>-1.2009456264775413E-2</v>
      </c>
    </row>
    <row r="2068" spans="1:12" x14ac:dyDescent="0.45">
      <c r="A2068" t="s">
        <v>1023</v>
      </c>
      <c r="B2068" t="s">
        <v>129</v>
      </c>
      <c r="C2068" t="s">
        <v>739</v>
      </c>
      <c r="D2068" t="s">
        <v>23</v>
      </c>
      <c r="E2068">
        <v>175252</v>
      </c>
      <c r="F2068">
        <v>182110</v>
      </c>
      <c r="G2068">
        <v>169156</v>
      </c>
      <c r="H2068">
        <v>12954</v>
      </c>
      <c r="I2068">
        <v>2022</v>
      </c>
      <c r="J2068">
        <v>39</v>
      </c>
      <c r="K2068">
        <f>allFYsTable[[#This Row],[Actual]]-allFYsTable[[#This Row],[OriginalBudget]]</f>
        <v>-6096</v>
      </c>
      <c r="L2068" s="11">
        <f>allFYsTable[[#This Row],[DiffAmount]]/allFYsTable[[#This Row],[OriginalBudget]]</f>
        <v>-3.4784196471366949E-2</v>
      </c>
    </row>
    <row r="2069" spans="1:12" x14ac:dyDescent="0.45">
      <c r="A2069" t="s">
        <v>1023</v>
      </c>
      <c r="B2069" t="s">
        <v>129</v>
      </c>
      <c r="C2069" t="s">
        <v>740</v>
      </c>
      <c r="D2069" t="s">
        <v>24</v>
      </c>
      <c r="E2069">
        <v>0</v>
      </c>
      <c r="F2069">
        <v>166684</v>
      </c>
      <c r="G2069">
        <v>166684</v>
      </c>
      <c r="H2069">
        <v>0</v>
      </c>
      <c r="I2069">
        <v>2022</v>
      </c>
      <c r="J2069">
        <v>40</v>
      </c>
      <c r="K2069">
        <f>allFYsTable[[#This Row],[Actual]]-allFYsTable[[#This Row],[OriginalBudget]]</f>
        <v>166684</v>
      </c>
      <c r="L2069" s="11" t="e">
        <f>allFYsTable[[#This Row],[DiffAmount]]/allFYsTable[[#This Row],[OriginalBudget]]</f>
        <v>#DIV/0!</v>
      </c>
    </row>
    <row r="2070" spans="1:12" x14ac:dyDescent="0.45">
      <c r="A2070" t="s">
        <v>1023</v>
      </c>
      <c r="B2070" t="s">
        <v>129</v>
      </c>
      <c r="C2070" t="s">
        <v>741</v>
      </c>
      <c r="D2070" t="s">
        <v>25</v>
      </c>
      <c r="E2070">
        <v>2754</v>
      </c>
      <c r="F2070">
        <v>2934</v>
      </c>
      <c r="G2070">
        <v>2916</v>
      </c>
      <c r="H2070">
        <v>18</v>
      </c>
      <c r="I2070">
        <v>2022</v>
      </c>
      <c r="J2070">
        <v>41</v>
      </c>
      <c r="K2070">
        <f>allFYsTable[[#This Row],[Actual]]-allFYsTable[[#This Row],[OriginalBudget]]</f>
        <v>162</v>
      </c>
      <c r="L2070" s="11">
        <f>allFYsTable[[#This Row],[DiffAmount]]/allFYsTable[[#This Row],[OriginalBudget]]</f>
        <v>5.8823529411764705E-2</v>
      </c>
    </row>
    <row r="2071" spans="1:12" x14ac:dyDescent="0.45">
      <c r="A2071" t="s">
        <v>1023</v>
      </c>
      <c r="B2071" t="s">
        <v>129</v>
      </c>
      <c r="C2071" t="s">
        <v>742</v>
      </c>
      <c r="D2071" t="s">
        <v>26</v>
      </c>
      <c r="E2071">
        <v>16964</v>
      </c>
      <c r="F2071">
        <v>15134</v>
      </c>
      <c r="G2071">
        <v>14727</v>
      </c>
      <c r="H2071">
        <v>407</v>
      </c>
      <c r="I2071">
        <v>2022</v>
      </c>
      <c r="J2071">
        <v>42</v>
      </c>
      <c r="K2071">
        <f>allFYsTable[[#This Row],[Actual]]-allFYsTable[[#This Row],[OriginalBudget]]</f>
        <v>-2237</v>
      </c>
      <c r="L2071" s="11">
        <f>allFYsTable[[#This Row],[DiffAmount]]/allFYsTable[[#This Row],[OriginalBudget]]</f>
        <v>-0.13186748408394247</v>
      </c>
    </row>
    <row r="2072" spans="1:12" x14ac:dyDescent="0.45">
      <c r="A2072" t="s">
        <v>1023</v>
      </c>
      <c r="B2072" t="s">
        <v>129</v>
      </c>
      <c r="C2072" t="s">
        <v>743</v>
      </c>
      <c r="D2072" t="s">
        <v>27</v>
      </c>
      <c r="E2072">
        <v>121058</v>
      </c>
      <c r="F2072">
        <v>86797</v>
      </c>
      <c r="G2072">
        <v>86214</v>
      </c>
      <c r="H2072">
        <v>583</v>
      </c>
      <c r="I2072">
        <v>2022</v>
      </c>
      <c r="J2072">
        <v>43</v>
      </c>
      <c r="K2072">
        <f>allFYsTable[[#This Row],[Actual]]-allFYsTable[[#This Row],[OriginalBudget]]</f>
        <v>-34844</v>
      </c>
      <c r="L2072" s="11">
        <f>allFYsTable[[#This Row],[DiffAmount]]/allFYsTable[[#This Row],[OriginalBudget]]</f>
        <v>-0.28782897454112905</v>
      </c>
    </row>
    <row r="2073" spans="1:12" x14ac:dyDescent="0.45">
      <c r="A2073" t="s">
        <v>1023</v>
      </c>
      <c r="B2073" t="s">
        <v>129</v>
      </c>
      <c r="C2073" t="s">
        <v>839</v>
      </c>
      <c r="D2073" t="s">
        <v>28</v>
      </c>
      <c r="E2073">
        <v>3258</v>
      </c>
      <c r="F2073">
        <v>3155</v>
      </c>
      <c r="G2073">
        <v>3125</v>
      </c>
      <c r="H2073">
        <v>30</v>
      </c>
      <c r="I2073">
        <v>2022</v>
      </c>
      <c r="J2073">
        <v>44</v>
      </c>
      <c r="K2073">
        <f>allFYsTable[[#This Row],[Actual]]-allFYsTable[[#This Row],[OriginalBudget]]</f>
        <v>-133</v>
      </c>
      <c r="L2073" s="11">
        <f>allFYsTable[[#This Row],[DiffAmount]]/allFYsTable[[#This Row],[OriginalBudget]]</f>
        <v>-4.0822590546347452E-2</v>
      </c>
    </row>
    <row r="2074" spans="1:12" x14ac:dyDescent="0.45">
      <c r="A2074" t="s">
        <v>1023</v>
      </c>
      <c r="B2074" t="s">
        <v>129</v>
      </c>
      <c r="C2074" t="s">
        <v>744</v>
      </c>
      <c r="D2074" t="s">
        <v>29</v>
      </c>
      <c r="E2074">
        <v>3858</v>
      </c>
      <c r="F2074">
        <v>3899</v>
      </c>
      <c r="G2074">
        <v>3891</v>
      </c>
      <c r="H2074">
        <v>8</v>
      </c>
      <c r="I2074">
        <v>2022</v>
      </c>
      <c r="J2074">
        <v>45</v>
      </c>
      <c r="K2074">
        <f>allFYsTable[[#This Row],[Actual]]-allFYsTable[[#This Row],[OriginalBudget]]</f>
        <v>33</v>
      </c>
      <c r="L2074" s="11">
        <f>allFYsTable[[#This Row],[DiffAmount]]/allFYsTable[[#This Row],[OriginalBudget]]</f>
        <v>8.553654743390357E-3</v>
      </c>
    </row>
    <row r="2075" spans="1:12" x14ac:dyDescent="0.45">
      <c r="A2075" t="s">
        <v>1023</v>
      </c>
      <c r="B2075" t="s">
        <v>129</v>
      </c>
      <c r="C2075" t="s">
        <v>745</v>
      </c>
      <c r="D2075" t="s">
        <v>30</v>
      </c>
      <c r="E2075">
        <v>1776</v>
      </c>
      <c r="F2075">
        <v>1776</v>
      </c>
      <c r="G2075">
        <v>1714</v>
      </c>
      <c r="H2075">
        <v>62</v>
      </c>
      <c r="I2075">
        <v>2022</v>
      </c>
      <c r="J2075">
        <v>46</v>
      </c>
      <c r="K2075">
        <f>allFYsTable[[#This Row],[Actual]]-allFYsTable[[#This Row],[OriginalBudget]]</f>
        <v>-62</v>
      </c>
      <c r="L2075" s="11">
        <f>allFYsTable[[#This Row],[DiffAmount]]/allFYsTable[[#This Row],[OriginalBudget]]</f>
        <v>-3.4909909909909907E-2</v>
      </c>
    </row>
    <row r="2076" spans="1:12" x14ac:dyDescent="0.45">
      <c r="A2076" t="s">
        <v>1023</v>
      </c>
      <c r="B2076" t="s">
        <v>129</v>
      </c>
      <c r="C2076" t="s">
        <v>735</v>
      </c>
      <c r="D2076" t="s">
        <v>31</v>
      </c>
      <c r="E2076">
        <v>1360</v>
      </c>
      <c r="F2076">
        <v>1350</v>
      </c>
      <c r="G2076">
        <v>1294</v>
      </c>
      <c r="H2076">
        <v>56</v>
      </c>
      <c r="I2076">
        <v>2022</v>
      </c>
      <c r="J2076">
        <v>47</v>
      </c>
      <c r="K2076">
        <f>allFYsTable[[#This Row],[Actual]]-allFYsTable[[#This Row],[OriginalBudget]]</f>
        <v>-66</v>
      </c>
      <c r="L2076" s="11">
        <f>allFYsTable[[#This Row],[DiffAmount]]/allFYsTable[[#This Row],[OriginalBudget]]</f>
        <v>-4.8529411764705883E-2</v>
      </c>
    </row>
    <row r="2077" spans="1:12" x14ac:dyDescent="0.45">
      <c r="A2077" t="s">
        <v>1023</v>
      </c>
      <c r="B2077" t="s">
        <v>6</v>
      </c>
      <c r="C2077" t="s">
        <v>746</v>
      </c>
      <c r="D2077" t="s">
        <v>32</v>
      </c>
      <c r="E2077">
        <v>65</v>
      </c>
      <c r="F2077">
        <v>65</v>
      </c>
      <c r="G2077">
        <v>54</v>
      </c>
      <c r="H2077">
        <v>11</v>
      </c>
      <c r="I2077">
        <v>2022</v>
      </c>
      <c r="J2077">
        <v>48</v>
      </c>
      <c r="K2077">
        <f>allFYsTable[[#This Row],[Actual]]-allFYsTable[[#This Row],[OriginalBudget]]</f>
        <v>-11</v>
      </c>
      <c r="L2077" s="11">
        <f>allFYsTable[[#This Row],[DiffAmount]]/allFYsTable[[#This Row],[OriginalBudget]]</f>
        <v>-0.16923076923076924</v>
      </c>
    </row>
    <row r="2078" spans="1:12" x14ac:dyDescent="0.45">
      <c r="A2078" t="s">
        <v>1023</v>
      </c>
      <c r="B2078" t="s">
        <v>6</v>
      </c>
      <c r="C2078" t="s">
        <v>747</v>
      </c>
      <c r="D2078" t="s">
        <v>33</v>
      </c>
      <c r="E2078">
        <v>893</v>
      </c>
      <c r="F2078">
        <v>909</v>
      </c>
      <c r="G2078">
        <v>906</v>
      </c>
      <c r="H2078">
        <v>3</v>
      </c>
      <c r="I2078">
        <v>2022</v>
      </c>
      <c r="J2078">
        <v>49</v>
      </c>
      <c r="K2078">
        <f>allFYsTable[[#This Row],[Actual]]-allFYsTable[[#This Row],[OriginalBudget]]</f>
        <v>13</v>
      </c>
      <c r="L2078" s="11">
        <f>allFYsTable[[#This Row],[DiffAmount]]/allFYsTable[[#This Row],[OriginalBudget]]</f>
        <v>1.4557670772676373E-2</v>
      </c>
    </row>
    <row r="2079" spans="1:12" x14ac:dyDescent="0.45">
      <c r="A2079" t="s">
        <v>1023</v>
      </c>
      <c r="B2079" t="s">
        <v>6</v>
      </c>
      <c r="C2079" t="s">
        <v>748</v>
      </c>
      <c r="D2079" t="s">
        <v>34</v>
      </c>
      <c r="E2079">
        <v>907</v>
      </c>
      <c r="F2079">
        <v>897</v>
      </c>
      <c r="G2079">
        <v>848</v>
      </c>
      <c r="H2079">
        <v>49</v>
      </c>
      <c r="I2079">
        <v>2022</v>
      </c>
      <c r="J2079">
        <v>50</v>
      </c>
      <c r="K2079">
        <f>allFYsTable[[#This Row],[Actual]]-allFYsTable[[#This Row],[OriginalBudget]]</f>
        <v>-59</v>
      </c>
      <c r="L2079" s="11">
        <f>allFYsTable[[#This Row],[DiffAmount]]/allFYsTable[[#This Row],[OriginalBudget]]</f>
        <v>-6.5049614112458659E-2</v>
      </c>
    </row>
    <row r="2080" spans="1:12" x14ac:dyDescent="0.45">
      <c r="A2080" t="s">
        <v>1023</v>
      </c>
      <c r="B2080" t="s">
        <v>6</v>
      </c>
      <c r="C2080" t="s">
        <v>749</v>
      </c>
      <c r="D2080" t="s">
        <v>35</v>
      </c>
      <c r="E2080">
        <v>1536</v>
      </c>
      <c r="F2080">
        <v>1460</v>
      </c>
      <c r="G2080">
        <v>1408</v>
      </c>
      <c r="H2080">
        <v>52</v>
      </c>
      <c r="I2080">
        <v>2022</v>
      </c>
      <c r="J2080">
        <v>51</v>
      </c>
      <c r="K2080">
        <f>allFYsTable[[#This Row],[Actual]]-allFYsTable[[#This Row],[OriginalBudget]]</f>
        <v>-128</v>
      </c>
      <c r="L2080" s="11">
        <f>allFYsTable[[#This Row],[DiffAmount]]/allFYsTable[[#This Row],[OriginalBudget]]</f>
        <v>-8.3333333333333329E-2</v>
      </c>
    </row>
    <row r="2081" spans="1:12" x14ac:dyDescent="0.45">
      <c r="A2081" t="s">
        <v>1023</v>
      </c>
      <c r="B2081" t="s">
        <v>6</v>
      </c>
      <c r="C2081" t="s">
        <v>750</v>
      </c>
      <c r="D2081" t="s">
        <v>36</v>
      </c>
      <c r="E2081">
        <v>162704</v>
      </c>
      <c r="F2081">
        <v>160152</v>
      </c>
      <c r="G2081">
        <v>159649</v>
      </c>
      <c r="H2081">
        <v>503</v>
      </c>
      <c r="I2081">
        <v>2022</v>
      </c>
      <c r="J2081">
        <v>52</v>
      </c>
      <c r="K2081">
        <f>allFYsTable[[#This Row],[Actual]]-allFYsTable[[#This Row],[OriginalBudget]]</f>
        <v>-3055</v>
      </c>
      <c r="L2081" s="11">
        <f>allFYsTable[[#This Row],[DiffAmount]]/allFYsTable[[#This Row],[OriginalBudget]]</f>
        <v>-1.87764283607041E-2</v>
      </c>
    </row>
    <row r="2082" spans="1:12" x14ac:dyDescent="0.45">
      <c r="A2082" t="s">
        <v>1023</v>
      </c>
      <c r="B2082" t="s">
        <v>6</v>
      </c>
      <c r="C2082" t="s">
        <v>751</v>
      </c>
      <c r="D2082" t="s">
        <v>37</v>
      </c>
      <c r="E2082">
        <v>28433</v>
      </c>
      <c r="F2082">
        <v>30666</v>
      </c>
      <c r="G2082">
        <v>30324</v>
      </c>
      <c r="H2082">
        <v>342</v>
      </c>
      <c r="I2082">
        <v>2022</v>
      </c>
      <c r="J2082">
        <v>53</v>
      </c>
      <c r="K2082">
        <f>allFYsTable[[#This Row],[Actual]]-allFYsTable[[#This Row],[OriginalBudget]]</f>
        <v>1891</v>
      </c>
      <c r="L2082" s="11">
        <f>allFYsTable[[#This Row],[DiffAmount]]/allFYsTable[[#This Row],[OriginalBudget]]</f>
        <v>6.6507227517321424E-2</v>
      </c>
    </row>
    <row r="2083" spans="1:12" x14ac:dyDescent="0.45">
      <c r="A2083" t="s">
        <v>1023</v>
      </c>
      <c r="B2083" t="s">
        <v>6</v>
      </c>
      <c r="C2083" t="s">
        <v>752</v>
      </c>
      <c r="D2083" t="s">
        <v>38</v>
      </c>
      <c r="E2083">
        <v>85071</v>
      </c>
      <c r="F2083">
        <v>82822</v>
      </c>
      <c r="G2083">
        <v>82809</v>
      </c>
      <c r="H2083">
        <v>13</v>
      </c>
      <c r="I2083">
        <v>2022</v>
      </c>
      <c r="J2083">
        <v>54</v>
      </c>
      <c r="K2083">
        <f>allFYsTable[[#This Row],[Actual]]-allFYsTable[[#This Row],[OriginalBudget]]</f>
        <v>-2262</v>
      </c>
      <c r="L2083" s="11">
        <f>allFYsTable[[#This Row],[DiffAmount]]/allFYsTable[[#This Row],[OriginalBudget]]</f>
        <v>-2.6589554607327998E-2</v>
      </c>
    </row>
    <row r="2084" spans="1:12" x14ac:dyDescent="0.45">
      <c r="A2084" t="s">
        <v>1023</v>
      </c>
      <c r="B2084" t="s">
        <v>6</v>
      </c>
      <c r="C2084" t="s">
        <v>753</v>
      </c>
      <c r="D2084" t="s">
        <v>39</v>
      </c>
      <c r="E2084">
        <v>5237</v>
      </c>
      <c r="F2084">
        <v>5670</v>
      </c>
      <c r="G2084">
        <v>5430</v>
      </c>
      <c r="H2084">
        <v>240</v>
      </c>
      <c r="I2084">
        <v>2022</v>
      </c>
      <c r="J2084">
        <v>55</v>
      </c>
      <c r="K2084">
        <f>allFYsTable[[#This Row],[Actual]]-allFYsTable[[#This Row],[OriginalBudget]]</f>
        <v>193</v>
      </c>
      <c r="L2084" s="11">
        <f>allFYsTable[[#This Row],[DiffAmount]]/allFYsTable[[#This Row],[OriginalBudget]]</f>
        <v>3.6853160206224936E-2</v>
      </c>
    </row>
    <row r="2085" spans="1:12" x14ac:dyDescent="0.45">
      <c r="A2085" t="s">
        <v>1023</v>
      </c>
      <c r="B2085" t="s">
        <v>6</v>
      </c>
      <c r="C2085" t="s">
        <v>754</v>
      </c>
      <c r="D2085" t="s">
        <v>40</v>
      </c>
      <c r="E2085">
        <v>1628</v>
      </c>
      <c r="F2085">
        <v>1631</v>
      </c>
      <c r="G2085">
        <v>1629</v>
      </c>
      <c r="H2085">
        <v>2</v>
      </c>
      <c r="I2085">
        <v>2022</v>
      </c>
      <c r="J2085">
        <v>56</v>
      </c>
      <c r="K2085">
        <f>allFYsTable[[#This Row],[Actual]]-allFYsTable[[#This Row],[OriginalBudget]]</f>
        <v>1</v>
      </c>
      <c r="L2085" s="11">
        <f>allFYsTable[[#This Row],[DiffAmount]]/allFYsTable[[#This Row],[OriginalBudget]]</f>
        <v>6.1425061425061424E-4</v>
      </c>
    </row>
    <row r="2086" spans="1:12" x14ac:dyDescent="0.45">
      <c r="A2086" t="s">
        <v>1023</v>
      </c>
      <c r="B2086" t="s">
        <v>6</v>
      </c>
      <c r="C2086" t="s">
        <v>755</v>
      </c>
      <c r="D2086" t="s">
        <v>41</v>
      </c>
      <c r="E2086">
        <v>267743</v>
      </c>
      <c r="F2086">
        <v>270301</v>
      </c>
      <c r="G2086">
        <v>268549</v>
      </c>
      <c r="H2086">
        <v>1752</v>
      </c>
      <c r="I2086">
        <v>2022</v>
      </c>
      <c r="J2086">
        <v>57</v>
      </c>
      <c r="K2086">
        <f>allFYsTable[[#This Row],[Actual]]-allFYsTable[[#This Row],[OriginalBudget]]</f>
        <v>806</v>
      </c>
      <c r="L2086" s="11">
        <f>allFYsTable[[#This Row],[DiffAmount]]/allFYsTable[[#This Row],[OriginalBudget]]</f>
        <v>3.0103494769237664E-3</v>
      </c>
    </row>
    <row r="2087" spans="1:12" x14ac:dyDescent="0.45">
      <c r="A2087" t="s">
        <v>1023</v>
      </c>
      <c r="B2087" t="s">
        <v>6</v>
      </c>
      <c r="C2087" t="s">
        <v>756</v>
      </c>
      <c r="D2087" t="s">
        <v>42</v>
      </c>
      <c r="E2087">
        <v>5667</v>
      </c>
      <c r="F2087">
        <v>9667</v>
      </c>
      <c r="G2087">
        <v>9634</v>
      </c>
      <c r="H2087">
        <v>33</v>
      </c>
      <c r="I2087">
        <v>2022</v>
      </c>
      <c r="J2087">
        <v>58</v>
      </c>
      <c r="K2087">
        <f>allFYsTable[[#This Row],[Actual]]-allFYsTable[[#This Row],[OriginalBudget]]</f>
        <v>3967</v>
      </c>
      <c r="L2087" s="11">
        <f>allFYsTable[[#This Row],[DiffAmount]]/allFYsTable[[#This Row],[OriginalBudget]]</f>
        <v>0.70001764602082228</v>
      </c>
    </row>
    <row r="2088" spans="1:12" x14ac:dyDescent="0.45">
      <c r="A2088" t="s">
        <v>1023</v>
      </c>
      <c r="B2088" t="s">
        <v>6</v>
      </c>
      <c r="C2088" t="s">
        <v>757</v>
      </c>
      <c r="D2088" t="s">
        <v>43</v>
      </c>
      <c r="E2088">
        <v>8</v>
      </c>
      <c r="F2088">
        <v>8</v>
      </c>
      <c r="G2088">
        <v>8</v>
      </c>
      <c r="H2088">
        <v>0</v>
      </c>
      <c r="I2088">
        <v>2022</v>
      </c>
      <c r="J2088">
        <v>59</v>
      </c>
      <c r="K2088">
        <f>allFYsTable[[#This Row],[Actual]]-allFYsTable[[#This Row],[OriginalBudget]]</f>
        <v>0</v>
      </c>
      <c r="L2088" s="11">
        <f>allFYsTable[[#This Row],[DiffAmount]]/allFYsTable[[#This Row],[OriginalBudget]]</f>
        <v>0</v>
      </c>
    </row>
    <row r="2089" spans="1:12" x14ac:dyDescent="0.45">
      <c r="A2089" t="s">
        <v>1023</v>
      </c>
      <c r="B2089" t="s">
        <v>6</v>
      </c>
      <c r="C2089" t="s">
        <v>758</v>
      </c>
      <c r="D2089" t="s">
        <v>44</v>
      </c>
      <c r="E2089">
        <v>493814</v>
      </c>
      <c r="F2089">
        <v>512300</v>
      </c>
      <c r="G2089">
        <v>510491</v>
      </c>
      <c r="H2089">
        <v>1809</v>
      </c>
      <c r="I2089">
        <v>2022</v>
      </c>
      <c r="J2089">
        <v>60</v>
      </c>
      <c r="K2089">
        <f>allFYsTable[[#This Row],[Actual]]-allFYsTable[[#This Row],[OriginalBudget]]</f>
        <v>16677</v>
      </c>
      <c r="L2089" s="11">
        <f>allFYsTable[[#This Row],[DiffAmount]]/allFYsTable[[#This Row],[OriginalBudget]]</f>
        <v>3.377182501913676E-2</v>
      </c>
    </row>
    <row r="2090" spans="1:12" x14ac:dyDescent="0.45">
      <c r="A2090" t="s">
        <v>1023</v>
      </c>
      <c r="B2090" t="s">
        <v>6</v>
      </c>
      <c r="C2090" t="s">
        <v>759</v>
      </c>
      <c r="D2090" t="s">
        <v>45</v>
      </c>
      <c r="E2090">
        <v>10785</v>
      </c>
      <c r="F2090">
        <v>9792</v>
      </c>
      <c r="G2090">
        <v>9595</v>
      </c>
      <c r="H2090">
        <v>197</v>
      </c>
      <c r="I2090">
        <v>2022</v>
      </c>
      <c r="J2090">
        <v>61</v>
      </c>
      <c r="K2090">
        <f>allFYsTable[[#This Row],[Actual]]-allFYsTable[[#This Row],[OriginalBudget]]</f>
        <v>-1190</v>
      </c>
      <c r="L2090" s="11">
        <f>allFYsTable[[#This Row],[DiffAmount]]/allFYsTable[[#This Row],[OriginalBudget]]</f>
        <v>-0.11033843300880854</v>
      </c>
    </row>
    <row r="2091" spans="1:12" x14ac:dyDescent="0.45">
      <c r="A2091" t="s">
        <v>1023</v>
      </c>
      <c r="B2091" t="s">
        <v>6</v>
      </c>
      <c r="C2091" t="s">
        <v>760</v>
      </c>
      <c r="D2091" t="s">
        <v>46</v>
      </c>
      <c r="E2091">
        <v>8561</v>
      </c>
      <c r="F2091">
        <v>7157</v>
      </c>
      <c r="G2091">
        <v>6959</v>
      </c>
      <c r="H2091">
        <v>198</v>
      </c>
      <c r="I2091">
        <v>2022</v>
      </c>
      <c r="J2091">
        <v>62</v>
      </c>
      <c r="K2091">
        <f>allFYsTable[[#This Row],[Actual]]-allFYsTable[[#This Row],[OriginalBudget]]</f>
        <v>-1602</v>
      </c>
      <c r="L2091" s="11">
        <f>allFYsTable[[#This Row],[DiffAmount]]/allFYsTable[[#This Row],[OriginalBudget]]</f>
        <v>-0.18712767200093447</v>
      </c>
    </row>
    <row r="2092" spans="1:12" x14ac:dyDescent="0.45">
      <c r="A2092" t="s">
        <v>1023</v>
      </c>
      <c r="B2092" t="s">
        <v>6</v>
      </c>
      <c r="C2092" t="s">
        <v>761</v>
      </c>
      <c r="D2092" t="s">
        <v>47</v>
      </c>
      <c r="E2092">
        <v>14780</v>
      </c>
      <c r="F2092">
        <v>10699</v>
      </c>
      <c r="G2092">
        <v>10055</v>
      </c>
      <c r="H2092">
        <v>644</v>
      </c>
      <c r="I2092">
        <v>2022</v>
      </c>
      <c r="J2092">
        <v>63</v>
      </c>
      <c r="K2092">
        <f>allFYsTable[[#This Row],[Actual]]-allFYsTable[[#This Row],[OriginalBudget]]</f>
        <v>-4725</v>
      </c>
      <c r="L2092" s="11">
        <f>allFYsTable[[#This Row],[DiffAmount]]/allFYsTable[[#This Row],[OriginalBudget]]</f>
        <v>-0.31968876860622464</v>
      </c>
    </row>
    <row r="2093" spans="1:12" x14ac:dyDescent="0.45">
      <c r="A2093" t="s">
        <v>1023</v>
      </c>
      <c r="B2093" t="s">
        <v>6</v>
      </c>
      <c r="C2093" t="s">
        <v>762</v>
      </c>
      <c r="D2093" t="s">
        <v>48</v>
      </c>
      <c r="E2093">
        <v>2892</v>
      </c>
      <c r="F2093">
        <v>2817</v>
      </c>
      <c r="G2093">
        <v>2660</v>
      </c>
      <c r="H2093">
        <v>157</v>
      </c>
      <c r="I2093">
        <v>2022</v>
      </c>
      <c r="J2093">
        <v>64</v>
      </c>
      <c r="K2093">
        <f>allFYsTable[[#This Row],[Actual]]-allFYsTable[[#This Row],[OriginalBudget]]</f>
        <v>-232</v>
      </c>
      <c r="L2093" s="11">
        <f>allFYsTable[[#This Row],[DiffAmount]]/allFYsTable[[#This Row],[OriginalBudget]]</f>
        <v>-8.0221300138312593E-2</v>
      </c>
    </row>
    <row r="2094" spans="1:12" x14ac:dyDescent="0.45">
      <c r="A2094" t="s">
        <v>1023</v>
      </c>
      <c r="B2094" t="s">
        <v>6</v>
      </c>
      <c r="C2094" t="s">
        <v>763</v>
      </c>
      <c r="D2094" t="s">
        <v>49</v>
      </c>
      <c r="E2094">
        <v>1916</v>
      </c>
      <c r="F2094">
        <v>1765</v>
      </c>
      <c r="G2094">
        <v>1606</v>
      </c>
      <c r="H2094">
        <v>159</v>
      </c>
      <c r="I2094">
        <v>2022</v>
      </c>
      <c r="J2094">
        <v>65</v>
      </c>
      <c r="K2094">
        <f>allFYsTable[[#This Row],[Actual]]-allFYsTable[[#This Row],[OriginalBudget]]</f>
        <v>-310</v>
      </c>
      <c r="L2094" s="11">
        <f>allFYsTable[[#This Row],[DiffAmount]]/allFYsTable[[#This Row],[OriginalBudget]]</f>
        <v>-0.1617954070981211</v>
      </c>
    </row>
    <row r="2095" spans="1:12" x14ac:dyDescent="0.45">
      <c r="A2095" t="s">
        <v>1023</v>
      </c>
      <c r="B2095" t="s">
        <v>6</v>
      </c>
      <c r="C2095" t="s">
        <v>764</v>
      </c>
      <c r="D2095" t="s">
        <v>50</v>
      </c>
      <c r="E2095">
        <v>13445</v>
      </c>
      <c r="F2095">
        <v>13232</v>
      </c>
      <c r="G2095">
        <v>12944</v>
      </c>
      <c r="H2095">
        <v>288</v>
      </c>
      <c r="I2095">
        <v>2022</v>
      </c>
      <c r="J2095">
        <v>66</v>
      </c>
      <c r="K2095">
        <f>allFYsTable[[#This Row],[Actual]]-allFYsTable[[#This Row],[OriginalBudget]]</f>
        <v>-501</v>
      </c>
      <c r="L2095" s="11">
        <f>allFYsTable[[#This Row],[DiffAmount]]/allFYsTable[[#This Row],[OriginalBudget]]</f>
        <v>-3.7262923019709931E-2</v>
      </c>
    </row>
    <row r="2096" spans="1:12" x14ac:dyDescent="0.45">
      <c r="A2096" t="s">
        <v>1023</v>
      </c>
      <c r="B2096" t="s">
        <v>6</v>
      </c>
      <c r="C2096" t="s">
        <v>765</v>
      </c>
      <c r="D2096" t="s">
        <v>51</v>
      </c>
      <c r="E2096">
        <v>2399</v>
      </c>
      <c r="F2096">
        <v>3125</v>
      </c>
      <c r="G2096">
        <v>3109</v>
      </c>
      <c r="H2096">
        <v>16</v>
      </c>
      <c r="I2096">
        <v>2022</v>
      </c>
      <c r="J2096">
        <v>67</v>
      </c>
      <c r="K2096">
        <f>allFYsTable[[#This Row],[Actual]]-allFYsTable[[#This Row],[OriginalBudget]]</f>
        <v>710</v>
      </c>
      <c r="L2096" s="11">
        <f>allFYsTable[[#This Row],[DiffAmount]]/allFYsTable[[#This Row],[OriginalBudget]]</f>
        <v>0.29595664860358484</v>
      </c>
    </row>
    <row r="2097" spans="1:15" x14ac:dyDescent="0.45">
      <c r="A2097" t="s">
        <v>1023</v>
      </c>
      <c r="B2097" t="s">
        <v>6</v>
      </c>
      <c r="C2097" t="s">
        <v>766</v>
      </c>
      <c r="D2097" t="s">
        <v>52</v>
      </c>
      <c r="E2097">
        <v>29569</v>
      </c>
      <c r="F2097">
        <v>27730</v>
      </c>
      <c r="G2097">
        <v>27704</v>
      </c>
      <c r="H2097">
        <v>26</v>
      </c>
      <c r="I2097">
        <v>2022</v>
      </c>
      <c r="J2097">
        <v>68</v>
      </c>
      <c r="K2097">
        <f>allFYsTable[[#This Row],[Actual]]-allFYsTable[[#This Row],[OriginalBudget]]</f>
        <v>-1865</v>
      </c>
      <c r="L2097" s="11">
        <f>allFYsTable[[#This Row],[DiffAmount]]/allFYsTable[[#This Row],[OriginalBudget]]</f>
        <v>-6.3072812743075524E-2</v>
      </c>
    </row>
    <row r="2098" spans="1:15" x14ac:dyDescent="0.45">
      <c r="A2098" t="s">
        <v>1023</v>
      </c>
      <c r="B2098" t="s">
        <v>6</v>
      </c>
      <c r="C2098" t="s">
        <v>767</v>
      </c>
      <c r="D2098" t="s">
        <v>53</v>
      </c>
      <c r="E2098">
        <v>53050</v>
      </c>
      <c r="F2098">
        <v>52947</v>
      </c>
      <c r="G2098">
        <v>50741</v>
      </c>
      <c r="H2098">
        <v>2206</v>
      </c>
      <c r="I2098">
        <v>2022</v>
      </c>
      <c r="J2098">
        <v>69</v>
      </c>
      <c r="K2098">
        <f>allFYsTable[[#This Row],[Actual]]-allFYsTable[[#This Row],[OriginalBudget]]</f>
        <v>-2309</v>
      </c>
      <c r="L2098" s="11">
        <f>allFYsTable[[#This Row],[DiffAmount]]/allFYsTable[[#This Row],[OriginalBudget]]</f>
        <v>-4.3524976437323282E-2</v>
      </c>
    </row>
    <row r="2099" spans="1:15" x14ac:dyDescent="0.45">
      <c r="A2099" t="s">
        <v>1023</v>
      </c>
      <c r="B2099" t="s">
        <v>6</v>
      </c>
      <c r="C2099" t="s">
        <v>768</v>
      </c>
      <c r="D2099" t="s">
        <v>54</v>
      </c>
      <c r="E2099">
        <v>108966</v>
      </c>
      <c r="F2099">
        <v>108966</v>
      </c>
      <c r="G2099">
        <v>108966</v>
      </c>
      <c r="H2099">
        <v>0</v>
      </c>
      <c r="I2099">
        <v>2022</v>
      </c>
      <c r="J2099">
        <v>70</v>
      </c>
      <c r="K2099">
        <f>allFYsTable[[#This Row],[Actual]]-allFYsTable[[#This Row],[OriginalBudget]]</f>
        <v>0</v>
      </c>
      <c r="L2099" s="11">
        <f>allFYsTable[[#This Row],[DiffAmount]]/allFYsTable[[#This Row],[OriginalBudget]]</f>
        <v>0</v>
      </c>
    </row>
    <row r="2100" spans="1:15" x14ac:dyDescent="0.45">
      <c r="A2100" t="s">
        <v>1023</v>
      </c>
      <c r="B2100" t="s">
        <v>136</v>
      </c>
      <c r="C2100" t="s">
        <v>769</v>
      </c>
      <c r="D2100" t="s">
        <v>55</v>
      </c>
      <c r="E2100">
        <v>56589</v>
      </c>
      <c r="F2100">
        <v>63315</v>
      </c>
      <c r="G2100">
        <v>61894</v>
      </c>
      <c r="H2100">
        <v>1421</v>
      </c>
      <c r="I2100">
        <v>2022</v>
      </c>
      <c r="J2100">
        <v>71</v>
      </c>
      <c r="K2100">
        <f>allFYsTable[[#This Row],[Actual]]-allFYsTable[[#This Row],[OriginalBudget]]</f>
        <v>5305</v>
      </c>
      <c r="L2100" s="11">
        <f>allFYsTable[[#This Row],[DiffAmount]]/allFYsTable[[#This Row],[OriginalBudget]]</f>
        <v>9.3746134407747095E-2</v>
      </c>
    </row>
    <row r="2101" spans="1:15" x14ac:dyDescent="0.45">
      <c r="A2101" t="s">
        <v>1023</v>
      </c>
      <c r="B2101" t="s">
        <v>136</v>
      </c>
      <c r="C2101" t="s">
        <v>770</v>
      </c>
      <c r="D2101" t="s">
        <v>56</v>
      </c>
      <c r="E2101">
        <v>61156</v>
      </c>
      <c r="F2101">
        <v>65720</v>
      </c>
      <c r="G2101">
        <v>64504</v>
      </c>
      <c r="H2101">
        <v>1216</v>
      </c>
      <c r="I2101">
        <v>2022</v>
      </c>
      <c r="J2101">
        <v>72</v>
      </c>
      <c r="K2101">
        <f>allFYsTable[[#This Row],[Actual]]-allFYsTable[[#This Row],[OriginalBudget]]</f>
        <v>3348</v>
      </c>
      <c r="L2101" s="11">
        <f>allFYsTable[[#This Row],[DiffAmount]]/allFYsTable[[#This Row],[OriginalBudget]]</f>
        <v>5.4745241677022695E-2</v>
      </c>
    </row>
    <row r="2102" spans="1:15" x14ac:dyDescent="0.45">
      <c r="A2102" t="s">
        <v>1023</v>
      </c>
      <c r="B2102" t="s">
        <v>136</v>
      </c>
      <c r="C2102" t="s">
        <v>771</v>
      </c>
      <c r="D2102" t="s">
        <v>57</v>
      </c>
      <c r="E2102">
        <v>0</v>
      </c>
      <c r="F2102">
        <v>0</v>
      </c>
      <c r="G2102">
        <v>0</v>
      </c>
      <c r="H2102">
        <v>0</v>
      </c>
      <c r="I2102">
        <v>2022</v>
      </c>
      <c r="J2102">
        <v>73</v>
      </c>
      <c r="K2102">
        <f>allFYsTable[[#This Row],[Actual]]-allFYsTable[[#This Row],[OriginalBudget]]</f>
        <v>0</v>
      </c>
      <c r="L2102" s="11" t="e">
        <f>allFYsTable[[#This Row],[DiffAmount]]/allFYsTable[[#This Row],[OriginalBudget]]</f>
        <v>#DIV/0!</v>
      </c>
      <c r="N2102" s="37"/>
      <c r="O2102" s="37"/>
    </row>
    <row r="2103" spans="1:15" x14ac:dyDescent="0.45">
      <c r="A2103" t="s">
        <v>1023</v>
      </c>
      <c r="B2103" t="s">
        <v>136</v>
      </c>
      <c r="C2103" s="12" t="s">
        <v>773</v>
      </c>
      <c r="D2103" s="12" t="s">
        <v>60</v>
      </c>
      <c r="E2103">
        <v>1011334</v>
      </c>
      <c r="F2103">
        <v>1018224</v>
      </c>
      <c r="G2103">
        <v>1018224</v>
      </c>
      <c r="H2103">
        <v>0</v>
      </c>
      <c r="I2103">
        <v>2022</v>
      </c>
      <c r="J2103">
        <v>74</v>
      </c>
      <c r="K2103">
        <f>allFYsTable[[#This Row],[Actual]]-allFYsTable[[#This Row],[OriginalBudget]]</f>
        <v>6890</v>
      </c>
      <c r="L2103" s="11">
        <f>allFYsTable[[#This Row],[DiffAmount]]/allFYsTable[[#This Row],[OriginalBudget]]</f>
        <v>6.8127839071958421E-3</v>
      </c>
    </row>
    <row r="2104" spans="1:15" x14ac:dyDescent="0.45">
      <c r="A2104" t="s">
        <v>1023</v>
      </c>
      <c r="B2104" t="s">
        <v>136</v>
      </c>
      <c r="C2104" s="12" t="s">
        <v>870</v>
      </c>
      <c r="D2104" s="12" t="s">
        <v>61</v>
      </c>
      <c r="E2104">
        <v>0</v>
      </c>
      <c r="F2104">
        <v>9995</v>
      </c>
      <c r="G2104">
        <v>9995</v>
      </c>
      <c r="H2104">
        <v>0</v>
      </c>
      <c r="I2104">
        <v>2022</v>
      </c>
      <c r="J2104">
        <v>75</v>
      </c>
      <c r="K2104">
        <f>allFYsTable[[#This Row],[Actual]]-allFYsTable[[#This Row],[OriginalBudget]]</f>
        <v>9995</v>
      </c>
      <c r="L2104" s="11" t="e">
        <f>allFYsTable[[#This Row],[DiffAmount]]/allFYsTable[[#This Row],[OriginalBudget]]</f>
        <v>#DIV/0!</v>
      </c>
    </row>
    <row r="2105" spans="1:15" x14ac:dyDescent="0.45">
      <c r="A2105" t="s">
        <v>1023</v>
      </c>
      <c r="B2105" t="s">
        <v>136</v>
      </c>
      <c r="C2105" s="38" t="s">
        <v>772</v>
      </c>
      <c r="D2105" s="38" t="s">
        <v>58</v>
      </c>
      <c r="E2105">
        <v>1006498</v>
      </c>
      <c r="F2105">
        <v>615105</v>
      </c>
      <c r="G2105">
        <v>593810</v>
      </c>
      <c r="H2105">
        <v>21295</v>
      </c>
      <c r="I2105">
        <v>2022</v>
      </c>
      <c r="J2105">
        <v>76</v>
      </c>
      <c r="K2105">
        <f>allFYsTable[[#This Row],[Actual]]-allFYsTable[[#This Row],[OriginalBudget]]</f>
        <v>-412688</v>
      </c>
      <c r="L2105" s="11">
        <f>allFYsTable[[#This Row],[DiffAmount]]/allFYsTable[[#This Row],[OriginalBudget]]</f>
        <v>-0.41002366621692243</v>
      </c>
    </row>
    <row r="2106" spans="1:15" x14ac:dyDescent="0.45">
      <c r="A2106" t="s">
        <v>1023</v>
      </c>
      <c r="B2106" t="s">
        <v>136</v>
      </c>
      <c r="C2106" s="12" t="s">
        <v>869</v>
      </c>
      <c r="D2106" s="12" t="s">
        <v>59</v>
      </c>
      <c r="E2106">
        <v>0</v>
      </c>
      <c r="F2106">
        <v>385498</v>
      </c>
      <c r="G2106">
        <v>385498</v>
      </c>
      <c r="H2106">
        <v>0</v>
      </c>
      <c r="I2106">
        <v>2022</v>
      </c>
      <c r="J2106">
        <v>77</v>
      </c>
      <c r="K2106">
        <f>allFYsTable[[#This Row],[Actual]]-allFYsTable[[#This Row],[OriginalBudget]]</f>
        <v>385498</v>
      </c>
      <c r="L2106" s="11" t="e">
        <f>allFYsTable[[#This Row],[DiffAmount]]/allFYsTable[[#This Row],[OriginalBudget]]</f>
        <v>#DIV/0!</v>
      </c>
    </row>
    <row r="2107" spans="1:15" x14ac:dyDescent="0.45">
      <c r="A2107" t="s">
        <v>1023</v>
      </c>
      <c r="B2107" t="s">
        <v>136</v>
      </c>
      <c r="C2107" t="s">
        <v>774</v>
      </c>
      <c r="D2107" t="s">
        <v>62</v>
      </c>
      <c r="E2107">
        <v>71726</v>
      </c>
      <c r="F2107">
        <v>72565</v>
      </c>
      <c r="G2107">
        <v>71326</v>
      </c>
      <c r="H2107">
        <v>1239</v>
      </c>
      <c r="I2107">
        <v>2022</v>
      </c>
      <c r="J2107">
        <v>78</v>
      </c>
      <c r="K2107">
        <f>allFYsTable[[#This Row],[Actual]]-allFYsTable[[#This Row],[OriginalBudget]]</f>
        <v>-400</v>
      </c>
      <c r="L2107" s="11">
        <f>allFYsTable[[#This Row],[DiffAmount]]/allFYsTable[[#This Row],[OriginalBudget]]</f>
        <v>-5.5767782951788754E-3</v>
      </c>
    </row>
    <row r="2108" spans="1:15" x14ac:dyDescent="0.45">
      <c r="A2108" t="s">
        <v>1023</v>
      </c>
      <c r="B2108" t="s">
        <v>136</v>
      </c>
      <c r="C2108" t="s">
        <v>776</v>
      </c>
      <c r="D2108" t="s">
        <v>63</v>
      </c>
      <c r="E2108">
        <v>1170</v>
      </c>
      <c r="F2108">
        <v>1090</v>
      </c>
      <c r="G2108">
        <v>1090</v>
      </c>
      <c r="H2108">
        <v>0</v>
      </c>
      <c r="I2108">
        <v>2022</v>
      </c>
      <c r="J2108">
        <v>79</v>
      </c>
      <c r="K2108">
        <f>allFYsTable[[#This Row],[Actual]]-allFYsTable[[#This Row],[OriginalBudget]]</f>
        <v>-80</v>
      </c>
      <c r="L2108" s="11">
        <f>allFYsTable[[#This Row],[DiffAmount]]/allFYsTable[[#This Row],[OriginalBudget]]</f>
        <v>-6.8376068376068383E-2</v>
      </c>
    </row>
    <row r="2109" spans="1:15" x14ac:dyDescent="0.45">
      <c r="A2109" t="s">
        <v>1023</v>
      </c>
      <c r="B2109" t="s">
        <v>136</v>
      </c>
      <c r="C2109" t="s">
        <v>777</v>
      </c>
      <c r="D2109" t="s">
        <v>64</v>
      </c>
      <c r="E2109">
        <v>58454</v>
      </c>
      <c r="F2109">
        <v>58274</v>
      </c>
      <c r="G2109">
        <v>49744</v>
      </c>
      <c r="H2109">
        <v>8530</v>
      </c>
      <c r="I2109">
        <v>2022</v>
      </c>
      <c r="J2109">
        <v>80</v>
      </c>
      <c r="K2109">
        <f>allFYsTable[[#This Row],[Actual]]-allFYsTable[[#This Row],[OriginalBudget]]</f>
        <v>-8710</v>
      </c>
      <c r="L2109" s="11">
        <f>allFYsTable[[#This Row],[DiffAmount]]/allFYsTable[[#This Row],[OriginalBudget]]</f>
        <v>-0.14900605604406883</v>
      </c>
    </row>
    <row r="2110" spans="1:15" x14ac:dyDescent="0.45">
      <c r="A2110" t="s">
        <v>1023</v>
      </c>
      <c r="B2110" t="s">
        <v>136</v>
      </c>
      <c r="C2110" t="s">
        <v>778</v>
      </c>
      <c r="D2110" t="s">
        <v>65</v>
      </c>
      <c r="E2110">
        <v>25336</v>
      </c>
      <c r="F2110">
        <v>20469</v>
      </c>
      <c r="G2110">
        <v>19383</v>
      </c>
      <c r="H2110">
        <v>1086</v>
      </c>
      <c r="I2110">
        <v>2022</v>
      </c>
      <c r="J2110">
        <v>81</v>
      </c>
      <c r="K2110">
        <f>allFYsTable[[#This Row],[Actual]]-allFYsTable[[#This Row],[OriginalBudget]]</f>
        <v>-5953</v>
      </c>
      <c r="L2110" s="11">
        <f>allFYsTable[[#This Row],[DiffAmount]]/allFYsTable[[#This Row],[OriginalBudget]]</f>
        <v>-0.23496210925165772</v>
      </c>
    </row>
    <row r="2111" spans="1:15" x14ac:dyDescent="0.45">
      <c r="A2111" t="s">
        <v>1023</v>
      </c>
      <c r="B2111" t="s">
        <v>136</v>
      </c>
      <c r="C2111" t="s">
        <v>779</v>
      </c>
      <c r="D2111" t="s">
        <v>66</v>
      </c>
      <c r="E2111">
        <v>234895</v>
      </c>
      <c r="F2111">
        <v>238755</v>
      </c>
      <c r="G2111">
        <v>217187</v>
      </c>
      <c r="H2111">
        <v>21568</v>
      </c>
      <c r="I2111">
        <v>2022</v>
      </c>
      <c r="J2111">
        <v>82</v>
      </c>
      <c r="K2111">
        <f>allFYsTable[[#This Row],[Actual]]-allFYsTable[[#This Row],[OriginalBudget]]</f>
        <v>-17708</v>
      </c>
      <c r="L2111" s="11">
        <f>allFYsTable[[#This Row],[DiffAmount]]/allFYsTable[[#This Row],[OriginalBudget]]</f>
        <v>-7.538687498669619E-2</v>
      </c>
    </row>
    <row r="2112" spans="1:15" x14ac:dyDescent="0.45">
      <c r="A2112" t="s">
        <v>1023</v>
      </c>
      <c r="B2112" t="s">
        <v>136</v>
      </c>
      <c r="C2112" t="s">
        <v>871</v>
      </c>
      <c r="D2112" t="s">
        <v>67</v>
      </c>
      <c r="E2112">
        <v>107782</v>
      </c>
      <c r="F2112">
        <v>102096</v>
      </c>
      <c r="G2112">
        <v>101913</v>
      </c>
      <c r="H2112">
        <v>183</v>
      </c>
      <c r="I2112">
        <v>2022</v>
      </c>
      <c r="J2112">
        <v>83</v>
      </c>
      <c r="K2112">
        <f>allFYsTable[[#This Row],[Actual]]-allFYsTable[[#This Row],[OriginalBudget]]</f>
        <v>-5869</v>
      </c>
      <c r="L2112" s="11">
        <f>allFYsTable[[#This Row],[DiffAmount]]/allFYsTable[[#This Row],[OriginalBudget]]</f>
        <v>-5.4452505984301645E-2</v>
      </c>
    </row>
    <row r="2113" spans="1:12" x14ac:dyDescent="0.45">
      <c r="A2113" t="s">
        <v>1023</v>
      </c>
      <c r="B2113" t="s">
        <v>136</v>
      </c>
      <c r="C2113" t="s">
        <v>781</v>
      </c>
      <c r="D2113" t="s">
        <v>68</v>
      </c>
      <c r="E2113">
        <v>2361</v>
      </c>
      <c r="F2113">
        <v>2330</v>
      </c>
      <c r="G2113">
        <v>2314</v>
      </c>
      <c r="H2113">
        <v>16</v>
      </c>
      <c r="I2113">
        <v>2022</v>
      </c>
      <c r="J2113">
        <v>84</v>
      </c>
      <c r="K2113">
        <f>allFYsTable[[#This Row],[Actual]]-allFYsTable[[#This Row],[OriginalBudget]]</f>
        <v>-47</v>
      </c>
      <c r="L2113" s="11">
        <f>allFYsTable[[#This Row],[DiffAmount]]/allFYsTable[[#This Row],[OriginalBudget]]</f>
        <v>-1.9906819144430325E-2</v>
      </c>
    </row>
    <row r="2114" spans="1:12" x14ac:dyDescent="0.45">
      <c r="A2114" t="s">
        <v>1023</v>
      </c>
      <c r="B2114" t="s">
        <v>136</v>
      </c>
      <c r="C2114" t="s">
        <v>782</v>
      </c>
      <c r="D2114" t="s">
        <v>69</v>
      </c>
      <c r="E2114">
        <v>75060</v>
      </c>
      <c r="F2114">
        <v>75060</v>
      </c>
      <c r="G2114">
        <v>74635</v>
      </c>
      <c r="H2114">
        <v>425</v>
      </c>
      <c r="I2114">
        <v>2022</v>
      </c>
      <c r="J2114">
        <v>85</v>
      </c>
      <c r="K2114">
        <f>allFYsTable[[#This Row],[Actual]]-allFYsTable[[#This Row],[OriginalBudget]]</f>
        <v>-425</v>
      </c>
      <c r="L2114" s="11">
        <f>allFYsTable[[#This Row],[DiffAmount]]/allFYsTable[[#This Row],[OriginalBudget]]</f>
        <v>-5.662136957100986E-3</v>
      </c>
    </row>
    <row r="2115" spans="1:12" x14ac:dyDescent="0.45">
      <c r="A2115" t="s">
        <v>1023</v>
      </c>
      <c r="B2115" t="s">
        <v>136</v>
      </c>
      <c r="C2115" t="s">
        <v>783</v>
      </c>
      <c r="D2115" t="s">
        <v>70</v>
      </c>
      <c r="E2115">
        <v>5480</v>
      </c>
      <c r="F2115">
        <v>2451</v>
      </c>
      <c r="G2115">
        <v>2392</v>
      </c>
      <c r="H2115">
        <v>59</v>
      </c>
      <c r="I2115">
        <v>2022</v>
      </c>
      <c r="J2115">
        <v>86</v>
      </c>
      <c r="K2115">
        <f>allFYsTable[[#This Row],[Actual]]-allFYsTable[[#This Row],[OriginalBudget]]</f>
        <v>-3088</v>
      </c>
      <c r="L2115" s="11">
        <f>allFYsTable[[#This Row],[DiffAmount]]/allFYsTable[[#This Row],[OriginalBudget]]</f>
        <v>-0.56350364963503652</v>
      </c>
    </row>
    <row r="2116" spans="1:12" x14ac:dyDescent="0.45">
      <c r="A2116" t="s">
        <v>1023</v>
      </c>
      <c r="B2116" t="s">
        <v>136</v>
      </c>
      <c r="C2116" t="s">
        <v>784</v>
      </c>
      <c r="D2116" t="s">
        <v>71</v>
      </c>
      <c r="E2116">
        <v>92874</v>
      </c>
      <c r="F2116">
        <v>93642</v>
      </c>
      <c r="G2116">
        <v>93586</v>
      </c>
      <c r="H2116">
        <v>56</v>
      </c>
      <c r="I2116">
        <v>2022</v>
      </c>
      <c r="J2116">
        <v>87</v>
      </c>
      <c r="K2116">
        <f>allFYsTable[[#This Row],[Actual]]-allFYsTable[[#This Row],[OriginalBudget]]</f>
        <v>712</v>
      </c>
      <c r="L2116" s="11">
        <f>allFYsTable[[#This Row],[DiffAmount]]/allFYsTable[[#This Row],[OriginalBudget]]</f>
        <v>7.6663005792794543E-3</v>
      </c>
    </row>
    <row r="2117" spans="1:12" x14ac:dyDescent="0.45">
      <c r="A2117" t="s">
        <v>1023</v>
      </c>
      <c r="B2117" t="s">
        <v>14</v>
      </c>
      <c r="C2117" t="s">
        <v>785</v>
      </c>
      <c r="D2117" t="s">
        <v>147</v>
      </c>
      <c r="E2117">
        <v>144992</v>
      </c>
      <c r="F2117">
        <v>146296</v>
      </c>
      <c r="G2117">
        <v>146204</v>
      </c>
      <c r="H2117">
        <v>92</v>
      </c>
      <c r="I2117">
        <v>2022</v>
      </c>
      <c r="J2117">
        <v>88</v>
      </c>
      <c r="K2117">
        <f>allFYsTable[[#This Row],[Actual]]-allFYsTable[[#This Row],[OriginalBudget]]</f>
        <v>1212</v>
      </c>
      <c r="L2117" s="11">
        <f>allFYsTable[[#This Row],[DiffAmount]]/allFYsTable[[#This Row],[OriginalBudget]]</f>
        <v>8.3590818803796069E-3</v>
      </c>
    </row>
    <row r="2118" spans="1:12" x14ac:dyDescent="0.45">
      <c r="A2118" t="s">
        <v>1023</v>
      </c>
      <c r="B2118" t="s">
        <v>14</v>
      </c>
      <c r="C2118" t="s">
        <v>823</v>
      </c>
      <c r="D2118" t="s">
        <v>15</v>
      </c>
      <c r="E2118">
        <v>0</v>
      </c>
      <c r="F2118">
        <v>0</v>
      </c>
      <c r="G2118">
        <v>0</v>
      </c>
      <c r="H2118">
        <v>0</v>
      </c>
      <c r="I2118">
        <v>2022</v>
      </c>
      <c r="J2118">
        <v>89</v>
      </c>
      <c r="K2118">
        <f>allFYsTable[[#This Row],[Actual]]-allFYsTable[[#This Row],[OriginalBudget]]</f>
        <v>0</v>
      </c>
      <c r="L2118" s="11" t="e">
        <f>allFYsTable[[#This Row],[DiffAmount]]/allFYsTable[[#This Row],[OriginalBudget]]</f>
        <v>#DIV/0!</v>
      </c>
    </row>
    <row r="2119" spans="1:12" x14ac:dyDescent="0.45">
      <c r="A2119" t="s">
        <v>1023</v>
      </c>
      <c r="B2119" t="s">
        <v>14</v>
      </c>
      <c r="C2119" t="s">
        <v>786</v>
      </c>
      <c r="D2119" t="s">
        <v>146</v>
      </c>
      <c r="E2119">
        <v>45860</v>
      </c>
      <c r="F2119">
        <v>46468</v>
      </c>
      <c r="G2119">
        <v>45695</v>
      </c>
      <c r="H2119">
        <v>773</v>
      </c>
      <c r="I2119">
        <v>2022</v>
      </c>
      <c r="J2119">
        <v>90</v>
      </c>
      <c r="K2119">
        <f>allFYsTable[[#This Row],[Actual]]-allFYsTable[[#This Row],[OriginalBudget]]</f>
        <v>-165</v>
      </c>
      <c r="L2119" s="11">
        <f>allFYsTable[[#This Row],[DiffAmount]]/allFYsTable[[#This Row],[OriginalBudget]]</f>
        <v>-3.5979066724814652E-3</v>
      </c>
    </row>
    <row r="2120" spans="1:12" x14ac:dyDescent="0.45">
      <c r="A2120" t="s">
        <v>1023</v>
      </c>
      <c r="B2120" t="s">
        <v>14</v>
      </c>
      <c r="C2120" t="s">
        <v>787</v>
      </c>
      <c r="D2120" t="s">
        <v>148</v>
      </c>
      <c r="E2120">
        <v>287559</v>
      </c>
      <c r="F2120">
        <v>289683</v>
      </c>
      <c r="G2120">
        <v>288571</v>
      </c>
      <c r="H2120">
        <v>1112</v>
      </c>
      <c r="I2120">
        <v>2022</v>
      </c>
      <c r="J2120">
        <v>91</v>
      </c>
      <c r="K2120">
        <f>allFYsTable[[#This Row],[Actual]]-allFYsTable[[#This Row],[OriginalBudget]]</f>
        <v>1012</v>
      </c>
      <c r="L2120" s="11">
        <f>allFYsTable[[#This Row],[DiffAmount]]/allFYsTable[[#This Row],[OriginalBudget]]</f>
        <v>3.5192777829940987E-3</v>
      </c>
    </row>
    <row r="2121" spans="1:12" x14ac:dyDescent="0.45">
      <c r="A2121" t="s">
        <v>1023</v>
      </c>
      <c r="B2121" t="s">
        <v>14</v>
      </c>
      <c r="C2121" t="s">
        <v>788</v>
      </c>
      <c r="D2121" t="s">
        <v>145</v>
      </c>
      <c r="E2121">
        <v>88876</v>
      </c>
      <c r="F2121">
        <v>90139</v>
      </c>
      <c r="G2121">
        <v>89219</v>
      </c>
      <c r="H2121">
        <v>920</v>
      </c>
      <c r="I2121">
        <v>2022</v>
      </c>
      <c r="J2121">
        <v>92</v>
      </c>
      <c r="K2121">
        <f>allFYsTable[[#This Row],[Actual]]-allFYsTable[[#This Row],[OriginalBudget]]</f>
        <v>343</v>
      </c>
      <c r="L2121" s="11">
        <f>allFYsTable[[#This Row],[DiffAmount]]/allFYsTable[[#This Row],[OriginalBudget]]</f>
        <v>3.8593095998919842E-3</v>
      </c>
    </row>
    <row r="2122" spans="1:12" x14ac:dyDescent="0.45">
      <c r="A2122" t="s">
        <v>1023</v>
      </c>
      <c r="B2122" t="s">
        <v>14</v>
      </c>
      <c r="C2122" t="s">
        <v>789</v>
      </c>
      <c r="D2122" t="s">
        <v>150</v>
      </c>
      <c r="E2122">
        <v>950448</v>
      </c>
      <c r="F2122">
        <v>1041019</v>
      </c>
      <c r="G2122">
        <v>942007</v>
      </c>
      <c r="H2122">
        <v>99012</v>
      </c>
      <c r="I2122">
        <v>2022</v>
      </c>
      <c r="J2122">
        <v>93</v>
      </c>
      <c r="K2122">
        <f>allFYsTable[[#This Row],[Actual]]-allFYsTable[[#This Row],[OriginalBudget]]</f>
        <v>-8441</v>
      </c>
      <c r="L2122" s="11">
        <f>allFYsTable[[#This Row],[DiffAmount]]/allFYsTable[[#This Row],[OriginalBudget]]</f>
        <v>-8.8810750298806453E-3</v>
      </c>
    </row>
    <row r="2123" spans="1:12" x14ac:dyDescent="0.45">
      <c r="A2123" t="s">
        <v>1023</v>
      </c>
      <c r="B2123" t="s">
        <v>14</v>
      </c>
      <c r="C2123" t="s">
        <v>790</v>
      </c>
      <c r="D2123" t="s">
        <v>144</v>
      </c>
      <c r="E2123">
        <v>510129</v>
      </c>
      <c r="F2123">
        <v>513359</v>
      </c>
      <c r="G2123">
        <v>490097</v>
      </c>
      <c r="H2123">
        <v>23262</v>
      </c>
      <c r="I2123">
        <v>2022</v>
      </c>
      <c r="J2123">
        <v>94</v>
      </c>
      <c r="K2123">
        <f>allFYsTable[[#This Row],[Actual]]-allFYsTable[[#This Row],[OriginalBudget]]</f>
        <v>-20032</v>
      </c>
      <c r="L2123" s="11">
        <f>allFYsTable[[#This Row],[DiffAmount]]/allFYsTable[[#This Row],[OriginalBudget]]</f>
        <v>-3.9268498752276386E-2</v>
      </c>
    </row>
    <row r="2124" spans="1:12" x14ac:dyDescent="0.45">
      <c r="A2124" t="s">
        <v>1023</v>
      </c>
      <c r="B2124" t="s">
        <v>14</v>
      </c>
      <c r="C2124" t="s">
        <v>791</v>
      </c>
      <c r="D2124" t="s">
        <v>149</v>
      </c>
      <c r="E2124">
        <v>134064</v>
      </c>
      <c r="F2124">
        <v>103967</v>
      </c>
      <c r="G2124">
        <v>103799</v>
      </c>
      <c r="H2124">
        <v>168</v>
      </c>
      <c r="I2124">
        <v>2022</v>
      </c>
      <c r="J2124">
        <v>95</v>
      </c>
      <c r="K2124">
        <f>allFYsTable[[#This Row],[Actual]]-allFYsTable[[#This Row],[OriginalBudget]]</f>
        <v>-30265</v>
      </c>
      <c r="L2124" s="11">
        <f>allFYsTable[[#This Row],[DiffAmount]]/allFYsTable[[#This Row],[OriginalBudget]]</f>
        <v>-0.22575038787444804</v>
      </c>
    </row>
    <row r="2125" spans="1:12" x14ac:dyDescent="0.45">
      <c r="A2125" t="s">
        <v>1023</v>
      </c>
      <c r="B2125" t="s">
        <v>14</v>
      </c>
      <c r="C2125" t="s">
        <v>792</v>
      </c>
      <c r="D2125" t="s">
        <v>152</v>
      </c>
      <c r="E2125">
        <v>15000</v>
      </c>
      <c r="F2125">
        <v>22000</v>
      </c>
      <c r="G2125">
        <v>22000</v>
      </c>
      <c r="H2125">
        <v>0</v>
      </c>
      <c r="I2125">
        <v>2022</v>
      </c>
      <c r="J2125">
        <v>96</v>
      </c>
      <c r="K2125">
        <f>allFYsTable[[#This Row],[Actual]]-allFYsTable[[#This Row],[OriginalBudget]]</f>
        <v>7000</v>
      </c>
      <c r="L2125" s="11">
        <f>allFYsTable[[#This Row],[DiffAmount]]/allFYsTable[[#This Row],[OriginalBudget]]</f>
        <v>0.46666666666666667</v>
      </c>
    </row>
    <row r="2126" spans="1:12" x14ac:dyDescent="0.45">
      <c r="A2126" t="s">
        <v>1023</v>
      </c>
      <c r="B2126" t="s">
        <v>14</v>
      </c>
      <c r="C2126" t="s">
        <v>710</v>
      </c>
      <c r="D2126" t="s">
        <v>911</v>
      </c>
      <c r="E2126">
        <v>835</v>
      </c>
      <c r="F2126">
        <v>835</v>
      </c>
      <c r="G2126">
        <v>0</v>
      </c>
      <c r="H2126">
        <v>835</v>
      </c>
      <c r="I2126">
        <v>2022</v>
      </c>
      <c r="J2126">
        <v>97</v>
      </c>
      <c r="K2126">
        <f>allFYsTable[[#This Row],[Actual]]-allFYsTable[[#This Row],[OriginalBudget]]</f>
        <v>-835</v>
      </c>
      <c r="L2126" s="11">
        <f>allFYsTable[[#This Row],[DiffAmount]]/allFYsTable[[#This Row],[OriginalBudget]]</f>
        <v>-1</v>
      </c>
    </row>
    <row r="2127" spans="1:12" x14ac:dyDescent="0.45">
      <c r="A2127" t="s">
        <v>1023</v>
      </c>
      <c r="B2127" t="s">
        <v>14</v>
      </c>
      <c r="C2127" t="s">
        <v>793</v>
      </c>
      <c r="D2127" t="s">
        <v>151</v>
      </c>
      <c r="E2127">
        <v>2923</v>
      </c>
      <c r="F2127">
        <v>2148</v>
      </c>
      <c r="G2127">
        <v>2096</v>
      </c>
      <c r="H2127">
        <v>52</v>
      </c>
      <c r="I2127">
        <v>2022</v>
      </c>
      <c r="J2127">
        <v>98</v>
      </c>
      <c r="K2127">
        <f>allFYsTable[[#This Row],[Actual]]-allFYsTable[[#This Row],[OriginalBudget]]</f>
        <v>-827</v>
      </c>
      <c r="L2127" s="11">
        <f>allFYsTable[[#This Row],[DiffAmount]]/allFYsTable[[#This Row],[OriginalBudget]]</f>
        <v>-0.28292849811837156</v>
      </c>
    </row>
    <row r="2128" spans="1:12" x14ac:dyDescent="0.45">
      <c r="A2128" t="s">
        <v>1023</v>
      </c>
      <c r="B2128" t="s">
        <v>14</v>
      </c>
      <c r="C2128" t="s">
        <v>794</v>
      </c>
      <c r="D2128" t="s">
        <v>890</v>
      </c>
      <c r="E2128">
        <v>935</v>
      </c>
      <c r="F2128">
        <v>364</v>
      </c>
      <c r="G2128">
        <v>49</v>
      </c>
      <c r="H2128">
        <v>315</v>
      </c>
      <c r="I2128">
        <v>2022</v>
      </c>
      <c r="J2128">
        <v>99</v>
      </c>
      <c r="K2128">
        <f>allFYsTable[[#This Row],[Actual]]-allFYsTable[[#This Row],[OriginalBudget]]</f>
        <v>-886</v>
      </c>
      <c r="L2128" s="11">
        <f>allFYsTable[[#This Row],[DiffAmount]]/allFYsTable[[#This Row],[OriginalBudget]]</f>
        <v>-0.94759358288770057</v>
      </c>
    </row>
    <row r="2129" spans="1:12" x14ac:dyDescent="0.45">
      <c r="A2129" t="s">
        <v>1023</v>
      </c>
      <c r="B2129" t="s">
        <v>9</v>
      </c>
      <c r="C2129" t="s">
        <v>795</v>
      </c>
      <c r="D2129" t="s">
        <v>72</v>
      </c>
      <c r="E2129">
        <v>1550</v>
      </c>
      <c r="F2129">
        <v>1617</v>
      </c>
      <c r="G2129">
        <v>1236</v>
      </c>
      <c r="H2129">
        <v>381</v>
      </c>
      <c r="I2129">
        <v>2022</v>
      </c>
      <c r="J2129">
        <v>100</v>
      </c>
      <c r="K2129">
        <f>allFYsTable[[#This Row],[Actual]]-allFYsTable[[#This Row],[OriginalBudget]]</f>
        <v>-314</v>
      </c>
      <c r="L2129" s="11">
        <f>allFYsTable[[#This Row],[DiffAmount]]/allFYsTable[[#This Row],[OriginalBudget]]</f>
        <v>-0.20258064516129032</v>
      </c>
    </row>
    <row r="2130" spans="1:12" x14ac:dyDescent="0.45">
      <c r="A2130" t="s">
        <v>1023</v>
      </c>
      <c r="B2130" t="s">
        <v>9</v>
      </c>
      <c r="C2130" t="s">
        <v>797</v>
      </c>
      <c r="D2130" t="s">
        <v>73</v>
      </c>
      <c r="E2130">
        <v>47843</v>
      </c>
      <c r="F2130">
        <v>38815</v>
      </c>
      <c r="G2130">
        <v>37572</v>
      </c>
      <c r="H2130">
        <v>1243</v>
      </c>
      <c r="I2130">
        <v>2022</v>
      </c>
      <c r="J2130">
        <v>101</v>
      </c>
      <c r="K2130">
        <f>allFYsTable[[#This Row],[Actual]]-allFYsTable[[#This Row],[OriginalBudget]]</f>
        <v>-10271</v>
      </c>
      <c r="L2130" s="11">
        <f>allFYsTable[[#This Row],[DiffAmount]]/allFYsTable[[#This Row],[OriginalBudget]]</f>
        <v>-0.21468135359404719</v>
      </c>
    </row>
    <row r="2131" spans="1:12" x14ac:dyDescent="0.45">
      <c r="A2131" t="s">
        <v>1023</v>
      </c>
      <c r="B2131" t="s">
        <v>9</v>
      </c>
      <c r="C2131" t="s">
        <v>798</v>
      </c>
      <c r="D2131" t="s">
        <v>74</v>
      </c>
      <c r="E2131">
        <v>22229</v>
      </c>
      <c r="F2131">
        <v>53912</v>
      </c>
      <c r="G2131">
        <v>53004</v>
      </c>
      <c r="H2131">
        <v>908</v>
      </c>
      <c r="I2131">
        <v>2022</v>
      </c>
      <c r="J2131">
        <v>102</v>
      </c>
      <c r="K2131">
        <f>allFYsTable[[#This Row],[Actual]]-allFYsTable[[#This Row],[OriginalBudget]]</f>
        <v>30775</v>
      </c>
      <c r="L2131" s="11">
        <f>allFYsTable[[#This Row],[DiffAmount]]/allFYsTable[[#This Row],[OriginalBudget]]</f>
        <v>1.3844527419137163</v>
      </c>
    </row>
    <row r="2132" spans="1:12" x14ac:dyDescent="0.45">
      <c r="A2132" t="s">
        <v>1023</v>
      </c>
      <c r="B2132" t="s">
        <v>9</v>
      </c>
      <c r="C2132" t="s">
        <v>799</v>
      </c>
      <c r="D2132" t="s">
        <v>75</v>
      </c>
      <c r="E2132">
        <v>13702</v>
      </c>
      <c r="F2132">
        <v>14154</v>
      </c>
      <c r="G2132">
        <v>13507</v>
      </c>
      <c r="H2132">
        <v>647</v>
      </c>
      <c r="I2132">
        <v>2022</v>
      </c>
      <c r="J2132">
        <v>103</v>
      </c>
      <c r="K2132">
        <f>allFYsTable[[#This Row],[Actual]]-allFYsTable[[#This Row],[OriginalBudget]]</f>
        <v>-195</v>
      </c>
      <c r="L2132" s="11">
        <f>allFYsTable[[#This Row],[DiffAmount]]/allFYsTable[[#This Row],[OriginalBudget]]</f>
        <v>-1.4231499051233396E-2</v>
      </c>
    </row>
    <row r="2133" spans="1:12" x14ac:dyDescent="0.45">
      <c r="A2133" t="s">
        <v>1023</v>
      </c>
      <c r="B2133" t="s">
        <v>9</v>
      </c>
      <c r="C2133" t="s">
        <v>800</v>
      </c>
      <c r="D2133" t="s">
        <v>76</v>
      </c>
      <c r="E2133">
        <v>1695</v>
      </c>
      <c r="F2133">
        <v>1207</v>
      </c>
      <c r="G2133">
        <v>1207</v>
      </c>
      <c r="H2133">
        <v>0</v>
      </c>
      <c r="I2133">
        <v>2022</v>
      </c>
      <c r="J2133">
        <v>104</v>
      </c>
      <c r="K2133">
        <f>allFYsTable[[#This Row],[Actual]]-allFYsTable[[#This Row],[OriginalBudget]]</f>
        <v>-488</v>
      </c>
      <c r="L2133" s="11">
        <f>allFYsTable[[#This Row],[DiffAmount]]/allFYsTable[[#This Row],[OriginalBudget]]</f>
        <v>-0.28790560471976401</v>
      </c>
    </row>
    <row r="2134" spans="1:12" x14ac:dyDescent="0.45">
      <c r="A2134" t="s">
        <v>1023</v>
      </c>
      <c r="B2134" t="s">
        <v>9</v>
      </c>
      <c r="C2134" t="s">
        <v>801</v>
      </c>
      <c r="D2134" t="s">
        <v>77</v>
      </c>
      <c r="E2134">
        <v>38965</v>
      </c>
      <c r="F2134">
        <v>39002</v>
      </c>
      <c r="G2134">
        <v>38065</v>
      </c>
      <c r="H2134">
        <v>937</v>
      </c>
      <c r="I2134">
        <v>2022</v>
      </c>
      <c r="J2134">
        <v>105</v>
      </c>
      <c r="K2134">
        <f>allFYsTable[[#This Row],[Actual]]-allFYsTable[[#This Row],[OriginalBudget]]</f>
        <v>-900</v>
      </c>
      <c r="L2134" s="11">
        <f>allFYsTable[[#This Row],[DiffAmount]]/allFYsTable[[#This Row],[OriginalBudget]]</f>
        <v>-2.3097651738739896E-2</v>
      </c>
    </row>
    <row r="2135" spans="1:12" x14ac:dyDescent="0.45">
      <c r="A2135" t="s">
        <v>1023</v>
      </c>
      <c r="B2135" t="s">
        <v>9</v>
      </c>
      <c r="C2135" t="s">
        <v>802</v>
      </c>
      <c r="D2135" t="s">
        <v>78</v>
      </c>
      <c r="E2135">
        <v>161359</v>
      </c>
      <c r="F2135">
        <v>173461</v>
      </c>
      <c r="G2135">
        <v>172066</v>
      </c>
      <c r="H2135">
        <v>1395</v>
      </c>
      <c r="I2135">
        <v>2022</v>
      </c>
      <c r="J2135">
        <v>106</v>
      </c>
      <c r="K2135">
        <f>allFYsTable[[#This Row],[Actual]]-allFYsTable[[#This Row],[OriginalBudget]]</f>
        <v>10707</v>
      </c>
      <c r="L2135" s="11">
        <f>allFYsTable[[#This Row],[DiffAmount]]/allFYsTable[[#This Row],[OriginalBudget]]</f>
        <v>6.6355145978842206E-2</v>
      </c>
    </row>
    <row r="2136" spans="1:12" x14ac:dyDescent="0.45">
      <c r="A2136" t="s">
        <v>1023</v>
      </c>
      <c r="B2136" t="s">
        <v>9</v>
      </c>
      <c r="C2136" t="s">
        <v>803</v>
      </c>
      <c r="D2136" t="s">
        <v>79</v>
      </c>
      <c r="E2136">
        <v>132853</v>
      </c>
      <c r="F2136">
        <v>124391</v>
      </c>
      <c r="G2136">
        <v>123674</v>
      </c>
      <c r="H2136">
        <v>717</v>
      </c>
      <c r="I2136">
        <v>2022</v>
      </c>
      <c r="J2136">
        <v>107</v>
      </c>
      <c r="K2136">
        <f>allFYsTable[[#This Row],[Actual]]-allFYsTable[[#This Row],[OriginalBudget]]</f>
        <v>-9179</v>
      </c>
      <c r="L2136" s="11">
        <f>allFYsTable[[#This Row],[DiffAmount]]/allFYsTable[[#This Row],[OriginalBudget]]</f>
        <v>-6.9091401774894062E-2</v>
      </c>
    </row>
    <row r="2137" spans="1:12" x14ac:dyDescent="0.45">
      <c r="A2137" t="s">
        <v>1023</v>
      </c>
      <c r="B2137" t="s">
        <v>9</v>
      </c>
      <c r="C2137" t="s">
        <v>804</v>
      </c>
      <c r="D2137" t="s">
        <v>80</v>
      </c>
      <c r="E2137">
        <v>1244</v>
      </c>
      <c r="F2137">
        <v>1244</v>
      </c>
      <c r="G2137">
        <v>1244</v>
      </c>
      <c r="H2137">
        <v>0</v>
      </c>
      <c r="I2137">
        <v>2022</v>
      </c>
      <c r="J2137">
        <v>108</v>
      </c>
      <c r="K2137">
        <f>allFYsTable[[#This Row],[Actual]]-allFYsTable[[#This Row],[OriginalBudget]]</f>
        <v>0</v>
      </c>
      <c r="L2137" s="11">
        <f>allFYsTable[[#This Row],[DiffAmount]]/allFYsTable[[#This Row],[OriginalBudget]]</f>
        <v>0</v>
      </c>
    </row>
    <row r="2138" spans="1:12" x14ac:dyDescent="0.45">
      <c r="A2138" t="s">
        <v>1023</v>
      </c>
      <c r="B2138" t="s">
        <v>9</v>
      </c>
      <c r="C2138" t="s">
        <v>805</v>
      </c>
      <c r="D2138" t="s">
        <v>81</v>
      </c>
      <c r="E2138">
        <v>675</v>
      </c>
      <c r="F2138">
        <v>625</v>
      </c>
      <c r="G2138">
        <v>605</v>
      </c>
      <c r="H2138">
        <v>20</v>
      </c>
      <c r="I2138">
        <v>2022</v>
      </c>
      <c r="J2138">
        <v>109</v>
      </c>
      <c r="K2138">
        <f>allFYsTable[[#This Row],[Actual]]-allFYsTable[[#This Row],[OriginalBudget]]</f>
        <v>-70</v>
      </c>
      <c r="L2138" s="11">
        <f>allFYsTable[[#This Row],[DiffAmount]]/allFYsTable[[#This Row],[OriginalBudget]]</f>
        <v>-0.1037037037037037</v>
      </c>
    </row>
    <row r="2139" spans="1:12" x14ac:dyDescent="0.45">
      <c r="A2139" t="s">
        <v>1023</v>
      </c>
      <c r="B2139" t="s">
        <v>9</v>
      </c>
      <c r="C2139" t="s">
        <v>806</v>
      </c>
      <c r="D2139" t="s">
        <v>82</v>
      </c>
      <c r="E2139">
        <v>0</v>
      </c>
      <c r="F2139">
        <v>0</v>
      </c>
      <c r="G2139">
        <v>0</v>
      </c>
      <c r="H2139">
        <v>0</v>
      </c>
      <c r="I2139">
        <v>2022</v>
      </c>
      <c r="J2139">
        <v>110</v>
      </c>
      <c r="K2139">
        <f>allFYsTable[[#This Row],[Actual]]-allFYsTable[[#This Row],[OriginalBudget]]</f>
        <v>0</v>
      </c>
      <c r="L2139" s="11" t="e">
        <f>allFYsTable[[#This Row],[DiffAmount]]/allFYsTable[[#This Row],[OriginalBudget]]</f>
        <v>#DIV/0!</v>
      </c>
    </row>
    <row r="2140" spans="1:12" ht="28.5" x14ac:dyDescent="0.45">
      <c r="A2140" t="s">
        <v>1023</v>
      </c>
      <c r="B2140" t="s">
        <v>9</v>
      </c>
      <c r="C2140" t="s">
        <v>808</v>
      </c>
      <c r="D2140" s="1" t="s">
        <v>912</v>
      </c>
      <c r="E2140">
        <v>166</v>
      </c>
      <c r="F2140">
        <v>166</v>
      </c>
      <c r="G2140">
        <v>166</v>
      </c>
      <c r="H2140">
        <v>0</v>
      </c>
      <c r="I2140">
        <v>2022</v>
      </c>
      <c r="J2140">
        <v>111</v>
      </c>
      <c r="K2140">
        <f>allFYsTable[[#This Row],[Actual]]-allFYsTable[[#This Row],[OriginalBudget]]</f>
        <v>0</v>
      </c>
      <c r="L2140" s="11">
        <f>allFYsTable[[#This Row],[DiffAmount]]/allFYsTable[[#This Row],[OriginalBudget]]</f>
        <v>0</v>
      </c>
    </row>
    <row r="2141" spans="1:12" x14ac:dyDescent="0.45">
      <c r="A2141" t="s">
        <v>1023</v>
      </c>
      <c r="B2141" t="s">
        <v>9</v>
      </c>
      <c r="C2141" t="s">
        <v>807</v>
      </c>
      <c r="D2141" t="s">
        <v>17</v>
      </c>
      <c r="E2141">
        <v>429525</v>
      </c>
      <c r="F2141">
        <v>423269</v>
      </c>
      <c r="G2141">
        <v>419069</v>
      </c>
      <c r="H2141">
        <v>4200</v>
      </c>
      <c r="I2141">
        <v>2022</v>
      </c>
      <c r="J2141">
        <v>112</v>
      </c>
      <c r="K2141">
        <f>allFYsTable[[#This Row],[Actual]]-allFYsTable[[#This Row],[OriginalBudget]]</f>
        <v>-10456</v>
      </c>
      <c r="L2141" s="11">
        <f>allFYsTable[[#This Row],[DiffAmount]]/allFYsTable[[#This Row],[OriginalBudget]]</f>
        <v>-2.434316978057156E-2</v>
      </c>
    </row>
    <row r="2142" spans="1:12" x14ac:dyDescent="0.45">
      <c r="A2142" t="s">
        <v>1023</v>
      </c>
      <c r="B2142" t="s">
        <v>10</v>
      </c>
      <c r="C2142" t="s">
        <v>775</v>
      </c>
      <c r="D2142" t="s">
        <v>18</v>
      </c>
      <c r="E2142">
        <v>839216</v>
      </c>
      <c r="F2142">
        <v>809491</v>
      </c>
      <c r="G2142">
        <v>809491</v>
      </c>
      <c r="H2142">
        <v>0</v>
      </c>
      <c r="I2142">
        <v>2022</v>
      </c>
      <c r="J2142">
        <v>113</v>
      </c>
      <c r="K2142">
        <f>allFYsTable[[#This Row],[Actual]]-allFYsTable[[#This Row],[OriginalBudget]]</f>
        <v>-29725</v>
      </c>
      <c r="L2142" s="11">
        <f>allFYsTable[[#This Row],[DiffAmount]]/allFYsTable[[#This Row],[OriginalBudget]]</f>
        <v>-3.5419963394406208E-2</v>
      </c>
    </row>
    <row r="2143" spans="1:12" x14ac:dyDescent="0.45">
      <c r="A2143" t="s">
        <v>1023</v>
      </c>
      <c r="B2143" t="s">
        <v>10</v>
      </c>
      <c r="C2143" t="s">
        <v>817</v>
      </c>
      <c r="D2143" t="s">
        <v>913</v>
      </c>
      <c r="E2143">
        <v>10000</v>
      </c>
      <c r="F2143">
        <v>6000</v>
      </c>
      <c r="G2143">
        <v>5475</v>
      </c>
      <c r="H2143">
        <v>525</v>
      </c>
      <c r="I2143">
        <v>2022</v>
      </c>
      <c r="J2143">
        <v>114</v>
      </c>
      <c r="K2143">
        <f>allFYsTable[[#This Row],[Actual]]-allFYsTable[[#This Row],[OriginalBudget]]</f>
        <v>-4525</v>
      </c>
      <c r="L2143" s="11">
        <f>allFYsTable[[#This Row],[DiffAmount]]/allFYsTable[[#This Row],[OriginalBudget]]</f>
        <v>-0.45250000000000001</v>
      </c>
    </row>
    <row r="2144" spans="1:12" x14ac:dyDescent="0.45">
      <c r="A2144" t="s">
        <v>1023</v>
      </c>
      <c r="B2144" t="s">
        <v>10</v>
      </c>
      <c r="C2144" t="s">
        <v>818</v>
      </c>
      <c r="D2144" t="s">
        <v>83</v>
      </c>
      <c r="E2144">
        <v>6750</v>
      </c>
      <c r="F2144">
        <v>2589</v>
      </c>
      <c r="G2144">
        <v>2589</v>
      </c>
      <c r="H2144">
        <v>0</v>
      </c>
      <c r="I2144">
        <v>2022</v>
      </c>
      <c r="J2144">
        <v>115</v>
      </c>
      <c r="K2144">
        <f>allFYsTable[[#This Row],[Actual]]-allFYsTable[[#This Row],[OriginalBudget]]</f>
        <v>-4161</v>
      </c>
      <c r="L2144" s="11">
        <f>allFYsTable[[#This Row],[DiffAmount]]/allFYsTable[[#This Row],[OriginalBudget]]</f>
        <v>-0.61644444444444446</v>
      </c>
    </row>
    <row r="2145" spans="1:12" x14ac:dyDescent="0.45">
      <c r="A2145" t="s">
        <v>1023</v>
      </c>
      <c r="B2145" t="s">
        <v>10</v>
      </c>
      <c r="C2145" t="s">
        <v>819</v>
      </c>
      <c r="D2145" t="s">
        <v>84</v>
      </c>
      <c r="E2145">
        <v>28025</v>
      </c>
      <c r="F2145">
        <v>14625</v>
      </c>
      <c r="G2145">
        <v>13535</v>
      </c>
      <c r="H2145">
        <v>1090</v>
      </c>
      <c r="I2145">
        <v>2022</v>
      </c>
      <c r="J2145">
        <v>116</v>
      </c>
      <c r="K2145">
        <f>allFYsTable[[#This Row],[Actual]]-allFYsTable[[#This Row],[OriginalBudget]]</f>
        <v>-14490</v>
      </c>
      <c r="L2145" s="11">
        <f>allFYsTable[[#This Row],[DiffAmount]]/allFYsTable[[#This Row],[OriginalBudget]]</f>
        <v>-0.51703835860838532</v>
      </c>
    </row>
    <row r="2146" spans="1:12" x14ac:dyDescent="0.45">
      <c r="A2146" t="s">
        <v>1023</v>
      </c>
      <c r="B2146" t="s">
        <v>10</v>
      </c>
      <c r="C2146" t="s">
        <v>814</v>
      </c>
      <c r="D2146" t="s">
        <v>85</v>
      </c>
      <c r="E2146">
        <v>4887</v>
      </c>
      <c r="F2146">
        <v>4887</v>
      </c>
      <c r="G2146">
        <v>3957</v>
      </c>
      <c r="H2146">
        <v>930</v>
      </c>
      <c r="I2146">
        <v>2022</v>
      </c>
      <c r="J2146">
        <v>117</v>
      </c>
      <c r="K2146">
        <f>allFYsTable[[#This Row],[Actual]]-allFYsTable[[#This Row],[OriginalBudget]]</f>
        <v>-930</v>
      </c>
      <c r="L2146" s="11">
        <f>allFYsTable[[#This Row],[DiffAmount]]/allFYsTable[[#This Row],[OriginalBudget]]</f>
        <v>-0.19030079803560468</v>
      </c>
    </row>
    <row r="2147" spans="1:12" x14ac:dyDescent="0.45">
      <c r="A2147" t="s">
        <v>1023</v>
      </c>
      <c r="B2147" t="s">
        <v>10</v>
      </c>
      <c r="C2147" t="s">
        <v>811</v>
      </c>
      <c r="D2147" t="s">
        <v>86</v>
      </c>
      <c r="E2147">
        <v>50300</v>
      </c>
      <c r="F2147">
        <v>53000</v>
      </c>
      <c r="G2147">
        <v>53000</v>
      </c>
      <c r="H2147">
        <v>0</v>
      </c>
      <c r="I2147">
        <v>2022</v>
      </c>
      <c r="J2147">
        <v>118</v>
      </c>
      <c r="K2147">
        <f>allFYsTable[[#This Row],[Actual]]-allFYsTable[[#This Row],[OriginalBudget]]</f>
        <v>2700</v>
      </c>
      <c r="L2147" s="11">
        <f>allFYsTable[[#This Row],[DiffAmount]]/allFYsTable[[#This Row],[OriginalBudget]]</f>
        <v>5.3677932405566599E-2</v>
      </c>
    </row>
    <row r="2148" spans="1:12" x14ac:dyDescent="0.45">
      <c r="A2148" t="s">
        <v>1023</v>
      </c>
      <c r="B2148" t="s">
        <v>10</v>
      </c>
      <c r="C2148" t="s">
        <v>829</v>
      </c>
      <c r="D2148" t="s">
        <v>87</v>
      </c>
      <c r="E2148">
        <v>3781</v>
      </c>
      <c r="F2148">
        <v>3781</v>
      </c>
      <c r="G2148">
        <v>3771</v>
      </c>
      <c r="H2148">
        <v>10</v>
      </c>
      <c r="I2148">
        <v>2022</v>
      </c>
      <c r="J2148">
        <v>119</v>
      </c>
      <c r="K2148">
        <f>allFYsTable[[#This Row],[Actual]]-allFYsTable[[#This Row],[OriginalBudget]]</f>
        <v>-10</v>
      </c>
      <c r="L2148" s="11">
        <f>allFYsTable[[#This Row],[DiffAmount]]/allFYsTable[[#This Row],[OriginalBudget]]</f>
        <v>-2.6448029621793175E-3</v>
      </c>
    </row>
    <row r="2149" spans="1:12" x14ac:dyDescent="0.45">
      <c r="A2149" t="s">
        <v>1023</v>
      </c>
      <c r="B2149" t="s">
        <v>10</v>
      </c>
      <c r="C2149" t="s">
        <v>810</v>
      </c>
      <c r="D2149" t="s">
        <v>88</v>
      </c>
      <c r="E2149">
        <v>175977</v>
      </c>
      <c r="F2149">
        <v>176977</v>
      </c>
      <c r="G2149">
        <v>154349</v>
      </c>
      <c r="H2149">
        <v>22628</v>
      </c>
      <c r="I2149">
        <v>2022</v>
      </c>
      <c r="J2149">
        <v>120</v>
      </c>
      <c r="K2149">
        <f>allFYsTable[[#This Row],[Actual]]-allFYsTable[[#This Row],[OriginalBudget]]</f>
        <v>-21628</v>
      </c>
      <c r="L2149" s="11">
        <f>allFYsTable[[#This Row],[DiffAmount]]/allFYsTable[[#This Row],[OriginalBudget]]</f>
        <v>-0.12290242474868875</v>
      </c>
    </row>
    <row r="2150" spans="1:12" x14ac:dyDescent="0.45">
      <c r="A2150" t="s">
        <v>1023</v>
      </c>
      <c r="B2150" t="s">
        <v>10</v>
      </c>
      <c r="C2150" t="s">
        <v>813</v>
      </c>
      <c r="D2150" t="s">
        <v>89</v>
      </c>
      <c r="E2150">
        <v>26706</v>
      </c>
      <c r="F2150">
        <v>22928</v>
      </c>
      <c r="G2150">
        <v>22928</v>
      </c>
      <c r="H2150">
        <v>0</v>
      </c>
      <c r="I2150">
        <v>2022</v>
      </c>
      <c r="J2150">
        <v>121</v>
      </c>
      <c r="K2150">
        <f>allFYsTable[[#This Row],[Actual]]-allFYsTable[[#This Row],[OriginalBudget]]</f>
        <v>-3778</v>
      </c>
      <c r="L2150" s="11">
        <f>allFYsTable[[#This Row],[DiffAmount]]/allFYsTable[[#This Row],[OriginalBudget]]</f>
        <v>-0.14146633715269977</v>
      </c>
    </row>
    <row r="2151" spans="1:12" x14ac:dyDescent="0.45">
      <c r="A2151" t="s">
        <v>1023</v>
      </c>
      <c r="B2151" t="s">
        <v>10</v>
      </c>
      <c r="C2151" t="s">
        <v>812</v>
      </c>
      <c r="D2151" t="s">
        <v>90</v>
      </c>
      <c r="E2151">
        <v>0</v>
      </c>
      <c r="F2151">
        <v>22400</v>
      </c>
      <c r="G2151">
        <v>20945</v>
      </c>
      <c r="H2151">
        <v>1455</v>
      </c>
      <c r="I2151">
        <v>2022</v>
      </c>
      <c r="J2151">
        <v>122</v>
      </c>
      <c r="K2151">
        <f>allFYsTable[[#This Row],[Actual]]-allFYsTable[[#This Row],[OriginalBudget]]</f>
        <v>20945</v>
      </c>
      <c r="L2151" s="11" t="e">
        <f>allFYsTable[[#This Row],[DiffAmount]]/allFYsTable[[#This Row],[OriginalBudget]]</f>
        <v>#DIV/0!</v>
      </c>
    </row>
    <row r="2152" spans="1:12" x14ac:dyDescent="0.45">
      <c r="A2152" t="s">
        <v>1023</v>
      </c>
      <c r="B2152" t="s">
        <v>10</v>
      </c>
      <c r="C2152" t="s">
        <v>821</v>
      </c>
      <c r="D2152" t="s">
        <v>91</v>
      </c>
      <c r="E2152">
        <v>72449</v>
      </c>
      <c r="F2152">
        <v>102264</v>
      </c>
      <c r="G2152">
        <v>0</v>
      </c>
      <c r="H2152">
        <v>102264</v>
      </c>
      <c r="I2152">
        <v>2022</v>
      </c>
      <c r="J2152">
        <v>123</v>
      </c>
      <c r="K2152">
        <f>allFYsTable[[#This Row],[Actual]]-allFYsTable[[#This Row],[OriginalBudget]]</f>
        <v>-72449</v>
      </c>
      <c r="L2152" s="11">
        <f>allFYsTable[[#This Row],[DiffAmount]]/allFYsTable[[#This Row],[OriginalBudget]]</f>
        <v>-1</v>
      </c>
    </row>
    <row r="2153" spans="1:12" x14ac:dyDescent="0.45">
      <c r="A2153" t="s">
        <v>1023</v>
      </c>
      <c r="B2153" t="s">
        <v>10</v>
      </c>
      <c r="C2153" t="s">
        <v>868</v>
      </c>
      <c r="D2153" t="s">
        <v>92</v>
      </c>
      <c r="E2153">
        <v>0</v>
      </c>
      <c r="F2153">
        <v>9556</v>
      </c>
      <c r="G2153">
        <v>0</v>
      </c>
      <c r="H2153">
        <v>9556</v>
      </c>
      <c r="I2153">
        <v>2022</v>
      </c>
      <c r="J2153">
        <v>124</v>
      </c>
      <c r="K2153">
        <f>allFYsTable[[#This Row],[Actual]]-allFYsTable[[#This Row],[OriginalBudget]]</f>
        <v>0</v>
      </c>
      <c r="L2153" s="11" t="e">
        <f>allFYsTable[[#This Row],[DiffAmount]]/allFYsTable[[#This Row],[OriginalBudget]]</f>
        <v>#DIV/0!</v>
      </c>
    </row>
    <row r="2154" spans="1:12" x14ac:dyDescent="0.45">
      <c r="A2154" t="s">
        <v>1023</v>
      </c>
      <c r="B2154" t="s">
        <v>10</v>
      </c>
      <c r="C2154" t="s">
        <v>816</v>
      </c>
      <c r="D2154" t="s">
        <v>93</v>
      </c>
      <c r="E2154">
        <v>241765</v>
      </c>
      <c r="F2154">
        <v>281063</v>
      </c>
      <c r="G2154">
        <v>281063</v>
      </c>
      <c r="H2154">
        <v>0</v>
      </c>
      <c r="I2154">
        <v>2022</v>
      </c>
      <c r="J2154">
        <v>125</v>
      </c>
      <c r="K2154">
        <f>allFYsTable[[#This Row],[Actual]]-allFYsTable[[#This Row],[OriginalBudget]]</f>
        <v>39298</v>
      </c>
      <c r="L2154" s="11">
        <f>allFYsTable[[#This Row],[DiffAmount]]/allFYsTable[[#This Row],[OriginalBudget]]</f>
        <v>0.1625462742746055</v>
      </c>
    </row>
    <row r="2155" spans="1:12" x14ac:dyDescent="0.45">
      <c r="A2155" t="s">
        <v>1023</v>
      </c>
      <c r="B2155" t="s">
        <v>10</v>
      </c>
      <c r="C2155" t="s">
        <v>820</v>
      </c>
      <c r="D2155" t="s">
        <v>94</v>
      </c>
      <c r="E2155">
        <v>5000</v>
      </c>
      <c r="F2155">
        <v>4998</v>
      </c>
      <c r="G2155">
        <v>4998</v>
      </c>
      <c r="H2155">
        <v>0</v>
      </c>
      <c r="I2155">
        <v>2022</v>
      </c>
      <c r="J2155">
        <v>126</v>
      </c>
      <c r="K2155">
        <f>allFYsTable[[#This Row],[Actual]]-allFYsTable[[#This Row],[OriginalBudget]]</f>
        <v>-2</v>
      </c>
      <c r="L2155" s="11">
        <f>allFYsTable[[#This Row],[DiffAmount]]/allFYsTable[[#This Row],[OriginalBudget]]</f>
        <v>-4.0000000000000002E-4</v>
      </c>
    </row>
    <row r="2156" spans="1:12" x14ac:dyDescent="0.45">
      <c r="A2156" t="s">
        <v>1023</v>
      </c>
      <c r="B2156" t="s">
        <v>10</v>
      </c>
      <c r="C2156" t="s">
        <v>815</v>
      </c>
      <c r="D2156" t="s">
        <v>95</v>
      </c>
      <c r="E2156">
        <v>19024</v>
      </c>
      <c r="F2156">
        <v>15113</v>
      </c>
      <c r="G2156">
        <v>0</v>
      </c>
      <c r="H2156">
        <v>15113</v>
      </c>
      <c r="I2156">
        <v>2022</v>
      </c>
      <c r="J2156">
        <v>127</v>
      </c>
      <c r="K2156">
        <f>allFYsTable[[#This Row],[Actual]]-allFYsTable[[#This Row],[OriginalBudget]]</f>
        <v>-19024</v>
      </c>
      <c r="L2156" s="11">
        <f>allFYsTable[[#This Row],[DiffAmount]]/allFYsTable[[#This Row],[OriginalBudget]]</f>
        <v>-1</v>
      </c>
    </row>
    <row r="2157" spans="1:12" x14ac:dyDescent="0.45">
      <c r="A2157" t="s">
        <v>1022</v>
      </c>
      <c r="B2157" t="s">
        <v>11</v>
      </c>
      <c r="C2157" t="s">
        <v>699</v>
      </c>
      <c r="D2157" t="s">
        <v>119</v>
      </c>
      <c r="E2157">
        <v>11870</v>
      </c>
      <c r="F2157">
        <v>11720</v>
      </c>
      <c r="G2157">
        <v>10948</v>
      </c>
      <c r="H2157">
        <v>772</v>
      </c>
      <c r="I2157">
        <v>2023</v>
      </c>
      <c r="J2157">
        <v>1</v>
      </c>
      <c r="K2157">
        <f>allFYsTable[[#This Row],[Actual]]-allFYsTable[[#This Row],[OriginalBudget]]</f>
        <v>-922</v>
      </c>
      <c r="L2157" s="11">
        <f>allFYsTable[[#This Row],[DiffAmount]]/allFYsTable[[#This Row],[OriginalBudget]]</f>
        <v>-7.7674810446503789E-2</v>
      </c>
    </row>
    <row r="2158" spans="1:12" x14ac:dyDescent="0.45">
      <c r="A2158" t="s">
        <v>1022</v>
      </c>
      <c r="B2158" t="s">
        <v>11</v>
      </c>
      <c r="C2158" t="s">
        <v>700</v>
      </c>
      <c r="D2158" t="s">
        <v>128</v>
      </c>
      <c r="E2158">
        <v>3780</v>
      </c>
      <c r="F2158">
        <v>3780</v>
      </c>
      <c r="G2158">
        <v>3729</v>
      </c>
      <c r="H2158">
        <v>51</v>
      </c>
      <c r="I2158">
        <v>2023</v>
      </c>
      <c r="J2158">
        <v>2</v>
      </c>
      <c r="K2158">
        <f>allFYsTable[[#This Row],[Actual]]-allFYsTable[[#This Row],[OriginalBudget]]</f>
        <v>-51</v>
      </c>
      <c r="L2158" s="11">
        <f>allFYsTable[[#This Row],[DiffAmount]]/allFYsTable[[#This Row],[OriginalBudget]]</f>
        <v>-1.3492063492063493E-2</v>
      </c>
    </row>
    <row r="2159" spans="1:12" x14ac:dyDescent="0.45">
      <c r="A2159" t="s">
        <v>1022</v>
      </c>
      <c r="B2159" t="s">
        <v>11</v>
      </c>
      <c r="C2159" t="s">
        <v>701</v>
      </c>
      <c r="D2159" t="s">
        <v>106</v>
      </c>
      <c r="E2159">
        <v>9793</v>
      </c>
      <c r="F2159">
        <v>9793</v>
      </c>
      <c r="G2159">
        <v>9208</v>
      </c>
      <c r="H2159">
        <v>585</v>
      </c>
      <c r="I2159">
        <v>2023</v>
      </c>
      <c r="J2159">
        <v>3</v>
      </c>
      <c r="K2159">
        <f>allFYsTable[[#This Row],[Actual]]-allFYsTable[[#This Row],[OriginalBudget]]</f>
        <v>-585</v>
      </c>
      <c r="L2159" s="11">
        <f>allFYsTable[[#This Row],[DiffAmount]]/allFYsTable[[#This Row],[OriginalBudget]]</f>
        <v>-5.9736546512815278E-2</v>
      </c>
    </row>
    <row r="2160" spans="1:12" x14ac:dyDescent="0.45">
      <c r="A2160" t="s">
        <v>1022</v>
      </c>
      <c r="B2160" t="s">
        <v>11</v>
      </c>
      <c r="C2160" t="s">
        <v>702</v>
      </c>
      <c r="D2160" t="s">
        <v>112</v>
      </c>
      <c r="E2160">
        <v>1984</v>
      </c>
      <c r="F2160">
        <v>1961</v>
      </c>
      <c r="G2160">
        <v>1898</v>
      </c>
      <c r="H2160">
        <v>63</v>
      </c>
      <c r="I2160">
        <v>2023</v>
      </c>
      <c r="J2160">
        <v>4</v>
      </c>
      <c r="K2160">
        <f>allFYsTable[[#This Row],[Actual]]-allFYsTable[[#This Row],[OriginalBudget]]</f>
        <v>-86</v>
      </c>
      <c r="L2160" s="11">
        <f>allFYsTable[[#This Row],[DiffAmount]]/allFYsTable[[#This Row],[OriginalBudget]]</f>
        <v>-4.334677419354839E-2</v>
      </c>
    </row>
    <row r="2161" spans="1:12" x14ac:dyDescent="0.45">
      <c r="A2161" t="s">
        <v>1022</v>
      </c>
      <c r="B2161" t="s">
        <v>11</v>
      </c>
      <c r="C2161" t="s">
        <v>703</v>
      </c>
      <c r="D2161" t="s">
        <v>96</v>
      </c>
      <c r="E2161">
        <v>32879</v>
      </c>
      <c r="F2161">
        <v>30808</v>
      </c>
      <c r="G2161">
        <v>30758</v>
      </c>
      <c r="H2161">
        <v>50</v>
      </c>
      <c r="I2161">
        <v>2023</v>
      </c>
      <c r="J2161">
        <v>5</v>
      </c>
      <c r="K2161">
        <f>allFYsTable[[#This Row],[Actual]]-allFYsTable[[#This Row],[OriginalBudget]]</f>
        <v>-2121</v>
      </c>
      <c r="L2161" s="11">
        <f>allFYsTable[[#This Row],[DiffAmount]]/allFYsTable[[#This Row],[OriginalBudget]]</f>
        <v>-6.4509261230572712E-2</v>
      </c>
    </row>
    <row r="2162" spans="1:12" x14ac:dyDescent="0.45">
      <c r="A2162" t="s">
        <v>1022</v>
      </c>
      <c r="B2162" t="s">
        <v>11</v>
      </c>
      <c r="C2162" t="s">
        <v>704</v>
      </c>
      <c r="D2162" t="s">
        <v>887</v>
      </c>
      <c r="E2162">
        <v>13496</v>
      </c>
      <c r="F2162">
        <v>13699</v>
      </c>
      <c r="G2162">
        <v>13489</v>
      </c>
      <c r="H2162">
        <v>210</v>
      </c>
      <c r="I2162">
        <v>2023</v>
      </c>
      <c r="J2162">
        <v>6</v>
      </c>
      <c r="K2162">
        <f>allFYsTable[[#This Row],[Actual]]-allFYsTable[[#This Row],[OriginalBudget]]</f>
        <v>-7</v>
      </c>
      <c r="L2162" s="11">
        <f>allFYsTable[[#This Row],[DiffAmount]]/allFYsTable[[#This Row],[OriginalBudget]]</f>
        <v>-5.1867219917012448E-4</v>
      </c>
    </row>
    <row r="2163" spans="1:12" x14ac:dyDescent="0.45">
      <c r="A2163" t="s">
        <v>1022</v>
      </c>
      <c r="B2163" t="s">
        <v>11</v>
      </c>
      <c r="C2163" t="s">
        <v>705</v>
      </c>
      <c r="D2163" t="s">
        <v>110</v>
      </c>
      <c r="E2163">
        <v>380773</v>
      </c>
      <c r="F2163">
        <v>430827</v>
      </c>
      <c r="G2163">
        <v>425210</v>
      </c>
      <c r="H2163">
        <v>5617</v>
      </c>
      <c r="I2163">
        <v>2023</v>
      </c>
      <c r="J2163">
        <v>7</v>
      </c>
      <c r="K2163">
        <f>allFYsTable[[#This Row],[Actual]]-allFYsTable[[#This Row],[OriginalBudget]]</f>
        <v>44437</v>
      </c>
      <c r="L2163" s="11">
        <f>allFYsTable[[#This Row],[DiffAmount]]/allFYsTable[[#This Row],[OriginalBudget]]</f>
        <v>0.11670207709055001</v>
      </c>
    </row>
    <row r="2164" spans="1:12" x14ac:dyDescent="0.45">
      <c r="A2164" t="s">
        <v>1022</v>
      </c>
      <c r="B2164" t="s">
        <v>11</v>
      </c>
      <c r="C2164" t="s">
        <v>706</v>
      </c>
      <c r="D2164" t="s">
        <v>122</v>
      </c>
      <c r="E2164">
        <v>22219</v>
      </c>
      <c r="F2164">
        <v>22219</v>
      </c>
      <c r="G2164">
        <v>17299</v>
      </c>
      <c r="H2164">
        <v>4920</v>
      </c>
      <c r="I2164">
        <v>2023</v>
      </c>
      <c r="J2164">
        <v>8</v>
      </c>
      <c r="K2164">
        <f>allFYsTable[[#This Row],[Actual]]-allFYsTable[[#This Row],[OriginalBudget]]</f>
        <v>-4920</v>
      </c>
      <c r="L2164" s="11">
        <f>allFYsTable[[#This Row],[DiffAmount]]/allFYsTable[[#This Row],[OriginalBudget]]</f>
        <v>-0.22143210765561006</v>
      </c>
    </row>
    <row r="2165" spans="1:12" x14ac:dyDescent="0.45">
      <c r="A2165" t="s">
        <v>1022</v>
      </c>
      <c r="B2165" t="s">
        <v>11</v>
      </c>
      <c r="C2165" t="s">
        <v>707</v>
      </c>
      <c r="D2165" t="s">
        <v>101</v>
      </c>
      <c r="E2165">
        <v>15793</v>
      </c>
      <c r="F2165">
        <v>16337</v>
      </c>
      <c r="G2165">
        <v>15616</v>
      </c>
      <c r="H2165">
        <v>721</v>
      </c>
      <c r="I2165">
        <v>2023</v>
      </c>
      <c r="J2165">
        <v>9</v>
      </c>
      <c r="K2165">
        <f>allFYsTable[[#This Row],[Actual]]-allFYsTable[[#This Row],[OriginalBudget]]</f>
        <v>-177</v>
      </c>
      <c r="L2165" s="11">
        <f>allFYsTable[[#This Row],[DiffAmount]]/allFYsTable[[#This Row],[OriginalBudget]]</f>
        <v>-1.1207496992338377E-2</v>
      </c>
    </row>
    <row r="2166" spans="1:12" x14ac:dyDescent="0.45">
      <c r="A2166" t="s">
        <v>1022</v>
      </c>
      <c r="B2166" t="s">
        <v>11</v>
      </c>
      <c r="C2166" t="s">
        <v>708</v>
      </c>
      <c r="D2166" t="s">
        <v>102</v>
      </c>
      <c r="E2166">
        <v>1755</v>
      </c>
      <c r="F2166">
        <v>1655</v>
      </c>
      <c r="G2166">
        <v>1408</v>
      </c>
      <c r="H2166">
        <v>247</v>
      </c>
      <c r="I2166">
        <v>2023</v>
      </c>
      <c r="J2166">
        <v>10</v>
      </c>
      <c r="K2166">
        <f>allFYsTable[[#This Row],[Actual]]-allFYsTable[[#This Row],[OriginalBudget]]</f>
        <v>-347</v>
      </c>
      <c r="L2166" s="11">
        <f>allFYsTable[[#This Row],[DiffAmount]]/allFYsTable[[#This Row],[OriginalBudget]]</f>
        <v>-0.19772079772079773</v>
      </c>
    </row>
    <row r="2167" spans="1:12" x14ac:dyDescent="0.45">
      <c r="A2167" t="s">
        <v>1022</v>
      </c>
      <c r="B2167" t="s">
        <v>11</v>
      </c>
      <c r="C2167" t="s">
        <v>709</v>
      </c>
      <c r="D2167" t="s">
        <v>127</v>
      </c>
      <c r="E2167">
        <v>1206</v>
      </c>
      <c r="F2167">
        <v>1206</v>
      </c>
      <c r="G2167">
        <v>1157</v>
      </c>
      <c r="H2167">
        <v>49</v>
      </c>
      <c r="I2167">
        <v>2023</v>
      </c>
      <c r="J2167">
        <v>11</v>
      </c>
      <c r="K2167">
        <f>allFYsTable[[#This Row],[Actual]]-allFYsTable[[#This Row],[OriginalBudget]]</f>
        <v>-49</v>
      </c>
      <c r="L2167" s="11">
        <f>allFYsTable[[#This Row],[DiffAmount]]/allFYsTable[[#This Row],[OriginalBudget]]</f>
        <v>-4.06301824212272E-2</v>
      </c>
    </row>
    <row r="2168" spans="1:12" x14ac:dyDescent="0.45">
      <c r="A2168" t="s">
        <v>1022</v>
      </c>
      <c r="B2168" t="s">
        <v>11</v>
      </c>
      <c r="C2168" t="s">
        <v>711</v>
      </c>
      <c r="D2168" t="s">
        <v>100</v>
      </c>
      <c r="E2168">
        <v>2575</v>
      </c>
      <c r="F2168">
        <v>2508</v>
      </c>
      <c r="G2168">
        <v>2172</v>
      </c>
      <c r="H2168">
        <v>336</v>
      </c>
      <c r="I2168">
        <v>2023</v>
      </c>
      <c r="J2168">
        <v>12</v>
      </c>
      <c r="K2168">
        <f>allFYsTable[[#This Row],[Actual]]-allFYsTable[[#This Row],[OriginalBudget]]</f>
        <v>-403</v>
      </c>
      <c r="L2168" s="11">
        <f>allFYsTable[[#This Row],[DiffAmount]]/allFYsTable[[#This Row],[OriginalBudget]]</f>
        <v>-0.15650485436893205</v>
      </c>
    </row>
    <row r="2169" spans="1:12" x14ac:dyDescent="0.45">
      <c r="A2169" t="s">
        <v>1022</v>
      </c>
      <c r="B2169" t="s">
        <v>11</v>
      </c>
      <c r="C2169" t="s">
        <v>712</v>
      </c>
      <c r="D2169" t="s">
        <v>120</v>
      </c>
      <c r="E2169">
        <v>7473</v>
      </c>
      <c r="F2169">
        <v>7473</v>
      </c>
      <c r="G2169">
        <v>4512</v>
      </c>
      <c r="H2169">
        <v>2961</v>
      </c>
      <c r="I2169">
        <v>2023</v>
      </c>
      <c r="J2169">
        <v>13</v>
      </c>
      <c r="K2169">
        <f>allFYsTable[[#This Row],[Actual]]-allFYsTable[[#This Row],[OriginalBudget]]</f>
        <v>-2961</v>
      </c>
      <c r="L2169" s="11">
        <f>allFYsTable[[#This Row],[DiffAmount]]/allFYsTable[[#This Row],[OriginalBudget]]</f>
        <v>-0.39622641509433965</v>
      </c>
    </row>
    <row r="2170" spans="1:12" x14ac:dyDescent="0.45">
      <c r="A2170" t="s">
        <v>1022</v>
      </c>
      <c r="B2170" t="s">
        <v>11</v>
      </c>
      <c r="C2170" t="s">
        <v>713</v>
      </c>
      <c r="D2170" t="s">
        <v>111</v>
      </c>
      <c r="E2170">
        <v>29822</v>
      </c>
      <c r="F2170">
        <v>32967</v>
      </c>
      <c r="G2170">
        <v>31759</v>
      </c>
      <c r="H2170">
        <v>1208</v>
      </c>
      <c r="I2170">
        <v>2023</v>
      </c>
      <c r="J2170">
        <v>14</v>
      </c>
      <c r="K2170">
        <f>allFYsTable[[#This Row],[Actual]]-allFYsTable[[#This Row],[OriginalBudget]]</f>
        <v>1937</v>
      </c>
      <c r="L2170" s="11">
        <f>allFYsTable[[#This Row],[DiffAmount]]/allFYsTable[[#This Row],[OriginalBudget]]</f>
        <v>6.495204882301657E-2</v>
      </c>
    </row>
    <row r="2171" spans="1:12" x14ac:dyDescent="0.45">
      <c r="A2171" t="s">
        <v>1022</v>
      </c>
      <c r="B2171" t="s">
        <v>11</v>
      </c>
      <c r="C2171" t="s">
        <v>714</v>
      </c>
      <c r="D2171" t="s">
        <v>116</v>
      </c>
      <c r="E2171">
        <v>1452</v>
      </c>
      <c r="F2171">
        <v>1344</v>
      </c>
      <c r="G2171">
        <v>1283</v>
      </c>
      <c r="H2171">
        <v>61</v>
      </c>
      <c r="I2171">
        <v>2023</v>
      </c>
      <c r="J2171">
        <v>15</v>
      </c>
      <c r="K2171">
        <f>allFYsTable[[#This Row],[Actual]]-allFYsTable[[#This Row],[OriginalBudget]]</f>
        <v>-169</v>
      </c>
      <c r="L2171" s="11">
        <f>allFYsTable[[#This Row],[DiffAmount]]/allFYsTable[[#This Row],[OriginalBudget]]</f>
        <v>-0.11639118457300275</v>
      </c>
    </row>
    <row r="2172" spans="1:12" x14ac:dyDescent="0.45">
      <c r="A2172" t="s">
        <v>1022</v>
      </c>
      <c r="B2172" t="s">
        <v>11</v>
      </c>
      <c r="C2172" t="s">
        <v>715</v>
      </c>
      <c r="D2172" t="s">
        <v>126</v>
      </c>
      <c r="E2172">
        <v>2311</v>
      </c>
      <c r="F2172">
        <v>2311</v>
      </c>
      <c r="G2172">
        <v>2128</v>
      </c>
      <c r="H2172">
        <v>183</v>
      </c>
      <c r="I2172">
        <v>2023</v>
      </c>
      <c r="J2172">
        <v>16</v>
      </c>
      <c r="K2172">
        <f>allFYsTable[[#This Row],[Actual]]-allFYsTable[[#This Row],[OriginalBudget]]</f>
        <v>-183</v>
      </c>
      <c r="L2172" s="11">
        <f>allFYsTable[[#This Row],[DiffAmount]]/allFYsTable[[#This Row],[OriginalBudget]]</f>
        <v>-7.9186499350930334E-2</v>
      </c>
    </row>
    <row r="2173" spans="1:12" x14ac:dyDescent="0.45">
      <c r="A2173" t="s">
        <v>1022</v>
      </c>
      <c r="B2173" t="s">
        <v>11</v>
      </c>
      <c r="C2173" t="s">
        <v>716</v>
      </c>
      <c r="D2173" t="s">
        <v>109</v>
      </c>
      <c r="E2173">
        <v>32298</v>
      </c>
      <c r="F2173">
        <v>32298</v>
      </c>
      <c r="G2173">
        <v>32121</v>
      </c>
      <c r="H2173">
        <v>177</v>
      </c>
      <c r="I2173">
        <v>2023</v>
      </c>
      <c r="J2173">
        <v>17</v>
      </c>
      <c r="K2173">
        <f>allFYsTable[[#This Row],[Actual]]-allFYsTable[[#This Row],[OriginalBudget]]</f>
        <v>-177</v>
      </c>
      <c r="L2173" s="11">
        <f>allFYsTable[[#This Row],[DiffAmount]]/allFYsTable[[#This Row],[OriginalBudget]]</f>
        <v>-5.4802154932193942E-3</v>
      </c>
    </row>
    <row r="2174" spans="1:12" x14ac:dyDescent="0.45">
      <c r="A2174" t="s">
        <v>1022</v>
      </c>
      <c r="B2174" t="s">
        <v>11</v>
      </c>
      <c r="C2174" t="s">
        <v>717</v>
      </c>
      <c r="D2174" t="s">
        <v>888</v>
      </c>
      <c r="E2174">
        <v>3163</v>
      </c>
      <c r="F2174">
        <v>2466</v>
      </c>
      <c r="G2174">
        <v>2018</v>
      </c>
      <c r="H2174">
        <v>448</v>
      </c>
      <c r="I2174">
        <v>2023</v>
      </c>
      <c r="J2174">
        <v>18</v>
      </c>
      <c r="K2174">
        <f>allFYsTable[[#This Row],[Actual]]-allFYsTable[[#This Row],[OriginalBudget]]</f>
        <v>-1145</v>
      </c>
      <c r="L2174" s="11">
        <f>allFYsTable[[#This Row],[DiffAmount]]/allFYsTable[[#This Row],[OriginalBudget]]</f>
        <v>-0.36199810306670882</v>
      </c>
    </row>
    <row r="2175" spans="1:12" x14ac:dyDescent="0.45">
      <c r="A2175" t="s">
        <v>1022</v>
      </c>
      <c r="B2175" t="s">
        <v>11</v>
      </c>
      <c r="C2175" t="s">
        <v>718</v>
      </c>
      <c r="D2175" t="s">
        <v>115</v>
      </c>
      <c r="E2175">
        <v>4093</v>
      </c>
      <c r="F2175">
        <v>4093</v>
      </c>
      <c r="G2175">
        <v>4068</v>
      </c>
      <c r="H2175">
        <v>25</v>
      </c>
      <c r="I2175">
        <v>2023</v>
      </c>
      <c r="J2175">
        <v>19</v>
      </c>
      <c r="K2175">
        <f>allFYsTable[[#This Row],[Actual]]-allFYsTable[[#This Row],[OriginalBudget]]</f>
        <v>-25</v>
      </c>
      <c r="L2175" s="11">
        <f>allFYsTable[[#This Row],[DiffAmount]]/allFYsTable[[#This Row],[OriginalBudget]]</f>
        <v>-6.1079892499389197E-3</v>
      </c>
    </row>
    <row r="2176" spans="1:12" x14ac:dyDescent="0.45">
      <c r="A2176" t="s">
        <v>1022</v>
      </c>
      <c r="B2176" t="s">
        <v>11</v>
      </c>
      <c r="C2176" t="s">
        <v>719</v>
      </c>
      <c r="D2176" t="s">
        <v>114</v>
      </c>
      <c r="E2176">
        <v>95350</v>
      </c>
      <c r="F2176">
        <v>97903</v>
      </c>
      <c r="G2176">
        <v>96810</v>
      </c>
      <c r="H2176">
        <v>1093</v>
      </c>
      <c r="I2176">
        <v>2023</v>
      </c>
      <c r="J2176">
        <v>20</v>
      </c>
      <c r="K2176">
        <f>allFYsTable[[#This Row],[Actual]]-allFYsTable[[#This Row],[OriginalBudget]]</f>
        <v>1460</v>
      </c>
      <c r="L2176" s="11">
        <f>allFYsTable[[#This Row],[DiffAmount]]/allFYsTable[[#This Row],[OriginalBudget]]</f>
        <v>1.5312008390141584E-2</v>
      </c>
    </row>
    <row r="2177" spans="1:12" x14ac:dyDescent="0.45">
      <c r="A2177" t="s">
        <v>1022</v>
      </c>
      <c r="B2177" t="s">
        <v>11</v>
      </c>
      <c r="C2177" t="s">
        <v>720</v>
      </c>
      <c r="D2177" t="s">
        <v>113</v>
      </c>
      <c r="E2177">
        <v>178922</v>
      </c>
      <c r="F2177">
        <v>179029</v>
      </c>
      <c r="G2177">
        <v>178852</v>
      </c>
      <c r="H2177">
        <v>177</v>
      </c>
      <c r="I2177">
        <v>2023</v>
      </c>
      <c r="J2177">
        <v>21</v>
      </c>
      <c r="K2177">
        <f>allFYsTable[[#This Row],[Actual]]-allFYsTable[[#This Row],[OriginalBudget]]</f>
        <v>-70</v>
      </c>
      <c r="L2177" s="11">
        <f>allFYsTable[[#This Row],[DiffAmount]]/allFYsTable[[#This Row],[OriginalBudget]]</f>
        <v>-3.9123193346821518E-4</v>
      </c>
    </row>
    <row r="2178" spans="1:12" x14ac:dyDescent="0.45">
      <c r="A2178" t="s">
        <v>1022</v>
      </c>
      <c r="B2178" t="s">
        <v>11</v>
      </c>
      <c r="C2178" t="s">
        <v>721</v>
      </c>
      <c r="D2178" t="s">
        <v>118</v>
      </c>
      <c r="E2178">
        <v>81062</v>
      </c>
      <c r="F2178">
        <v>83735</v>
      </c>
      <c r="G2178">
        <v>83626</v>
      </c>
      <c r="H2178">
        <v>109</v>
      </c>
      <c r="I2178">
        <v>2023</v>
      </c>
      <c r="J2178">
        <v>22</v>
      </c>
      <c r="K2178">
        <f>allFYsTable[[#This Row],[Actual]]-allFYsTable[[#This Row],[OriginalBudget]]</f>
        <v>2564</v>
      </c>
      <c r="L2178" s="11">
        <f>allFYsTable[[#This Row],[DiffAmount]]/allFYsTable[[#This Row],[OriginalBudget]]</f>
        <v>3.1630110285953958E-2</v>
      </c>
    </row>
    <row r="2179" spans="1:12" x14ac:dyDescent="0.45">
      <c r="A2179" t="s">
        <v>1022</v>
      </c>
      <c r="B2179" t="s">
        <v>11</v>
      </c>
      <c r="C2179" t="s">
        <v>722</v>
      </c>
      <c r="D2179" t="s">
        <v>107</v>
      </c>
      <c r="E2179">
        <v>12221</v>
      </c>
      <c r="F2179">
        <v>12612</v>
      </c>
      <c r="G2179">
        <v>9899</v>
      </c>
      <c r="H2179">
        <v>2713</v>
      </c>
      <c r="I2179">
        <v>2023</v>
      </c>
      <c r="J2179">
        <v>23</v>
      </c>
      <c r="K2179">
        <f>allFYsTable[[#This Row],[Actual]]-allFYsTable[[#This Row],[OriginalBudget]]</f>
        <v>-2322</v>
      </c>
      <c r="L2179" s="11">
        <f>allFYsTable[[#This Row],[DiffAmount]]/allFYsTable[[#This Row],[OriginalBudget]]</f>
        <v>-0.19000081826364454</v>
      </c>
    </row>
    <row r="2180" spans="1:12" x14ac:dyDescent="0.45">
      <c r="A2180" t="s">
        <v>1022</v>
      </c>
      <c r="B2180" t="s">
        <v>11</v>
      </c>
      <c r="C2180" t="s">
        <v>723</v>
      </c>
      <c r="D2180" t="s">
        <v>98</v>
      </c>
      <c r="E2180">
        <v>7676</v>
      </c>
      <c r="F2180">
        <v>7258</v>
      </c>
      <c r="G2180">
        <v>5903</v>
      </c>
      <c r="H2180">
        <v>1355</v>
      </c>
      <c r="I2180">
        <v>2023</v>
      </c>
      <c r="J2180">
        <v>24</v>
      </c>
      <c r="K2180">
        <f>allFYsTable[[#This Row],[Actual]]-allFYsTable[[#This Row],[OriginalBudget]]</f>
        <v>-1773</v>
      </c>
      <c r="L2180" s="11">
        <f>allFYsTable[[#This Row],[DiffAmount]]/allFYsTable[[#This Row],[OriginalBudget]]</f>
        <v>-0.23097967691505994</v>
      </c>
    </row>
    <row r="2181" spans="1:12" x14ac:dyDescent="0.45">
      <c r="A2181" t="s">
        <v>1022</v>
      </c>
      <c r="B2181" t="s">
        <v>11</v>
      </c>
      <c r="C2181" t="s">
        <v>724</v>
      </c>
      <c r="D2181" t="s">
        <v>105</v>
      </c>
      <c r="E2181">
        <v>21467</v>
      </c>
      <c r="F2181">
        <v>19727</v>
      </c>
      <c r="G2181">
        <v>16547</v>
      </c>
      <c r="H2181">
        <v>3180</v>
      </c>
      <c r="I2181">
        <v>2023</v>
      </c>
      <c r="J2181">
        <v>25</v>
      </c>
      <c r="K2181">
        <f>allFYsTable[[#This Row],[Actual]]-allFYsTable[[#This Row],[OriginalBudget]]</f>
        <v>-4920</v>
      </c>
      <c r="L2181" s="11">
        <f>allFYsTable[[#This Row],[DiffAmount]]/allFYsTable[[#This Row],[OriginalBudget]]</f>
        <v>-0.22918898774863744</v>
      </c>
    </row>
    <row r="2182" spans="1:12" x14ac:dyDescent="0.45">
      <c r="A2182" t="s">
        <v>1022</v>
      </c>
      <c r="B2182" t="s">
        <v>11</v>
      </c>
      <c r="C2182" t="s">
        <v>725</v>
      </c>
      <c r="D2182" t="s">
        <v>104</v>
      </c>
      <c r="E2182">
        <v>4243</v>
      </c>
      <c r="F2182">
        <v>4263</v>
      </c>
      <c r="G2182">
        <v>4183</v>
      </c>
      <c r="H2182">
        <v>80</v>
      </c>
      <c r="I2182">
        <v>2023</v>
      </c>
      <c r="J2182">
        <v>26</v>
      </c>
      <c r="K2182">
        <f>allFYsTable[[#This Row],[Actual]]-allFYsTable[[#This Row],[OriginalBudget]]</f>
        <v>-60</v>
      </c>
      <c r="L2182" s="11">
        <f>allFYsTable[[#This Row],[DiffAmount]]/allFYsTable[[#This Row],[OriginalBudget]]</f>
        <v>-1.4140938015555032E-2</v>
      </c>
    </row>
    <row r="2183" spans="1:12" x14ac:dyDescent="0.45">
      <c r="A2183" t="s">
        <v>1022</v>
      </c>
      <c r="B2183" t="s">
        <v>11</v>
      </c>
      <c r="C2183" t="s">
        <v>726</v>
      </c>
      <c r="D2183" t="s">
        <v>103</v>
      </c>
      <c r="E2183">
        <v>4546</v>
      </c>
      <c r="F2183">
        <v>4653</v>
      </c>
      <c r="G2183">
        <v>3962</v>
      </c>
      <c r="H2183">
        <v>691</v>
      </c>
      <c r="I2183">
        <v>2023</v>
      </c>
      <c r="J2183">
        <v>27</v>
      </c>
      <c r="K2183">
        <f>allFYsTable[[#This Row],[Actual]]-allFYsTable[[#This Row],[OriginalBudget]]</f>
        <v>-584</v>
      </c>
      <c r="L2183" s="11">
        <f>allFYsTable[[#This Row],[DiffAmount]]/allFYsTable[[#This Row],[OriginalBudget]]</f>
        <v>-0.12846458424989002</v>
      </c>
    </row>
    <row r="2184" spans="1:12" x14ac:dyDescent="0.45">
      <c r="A2184" t="s">
        <v>1022</v>
      </c>
      <c r="B2184" t="s">
        <v>11</v>
      </c>
      <c r="C2184" t="s">
        <v>727</v>
      </c>
      <c r="D2184" t="s">
        <v>124</v>
      </c>
      <c r="E2184">
        <v>1156</v>
      </c>
      <c r="F2184">
        <v>1156</v>
      </c>
      <c r="G2184">
        <v>992</v>
      </c>
      <c r="H2184">
        <v>164</v>
      </c>
      <c r="I2184">
        <v>2023</v>
      </c>
      <c r="J2184">
        <v>28</v>
      </c>
      <c r="K2184">
        <f>allFYsTable[[#This Row],[Actual]]-allFYsTable[[#This Row],[OriginalBudget]]</f>
        <v>-164</v>
      </c>
      <c r="L2184" s="11">
        <f>allFYsTable[[#This Row],[DiffAmount]]/allFYsTable[[#This Row],[OriginalBudget]]</f>
        <v>-0.14186851211072665</v>
      </c>
    </row>
    <row r="2185" spans="1:12" x14ac:dyDescent="0.45">
      <c r="A2185" t="s">
        <v>1022</v>
      </c>
      <c r="B2185" t="s">
        <v>11</v>
      </c>
      <c r="C2185" t="s">
        <v>728</v>
      </c>
      <c r="D2185" t="s">
        <v>900</v>
      </c>
      <c r="E2185">
        <v>1502</v>
      </c>
      <c r="F2185">
        <v>1502</v>
      </c>
      <c r="G2185">
        <v>1270</v>
      </c>
      <c r="H2185">
        <v>232</v>
      </c>
      <c r="I2185">
        <v>2023</v>
      </c>
      <c r="J2185">
        <v>29</v>
      </c>
      <c r="K2185">
        <f>allFYsTable[[#This Row],[Actual]]-allFYsTable[[#This Row],[OriginalBudget]]</f>
        <v>-232</v>
      </c>
      <c r="L2185" s="11">
        <f>allFYsTable[[#This Row],[DiffAmount]]/allFYsTable[[#This Row],[OriginalBudget]]</f>
        <v>-0.15446071904127828</v>
      </c>
    </row>
    <row r="2186" spans="1:12" x14ac:dyDescent="0.45">
      <c r="A2186" t="s">
        <v>1022</v>
      </c>
      <c r="B2186" t="s">
        <v>11</v>
      </c>
      <c r="C2186" t="s">
        <v>729</v>
      </c>
      <c r="D2186" t="s">
        <v>123</v>
      </c>
      <c r="E2186">
        <v>6434</v>
      </c>
      <c r="F2186">
        <v>6434</v>
      </c>
      <c r="G2186">
        <v>6297</v>
      </c>
      <c r="H2186">
        <v>137</v>
      </c>
      <c r="I2186">
        <v>2023</v>
      </c>
      <c r="J2186">
        <v>30</v>
      </c>
      <c r="K2186">
        <f>allFYsTable[[#This Row],[Actual]]-allFYsTable[[#This Row],[OriginalBudget]]</f>
        <v>-137</v>
      </c>
      <c r="L2186" s="11">
        <f>allFYsTable[[#This Row],[DiffAmount]]/allFYsTable[[#This Row],[OriginalBudget]]</f>
        <v>-2.1293130245570408E-2</v>
      </c>
    </row>
    <row r="2187" spans="1:12" x14ac:dyDescent="0.45">
      <c r="A2187" t="s">
        <v>1022</v>
      </c>
      <c r="B2187" t="s">
        <v>11</v>
      </c>
      <c r="C2187" t="s">
        <v>730</v>
      </c>
      <c r="D2187" t="s">
        <v>125</v>
      </c>
      <c r="E2187">
        <v>1363</v>
      </c>
      <c r="F2187">
        <v>1363</v>
      </c>
      <c r="G2187">
        <v>1257</v>
      </c>
      <c r="H2187">
        <v>106</v>
      </c>
      <c r="I2187">
        <v>2023</v>
      </c>
      <c r="J2187">
        <v>31</v>
      </c>
      <c r="K2187">
        <f>allFYsTable[[#This Row],[Actual]]-allFYsTable[[#This Row],[OriginalBudget]]</f>
        <v>-106</v>
      </c>
      <c r="L2187" s="11">
        <f>allFYsTable[[#This Row],[DiffAmount]]/allFYsTable[[#This Row],[OriginalBudget]]</f>
        <v>-7.7769625825385186E-2</v>
      </c>
    </row>
    <row r="2188" spans="1:12" x14ac:dyDescent="0.45">
      <c r="A2188" t="s">
        <v>1022</v>
      </c>
      <c r="B2188" t="s">
        <v>11</v>
      </c>
      <c r="C2188" t="s">
        <v>731</v>
      </c>
      <c r="D2188" t="s">
        <v>99</v>
      </c>
      <c r="E2188">
        <v>248</v>
      </c>
      <c r="F2188">
        <v>248</v>
      </c>
      <c r="G2188">
        <v>222</v>
      </c>
      <c r="H2188">
        <v>26</v>
      </c>
      <c r="I2188">
        <v>2023</v>
      </c>
      <c r="J2188">
        <v>32</v>
      </c>
      <c r="K2188">
        <f>allFYsTable[[#This Row],[Actual]]-allFYsTable[[#This Row],[OriginalBudget]]</f>
        <v>-26</v>
      </c>
      <c r="L2188" s="11">
        <f>allFYsTable[[#This Row],[DiffAmount]]/allFYsTable[[#This Row],[OriginalBudget]]</f>
        <v>-0.10483870967741936</v>
      </c>
    </row>
    <row r="2189" spans="1:12" x14ac:dyDescent="0.45">
      <c r="A2189" t="s">
        <v>1022</v>
      </c>
      <c r="B2189" t="s">
        <v>11</v>
      </c>
      <c r="C2189" t="s">
        <v>732</v>
      </c>
      <c r="D2189" t="s">
        <v>313</v>
      </c>
      <c r="E2189">
        <v>995</v>
      </c>
      <c r="F2189">
        <v>392</v>
      </c>
      <c r="G2189">
        <v>392</v>
      </c>
      <c r="H2189">
        <v>0</v>
      </c>
      <c r="I2189">
        <v>2023</v>
      </c>
      <c r="J2189">
        <v>33</v>
      </c>
      <c r="K2189">
        <f>allFYsTable[[#This Row],[Actual]]-allFYsTable[[#This Row],[OriginalBudget]]</f>
        <v>-603</v>
      </c>
      <c r="L2189" s="11">
        <f>allFYsTable[[#This Row],[DiffAmount]]/allFYsTable[[#This Row],[OriginalBudget]]</f>
        <v>-0.60603015075376887</v>
      </c>
    </row>
    <row r="2190" spans="1:12" x14ac:dyDescent="0.45">
      <c r="A2190" t="s">
        <v>1022</v>
      </c>
      <c r="B2190" t="s">
        <v>11</v>
      </c>
      <c r="C2190" t="s">
        <v>733</v>
      </c>
      <c r="D2190" t="s">
        <v>117</v>
      </c>
      <c r="E2190">
        <v>60</v>
      </c>
      <c r="F2190">
        <v>80</v>
      </c>
      <c r="G2190">
        <v>70</v>
      </c>
      <c r="H2190">
        <v>10</v>
      </c>
      <c r="I2190">
        <v>2023</v>
      </c>
      <c r="J2190">
        <v>34</v>
      </c>
      <c r="K2190">
        <f>allFYsTable[[#This Row],[Actual]]-allFYsTable[[#This Row],[OriginalBudget]]</f>
        <v>10</v>
      </c>
      <c r="L2190" s="11">
        <f>allFYsTable[[#This Row],[DiffAmount]]/allFYsTable[[#This Row],[OriginalBudget]]</f>
        <v>0.16666666666666666</v>
      </c>
    </row>
    <row r="2191" spans="1:12" x14ac:dyDescent="0.45">
      <c r="A2191" t="s">
        <v>1022</v>
      </c>
      <c r="B2191" t="s">
        <v>901</v>
      </c>
      <c r="C2191" t="s">
        <v>734</v>
      </c>
      <c r="D2191" t="s">
        <v>12</v>
      </c>
      <c r="E2191">
        <v>1850</v>
      </c>
      <c r="F2191">
        <v>1850</v>
      </c>
      <c r="G2191">
        <v>1850</v>
      </c>
      <c r="H2191">
        <v>0</v>
      </c>
      <c r="I2191">
        <v>2023</v>
      </c>
      <c r="J2191">
        <v>35</v>
      </c>
      <c r="K2191">
        <f>allFYsTable[[#This Row],[Actual]]-allFYsTable[[#This Row],[OriginalBudget]]</f>
        <v>0</v>
      </c>
      <c r="L2191" s="11">
        <f>allFYsTable[[#This Row],[DiffAmount]]/allFYsTable[[#This Row],[OriginalBudget]]</f>
        <v>0</v>
      </c>
    </row>
    <row r="2192" spans="1:12" x14ac:dyDescent="0.45">
      <c r="A2192" t="s">
        <v>1022</v>
      </c>
      <c r="B2192" t="s">
        <v>901</v>
      </c>
      <c r="C2192" t="s">
        <v>736</v>
      </c>
      <c r="D2192" t="s">
        <v>20</v>
      </c>
      <c r="E2192">
        <v>44399</v>
      </c>
      <c r="F2192">
        <v>42268</v>
      </c>
      <c r="G2192">
        <v>41956</v>
      </c>
      <c r="H2192">
        <v>312</v>
      </c>
      <c r="I2192">
        <v>2023</v>
      </c>
      <c r="J2192">
        <v>36</v>
      </c>
      <c r="K2192">
        <f>allFYsTable[[#This Row],[Actual]]-allFYsTable[[#This Row],[OriginalBudget]]</f>
        <v>-2443</v>
      </c>
      <c r="L2192" s="11">
        <f>allFYsTable[[#This Row],[DiffAmount]]/allFYsTable[[#This Row],[OriginalBudget]]</f>
        <v>-5.5023761796436858E-2</v>
      </c>
    </row>
    <row r="2193" spans="1:12" x14ac:dyDescent="0.45">
      <c r="A2193" t="s">
        <v>1022</v>
      </c>
      <c r="B2193" t="s">
        <v>901</v>
      </c>
      <c r="C2193" t="s">
        <v>737</v>
      </c>
      <c r="D2193" t="s">
        <v>21</v>
      </c>
      <c r="E2193">
        <v>35468</v>
      </c>
      <c r="F2193">
        <v>66849</v>
      </c>
      <c r="G2193">
        <v>66490</v>
      </c>
      <c r="H2193">
        <v>359</v>
      </c>
      <c r="I2193">
        <v>2023</v>
      </c>
      <c r="J2193">
        <v>37</v>
      </c>
      <c r="K2193">
        <f>allFYsTable[[#This Row],[Actual]]-allFYsTable[[#This Row],[OriginalBudget]]</f>
        <v>31022</v>
      </c>
      <c r="L2193" s="11">
        <f>allFYsTable[[#This Row],[DiffAmount]]/allFYsTable[[#This Row],[OriginalBudget]]</f>
        <v>0.87464756964023904</v>
      </c>
    </row>
    <row r="2194" spans="1:12" x14ac:dyDescent="0.45">
      <c r="A2194" t="s">
        <v>1022</v>
      </c>
      <c r="B2194" t="s">
        <v>901</v>
      </c>
      <c r="C2194" t="s">
        <v>738</v>
      </c>
      <c r="D2194" t="s">
        <v>22</v>
      </c>
      <c r="E2194">
        <v>22531</v>
      </c>
      <c r="F2194">
        <v>23068</v>
      </c>
      <c r="G2194">
        <v>22778</v>
      </c>
      <c r="H2194">
        <v>290</v>
      </c>
      <c r="I2194">
        <v>2023</v>
      </c>
      <c r="J2194">
        <v>38</v>
      </c>
      <c r="K2194">
        <f>allFYsTable[[#This Row],[Actual]]-allFYsTable[[#This Row],[OriginalBudget]]</f>
        <v>247</v>
      </c>
      <c r="L2194" s="11">
        <f>allFYsTable[[#This Row],[DiffAmount]]/allFYsTable[[#This Row],[OriginalBudget]]</f>
        <v>1.0962673649638276E-2</v>
      </c>
    </row>
    <row r="2195" spans="1:12" x14ac:dyDescent="0.45">
      <c r="A2195" t="s">
        <v>1022</v>
      </c>
      <c r="B2195" t="s">
        <v>901</v>
      </c>
      <c r="C2195" t="s">
        <v>739</v>
      </c>
      <c r="D2195" t="s">
        <v>23</v>
      </c>
      <c r="E2195">
        <v>185663</v>
      </c>
      <c r="F2195">
        <v>176564</v>
      </c>
      <c r="G2195">
        <v>175109</v>
      </c>
      <c r="H2195">
        <v>1455</v>
      </c>
      <c r="I2195">
        <v>2023</v>
      </c>
      <c r="J2195">
        <v>39</v>
      </c>
      <c r="K2195">
        <f>allFYsTable[[#This Row],[Actual]]-allFYsTable[[#This Row],[OriginalBudget]]</f>
        <v>-10554</v>
      </c>
      <c r="L2195" s="11">
        <f>allFYsTable[[#This Row],[DiffAmount]]/allFYsTable[[#This Row],[OriginalBudget]]</f>
        <v>-5.6844928714929736E-2</v>
      </c>
    </row>
    <row r="2196" spans="1:12" x14ac:dyDescent="0.45">
      <c r="A2196" t="s">
        <v>1022</v>
      </c>
      <c r="B2196" t="s">
        <v>901</v>
      </c>
      <c r="C2196" t="s">
        <v>740</v>
      </c>
      <c r="D2196" t="s">
        <v>24</v>
      </c>
      <c r="E2196">
        <v>354197</v>
      </c>
      <c r="F2196">
        <v>354197</v>
      </c>
      <c r="G2196">
        <v>354197</v>
      </c>
      <c r="H2196">
        <v>0</v>
      </c>
      <c r="I2196">
        <v>2023</v>
      </c>
      <c r="J2196">
        <v>40</v>
      </c>
      <c r="K2196">
        <f>allFYsTable[[#This Row],[Actual]]-allFYsTable[[#This Row],[OriginalBudget]]</f>
        <v>0</v>
      </c>
      <c r="L2196" s="11">
        <f>allFYsTable[[#This Row],[DiffAmount]]/allFYsTable[[#This Row],[OriginalBudget]]</f>
        <v>0</v>
      </c>
    </row>
    <row r="2197" spans="1:12" x14ac:dyDescent="0.45">
      <c r="A2197" t="s">
        <v>1022</v>
      </c>
      <c r="B2197" t="s">
        <v>901</v>
      </c>
      <c r="C2197" t="s">
        <v>741</v>
      </c>
      <c r="D2197" t="s">
        <v>25</v>
      </c>
      <c r="E2197">
        <v>3216</v>
      </c>
      <c r="F2197">
        <v>5016</v>
      </c>
      <c r="G2197">
        <v>4793</v>
      </c>
      <c r="H2197">
        <v>223</v>
      </c>
      <c r="I2197">
        <v>2023</v>
      </c>
      <c r="J2197">
        <v>41</v>
      </c>
      <c r="K2197">
        <f>allFYsTable[[#This Row],[Actual]]-allFYsTable[[#This Row],[OriginalBudget]]</f>
        <v>1577</v>
      </c>
      <c r="L2197" s="11">
        <f>allFYsTable[[#This Row],[DiffAmount]]/allFYsTable[[#This Row],[OriginalBudget]]</f>
        <v>0.49036069651741293</v>
      </c>
    </row>
    <row r="2198" spans="1:12" x14ac:dyDescent="0.45">
      <c r="A2198" t="s">
        <v>1022</v>
      </c>
      <c r="B2198" t="s">
        <v>901</v>
      </c>
      <c r="C2198" t="s">
        <v>742</v>
      </c>
      <c r="D2198" t="s">
        <v>26</v>
      </c>
      <c r="E2198">
        <v>16700</v>
      </c>
      <c r="F2198">
        <v>16966</v>
      </c>
      <c r="G2198">
        <v>16379</v>
      </c>
      <c r="H2198">
        <v>587</v>
      </c>
      <c r="I2198">
        <v>2023</v>
      </c>
      <c r="J2198">
        <v>42</v>
      </c>
      <c r="K2198">
        <f>allFYsTable[[#This Row],[Actual]]-allFYsTable[[#This Row],[OriginalBudget]]</f>
        <v>-321</v>
      </c>
      <c r="L2198" s="11">
        <f>allFYsTable[[#This Row],[DiffAmount]]/allFYsTable[[#This Row],[OriginalBudget]]</f>
        <v>-1.9221556886227543E-2</v>
      </c>
    </row>
    <row r="2199" spans="1:12" x14ac:dyDescent="0.45">
      <c r="A2199" t="s">
        <v>1022</v>
      </c>
      <c r="B2199" t="s">
        <v>901</v>
      </c>
      <c r="C2199" t="s">
        <v>743</v>
      </c>
      <c r="D2199" t="s">
        <v>27</v>
      </c>
      <c r="E2199">
        <v>44122</v>
      </c>
      <c r="F2199">
        <v>52436</v>
      </c>
      <c r="G2199">
        <v>51913</v>
      </c>
      <c r="H2199">
        <v>523</v>
      </c>
      <c r="I2199">
        <v>2023</v>
      </c>
      <c r="J2199">
        <v>43</v>
      </c>
      <c r="K2199">
        <f>allFYsTable[[#This Row],[Actual]]-allFYsTable[[#This Row],[OriginalBudget]]</f>
        <v>7791</v>
      </c>
      <c r="L2199" s="11">
        <f>allFYsTable[[#This Row],[DiffAmount]]/allFYsTable[[#This Row],[OriginalBudget]]</f>
        <v>0.1765785775803454</v>
      </c>
    </row>
    <row r="2200" spans="1:12" x14ac:dyDescent="0.45">
      <c r="A2200" t="s">
        <v>1022</v>
      </c>
      <c r="B2200" t="s">
        <v>901</v>
      </c>
      <c r="C2200" t="s">
        <v>839</v>
      </c>
      <c r="D2200" t="s">
        <v>28</v>
      </c>
      <c r="E2200">
        <v>3530</v>
      </c>
      <c r="F2200">
        <v>3485</v>
      </c>
      <c r="G2200">
        <v>3235</v>
      </c>
      <c r="H2200">
        <v>250</v>
      </c>
      <c r="I2200">
        <v>2023</v>
      </c>
      <c r="J2200">
        <v>44</v>
      </c>
      <c r="K2200">
        <f>allFYsTable[[#This Row],[Actual]]-allFYsTable[[#This Row],[OriginalBudget]]</f>
        <v>-295</v>
      </c>
      <c r="L2200" s="11">
        <f>allFYsTable[[#This Row],[DiffAmount]]/allFYsTable[[#This Row],[OriginalBudget]]</f>
        <v>-8.3569405099150146E-2</v>
      </c>
    </row>
    <row r="2201" spans="1:12" x14ac:dyDescent="0.45">
      <c r="A2201" t="s">
        <v>1022</v>
      </c>
      <c r="B2201" t="s">
        <v>901</v>
      </c>
      <c r="C2201" t="s">
        <v>744</v>
      </c>
      <c r="D2201" t="s">
        <v>29</v>
      </c>
      <c r="E2201">
        <v>4142</v>
      </c>
      <c r="F2201">
        <v>4142</v>
      </c>
      <c r="G2201">
        <v>4035</v>
      </c>
      <c r="H2201">
        <v>107</v>
      </c>
      <c r="I2201">
        <v>2023</v>
      </c>
      <c r="J2201">
        <v>45</v>
      </c>
      <c r="K2201">
        <f>allFYsTable[[#This Row],[Actual]]-allFYsTable[[#This Row],[OriginalBudget]]</f>
        <v>-107</v>
      </c>
      <c r="L2201" s="11">
        <f>allFYsTable[[#This Row],[DiffAmount]]/allFYsTable[[#This Row],[OriginalBudget]]</f>
        <v>-2.5832930951231289E-2</v>
      </c>
    </row>
    <row r="2202" spans="1:12" x14ac:dyDescent="0.45">
      <c r="A2202" t="s">
        <v>1022</v>
      </c>
      <c r="B2202" t="s">
        <v>901</v>
      </c>
      <c r="C2202" t="s">
        <v>745</v>
      </c>
      <c r="D2202" t="s">
        <v>30</v>
      </c>
      <c r="E2202">
        <v>2034</v>
      </c>
      <c r="F2202">
        <v>2009</v>
      </c>
      <c r="G2202">
        <v>1913</v>
      </c>
      <c r="H2202">
        <v>96</v>
      </c>
      <c r="I2202">
        <v>2023</v>
      </c>
      <c r="J2202">
        <v>46</v>
      </c>
      <c r="K2202">
        <f>allFYsTable[[#This Row],[Actual]]-allFYsTable[[#This Row],[OriginalBudget]]</f>
        <v>-121</v>
      </c>
      <c r="L2202" s="11">
        <f>allFYsTable[[#This Row],[DiffAmount]]/allFYsTable[[#This Row],[OriginalBudget]]</f>
        <v>-5.9488692232055065E-2</v>
      </c>
    </row>
    <row r="2203" spans="1:12" x14ac:dyDescent="0.45">
      <c r="A2203" t="s">
        <v>1022</v>
      </c>
      <c r="B2203" t="s">
        <v>901</v>
      </c>
      <c r="C2203" t="s">
        <v>735</v>
      </c>
      <c r="D2203" t="s">
        <v>31</v>
      </c>
      <c r="E2203">
        <v>1357</v>
      </c>
      <c r="F2203">
        <v>1454</v>
      </c>
      <c r="G2203">
        <v>1454</v>
      </c>
      <c r="H2203">
        <v>0</v>
      </c>
      <c r="I2203">
        <v>2023</v>
      </c>
      <c r="J2203">
        <v>47</v>
      </c>
      <c r="K2203">
        <f>allFYsTable[[#This Row],[Actual]]-allFYsTable[[#This Row],[OriginalBudget]]</f>
        <v>97</v>
      </c>
      <c r="L2203" s="11">
        <f>allFYsTable[[#This Row],[DiffAmount]]/allFYsTable[[#This Row],[OriginalBudget]]</f>
        <v>7.1481208548268241E-2</v>
      </c>
    </row>
    <row r="2204" spans="1:12" x14ac:dyDescent="0.45">
      <c r="A2204" t="s">
        <v>1022</v>
      </c>
      <c r="B2204" t="s">
        <v>6</v>
      </c>
      <c r="C2204" t="s">
        <v>746</v>
      </c>
      <c r="D2204" t="s">
        <v>32</v>
      </c>
      <c r="E2204">
        <v>649</v>
      </c>
      <c r="F2204">
        <v>649</v>
      </c>
      <c r="G2204">
        <v>649</v>
      </c>
      <c r="H2204">
        <v>0</v>
      </c>
      <c r="I2204">
        <v>2023</v>
      </c>
      <c r="J2204">
        <v>48</v>
      </c>
      <c r="K2204">
        <f>allFYsTable[[#This Row],[Actual]]-allFYsTable[[#This Row],[OriginalBudget]]</f>
        <v>0</v>
      </c>
      <c r="L2204" s="11">
        <f>allFYsTable[[#This Row],[DiffAmount]]/allFYsTable[[#This Row],[OriginalBudget]]</f>
        <v>0</v>
      </c>
    </row>
    <row r="2205" spans="1:12" x14ac:dyDescent="0.45">
      <c r="A2205" t="s">
        <v>1022</v>
      </c>
      <c r="B2205" t="s">
        <v>6</v>
      </c>
      <c r="C2205" t="s">
        <v>747</v>
      </c>
      <c r="D2205" t="s">
        <v>33</v>
      </c>
      <c r="E2205">
        <v>1158</v>
      </c>
      <c r="F2205">
        <v>1148</v>
      </c>
      <c r="G2205">
        <v>1134</v>
      </c>
      <c r="H2205">
        <v>14</v>
      </c>
      <c r="I2205">
        <v>2023</v>
      </c>
      <c r="J2205">
        <v>49</v>
      </c>
      <c r="K2205">
        <f>allFYsTable[[#This Row],[Actual]]-allFYsTable[[#This Row],[OriginalBudget]]</f>
        <v>-24</v>
      </c>
      <c r="L2205" s="11">
        <f>allFYsTable[[#This Row],[DiffAmount]]/allFYsTable[[#This Row],[OriginalBudget]]</f>
        <v>-2.072538860103627E-2</v>
      </c>
    </row>
    <row r="2206" spans="1:12" x14ac:dyDescent="0.45">
      <c r="A2206" t="s">
        <v>1022</v>
      </c>
      <c r="B2206" t="s">
        <v>6</v>
      </c>
      <c r="C2206" t="s">
        <v>748</v>
      </c>
      <c r="D2206" t="s">
        <v>34</v>
      </c>
      <c r="E2206">
        <v>960</v>
      </c>
      <c r="F2206">
        <v>923</v>
      </c>
      <c r="G2206">
        <v>923</v>
      </c>
      <c r="H2206">
        <v>0</v>
      </c>
      <c r="I2206">
        <v>2023</v>
      </c>
      <c r="J2206">
        <v>50</v>
      </c>
      <c r="K2206">
        <f>allFYsTable[[#This Row],[Actual]]-allFYsTable[[#This Row],[OriginalBudget]]</f>
        <v>-37</v>
      </c>
      <c r="L2206" s="11">
        <f>allFYsTable[[#This Row],[DiffAmount]]/allFYsTable[[#This Row],[OriginalBudget]]</f>
        <v>-3.8541666666666669E-2</v>
      </c>
    </row>
    <row r="2207" spans="1:12" x14ac:dyDescent="0.45">
      <c r="A2207" t="s">
        <v>1022</v>
      </c>
      <c r="B2207" t="s">
        <v>6</v>
      </c>
      <c r="C2207" t="s">
        <v>749</v>
      </c>
      <c r="D2207" t="s">
        <v>35</v>
      </c>
      <c r="E2207">
        <v>2180</v>
      </c>
      <c r="F2207">
        <v>1680</v>
      </c>
      <c r="G2207">
        <v>1429</v>
      </c>
      <c r="H2207">
        <v>251</v>
      </c>
      <c r="I2207">
        <v>2023</v>
      </c>
      <c r="J2207">
        <v>51</v>
      </c>
      <c r="K2207">
        <f>allFYsTable[[#This Row],[Actual]]-allFYsTable[[#This Row],[OriginalBudget]]</f>
        <v>-751</v>
      </c>
      <c r="L2207" s="11">
        <f>allFYsTable[[#This Row],[DiffAmount]]/allFYsTable[[#This Row],[OriginalBudget]]</f>
        <v>-0.34449541284403667</v>
      </c>
    </row>
    <row r="2208" spans="1:12" x14ac:dyDescent="0.45">
      <c r="A2208" t="s">
        <v>1022</v>
      </c>
      <c r="B2208" t="s">
        <v>6</v>
      </c>
      <c r="C2208" t="s">
        <v>750</v>
      </c>
      <c r="D2208" t="s">
        <v>36</v>
      </c>
      <c r="E2208">
        <v>185526</v>
      </c>
      <c r="F2208">
        <v>178452</v>
      </c>
      <c r="G2208">
        <v>176677</v>
      </c>
      <c r="H2208">
        <v>1775</v>
      </c>
      <c r="I2208">
        <v>2023</v>
      </c>
      <c r="J2208">
        <v>52</v>
      </c>
      <c r="K2208">
        <f>allFYsTable[[#This Row],[Actual]]-allFYsTable[[#This Row],[OriginalBudget]]</f>
        <v>-8849</v>
      </c>
      <c r="L2208" s="11">
        <f>allFYsTable[[#This Row],[DiffAmount]]/allFYsTable[[#This Row],[OriginalBudget]]</f>
        <v>-4.7696818774726993E-2</v>
      </c>
    </row>
    <row r="2209" spans="1:12" x14ac:dyDescent="0.45">
      <c r="A2209" t="s">
        <v>1022</v>
      </c>
      <c r="B2209" t="s">
        <v>6</v>
      </c>
      <c r="C2209" t="s">
        <v>751</v>
      </c>
      <c r="D2209" t="s">
        <v>37</v>
      </c>
      <c r="E2209">
        <v>30945</v>
      </c>
      <c r="F2209">
        <v>28445</v>
      </c>
      <c r="G2209">
        <v>27691</v>
      </c>
      <c r="H2209">
        <v>754</v>
      </c>
      <c r="I2209">
        <v>2023</v>
      </c>
      <c r="J2209">
        <v>53</v>
      </c>
      <c r="K2209">
        <f>allFYsTable[[#This Row],[Actual]]-allFYsTable[[#This Row],[OriginalBudget]]</f>
        <v>-3254</v>
      </c>
      <c r="L2209" s="11">
        <f>allFYsTable[[#This Row],[DiffAmount]]/allFYsTable[[#This Row],[OriginalBudget]]</f>
        <v>-0.10515430602682178</v>
      </c>
    </row>
    <row r="2210" spans="1:12" x14ac:dyDescent="0.45">
      <c r="A2210" t="s">
        <v>1022</v>
      </c>
      <c r="B2210" t="s">
        <v>6</v>
      </c>
      <c r="C2210" t="s">
        <v>752</v>
      </c>
      <c r="D2210" t="s">
        <v>38</v>
      </c>
      <c r="E2210">
        <v>89190</v>
      </c>
      <c r="F2210">
        <v>89229</v>
      </c>
      <c r="G2210">
        <v>89036</v>
      </c>
      <c r="H2210">
        <v>193</v>
      </c>
      <c r="I2210">
        <v>2023</v>
      </c>
      <c r="J2210">
        <v>54</v>
      </c>
      <c r="K2210">
        <f>allFYsTable[[#This Row],[Actual]]-allFYsTable[[#This Row],[OriginalBudget]]</f>
        <v>-154</v>
      </c>
      <c r="L2210" s="11">
        <f>allFYsTable[[#This Row],[DiffAmount]]/allFYsTable[[#This Row],[OriginalBudget]]</f>
        <v>-1.7266509698396681E-3</v>
      </c>
    </row>
    <row r="2211" spans="1:12" x14ac:dyDescent="0.45">
      <c r="A2211" t="s">
        <v>1022</v>
      </c>
      <c r="B2211" t="s">
        <v>6</v>
      </c>
      <c r="C2211" t="s">
        <v>753</v>
      </c>
      <c r="D2211" t="s">
        <v>39</v>
      </c>
      <c r="E2211">
        <v>5830</v>
      </c>
      <c r="F2211">
        <v>5677</v>
      </c>
      <c r="G2211">
        <v>5553</v>
      </c>
      <c r="H2211">
        <v>124</v>
      </c>
      <c r="I2211">
        <v>2023</v>
      </c>
      <c r="J2211">
        <v>55</v>
      </c>
      <c r="K2211">
        <f>allFYsTable[[#This Row],[Actual]]-allFYsTable[[#This Row],[OriginalBudget]]</f>
        <v>-277</v>
      </c>
      <c r="L2211" s="11">
        <f>allFYsTable[[#This Row],[DiffAmount]]/allFYsTable[[#This Row],[OriginalBudget]]</f>
        <v>-4.7512864493996568E-2</v>
      </c>
    </row>
    <row r="2212" spans="1:12" x14ac:dyDescent="0.45">
      <c r="A2212" t="s">
        <v>1022</v>
      </c>
      <c r="B2212" t="s">
        <v>6</v>
      </c>
      <c r="C2212" t="s">
        <v>754</v>
      </c>
      <c r="D2212" t="s">
        <v>902</v>
      </c>
      <c r="E2212">
        <v>1618</v>
      </c>
      <c r="F2212">
        <v>1580</v>
      </c>
      <c r="G2212">
        <v>1579</v>
      </c>
      <c r="H2212">
        <v>1</v>
      </c>
      <c r="I2212">
        <v>2023</v>
      </c>
      <c r="J2212">
        <v>56</v>
      </c>
      <c r="K2212">
        <f>allFYsTable[[#This Row],[Actual]]-allFYsTable[[#This Row],[OriginalBudget]]</f>
        <v>-39</v>
      </c>
      <c r="L2212" s="11">
        <f>allFYsTable[[#This Row],[DiffAmount]]/allFYsTable[[#This Row],[OriginalBudget]]</f>
        <v>-2.4103831891223733E-2</v>
      </c>
    </row>
    <row r="2213" spans="1:12" x14ac:dyDescent="0.45">
      <c r="A2213" t="s">
        <v>1022</v>
      </c>
      <c r="B2213" t="s">
        <v>6</v>
      </c>
      <c r="C2213" t="s">
        <v>755</v>
      </c>
      <c r="D2213" t="s">
        <v>41</v>
      </c>
      <c r="E2213">
        <v>268598</v>
      </c>
      <c r="F2213">
        <v>287377</v>
      </c>
      <c r="G2213">
        <v>284440</v>
      </c>
      <c r="H2213">
        <v>2937</v>
      </c>
      <c r="I2213">
        <v>2023</v>
      </c>
      <c r="J2213">
        <v>57</v>
      </c>
      <c r="K2213">
        <f>allFYsTable[[#This Row],[Actual]]-allFYsTable[[#This Row],[OriginalBudget]]</f>
        <v>15842</v>
      </c>
      <c r="L2213" s="11">
        <f>allFYsTable[[#This Row],[DiffAmount]]/allFYsTable[[#This Row],[OriginalBudget]]</f>
        <v>5.8980334924310679E-2</v>
      </c>
    </row>
    <row r="2214" spans="1:12" x14ac:dyDescent="0.45">
      <c r="A2214" t="s">
        <v>1022</v>
      </c>
      <c r="B2214" t="s">
        <v>6</v>
      </c>
      <c r="C2214" t="s">
        <v>756</v>
      </c>
      <c r="D2214" t="s">
        <v>42</v>
      </c>
      <c r="E2214">
        <v>6019</v>
      </c>
      <c r="F2214">
        <v>9189</v>
      </c>
      <c r="G2214">
        <v>8883</v>
      </c>
      <c r="H2214">
        <v>306</v>
      </c>
      <c r="I2214">
        <v>2023</v>
      </c>
      <c r="J2214">
        <v>58</v>
      </c>
      <c r="K2214">
        <f>allFYsTable[[#This Row],[Actual]]-allFYsTable[[#This Row],[OriginalBudget]]</f>
        <v>2864</v>
      </c>
      <c r="L2214" s="11">
        <f>allFYsTable[[#This Row],[DiffAmount]]/allFYsTable[[#This Row],[OriginalBudget]]</f>
        <v>0.47582654926067453</v>
      </c>
    </row>
    <row r="2215" spans="1:12" x14ac:dyDescent="0.45">
      <c r="A2215" t="s">
        <v>1022</v>
      </c>
      <c r="B2215" t="s">
        <v>6</v>
      </c>
      <c r="C2215" t="s">
        <v>757</v>
      </c>
      <c r="D2215" t="s">
        <v>43</v>
      </c>
      <c r="E2215">
        <v>8</v>
      </c>
      <c r="F2215">
        <v>37</v>
      </c>
      <c r="G2215">
        <v>37</v>
      </c>
      <c r="H2215">
        <v>0</v>
      </c>
      <c r="I2215">
        <v>2023</v>
      </c>
      <c r="J2215">
        <v>59</v>
      </c>
      <c r="K2215">
        <f>allFYsTable[[#This Row],[Actual]]-allFYsTable[[#This Row],[OriginalBudget]]</f>
        <v>29</v>
      </c>
      <c r="L2215" s="11">
        <f>allFYsTable[[#This Row],[DiffAmount]]/allFYsTable[[#This Row],[OriginalBudget]]</f>
        <v>3.625</v>
      </c>
    </row>
    <row r="2216" spans="1:12" x14ac:dyDescent="0.45">
      <c r="A2216" t="s">
        <v>1022</v>
      </c>
      <c r="B2216" t="s">
        <v>6</v>
      </c>
      <c r="C2216" t="s">
        <v>758</v>
      </c>
      <c r="D2216" t="s">
        <v>44</v>
      </c>
      <c r="E2216">
        <v>515696</v>
      </c>
      <c r="F2216">
        <v>633673</v>
      </c>
      <c r="G2216">
        <v>633411</v>
      </c>
      <c r="H2216">
        <v>262</v>
      </c>
      <c r="I2216">
        <v>2023</v>
      </c>
      <c r="J2216">
        <v>60</v>
      </c>
      <c r="K2216">
        <f>allFYsTable[[#This Row],[Actual]]-allFYsTable[[#This Row],[OriginalBudget]]</f>
        <v>117715</v>
      </c>
      <c r="L2216" s="11">
        <f>allFYsTable[[#This Row],[DiffAmount]]/allFYsTable[[#This Row],[OriginalBudget]]</f>
        <v>0.2282643262697403</v>
      </c>
    </row>
    <row r="2217" spans="1:12" x14ac:dyDescent="0.45">
      <c r="A2217" t="s">
        <v>1022</v>
      </c>
      <c r="B2217" t="s">
        <v>6</v>
      </c>
      <c r="C2217" t="s">
        <v>759</v>
      </c>
      <c r="D2217" t="s">
        <v>133</v>
      </c>
      <c r="E2217">
        <v>11691</v>
      </c>
      <c r="F2217">
        <v>11195</v>
      </c>
      <c r="G2217">
        <v>10773</v>
      </c>
      <c r="H2217">
        <v>422</v>
      </c>
      <c r="I2217">
        <v>2023</v>
      </c>
      <c r="J2217">
        <v>61</v>
      </c>
      <c r="K2217">
        <f>allFYsTable[[#This Row],[Actual]]-allFYsTable[[#This Row],[OriginalBudget]]</f>
        <v>-918</v>
      </c>
      <c r="L2217" s="11">
        <f>allFYsTable[[#This Row],[DiffAmount]]/allFYsTable[[#This Row],[OriginalBudget]]</f>
        <v>-7.8521939953810627E-2</v>
      </c>
    </row>
    <row r="2218" spans="1:12" x14ac:dyDescent="0.45">
      <c r="A2218" t="s">
        <v>1022</v>
      </c>
      <c r="B2218" t="s">
        <v>6</v>
      </c>
      <c r="C2218" t="s">
        <v>760</v>
      </c>
      <c r="D2218" t="s">
        <v>46</v>
      </c>
      <c r="E2218">
        <v>9263</v>
      </c>
      <c r="F2218">
        <v>8015</v>
      </c>
      <c r="G2218">
        <v>7264</v>
      </c>
      <c r="H2218">
        <v>751</v>
      </c>
      <c r="I2218">
        <v>2023</v>
      </c>
      <c r="J2218">
        <v>62</v>
      </c>
      <c r="K2218">
        <f>allFYsTable[[#This Row],[Actual]]-allFYsTable[[#This Row],[OriginalBudget]]</f>
        <v>-1999</v>
      </c>
      <c r="L2218" s="11">
        <f>allFYsTable[[#This Row],[DiffAmount]]/allFYsTable[[#This Row],[OriginalBudget]]</f>
        <v>-0.21580481485479866</v>
      </c>
    </row>
    <row r="2219" spans="1:12" x14ac:dyDescent="0.45">
      <c r="A2219" t="s">
        <v>1022</v>
      </c>
      <c r="B2219" t="s">
        <v>6</v>
      </c>
      <c r="C2219" t="s">
        <v>761</v>
      </c>
      <c r="D2219" t="s">
        <v>47</v>
      </c>
      <c r="E2219">
        <v>20210</v>
      </c>
      <c r="F2219">
        <v>16521</v>
      </c>
      <c r="G2219">
        <v>14517</v>
      </c>
      <c r="H2219">
        <v>2004</v>
      </c>
      <c r="I2219">
        <v>2023</v>
      </c>
      <c r="J2219">
        <v>63</v>
      </c>
      <c r="K2219">
        <f>allFYsTable[[#This Row],[Actual]]-allFYsTable[[#This Row],[OriginalBudget]]</f>
        <v>-5693</v>
      </c>
      <c r="L2219" s="11">
        <f>allFYsTable[[#This Row],[DiffAmount]]/allFYsTable[[#This Row],[OriginalBudget]]</f>
        <v>-0.2816922315685304</v>
      </c>
    </row>
    <row r="2220" spans="1:12" x14ac:dyDescent="0.45">
      <c r="A2220" t="s">
        <v>1022</v>
      </c>
      <c r="B2220" t="s">
        <v>6</v>
      </c>
      <c r="C2220" t="s">
        <v>762</v>
      </c>
      <c r="D2220" t="s">
        <v>48</v>
      </c>
      <c r="E2220">
        <v>2965</v>
      </c>
      <c r="F2220">
        <v>2830</v>
      </c>
      <c r="G2220">
        <v>2547</v>
      </c>
      <c r="H2220">
        <v>283</v>
      </c>
      <c r="I2220">
        <v>2023</v>
      </c>
      <c r="J2220">
        <v>64</v>
      </c>
      <c r="K2220">
        <f>allFYsTable[[#This Row],[Actual]]-allFYsTable[[#This Row],[OriginalBudget]]</f>
        <v>-418</v>
      </c>
      <c r="L2220" s="11">
        <f>allFYsTable[[#This Row],[DiffAmount]]/allFYsTable[[#This Row],[OriginalBudget]]</f>
        <v>-0.14097807757166947</v>
      </c>
    </row>
    <row r="2221" spans="1:12" x14ac:dyDescent="0.45">
      <c r="A2221" t="s">
        <v>1022</v>
      </c>
      <c r="B2221" t="s">
        <v>6</v>
      </c>
      <c r="C2221" t="s">
        <v>763</v>
      </c>
      <c r="D2221" t="s">
        <v>49</v>
      </c>
      <c r="E2221">
        <v>2134</v>
      </c>
      <c r="F2221">
        <v>2034</v>
      </c>
      <c r="G2221">
        <v>1889</v>
      </c>
      <c r="H2221">
        <v>145</v>
      </c>
      <c r="I2221">
        <v>2023</v>
      </c>
      <c r="J2221">
        <v>65</v>
      </c>
      <c r="K2221">
        <f>allFYsTable[[#This Row],[Actual]]-allFYsTable[[#This Row],[OriginalBudget]]</f>
        <v>-245</v>
      </c>
      <c r="L2221" s="11">
        <f>allFYsTable[[#This Row],[DiffAmount]]/allFYsTable[[#This Row],[OriginalBudget]]</f>
        <v>-0.1148078725398313</v>
      </c>
    </row>
    <row r="2222" spans="1:12" x14ac:dyDescent="0.45">
      <c r="A2222" t="s">
        <v>1022</v>
      </c>
      <c r="B2222" t="s">
        <v>6</v>
      </c>
      <c r="C2222" t="s">
        <v>764</v>
      </c>
      <c r="D2222" t="s">
        <v>50</v>
      </c>
      <c r="E2222">
        <v>14793</v>
      </c>
      <c r="F2222">
        <v>14573</v>
      </c>
      <c r="G2222">
        <v>14322</v>
      </c>
      <c r="H2222">
        <v>251</v>
      </c>
      <c r="I2222">
        <v>2023</v>
      </c>
      <c r="J2222">
        <v>66</v>
      </c>
      <c r="K2222">
        <f>allFYsTable[[#This Row],[Actual]]-allFYsTable[[#This Row],[OriginalBudget]]</f>
        <v>-471</v>
      </c>
      <c r="L2222" s="11">
        <f>allFYsTable[[#This Row],[DiffAmount]]/allFYsTable[[#This Row],[OriginalBudget]]</f>
        <v>-3.1839383492192251E-2</v>
      </c>
    </row>
    <row r="2223" spans="1:12" x14ac:dyDescent="0.45">
      <c r="A2223" t="s">
        <v>1022</v>
      </c>
      <c r="B2223" t="s">
        <v>6</v>
      </c>
      <c r="C2223" t="s">
        <v>765</v>
      </c>
      <c r="D2223" t="s">
        <v>51</v>
      </c>
      <c r="E2223">
        <v>2990</v>
      </c>
      <c r="F2223">
        <v>3394</v>
      </c>
      <c r="G2223">
        <v>2334</v>
      </c>
      <c r="H2223">
        <v>1060</v>
      </c>
      <c r="I2223">
        <v>2023</v>
      </c>
      <c r="J2223">
        <v>67</v>
      </c>
      <c r="K2223">
        <f>allFYsTable[[#This Row],[Actual]]-allFYsTable[[#This Row],[OriginalBudget]]</f>
        <v>-656</v>
      </c>
      <c r="L2223" s="11">
        <f>allFYsTable[[#This Row],[DiffAmount]]/allFYsTable[[#This Row],[OriginalBudget]]</f>
        <v>-0.21939799331103679</v>
      </c>
    </row>
    <row r="2224" spans="1:12" x14ac:dyDescent="0.45">
      <c r="A2224" t="s">
        <v>1022</v>
      </c>
      <c r="B2224" t="s">
        <v>6</v>
      </c>
      <c r="C2224" t="s">
        <v>766</v>
      </c>
      <c r="D2224" t="s">
        <v>52</v>
      </c>
      <c r="E2224">
        <v>46145</v>
      </c>
      <c r="F2224">
        <v>43230</v>
      </c>
      <c r="G2224">
        <v>39917</v>
      </c>
      <c r="H2224">
        <v>3313</v>
      </c>
      <c r="I2224">
        <v>2023</v>
      </c>
      <c r="J2224">
        <v>68</v>
      </c>
      <c r="K2224">
        <f>allFYsTable[[#This Row],[Actual]]-allFYsTable[[#This Row],[OriginalBudget]]</f>
        <v>-6228</v>
      </c>
      <c r="L2224" s="11">
        <f>allFYsTable[[#This Row],[DiffAmount]]/allFYsTable[[#This Row],[OriginalBudget]]</f>
        <v>-0.13496586845812114</v>
      </c>
    </row>
    <row r="2225" spans="1:12" x14ac:dyDescent="0.45">
      <c r="A2225" t="s">
        <v>1022</v>
      </c>
      <c r="B2225" t="s">
        <v>6</v>
      </c>
      <c r="C2225" t="s">
        <v>767</v>
      </c>
      <c r="D2225" t="s">
        <v>53</v>
      </c>
      <c r="E2225">
        <v>82198</v>
      </c>
      <c r="F2225">
        <v>84860</v>
      </c>
      <c r="G2225">
        <v>81212</v>
      </c>
      <c r="H2225">
        <v>3648</v>
      </c>
      <c r="I2225">
        <v>2023</v>
      </c>
      <c r="J2225">
        <v>69</v>
      </c>
      <c r="K2225">
        <f>allFYsTable[[#This Row],[Actual]]-allFYsTable[[#This Row],[OriginalBudget]]</f>
        <v>-986</v>
      </c>
      <c r="L2225" s="11">
        <f>allFYsTable[[#This Row],[DiffAmount]]/allFYsTable[[#This Row],[OriginalBudget]]</f>
        <v>-1.1995425679456922E-2</v>
      </c>
    </row>
    <row r="2226" spans="1:12" x14ac:dyDescent="0.45">
      <c r="A2226" t="s">
        <v>1022</v>
      </c>
      <c r="B2226" t="s">
        <v>6</v>
      </c>
      <c r="C2226" t="s">
        <v>768</v>
      </c>
      <c r="D2226" t="s">
        <v>54</v>
      </c>
      <c r="E2226">
        <v>77508</v>
      </c>
      <c r="F2226">
        <v>77508</v>
      </c>
      <c r="G2226">
        <v>77508</v>
      </c>
      <c r="H2226">
        <v>0</v>
      </c>
      <c r="I2226">
        <v>2023</v>
      </c>
      <c r="J2226">
        <v>70</v>
      </c>
      <c r="K2226">
        <f>allFYsTable[[#This Row],[Actual]]-allFYsTable[[#This Row],[OriginalBudget]]</f>
        <v>0</v>
      </c>
      <c r="L2226" s="11">
        <f>allFYsTable[[#This Row],[DiffAmount]]/allFYsTable[[#This Row],[OriginalBudget]]</f>
        <v>0</v>
      </c>
    </row>
    <row r="2227" spans="1:12" x14ac:dyDescent="0.45">
      <c r="A2227" t="s">
        <v>1022</v>
      </c>
      <c r="B2227" t="s">
        <v>6</v>
      </c>
      <c r="C2227" t="s">
        <v>867</v>
      </c>
      <c r="D2227" t="s">
        <v>214</v>
      </c>
      <c r="E2227">
        <v>0</v>
      </c>
      <c r="F2227">
        <v>35000</v>
      </c>
      <c r="G2227">
        <v>34750</v>
      </c>
      <c r="H2227">
        <v>250</v>
      </c>
      <c r="I2227">
        <v>2023</v>
      </c>
      <c r="J2227">
        <v>71</v>
      </c>
      <c r="K2227">
        <f>allFYsTable[[#This Row],[Actual]]-allFYsTable[[#This Row],[OriginalBudget]]</f>
        <v>34750</v>
      </c>
      <c r="L2227" s="11" t="e">
        <f>allFYsTable[[#This Row],[DiffAmount]]/allFYsTable[[#This Row],[OriginalBudget]]</f>
        <v>#DIV/0!</v>
      </c>
    </row>
    <row r="2228" spans="1:12" x14ac:dyDescent="0.45">
      <c r="A2228" t="s">
        <v>1022</v>
      </c>
      <c r="B2228" t="s">
        <v>7</v>
      </c>
      <c r="C2228" t="s">
        <v>769</v>
      </c>
      <c r="D2228" t="s">
        <v>13</v>
      </c>
      <c r="E2228">
        <v>71458</v>
      </c>
      <c r="F2228">
        <v>86826</v>
      </c>
      <c r="G2228">
        <v>83688</v>
      </c>
      <c r="H2228">
        <v>3138</v>
      </c>
      <c r="I2228">
        <v>2023</v>
      </c>
      <c r="J2228">
        <v>72</v>
      </c>
      <c r="K2228">
        <f>allFYsTable[[#This Row],[Actual]]-allFYsTable[[#This Row],[OriginalBudget]]</f>
        <v>12230</v>
      </c>
      <c r="L2228" s="11">
        <f>allFYsTable[[#This Row],[DiffAmount]]/allFYsTable[[#This Row],[OriginalBudget]]</f>
        <v>0.17114948641159841</v>
      </c>
    </row>
    <row r="2229" spans="1:12" x14ac:dyDescent="0.45">
      <c r="A2229" t="s">
        <v>1022</v>
      </c>
      <c r="B2229" t="s">
        <v>7</v>
      </c>
      <c r="C2229" t="s">
        <v>770</v>
      </c>
      <c r="D2229" t="s">
        <v>56</v>
      </c>
      <c r="E2229">
        <v>82459</v>
      </c>
      <c r="F2229">
        <v>77774</v>
      </c>
      <c r="G2229">
        <v>77377</v>
      </c>
      <c r="H2229">
        <v>397</v>
      </c>
      <c r="I2229">
        <v>2023</v>
      </c>
      <c r="J2229">
        <v>73</v>
      </c>
      <c r="K2229">
        <f>allFYsTable[[#This Row],[Actual]]-allFYsTable[[#This Row],[OriginalBudget]]</f>
        <v>-5082</v>
      </c>
      <c r="L2229" s="11">
        <f>allFYsTable[[#This Row],[DiffAmount]]/allFYsTable[[#This Row],[OriginalBudget]]</f>
        <v>-6.163062855479693E-2</v>
      </c>
    </row>
    <row r="2230" spans="1:12" x14ac:dyDescent="0.45">
      <c r="A2230" t="s">
        <v>1022</v>
      </c>
      <c r="B2230" t="s">
        <v>7</v>
      </c>
      <c r="C2230" t="s">
        <v>771</v>
      </c>
      <c r="D2230" t="s">
        <v>57</v>
      </c>
      <c r="E2230">
        <v>0</v>
      </c>
      <c r="F2230">
        <v>0</v>
      </c>
      <c r="G2230">
        <v>0</v>
      </c>
      <c r="H2230">
        <v>0</v>
      </c>
      <c r="I2230">
        <v>2023</v>
      </c>
      <c r="J2230">
        <v>74</v>
      </c>
      <c r="K2230">
        <f>allFYsTable[[#This Row],[Actual]]-allFYsTable[[#This Row],[OriginalBudget]]</f>
        <v>0</v>
      </c>
      <c r="L2230" s="11" t="e">
        <f>allFYsTable[[#This Row],[DiffAmount]]/allFYsTable[[#This Row],[OriginalBudget]]</f>
        <v>#DIV/0!</v>
      </c>
    </row>
    <row r="2231" spans="1:12" x14ac:dyDescent="0.45">
      <c r="A2231" t="s">
        <v>1022</v>
      </c>
      <c r="B2231" t="s">
        <v>7</v>
      </c>
      <c r="C2231" t="s">
        <v>772</v>
      </c>
      <c r="D2231" t="s">
        <v>903</v>
      </c>
      <c r="E2231">
        <v>1108274</v>
      </c>
      <c r="F2231">
        <v>724839</v>
      </c>
      <c r="G2231">
        <v>724839</v>
      </c>
      <c r="H2231">
        <v>0</v>
      </c>
      <c r="I2231">
        <v>2023</v>
      </c>
      <c r="J2231">
        <v>75</v>
      </c>
      <c r="K2231">
        <f>allFYsTable[[#This Row],[Actual]]-allFYsTable[[#This Row],[OriginalBudget]]</f>
        <v>-383435</v>
      </c>
      <c r="L2231" s="11">
        <f>allFYsTable[[#This Row],[DiffAmount]]/allFYsTable[[#This Row],[OriginalBudget]]</f>
        <v>-0.34597491234117195</v>
      </c>
    </row>
    <row r="2232" spans="1:12" x14ac:dyDescent="0.45">
      <c r="A2232" t="s">
        <v>1022</v>
      </c>
      <c r="B2232" t="s">
        <v>7</v>
      </c>
      <c r="C2232" t="s">
        <v>869</v>
      </c>
      <c r="D2232" t="s">
        <v>904</v>
      </c>
      <c r="E2232">
        <v>0</v>
      </c>
      <c r="F2232">
        <v>413326</v>
      </c>
      <c r="G2232">
        <v>413326</v>
      </c>
      <c r="H2232">
        <v>0</v>
      </c>
      <c r="I2232">
        <v>2023</v>
      </c>
      <c r="J2232">
        <v>76</v>
      </c>
      <c r="K2232">
        <f>allFYsTable[[#This Row],[Actual]]-allFYsTable[[#This Row],[OriginalBudget]]</f>
        <v>413326</v>
      </c>
      <c r="L2232" s="11" t="e">
        <f>allFYsTable[[#This Row],[DiffAmount]]/allFYsTable[[#This Row],[OriginalBudget]]</f>
        <v>#DIV/0!</v>
      </c>
    </row>
    <row r="2233" spans="1:12" x14ac:dyDescent="0.45">
      <c r="A2233" t="s">
        <v>1022</v>
      </c>
      <c r="B2233" t="s">
        <v>7</v>
      </c>
      <c r="C2233" t="s">
        <v>773</v>
      </c>
      <c r="D2233" t="s">
        <v>905</v>
      </c>
      <c r="E2233">
        <v>1103393</v>
      </c>
      <c r="F2233">
        <v>1231048</v>
      </c>
      <c r="G2233">
        <v>1231041</v>
      </c>
      <c r="H2233">
        <v>7</v>
      </c>
      <c r="I2233">
        <v>2023</v>
      </c>
      <c r="J2233">
        <v>77</v>
      </c>
      <c r="K2233">
        <f>allFYsTable[[#This Row],[Actual]]-allFYsTable[[#This Row],[OriginalBudget]]</f>
        <v>127648</v>
      </c>
      <c r="L2233" s="11">
        <f>allFYsTable[[#This Row],[DiffAmount]]/allFYsTable[[#This Row],[OriginalBudget]]</f>
        <v>0.11568679518539632</v>
      </c>
    </row>
    <row r="2234" spans="1:12" x14ac:dyDescent="0.45">
      <c r="A2234" t="s">
        <v>1022</v>
      </c>
      <c r="B2234" t="s">
        <v>7</v>
      </c>
      <c r="C2234" t="s">
        <v>870</v>
      </c>
      <c r="D2234" t="s">
        <v>906</v>
      </c>
      <c r="E2234">
        <v>0</v>
      </c>
      <c r="F2234">
        <v>12908</v>
      </c>
      <c r="G2234">
        <v>12908</v>
      </c>
      <c r="H2234">
        <v>0</v>
      </c>
      <c r="I2234">
        <v>2023</v>
      </c>
      <c r="J2234">
        <v>78</v>
      </c>
      <c r="K2234">
        <f>allFYsTable[[#This Row],[Actual]]-allFYsTable[[#This Row],[OriginalBudget]]</f>
        <v>12908</v>
      </c>
      <c r="L2234" s="11" t="e">
        <f>allFYsTable[[#This Row],[DiffAmount]]/allFYsTable[[#This Row],[OriginalBudget]]</f>
        <v>#DIV/0!</v>
      </c>
    </row>
    <row r="2235" spans="1:12" x14ac:dyDescent="0.45">
      <c r="A2235" t="s">
        <v>1022</v>
      </c>
      <c r="B2235" t="s">
        <v>7</v>
      </c>
      <c r="C2235" t="s">
        <v>774</v>
      </c>
      <c r="D2235" t="s">
        <v>907</v>
      </c>
      <c r="E2235">
        <v>74505</v>
      </c>
      <c r="F2235">
        <v>75133</v>
      </c>
      <c r="G2235">
        <v>74717</v>
      </c>
      <c r="H2235">
        <v>416</v>
      </c>
      <c r="I2235">
        <v>2023</v>
      </c>
      <c r="J2235">
        <v>79</v>
      </c>
      <c r="K2235">
        <f>allFYsTable[[#This Row],[Actual]]-allFYsTable[[#This Row],[OriginalBudget]]</f>
        <v>212</v>
      </c>
      <c r="L2235" s="11">
        <f>allFYsTable[[#This Row],[DiffAmount]]/allFYsTable[[#This Row],[OriginalBudget]]</f>
        <v>2.8454466143211865E-3</v>
      </c>
    </row>
    <row r="2236" spans="1:12" x14ac:dyDescent="0.45">
      <c r="A2236" t="s">
        <v>1022</v>
      </c>
      <c r="B2236" t="s">
        <v>7</v>
      </c>
      <c r="C2236" t="s">
        <v>776</v>
      </c>
      <c r="D2236" t="s">
        <v>908</v>
      </c>
      <c r="E2236">
        <v>1242</v>
      </c>
      <c r="F2236">
        <v>1242</v>
      </c>
      <c r="G2236">
        <v>1227</v>
      </c>
      <c r="H2236">
        <v>15</v>
      </c>
      <c r="I2236">
        <v>2023</v>
      </c>
      <c r="J2236">
        <v>80</v>
      </c>
      <c r="K2236">
        <f>allFYsTable[[#This Row],[Actual]]-allFYsTable[[#This Row],[OriginalBudget]]</f>
        <v>-15</v>
      </c>
      <c r="L2236" s="11">
        <f>allFYsTable[[#This Row],[DiffAmount]]/allFYsTable[[#This Row],[OriginalBudget]]</f>
        <v>-1.2077294685990338E-2</v>
      </c>
    </row>
    <row r="2237" spans="1:12" x14ac:dyDescent="0.45">
      <c r="A2237" t="s">
        <v>1022</v>
      </c>
      <c r="B2237" t="s">
        <v>7</v>
      </c>
      <c r="C2237" t="s">
        <v>777</v>
      </c>
      <c r="D2237" t="s">
        <v>64</v>
      </c>
      <c r="E2237">
        <v>58470</v>
      </c>
      <c r="F2237">
        <v>53820</v>
      </c>
      <c r="G2237">
        <v>53639</v>
      </c>
      <c r="H2237">
        <v>181</v>
      </c>
      <c r="I2237">
        <v>2023</v>
      </c>
      <c r="J2237">
        <v>81</v>
      </c>
      <c r="K2237">
        <f>allFYsTable[[#This Row],[Actual]]-allFYsTable[[#This Row],[OriginalBudget]]</f>
        <v>-4831</v>
      </c>
      <c r="L2237" s="11">
        <f>allFYsTable[[#This Row],[DiffAmount]]/allFYsTable[[#This Row],[OriginalBudget]]</f>
        <v>-8.2623567641525564E-2</v>
      </c>
    </row>
    <row r="2238" spans="1:12" x14ac:dyDescent="0.45">
      <c r="A2238" t="s">
        <v>1022</v>
      </c>
      <c r="B2238" t="s">
        <v>7</v>
      </c>
      <c r="C2238" t="s">
        <v>778</v>
      </c>
      <c r="D2238" t="s">
        <v>65</v>
      </c>
      <c r="E2238">
        <v>28812</v>
      </c>
      <c r="F2238">
        <v>28433</v>
      </c>
      <c r="G2238">
        <v>28430</v>
      </c>
      <c r="H2238">
        <v>3</v>
      </c>
      <c r="I2238">
        <v>2023</v>
      </c>
      <c r="J2238">
        <v>82</v>
      </c>
      <c r="K2238">
        <f>allFYsTable[[#This Row],[Actual]]-allFYsTable[[#This Row],[OriginalBudget]]</f>
        <v>-382</v>
      </c>
      <c r="L2238" s="11">
        <f>allFYsTable[[#This Row],[DiffAmount]]/allFYsTable[[#This Row],[OriginalBudget]]</f>
        <v>-1.3258364570317923E-2</v>
      </c>
    </row>
    <row r="2239" spans="1:12" x14ac:dyDescent="0.45">
      <c r="A2239" t="s">
        <v>1022</v>
      </c>
      <c r="B2239" t="s">
        <v>7</v>
      </c>
      <c r="C2239" t="s">
        <v>779</v>
      </c>
      <c r="D2239" t="s">
        <v>141</v>
      </c>
      <c r="E2239">
        <v>270196</v>
      </c>
      <c r="F2239">
        <v>331614</v>
      </c>
      <c r="G2239">
        <v>322445</v>
      </c>
      <c r="H2239">
        <v>9169</v>
      </c>
      <c r="I2239">
        <v>2023</v>
      </c>
      <c r="J2239">
        <v>83</v>
      </c>
      <c r="K2239">
        <f>allFYsTable[[#This Row],[Actual]]-allFYsTable[[#This Row],[OriginalBudget]]</f>
        <v>52249</v>
      </c>
      <c r="L2239" s="11">
        <f>allFYsTable[[#This Row],[DiffAmount]]/allFYsTable[[#This Row],[OriginalBudget]]</f>
        <v>0.19337443929591852</v>
      </c>
    </row>
    <row r="2240" spans="1:12" x14ac:dyDescent="0.45">
      <c r="A2240" t="s">
        <v>1022</v>
      </c>
      <c r="B2240" t="s">
        <v>7</v>
      </c>
      <c r="C2240" t="s">
        <v>780</v>
      </c>
      <c r="D2240" t="s">
        <v>143</v>
      </c>
      <c r="E2240">
        <v>113102</v>
      </c>
      <c r="F2240">
        <v>111002</v>
      </c>
      <c r="G2240">
        <v>111002</v>
      </c>
      <c r="H2240">
        <v>0</v>
      </c>
      <c r="I2240">
        <v>2023</v>
      </c>
      <c r="J2240">
        <v>84</v>
      </c>
      <c r="K2240">
        <f>allFYsTable[[#This Row],[Actual]]-allFYsTable[[#This Row],[OriginalBudget]]</f>
        <v>-2100</v>
      </c>
      <c r="L2240" s="11">
        <f>allFYsTable[[#This Row],[DiffAmount]]/allFYsTable[[#This Row],[OriginalBudget]]</f>
        <v>-1.8567310922883769E-2</v>
      </c>
    </row>
    <row r="2241" spans="1:12" x14ac:dyDescent="0.45">
      <c r="A2241" t="s">
        <v>1022</v>
      </c>
      <c r="B2241" t="s">
        <v>7</v>
      </c>
      <c r="C2241" t="s">
        <v>781</v>
      </c>
      <c r="D2241" t="s">
        <v>68</v>
      </c>
      <c r="E2241">
        <v>2717</v>
      </c>
      <c r="F2241">
        <v>2762</v>
      </c>
      <c r="G2241">
        <v>2505</v>
      </c>
      <c r="H2241">
        <v>257</v>
      </c>
      <c r="I2241">
        <v>2023</v>
      </c>
      <c r="J2241">
        <v>85</v>
      </c>
      <c r="K2241">
        <f>allFYsTable[[#This Row],[Actual]]-allFYsTable[[#This Row],[OriginalBudget]]</f>
        <v>-212</v>
      </c>
      <c r="L2241" s="11">
        <f>allFYsTable[[#This Row],[DiffAmount]]/allFYsTable[[#This Row],[OriginalBudget]]</f>
        <v>-7.8027235921972762E-2</v>
      </c>
    </row>
    <row r="2242" spans="1:12" x14ac:dyDescent="0.45">
      <c r="A2242" t="s">
        <v>1022</v>
      </c>
      <c r="B2242" t="s">
        <v>7</v>
      </c>
      <c r="C2242" t="s">
        <v>782</v>
      </c>
      <c r="D2242" t="s">
        <v>69</v>
      </c>
      <c r="E2242">
        <v>47835</v>
      </c>
      <c r="F2242">
        <v>47835</v>
      </c>
      <c r="G2242">
        <v>47639</v>
      </c>
      <c r="H2242">
        <v>196</v>
      </c>
      <c r="I2242">
        <v>2023</v>
      </c>
      <c r="J2242">
        <v>86</v>
      </c>
      <c r="K2242">
        <f>allFYsTable[[#This Row],[Actual]]-allFYsTable[[#This Row],[OriginalBudget]]</f>
        <v>-196</v>
      </c>
      <c r="L2242" s="11">
        <f>allFYsTable[[#This Row],[DiffAmount]]/allFYsTable[[#This Row],[OriginalBudget]]</f>
        <v>-4.0974182084247933E-3</v>
      </c>
    </row>
    <row r="2243" spans="1:12" x14ac:dyDescent="0.45">
      <c r="A2243" t="s">
        <v>1022</v>
      </c>
      <c r="B2243" t="s">
        <v>7</v>
      </c>
      <c r="C2243" t="s">
        <v>783</v>
      </c>
      <c r="D2243" t="s">
        <v>70</v>
      </c>
      <c r="E2243">
        <v>5480</v>
      </c>
      <c r="F2243">
        <v>3980</v>
      </c>
      <c r="G2243">
        <v>3619</v>
      </c>
      <c r="H2243">
        <v>361</v>
      </c>
      <c r="I2243">
        <v>2023</v>
      </c>
      <c r="J2243">
        <v>87</v>
      </c>
      <c r="K2243">
        <f>allFYsTable[[#This Row],[Actual]]-allFYsTable[[#This Row],[OriginalBudget]]</f>
        <v>-1861</v>
      </c>
      <c r="L2243" s="11">
        <f>allFYsTable[[#This Row],[DiffAmount]]/allFYsTable[[#This Row],[OriginalBudget]]</f>
        <v>-0.33959854014598539</v>
      </c>
    </row>
    <row r="2244" spans="1:12" x14ac:dyDescent="0.45">
      <c r="A2244" t="s">
        <v>1022</v>
      </c>
      <c r="B2244" t="s">
        <v>7</v>
      </c>
      <c r="C2244" t="s">
        <v>784</v>
      </c>
      <c r="D2244" t="s">
        <v>889</v>
      </c>
      <c r="E2244">
        <v>96031</v>
      </c>
      <c r="F2244">
        <v>96243</v>
      </c>
      <c r="G2244">
        <v>96243</v>
      </c>
      <c r="H2244">
        <v>0</v>
      </c>
      <c r="I2244">
        <v>2023</v>
      </c>
      <c r="J2244">
        <v>88</v>
      </c>
      <c r="K2244">
        <f>allFYsTable[[#This Row],[Actual]]-allFYsTable[[#This Row],[OriginalBudget]]</f>
        <v>212</v>
      </c>
      <c r="L2244" s="11">
        <f>allFYsTable[[#This Row],[DiffAmount]]/allFYsTable[[#This Row],[OriginalBudget]]</f>
        <v>2.2076204558944506E-3</v>
      </c>
    </row>
    <row r="2245" spans="1:12" x14ac:dyDescent="0.45">
      <c r="A2245" t="s">
        <v>1022</v>
      </c>
      <c r="B2245" t="s">
        <v>14</v>
      </c>
      <c r="C2245" t="s">
        <v>785</v>
      </c>
      <c r="D2245" t="s">
        <v>147</v>
      </c>
      <c r="E2245">
        <v>161065</v>
      </c>
      <c r="F2245">
        <v>160667</v>
      </c>
      <c r="G2245">
        <v>160615</v>
      </c>
      <c r="H2245">
        <v>52</v>
      </c>
      <c r="I2245">
        <v>2023</v>
      </c>
      <c r="J2245">
        <v>89</v>
      </c>
      <c r="K2245">
        <f>allFYsTable[[#This Row],[Actual]]-allFYsTable[[#This Row],[OriginalBudget]]</f>
        <v>-450</v>
      </c>
      <c r="L2245" s="11">
        <f>allFYsTable[[#This Row],[DiffAmount]]/allFYsTable[[#This Row],[OriginalBudget]]</f>
        <v>-2.7939030826064012E-3</v>
      </c>
    </row>
    <row r="2246" spans="1:12" x14ac:dyDescent="0.45">
      <c r="A2246" t="s">
        <v>1022</v>
      </c>
      <c r="B2246" t="s">
        <v>14</v>
      </c>
      <c r="C2246" t="s">
        <v>823</v>
      </c>
      <c r="D2246" t="s">
        <v>15</v>
      </c>
      <c r="E2246">
        <v>0</v>
      </c>
      <c r="F2246">
        <v>0</v>
      </c>
      <c r="G2246">
        <v>0</v>
      </c>
      <c r="H2246">
        <v>0</v>
      </c>
      <c r="I2246">
        <v>2023</v>
      </c>
      <c r="J2246">
        <v>90</v>
      </c>
      <c r="K2246">
        <f>allFYsTable[[#This Row],[Actual]]-allFYsTable[[#This Row],[OriginalBudget]]</f>
        <v>0</v>
      </c>
      <c r="L2246" s="11" t="e">
        <f>allFYsTable[[#This Row],[DiffAmount]]/allFYsTable[[#This Row],[OriginalBudget]]</f>
        <v>#DIV/0!</v>
      </c>
    </row>
    <row r="2247" spans="1:12" x14ac:dyDescent="0.45">
      <c r="A2247" t="s">
        <v>1022</v>
      </c>
      <c r="B2247" t="s">
        <v>14</v>
      </c>
      <c r="C2247" t="s">
        <v>786</v>
      </c>
      <c r="D2247" t="s">
        <v>146</v>
      </c>
      <c r="E2247">
        <v>52186</v>
      </c>
      <c r="F2247">
        <v>51391</v>
      </c>
      <c r="G2247">
        <v>51201</v>
      </c>
      <c r="H2247">
        <v>190</v>
      </c>
      <c r="I2247">
        <v>2023</v>
      </c>
      <c r="J2247">
        <v>91</v>
      </c>
      <c r="K2247">
        <f>allFYsTable[[#This Row],[Actual]]-allFYsTable[[#This Row],[OriginalBudget]]</f>
        <v>-985</v>
      </c>
      <c r="L2247" s="11">
        <f>allFYsTable[[#This Row],[DiffAmount]]/allFYsTable[[#This Row],[OriginalBudget]]</f>
        <v>-1.8874794006055264E-2</v>
      </c>
    </row>
    <row r="2248" spans="1:12" x14ac:dyDescent="0.45">
      <c r="A2248" t="s">
        <v>1022</v>
      </c>
      <c r="B2248" t="s">
        <v>14</v>
      </c>
      <c r="C2248" t="s">
        <v>787</v>
      </c>
      <c r="D2248" t="s">
        <v>148</v>
      </c>
      <c r="E2248">
        <v>305881</v>
      </c>
      <c r="F2248">
        <v>313155</v>
      </c>
      <c r="G2248">
        <v>309157</v>
      </c>
      <c r="H2248">
        <v>3998</v>
      </c>
      <c r="I2248">
        <v>2023</v>
      </c>
      <c r="J2248">
        <v>92</v>
      </c>
      <c r="K2248">
        <f>allFYsTable[[#This Row],[Actual]]-allFYsTable[[#This Row],[OriginalBudget]]</f>
        <v>3276</v>
      </c>
      <c r="L2248" s="11">
        <f>allFYsTable[[#This Row],[DiffAmount]]/allFYsTable[[#This Row],[OriginalBudget]]</f>
        <v>1.0710047371363373E-2</v>
      </c>
    </row>
    <row r="2249" spans="1:12" x14ac:dyDescent="0.45">
      <c r="A2249" t="s">
        <v>1022</v>
      </c>
      <c r="B2249" t="s">
        <v>14</v>
      </c>
      <c r="C2249" t="s">
        <v>788</v>
      </c>
      <c r="D2249" t="s">
        <v>145</v>
      </c>
      <c r="E2249">
        <v>98469</v>
      </c>
      <c r="F2249">
        <v>102975</v>
      </c>
      <c r="G2249">
        <v>99679</v>
      </c>
      <c r="H2249">
        <v>3296</v>
      </c>
      <c r="I2249">
        <v>2023</v>
      </c>
      <c r="J2249">
        <v>93</v>
      </c>
      <c r="K2249">
        <f>allFYsTable[[#This Row],[Actual]]-allFYsTable[[#This Row],[OriginalBudget]]</f>
        <v>1210</v>
      </c>
      <c r="L2249" s="11">
        <f>allFYsTable[[#This Row],[DiffAmount]]/allFYsTable[[#This Row],[OriginalBudget]]</f>
        <v>1.2288131290050675E-2</v>
      </c>
    </row>
    <row r="2250" spans="1:12" x14ac:dyDescent="0.45">
      <c r="A2250" t="s">
        <v>1022</v>
      </c>
      <c r="B2250" t="s">
        <v>14</v>
      </c>
      <c r="C2250" t="s">
        <v>789</v>
      </c>
      <c r="D2250" t="s">
        <v>150</v>
      </c>
      <c r="E2250">
        <v>1060060</v>
      </c>
      <c r="F2250">
        <v>1056154</v>
      </c>
      <c r="G2250">
        <v>1046473</v>
      </c>
      <c r="H2250">
        <v>9681</v>
      </c>
      <c r="I2250">
        <v>2023</v>
      </c>
      <c r="J2250">
        <v>94</v>
      </c>
      <c r="K2250">
        <f>allFYsTable[[#This Row],[Actual]]-allFYsTable[[#This Row],[OriginalBudget]]</f>
        <v>-13587</v>
      </c>
      <c r="L2250" s="11">
        <f>allFYsTable[[#This Row],[DiffAmount]]/allFYsTable[[#This Row],[OriginalBudget]]</f>
        <v>-1.2817199026470201E-2</v>
      </c>
    </row>
    <row r="2251" spans="1:12" x14ac:dyDescent="0.45">
      <c r="A2251" t="s">
        <v>1022</v>
      </c>
      <c r="B2251" t="s">
        <v>14</v>
      </c>
      <c r="C2251" t="s">
        <v>790</v>
      </c>
      <c r="D2251" t="s">
        <v>144</v>
      </c>
      <c r="E2251">
        <v>653201</v>
      </c>
      <c r="F2251">
        <v>619327</v>
      </c>
      <c r="G2251">
        <v>619216</v>
      </c>
      <c r="H2251">
        <v>111</v>
      </c>
      <c r="I2251">
        <v>2023</v>
      </c>
      <c r="J2251">
        <v>95</v>
      </c>
      <c r="K2251">
        <f>allFYsTable[[#This Row],[Actual]]-allFYsTable[[#This Row],[OriginalBudget]]</f>
        <v>-33985</v>
      </c>
      <c r="L2251" s="11">
        <f>allFYsTable[[#This Row],[DiffAmount]]/allFYsTable[[#This Row],[OriginalBudget]]</f>
        <v>-5.2028395547465481E-2</v>
      </c>
    </row>
    <row r="2252" spans="1:12" x14ac:dyDescent="0.45">
      <c r="A2252" t="s">
        <v>1022</v>
      </c>
      <c r="B2252" t="s">
        <v>14</v>
      </c>
      <c r="C2252" t="s">
        <v>791</v>
      </c>
      <c r="D2252" t="s">
        <v>149</v>
      </c>
      <c r="E2252">
        <v>136407</v>
      </c>
      <c r="F2252">
        <v>130145</v>
      </c>
      <c r="G2252">
        <v>129697</v>
      </c>
      <c r="H2252">
        <v>448</v>
      </c>
      <c r="I2252">
        <v>2023</v>
      </c>
      <c r="J2252">
        <v>96</v>
      </c>
      <c r="K2252">
        <f>allFYsTable[[#This Row],[Actual]]-allFYsTable[[#This Row],[OriginalBudget]]</f>
        <v>-6710</v>
      </c>
      <c r="L2252" s="11">
        <f>allFYsTable[[#This Row],[DiffAmount]]/allFYsTable[[#This Row],[OriginalBudget]]</f>
        <v>-4.9191023921059771E-2</v>
      </c>
    </row>
    <row r="2253" spans="1:12" x14ac:dyDescent="0.45">
      <c r="A2253" t="s">
        <v>1022</v>
      </c>
      <c r="B2253" t="s">
        <v>14</v>
      </c>
      <c r="C2253" t="s">
        <v>792</v>
      </c>
      <c r="D2253" t="s">
        <v>152</v>
      </c>
      <c r="E2253">
        <v>15000</v>
      </c>
      <c r="F2253">
        <v>22000</v>
      </c>
      <c r="G2253">
        <v>22000</v>
      </c>
      <c r="H2253">
        <v>0</v>
      </c>
      <c r="I2253">
        <v>2023</v>
      </c>
      <c r="J2253">
        <v>97</v>
      </c>
      <c r="K2253">
        <f>allFYsTable[[#This Row],[Actual]]-allFYsTable[[#This Row],[OriginalBudget]]</f>
        <v>7000</v>
      </c>
      <c r="L2253" s="11">
        <f>allFYsTable[[#This Row],[DiffAmount]]/allFYsTable[[#This Row],[OriginalBudget]]</f>
        <v>0.46666666666666667</v>
      </c>
    </row>
    <row r="2254" spans="1:12" x14ac:dyDescent="0.45">
      <c r="A2254" t="s">
        <v>1022</v>
      </c>
      <c r="B2254" t="s">
        <v>14</v>
      </c>
      <c r="C2254" t="s">
        <v>710</v>
      </c>
      <c r="D2254" t="s">
        <v>909</v>
      </c>
      <c r="E2254">
        <v>819</v>
      </c>
      <c r="F2254">
        <v>1061</v>
      </c>
      <c r="G2254">
        <v>964</v>
      </c>
      <c r="H2254">
        <v>97</v>
      </c>
      <c r="I2254">
        <v>2023</v>
      </c>
      <c r="J2254">
        <v>98</v>
      </c>
      <c r="K2254">
        <f>allFYsTable[[#This Row],[Actual]]-allFYsTable[[#This Row],[OriginalBudget]]</f>
        <v>145</v>
      </c>
      <c r="L2254" s="11">
        <f>allFYsTable[[#This Row],[DiffAmount]]/allFYsTable[[#This Row],[OriginalBudget]]</f>
        <v>0.17704517704517705</v>
      </c>
    </row>
    <row r="2255" spans="1:12" x14ac:dyDescent="0.45">
      <c r="A2255" t="s">
        <v>1022</v>
      </c>
      <c r="B2255" t="s">
        <v>14</v>
      </c>
      <c r="C2255" t="s">
        <v>793</v>
      </c>
      <c r="D2255" t="s">
        <v>151</v>
      </c>
      <c r="E2255">
        <v>2861</v>
      </c>
      <c r="F2255">
        <v>2405</v>
      </c>
      <c r="G2255">
        <v>2045</v>
      </c>
      <c r="H2255">
        <v>360</v>
      </c>
      <c r="I2255">
        <v>2023</v>
      </c>
      <c r="J2255">
        <v>99</v>
      </c>
      <c r="K2255">
        <f>allFYsTable[[#This Row],[Actual]]-allFYsTable[[#This Row],[OriginalBudget]]</f>
        <v>-816</v>
      </c>
      <c r="L2255" s="11">
        <f>allFYsTable[[#This Row],[DiffAmount]]/allFYsTable[[#This Row],[OriginalBudget]]</f>
        <v>-0.28521495980426426</v>
      </c>
    </row>
    <row r="2256" spans="1:12" x14ac:dyDescent="0.45">
      <c r="A2256" t="s">
        <v>1022</v>
      </c>
      <c r="B2256" t="s">
        <v>14</v>
      </c>
      <c r="C2256" t="s">
        <v>794</v>
      </c>
      <c r="D2256" t="s">
        <v>910</v>
      </c>
      <c r="E2256">
        <v>935</v>
      </c>
      <c r="F2256">
        <v>478</v>
      </c>
      <c r="G2256">
        <v>356</v>
      </c>
      <c r="H2256">
        <v>122</v>
      </c>
      <c r="I2256">
        <v>2023</v>
      </c>
      <c r="J2256">
        <v>100</v>
      </c>
      <c r="K2256">
        <f>allFYsTable[[#This Row],[Actual]]-allFYsTable[[#This Row],[OriginalBudget]]</f>
        <v>-579</v>
      </c>
      <c r="L2256" s="11">
        <f>allFYsTable[[#This Row],[DiffAmount]]/allFYsTable[[#This Row],[OriginalBudget]]</f>
        <v>-0.61925133689839573</v>
      </c>
    </row>
    <row r="2257" spans="1:12" x14ac:dyDescent="0.45">
      <c r="A2257" t="s">
        <v>1022</v>
      </c>
      <c r="B2257" t="s">
        <v>16</v>
      </c>
      <c r="C2257" t="s">
        <v>795</v>
      </c>
      <c r="D2257" t="s">
        <v>72</v>
      </c>
      <c r="E2257">
        <v>1764</v>
      </c>
      <c r="F2257">
        <v>1113</v>
      </c>
      <c r="G2257">
        <v>1112</v>
      </c>
      <c r="H2257">
        <v>1</v>
      </c>
      <c r="I2257">
        <v>2023</v>
      </c>
      <c r="J2257">
        <v>101</v>
      </c>
      <c r="K2257">
        <f>allFYsTable[[#This Row],[Actual]]-allFYsTable[[#This Row],[OriginalBudget]]</f>
        <v>-652</v>
      </c>
      <c r="L2257" s="11">
        <f>allFYsTable[[#This Row],[DiffAmount]]/allFYsTable[[#This Row],[OriginalBudget]]</f>
        <v>-0.36961451247165533</v>
      </c>
    </row>
    <row r="2258" spans="1:12" x14ac:dyDescent="0.45">
      <c r="A2258" t="s">
        <v>1022</v>
      </c>
      <c r="B2258" t="s">
        <v>16</v>
      </c>
      <c r="C2258" t="s">
        <v>796</v>
      </c>
      <c r="D2258" t="s">
        <v>891</v>
      </c>
      <c r="E2258">
        <v>45633</v>
      </c>
      <c r="F2258">
        <v>44287</v>
      </c>
      <c r="G2258">
        <v>43835</v>
      </c>
      <c r="H2258">
        <v>452</v>
      </c>
      <c r="I2258">
        <v>2023</v>
      </c>
      <c r="J2258">
        <v>102</v>
      </c>
      <c r="K2258">
        <f>allFYsTable[[#This Row],[Actual]]-allFYsTable[[#This Row],[OriginalBudget]]</f>
        <v>-1798</v>
      </c>
      <c r="L2258" s="11">
        <f>allFYsTable[[#This Row],[DiffAmount]]/allFYsTable[[#This Row],[OriginalBudget]]</f>
        <v>-3.940131045515307E-2</v>
      </c>
    </row>
    <row r="2259" spans="1:12" x14ac:dyDescent="0.45">
      <c r="A2259" t="s">
        <v>1022</v>
      </c>
      <c r="B2259" t="s">
        <v>16</v>
      </c>
      <c r="C2259" t="s">
        <v>797</v>
      </c>
      <c r="D2259" t="s">
        <v>892</v>
      </c>
      <c r="E2259">
        <v>7999</v>
      </c>
      <c r="F2259">
        <v>6473</v>
      </c>
      <c r="G2259">
        <v>6092</v>
      </c>
      <c r="H2259">
        <v>381</v>
      </c>
      <c r="I2259">
        <v>2023</v>
      </c>
      <c r="J2259">
        <v>103</v>
      </c>
      <c r="K2259">
        <f>allFYsTable[[#This Row],[Actual]]-allFYsTable[[#This Row],[OriginalBudget]]</f>
        <v>-1907</v>
      </c>
      <c r="L2259" s="11">
        <f>allFYsTable[[#This Row],[DiffAmount]]/allFYsTable[[#This Row],[OriginalBudget]]</f>
        <v>-0.23840480060007502</v>
      </c>
    </row>
    <row r="2260" spans="1:12" x14ac:dyDescent="0.45">
      <c r="A2260" t="s">
        <v>1022</v>
      </c>
      <c r="B2260" t="s">
        <v>16</v>
      </c>
      <c r="C2260" t="s">
        <v>798</v>
      </c>
      <c r="D2260" t="s">
        <v>74</v>
      </c>
      <c r="E2260">
        <v>66594</v>
      </c>
      <c r="F2260">
        <v>59970</v>
      </c>
      <c r="G2260">
        <v>58511</v>
      </c>
      <c r="H2260">
        <v>1459</v>
      </c>
      <c r="I2260">
        <v>2023</v>
      </c>
      <c r="J2260">
        <v>104</v>
      </c>
      <c r="K2260">
        <f>allFYsTable[[#This Row],[Actual]]-allFYsTable[[#This Row],[OriginalBudget]]</f>
        <v>-8083</v>
      </c>
      <c r="L2260" s="11">
        <f>allFYsTable[[#This Row],[DiffAmount]]/allFYsTable[[#This Row],[OriginalBudget]]</f>
        <v>-0.12137730125837162</v>
      </c>
    </row>
    <row r="2261" spans="1:12" x14ac:dyDescent="0.45">
      <c r="A2261" t="s">
        <v>1022</v>
      </c>
      <c r="B2261" t="s">
        <v>16</v>
      </c>
      <c r="C2261" t="s">
        <v>799</v>
      </c>
      <c r="D2261" t="s">
        <v>75</v>
      </c>
      <c r="E2261">
        <v>12041</v>
      </c>
      <c r="F2261">
        <v>12301</v>
      </c>
      <c r="G2261">
        <v>11917</v>
      </c>
      <c r="H2261">
        <v>384</v>
      </c>
      <c r="I2261">
        <v>2023</v>
      </c>
      <c r="J2261">
        <v>105</v>
      </c>
      <c r="K2261">
        <f>allFYsTable[[#This Row],[Actual]]-allFYsTable[[#This Row],[OriginalBudget]]</f>
        <v>-124</v>
      </c>
      <c r="L2261" s="11">
        <f>allFYsTable[[#This Row],[DiffAmount]]/allFYsTable[[#This Row],[OriginalBudget]]</f>
        <v>-1.0298147994352629E-2</v>
      </c>
    </row>
    <row r="2262" spans="1:12" x14ac:dyDescent="0.45">
      <c r="A2262" t="s">
        <v>1022</v>
      </c>
      <c r="B2262" t="s">
        <v>16</v>
      </c>
      <c r="C2262" t="s">
        <v>800</v>
      </c>
      <c r="D2262" t="s">
        <v>76</v>
      </c>
      <c r="E2262">
        <v>2005</v>
      </c>
      <c r="F2262">
        <v>1792</v>
      </c>
      <c r="G2262">
        <v>1791</v>
      </c>
      <c r="H2262">
        <v>1</v>
      </c>
      <c r="I2262">
        <v>2023</v>
      </c>
      <c r="J2262">
        <v>106</v>
      </c>
      <c r="K2262">
        <f>allFYsTable[[#This Row],[Actual]]-allFYsTable[[#This Row],[OriginalBudget]]</f>
        <v>-214</v>
      </c>
      <c r="L2262" s="11">
        <f>allFYsTable[[#This Row],[DiffAmount]]/allFYsTable[[#This Row],[OriginalBudget]]</f>
        <v>-0.10673316708229426</v>
      </c>
    </row>
    <row r="2263" spans="1:12" x14ac:dyDescent="0.45">
      <c r="A2263" t="s">
        <v>1022</v>
      </c>
      <c r="B2263" t="s">
        <v>16</v>
      </c>
      <c r="C2263" t="s">
        <v>801</v>
      </c>
      <c r="D2263" t="s">
        <v>77</v>
      </c>
      <c r="E2263">
        <v>45859</v>
      </c>
      <c r="F2263">
        <v>45509</v>
      </c>
      <c r="G2263">
        <v>43760</v>
      </c>
      <c r="H2263">
        <v>1749</v>
      </c>
      <c r="I2263">
        <v>2023</v>
      </c>
      <c r="J2263">
        <v>107</v>
      </c>
      <c r="K2263">
        <f>allFYsTable[[#This Row],[Actual]]-allFYsTable[[#This Row],[OriginalBudget]]</f>
        <v>-2099</v>
      </c>
      <c r="L2263" s="11">
        <f>allFYsTable[[#This Row],[DiffAmount]]/allFYsTable[[#This Row],[OriginalBudget]]</f>
        <v>-4.5770732026428833E-2</v>
      </c>
    </row>
    <row r="2264" spans="1:12" x14ac:dyDescent="0.45">
      <c r="A2264" t="s">
        <v>1022</v>
      </c>
      <c r="B2264" t="s">
        <v>16</v>
      </c>
      <c r="C2264" t="s">
        <v>802</v>
      </c>
      <c r="D2264" t="s">
        <v>78</v>
      </c>
      <c r="E2264">
        <v>176906</v>
      </c>
      <c r="F2264">
        <v>176431</v>
      </c>
      <c r="G2264">
        <v>175178</v>
      </c>
      <c r="H2264">
        <v>1253</v>
      </c>
      <c r="I2264">
        <v>2023</v>
      </c>
      <c r="J2264">
        <v>108</v>
      </c>
      <c r="K2264">
        <f>allFYsTable[[#This Row],[Actual]]-allFYsTable[[#This Row],[OriginalBudget]]</f>
        <v>-1728</v>
      </c>
      <c r="L2264" s="11">
        <f>allFYsTable[[#This Row],[DiffAmount]]/allFYsTable[[#This Row],[OriginalBudget]]</f>
        <v>-9.7678993363707282E-3</v>
      </c>
    </row>
    <row r="2265" spans="1:12" x14ac:dyDescent="0.45">
      <c r="A2265" t="s">
        <v>1022</v>
      </c>
      <c r="B2265" t="s">
        <v>16</v>
      </c>
      <c r="C2265" t="s">
        <v>803</v>
      </c>
      <c r="D2265" t="s">
        <v>79</v>
      </c>
      <c r="E2265">
        <v>149840</v>
      </c>
      <c r="F2265">
        <v>150100</v>
      </c>
      <c r="G2265">
        <v>149446</v>
      </c>
      <c r="H2265">
        <v>654</v>
      </c>
      <c r="I2265">
        <v>2023</v>
      </c>
      <c r="J2265">
        <v>109</v>
      </c>
      <c r="K2265">
        <f>allFYsTable[[#This Row],[Actual]]-allFYsTable[[#This Row],[OriginalBudget]]</f>
        <v>-394</v>
      </c>
      <c r="L2265" s="11">
        <f>allFYsTable[[#This Row],[DiffAmount]]/allFYsTable[[#This Row],[OriginalBudget]]</f>
        <v>-2.6294714361986119E-3</v>
      </c>
    </row>
    <row r="2266" spans="1:12" x14ac:dyDescent="0.45">
      <c r="A2266" t="s">
        <v>1022</v>
      </c>
      <c r="B2266" t="s">
        <v>16</v>
      </c>
      <c r="C2266" t="s">
        <v>804</v>
      </c>
      <c r="D2266" t="s">
        <v>893</v>
      </c>
      <c r="E2266">
        <v>1283</v>
      </c>
      <c r="F2266">
        <v>1283</v>
      </c>
      <c r="G2266">
        <v>1162</v>
      </c>
      <c r="H2266">
        <v>121</v>
      </c>
      <c r="I2266">
        <v>2023</v>
      </c>
      <c r="J2266">
        <v>110</v>
      </c>
      <c r="K2266">
        <f>allFYsTable[[#This Row],[Actual]]-allFYsTable[[#This Row],[OriginalBudget]]</f>
        <v>-121</v>
      </c>
      <c r="L2266" s="11">
        <f>allFYsTable[[#This Row],[DiffAmount]]/allFYsTable[[#This Row],[OriginalBudget]]</f>
        <v>-9.4310210444271236E-2</v>
      </c>
    </row>
    <row r="2267" spans="1:12" x14ac:dyDescent="0.45">
      <c r="A2267" t="s">
        <v>1022</v>
      </c>
      <c r="B2267" t="s">
        <v>16</v>
      </c>
      <c r="C2267" t="s">
        <v>805</v>
      </c>
      <c r="D2267" t="s">
        <v>191</v>
      </c>
      <c r="E2267">
        <v>1013</v>
      </c>
      <c r="F2267">
        <v>656</v>
      </c>
      <c r="G2267">
        <v>606</v>
      </c>
      <c r="H2267">
        <v>50</v>
      </c>
      <c r="I2267">
        <v>2023</v>
      </c>
      <c r="J2267">
        <v>111</v>
      </c>
      <c r="K2267">
        <f>allFYsTable[[#This Row],[Actual]]-allFYsTable[[#This Row],[OriginalBudget]]</f>
        <v>-407</v>
      </c>
      <c r="L2267" s="11">
        <f>allFYsTable[[#This Row],[DiffAmount]]/allFYsTable[[#This Row],[OriginalBudget]]</f>
        <v>-0.40177690029615004</v>
      </c>
    </row>
    <row r="2268" spans="1:12" x14ac:dyDescent="0.45">
      <c r="A2268" t="s">
        <v>1022</v>
      </c>
      <c r="B2268" t="s">
        <v>16</v>
      </c>
      <c r="C2268" t="s">
        <v>806</v>
      </c>
      <c r="D2268" t="s">
        <v>82</v>
      </c>
      <c r="E2268">
        <v>0</v>
      </c>
      <c r="F2268">
        <v>0</v>
      </c>
      <c r="G2268">
        <v>0</v>
      </c>
      <c r="H2268">
        <v>0</v>
      </c>
      <c r="I2268">
        <v>2023</v>
      </c>
      <c r="J2268">
        <v>112</v>
      </c>
      <c r="K2268">
        <f>allFYsTable[[#This Row],[Actual]]-allFYsTable[[#This Row],[OriginalBudget]]</f>
        <v>0</v>
      </c>
      <c r="L2268" s="11" t="e">
        <f>allFYsTable[[#This Row],[DiffAmount]]/allFYsTable[[#This Row],[OriginalBudget]]</f>
        <v>#DIV/0!</v>
      </c>
    </row>
    <row r="2269" spans="1:12" x14ac:dyDescent="0.45">
      <c r="A2269" t="s">
        <v>1022</v>
      </c>
      <c r="B2269" t="s">
        <v>16</v>
      </c>
      <c r="C2269" t="s">
        <v>808</v>
      </c>
      <c r="D2269" t="s">
        <v>676</v>
      </c>
      <c r="E2269">
        <v>164</v>
      </c>
      <c r="F2269">
        <v>164</v>
      </c>
      <c r="G2269">
        <v>164</v>
      </c>
      <c r="H2269">
        <v>0</v>
      </c>
      <c r="I2269">
        <v>2023</v>
      </c>
      <c r="J2269">
        <v>113</v>
      </c>
      <c r="K2269">
        <f>allFYsTable[[#This Row],[Actual]]-allFYsTable[[#This Row],[OriginalBudget]]</f>
        <v>0</v>
      </c>
      <c r="L2269" s="11">
        <f>allFYsTable[[#This Row],[DiffAmount]]/allFYsTable[[#This Row],[OriginalBudget]]</f>
        <v>0</v>
      </c>
    </row>
    <row r="2270" spans="1:12" x14ac:dyDescent="0.45">
      <c r="A2270" t="s">
        <v>1022</v>
      </c>
      <c r="B2270" t="s">
        <v>16</v>
      </c>
      <c r="C2270" t="s">
        <v>807</v>
      </c>
      <c r="D2270" t="s">
        <v>17</v>
      </c>
      <c r="E2270">
        <v>460669</v>
      </c>
      <c r="F2270">
        <v>453750</v>
      </c>
      <c r="G2270">
        <v>453750</v>
      </c>
      <c r="H2270">
        <v>0</v>
      </c>
      <c r="I2270">
        <v>2023</v>
      </c>
      <c r="J2270">
        <v>114</v>
      </c>
      <c r="K2270">
        <f>allFYsTable[[#This Row],[Actual]]-allFYsTable[[#This Row],[OriginalBudget]]</f>
        <v>-6919</v>
      </c>
      <c r="L2270" s="11">
        <f>allFYsTable[[#This Row],[DiffAmount]]/allFYsTable[[#This Row],[OriginalBudget]]</f>
        <v>-1.5019460827622436E-2</v>
      </c>
    </row>
    <row r="2271" spans="1:12" x14ac:dyDescent="0.45">
      <c r="A2271" t="s">
        <v>1022</v>
      </c>
      <c r="B2271" t="s">
        <v>10</v>
      </c>
      <c r="C2271" t="s">
        <v>775</v>
      </c>
      <c r="D2271" t="s">
        <v>18</v>
      </c>
      <c r="E2271">
        <v>1002316</v>
      </c>
      <c r="F2271">
        <v>959183</v>
      </c>
      <c r="G2271">
        <v>959183</v>
      </c>
      <c r="H2271">
        <v>0</v>
      </c>
      <c r="I2271">
        <v>2023</v>
      </c>
      <c r="J2271">
        <v>115</v>
      </c>
      <c r="K2271">
        <f>allFYsTable[[#This Row],[Actual]]-allFYsTable[[#This Row],[OriginalBudget]]</f>
        <v>-43133</v>
      </c>
      <c r="L2271" s="11">
        <f>allFYsTable[[#This Row],[DiffAmount]]/allFYsTable[[#This Row],[OriginalBudget]]</f>
        <v>-4.3033334796611047E-2</v>
      </c>
    </row>
    <row r="2272" spans="1:12" x14ac:dyDescent="0.45">
      <c r="A2272" t="s">
        <v>1022</v>
      </c>
      <c r="B2272" t="s">
        <v>10</v>
      </c>
      <c r="C2272" t="s">
        <v>817</v>
      </c>
      <c r="D2272" t="s">
        <v>158</v>
      </c>
      <c r="E2272">
        <v>11000</v>
      </c>
      <c r="F2272">
        <v>6522</v>
      </c>
      <c r="G2272">
        <v>6306</v>
      </c>
      <c r="H2272">
        <v>216</v>
      </c>
      <c r="I2272">
        <v>2023</v>
      </c>
      <c r="J2272">
        <v>116</v>
      </c>
      <c r="K2272">
        <f>allFYsTable[[#This Row],[Actual]]-allFYsTable[[#This Row],[OriginalBudget]]</f>
        <v>-4694</v>
      </c>
      <c r="L2272" s="11">
        <f>allFYsTable[[#This Row],[DiffAmount]]/allFYsTable[[#This Row],[OriginalBudget]]</f>
        <v>-0.42672727272727273</v>
      </c>
    </row>
    <row r="2273" spans="1:12" x14ac:dyDescent="0.45">
      <c r="A2273" t="s">
        <v>1022</v>
      </c>
      <c r="B2273" t="s">
        <v>10</v>
      </c>
      <c r="C2273" t="s">
        <v>818</v>
      </c>
      <c r="D2273" t="s">
        <v>83</v>
      </c>
      <c r="E2273">
        <v>3750</v>
      </c>
      <c r="F2273">
        <v>4865</v>
      </c>
      <c r="G2273">
        <v>4865</v>
      </c>
      <c r="H2273">
        <v>0</v>
      </c>
      <c r="I2273">
        <v>2023</v>
      </c>
      <c r="J2273">
        <v>117</v>
      </c>
      <c r="K2273">
        <f>allFYsTable[[#This Row],[Actual]]-allFYsTable[[#This Row],[OriginalBudget]]</f>
        <v>1115</v>
      </c>
      <c r="L2273" s="11">
        <f>allFYsTable[[#This Row],[DiffAmount]]/allFYsTable[[#This Row],[OriginalBudget]]</f>
        <v>0.29733333333333334</v>
      </c>
    </row>
    <row r="2274" spans="1:12" x14ac:dyDescent="0.45">
      <c r="A2274" t="s">
        <v>1022</v>
      </c>
      <c r="B2274" t="s">
        <v>10</v>
      </c>
      <c r="C2274" t="s">
        <v>819</v>
      </c>
      <c r="D2274" t="s">
        <v>894</v>
      </c>
      <c r="E2274">
        <v>28025</v>
      </c>
      <c r="F2274">
        <v>14050</v>
      </c>
      <c r="G2274">
        <v>12566</v>
      </c>
      <c r="H2274">
        <v>1484</v>
      </c>
      <c r="I2274">
        <v>2023</v>
      </c>
      <c r="J2274">
        <v>118</v>
      </c>
      <c r="K2274">
        <f>allFYsTable[[#This Row],[Actual]]-allFYsTable[[#This Row],[OriginalBudget]]</f>
        <v>-15459</v>
      </c>
      <c r="L2274" s="11">
        <f>allFYsTable[[#This Row],[DiffAmount]]/allFYsTable[[#This Row],[OriginalBudget]]</f>
        <v>-0.55161462979482601</v>
      </c>
    </row>
    <row r="2275" spans="1:12" x14ac:dyDescent="0.45">
      <c r="A2275" t="s">
        <v>1022</v>
      </c>
      <c r="B2275" t="s">
        <v>10</v>
      </c>
      <c r="C2275" t="s">
        <v>814</v>
      </c>
      <c r="D2275" t="s">
        <v>895</v>
      </c>
      <c r="E2275">
        <v>5233</v>
      </c>
      <c r="F2275">
        <v>5233</v>
      </c>
      <c r="G2275">
        <v>5017</v>
      </c>
      <c r="H2275">
        <v>216</v>
      </c>
      <c r="I2275">
        <v>2023</v>
      </c>
      <c r="J2275">
        <v>119</v>
      </c>
      <c r="K2275">
        <f>allFYsTable[[#This Row],[Actual]]-allFYsTable[[#This Row],[OriginalBudget]]</f>
        <v>-216</v>
      </c>
      <c r="L2275" s="11">
        <f>allFYsTable[[#This Row],[DiffAmount]]/allFYsTable[[#This Row],[OriginalBudget]]</f>
        <v>-4.1276514427670552E-2</v>
      </c>
    </row>
    <row r="2276" spans="1:12" x14ac:dyDescent="0.45">
      <c r="A2276" t="s">
        <v>1022</v>
      </c>
      <c r="B2276" t="s">
        <v>10</v>
      </c>
      <c r="C2276" t="s">
        <v>811</v>
      </c>
      <c r="D2276" t="s">
        <v>638</v>
      </c>
      <c r="E2276">
        <v>41500</v>
      </c>
      <c r="F2276">
        <v>41500</v>
      </c>
      <c r="G2276">
        <v>41500</v>
      </c>
      <c r="H2276">
        <v>0</v>
      </c>
      <c r="I2276">
        <v>2023</v>
      </c>
      <c r="J2276">
        <v>120</v>
      </c>
      <c r="K2276">
        <f>allFYsTable[[#This Row],[Actual]]-allFYsTable[[#This Row],[OriginalBudget]]</f>
        <v>0</v>
      </c>
      <c r="L2276" s="11">
        <f>allFYsTable[[#This Row],[DiffAmount]]/allFYsTable[[#This Row],[OriginalBudget]]</f>
        <v>0</v>
      </c>
    </row>
    <row r="2277" spans="1:12" x14ac:dyDescent="0.45">
      <c r="A2277" t="s">
        <v>1022</v>
      </c>
      <c r="B2277" t="s">
        <v>10</v>
      </c>
      <c r="C2277" t="s">
        <v>829</v>
      </c>
      <c r="D2277" t="s">
        <v>87</v>
      </c>
      <c r="E2277">
        <v>3775</v>
      </c>
      <c r="F2277">
        <v>3765</v>
      </c>
      <c r="G2277">
        <v>3765</v>
      </c>
      <c r="H2277">
        <v>0</v>
      </c>
      <c r="I2277">
        <v>2023</v>
      </c>
      <c r="J2277">
        <v>121</v>
      </c>
      <c r="K2277">
        <f>allFYsTable[[#This Row],[Actual]]-allFYsTable[[#This Row],[OriginalBudget]]</f>
        <v>-10</v>
      </c>
      <c r="L2277" s="11">
        <f>allFYsTable[[#This Row],[DiffAmount]]/allFYsTable[[#This Row],[OriginalBudget]]</f>
        <v>-2.6490066225165563E-3</v>
      </c>
    </row>
    <row r="2278" spans="1:12" x14ac:dyDescent="0.45">
      <c r="A2278" t="s">
        <v>1022</v>
      </c>
      <c r="B2278" t="s">
        <v>10</v>
      </c>
      <c r="C2278" t="s">
        <v>810</v>
      </c>
      <c r="D2278" t="s">
        <v>88</v>
      </c>
      <c r="E2278">
        <v>117512</v>
      </c>
      <c r="F2278">
        <v>181804</v>
      </c>
      <c r="G2278">
        <v>181804</v>
      </c>
      <c r="H2278">
        <v>0</v>
      </c>
      <c r="I2278">
        <v>2023</v>
      </c>
      <c r="J2278">
        <v>122</v>
      </c>
      <c r="K2278">
        <f>allFYsTable[[#This Row],[Actual]]-allFYsTable[[#This Row],[OriginalBudget]]</f>
        <v>64292</v>
      </c>
      <c r="L2278" s="11">
        <f>allFYsTable[[#This Row],[DiffAmount]]/allFYsTable[[#This Row],[OriginalBudget]]</f>
        <v>0.54711008237456604</v>
      </c>
    </row>
    <row r="2279" spans="1:12" x14ac:dyDescent="0.45">
      <c r="A2279" t="s">
        <v>1022</v>
      </c>
      <c r="B2279" t="s">
        <v>10</v>
      </c>
      <c r="C2279" t="s">
        <v>813</v>
      </c>
      <c r="D2279" t="s">
        <v>896</v>
      </c>
      <c r="E2279">
        <v>24712</v>
      </c>
      <c r="F2279">
        <v>22485</v>
      </c>
      <c r="G2279">
        <v>22485</v>
      </c>
      <c r="H2279">
        <v>0</v>
      </c>
      <c r="I2279">
        <v>2023</v>
      </c>
      <c r="J2279">
        <v>123</v>
      </c>
      <c r="K2279">
        <f>allFYsTable[[#This Row],[Actual]]-allFYsTable[[#This Row],[OriginalBudget]]</f>
        <v>-2227</v>
      </c>
      <c r="L2279" s="11">
        <f>allFYsTable[[#This Row],[DiffAmount]]/allFYsTable[[#This Row],[OriginalBudget]]</f>
        <v>-9.0118161217222409E-2</v>
      </c>
    </row>
    <row r="2280" spans="1:12" x14ac:dyDescent="0.45">
      <c r="A2280" t="s">
        <v>1022</v>
      </c>
      <c r="B2280" t="s">
        <v>10</v>
      </c>
      <c r="C2280" t="s">
        <v>812</v>
      </c>
      <c r="D2280" t="s">
        <v>90</v>
      </c>
      <c r="E2280">
        <v>0</v>
      </c>
      <c r="F2280">
        <v>7100</v>
      </c>
      <c r="G2280">
        <v>5851</v>
      </c>
      <c r="H2280">
        <v>1249</v>
      </c>
      <c r="I2280">
        <v>2023</v>
      </c>
      <c r="J2280">
        <v>124</v>
      </c>
      <c r="K2280">
        <f>allFYsTable[[#This Row],[Actual]]-allFYsTable[[#This Row],[OriginalBudget]]</f>
        <v>5851</v>
      </c>
      <c r="L2280" s="11" t="e">
        <f>allFYsTable[[#This Row],[DiffAmount]]/allFYsTable[[#This Row],[OriginalBudget]]</f>
        <v>#DIV/0!</v>
      </c>
    </row>
    <row r="2281" spans="1:12" x14ac:dyDescent="0.45">
      <c r="A2281" t="s">
        <v>1022</v>
      </c>
      <c r="B2281" t="s">
        <v>10</v>
      </c>
      <c r="C2281" t="s">
        <v>821</v>
      </c>
      <c r="D2281" t="s">
        <v>897</v>
      </c>
      <c r="E2281">
        <v>64176</v>
      </c>
      <c r="F2281">
        <v>0</v>
      </c>
      <c r="G2281">
        <v>0</v>
      </c>
      <c r="H2281">
        <v>0</v>
      </c>
      <c r="I2281">
        <v>2023</v>
      </c>
      <c r="J2281">
        <v>125</v>
      </c>
      <c r="K2281">
        <f>allFYsTable[[#This Row],[Actual]]-allFYsTable[[#This Row],[OriginalBudget]]</f>
        <v>-64176</v>
      </c>
      <c r="L2281" s="11">
        <f>allFYsTable[[#This Row],[DiffAmount]]/allFYsTable[[#This Row],[OriginalBudget]]</f>
        <v>-1</v>
      </c>
    </row>
    <row r="2282" spans="1:12" x14ac:dyDescent="0.45">
      <c r="A2282" t="s">
        <v>1022</v>
      </c>
      <c r="B2282" t="s">
        <v>10</v>
      </c>
      <c r="C2282" t="s">
        <v>868</v>
      </c>
      <c r="D2282" t="s">
        <v>92</v>
      </c>
      <c r="E2282">
        <v>0</v>
      </c>
      <c r="F2282">
        <v>18977</v>
      </c>
      <c r="G2282">
        <v>16986</v>
      </c>
      <c r="H2282">
        <v>1991</v>
      </c>
      <c r="I2282">
        <v>2023</v>
      </c>
      <c r="J2282">
        <v>126</v>
      </c>
      <c r="K2282">
        <f>allFYsTable[[#This Row],[Actual]]-allFYsTable[[#This Row],[OriginalBudget]]</f>
        <v>16986</v>
      </c>
      <c r="L2282" s="11" t="e">
        <f>allFYsTable[[#This Row],[DiffAmount]]/allFYsTable[[#This Row],[OriginalBudget]]</f>
        <v>#DIV/0!</v>
      </c>
    </row>
    <row r="2283" spans="1:12" x14ac:dyDescent="0.45">
      <c r="A2283" t="s">
        <v>1022</v>
      </c>
      <c r="B2283" t="s">
        <v>10</v>
      </c>
      <c r="C2283" t="s">
        <v>816</v>
      </c>
      <c r="D2283" t="s">
        <v>93</v>
      </c>
      <c r="E2283">
        <v>381529</v>
      </c>
      <c r="F2283">
        <v>395228</v>
      </c>
      <c r="G2283">
        <v>395228</v>
      </c>
      <c r="H2283">
        <v>0</v>
      </c>
      <c r="I2283">
        <v>2023</v>
      </c>
      <c r="J2283">
        <v>127</v>
      </c>
      <c r="K2283">
        <f>allFYsTable[[#This Row],[Actual]]-allFYsTable[[#This Row],[OriginalBudget]]</f>
        <v>13699</v>
      </c>
      <c r="L2283" s="11">
        <f>allFYsTable[[#This Row],[DiffAmount]]/allFYsTable[[#This Row],[OriginalBudget]]</f>
        <v>3.5905527495943952E-2</v>
      </c>
    </row>
    <row r="2284" spans="1:12" x14ac:dyDescent="0.45">
      <c r="A2284" t="s">
        <v>1022</v>
      </c>
      <c r="B2284" t="s">
        <v>10</v>
      </c>
      <c r="C2284" t="s">
        <v>820</v>
      </c>
      <c r="D2284" t="s">
        <v>898</v>
      </c>
      <c r="E2284">
        <v>0</v>
      </c>
      <c r="F2284">
        <v>0</v>
      </c>
      <c r="G2284">
        <v>0</v>
      </c>
      <c r="H2284">
        <v>0</v>
      </c>
      <c r="I2284">
        <v>2023</v>
      </c>
      <c r="J2284">
        <v>128</v>
      </c>
      <c r="K2284">
        <f>allFYsTable[[#This Row],[Actual]]-allFYsTable[[#This Row],[OriginalBudget]]</f>
        <v>0</v>
      </c>
      <c r="L2284" s="11" t="e">
        <f>allFYsTable[[#This Row],[DiffAmount]]/allFYsTable[[#This Row],[OriginalBudget]]</f>
        <v>#DIV/0!</v>
      </c>
    </row>
    <row r="2285" spans="1:12" x14ac:dyDescent="0.45">
      <c r="A2285" t="s">
        <v>1022</v>
      </c>
      <c r="B2285" t="s">
        <v>10</v>
      </c>
      <c r="C2285" t="s">
        <v>815</v>
      </c>
      <c r="D2285" t="s">
        <v>899</v>
      </c>
      <c r="E2285">
        <v>11804</v>
      </c>
      <c r="F2285">
        <v>111</v>
      </c>
      <c r="G2285">
        <v>0</v>
      </c>
      <c r="H2285">
        <v>111</v>
      </c>
      <c r="I2285">
        <v>2023</v>
      </c>
      <c r="J2285">
        <v>129</v>
      </c>
      <c r="K2285">
        <f>allFYsTable[[#This Row],[Actual]]-allFYsTable[[#This Row],[OriginalBudget]]</f>
        <v>-11804</v>
      </c>
      <c r="L2285" s="11">
        <f>allFYsTable[[#This Row],[DiffAmount]]/allFYsTable[[#This Row],[OriginalBudget]]</f>
        <v>-1</v>
      </c>
    </row>
    <row r="2286" spans="1:12" x14ac:dyDescent="0.45">
      <c r="A2286" t="s">
        <v>1020</v>
      </c>
      <c r="B2286" t="s">
        <v>11</v>
      </c>
      <c r="C2286" t="s">
        <v>699</v>
      </c>
      <c r="D2286" t="s">
        <v>1306</v>
      </c>
      <c r="E2286">
        <v>14804</v>
      </c>
      <c r="F2286">
        <v>14804</v>
      </c>
      <c r="G2286">
        <v>14750</v>
      </c>
      <c r="H2286">
        <v>54</v>
      </c>
      <c r="I2286">
        <v>2024</v>
      </c>
      <c r="J2286">
        <v>1</v>
      </c>
      <c r="K2286">
        <f>allFYsTable[[#This Row],[Actual]]-allFYsTable[[#This Row],[OriginalBudget]]</f>
        <v>-54</v>
      </c>
      <c r="L2286" s="11">
        <f>allFYsTable[[#This Row],[DiffAmount]]/allFYsTable[[#This Row],[OriginalBudget]]</f>
        <v>-3.6476627938395027E-3</v>
      </c>
    </row>
    <row r="2287" spans="1:12" x14ac:dyDescent="0.45">
      <c r="A2287" t="s">
        <v>1020</v>
      </c>
      <c r="B2287" t="s">
        <v>11</v>
      </c>
      <c r="C2287" t="s">
        <v>700</v>
      </c>
      <c r="D2287" t="s">
        <v>1307</v>
      </c>
      <c r="E2287">
        <v>3938</v>
      </c>
      <c r="F2287">
        <v>3938</v>
      </c>
      <c r="G2287">
        <v>3841</v>
      </c>
      <c r="H2287">
        <v>97</v>
      </c>
      <c r="I2287">
        <v>2024</v>
      </c>
      <c r="J2287">
        <v>2</v>
      </c>
      <c r="K2287">
        <f>allFYsTable[[#This Row],[Actual]]-allFYsTable[[#This Row],[OriginalBudget]]</f>
        <v>-97</v>
      </c>
      <c r="L2287" s="11">
        <f>allFYsTable[[#This Row],[DiffAmount]]/allFYsTable[[#This Row],[OriginalBudget]]</f>
        <v>-2.4631792788217369E-2</v>
      </c>
    </row>
    <row r="2288" spans="1:12" x14ac:dyDescent="0.45">
      <c r="A2288" t="s">
        <v>1020</v>
      </c>
      <c r="B2288" t="s">
        <v>11</v>
      </c>
      <c r="C2288" t="s">
        <v>701</v>
      </c>
      <c r="D2288" t="s">
        <v>1308</v>
      </c>
      <c r="E2288">
        <v>9809</v>
      </c>
      <c r="F2288">
        <v>10525</v>
      </c>
      <c r="G2288">
        <v>10449</v>
      </c>
      <c r="H2288">
        <v>76</v>
      </c>
      <c r="I2288">
        <v>2024</v>
      </c>
      <c r="J2288">
        <v>3</v>
      </c>
      <c r="K2288">
        <f>allFYsTable[[#This Row],[Actual]]-allFYsTable[[#This Row],[OriginalBudget]]</f>
        <v>640</v>
      </c>
      <c r="L2288" s="11">
        <f>allFYsTable[[#This Row],[DiffAmount]]/allFYsTable[[#This Row],[OriginalBudget]]</f>
        <v>6.5246202467122025E-2</v>
      </c>
    </row>
    <row r="2289" spans="1:12" x14ac:dyDescent="0.45">
      <c r="A2289" t="s">
        <v>1020</v>
      </c>
      <c r="B2289" t="s">
        <v>11</v>
      </c>
      <c r="C2289" t="s">
        <v>702</v>
      </c>
      <c r="D2289" t="s">
        <v>1309</v>
      </c>
      <c r="E2289">
        <v>1968</v>
      </c>
      <c r="F2289">
        <v>1968</v>
      </c>
      <c r="G2289">
        <v>1908</v>
      </c>
      <c r="H2289">
        <v>60</v>
      </c>
      <c r="I2289">
        <v>2024</v>
      </c>
      <c r="J2289">
        <v>4</v>
      </c>
      <c r="K2289">
        <f>allFYsTable[[#This Row],[Actual]]-allFYsTable[[#This Row],[OriginalBudget]]</f>
        <v>-60</v>
      </c>
      <c r="L2289" s="11">
        <f>allFYsTable[[#This Row],[DiffAmount]]/allFYsTable[[#This Row],[OriginalBudget]]</f>
        <v>-3.048780487804878E-2</v>
      </c>
    </row>
    <row r="2290" spans="1:12" x14ac:dyDescent="0.45">
      <c r="A2290" t="s">
        <v>1020</v>
      </c>
      <c r="B2290" t="s">
        <v>11</v>
      </c>
      <c r="C2290" t="s">
        <v>703</v>
      </c>
      <c r="D2290" t="s">
        <v>96</v>
      </c>
      <c r="E2290">
        <v>33949</v>
      </c>
      <c r="F2290">
        <v>31389</v>
      </c>
      <c r="G2290">
        <v>31389</v>
      </c>
      <c r="H2290">
        <v>0</v>
      </c>
      <c r="I2290">
        <v>2024</v>
      </c>
      <c r="J2290">
        <v>5</v>
      </c>
      <c r="K2290">
        <f>allFYsTable[[#This Row],[Actual]]-allFYsTable[[#This Row],[OriginalBudget]]</f>
        <v>-2560</v>
      </c>
      <c r="L2290" s="11">
        <f>allFYsTable[[#This Row],[DiffAmount]]/allFYsTable[[#This Row],[OriginalBudget]]</f>
        <v>-7.5407228489793518E-2</v>
      </c>
    </row>
    <row r="2291" spans="1:12" x14ac:dyDescent="0.45">
      <c r="A2291" t="s">
        <v>1020</v>
      </c>
      <c r="B2291" t="s">
        <v>11</v>
      </c>
      <c r="C2291" t="s">
        <v>704</v>
      </c>
      <c r="D2291" t="s">
        <v>1310</v>
      </c>
      <c r="E2291">
        <v>13585</v>
      </c>
      <c r="F2291">
        <v>12525</v>
      </c>
      <c r="G2291">
        <v>12254</v>
      </c>
      <c r="H2291">
        <v>271</v>
      </c>
      <c r="I2291">
        <v>2024</v>
      </c>
      <c r="J2291">
        <v>6</v>
      </c>
      <c r="K2291">
        <f>allFYsTable[[#This Row],[Actual]]-allFYsTable[[#This Row],[OriginalBudget]]</f>
        <v>-1331</v>
      </c>
      <c r="L2291" s="11">
        <f>allFYsTable[[#This Row],[DiffAmount]]/allFYsTable[[#This Row],[OriginalBudget]]</f>
        <v>-9.7975708502024292E-2</v>
      </c>
    </row>
    <row r="2292" spans="1:12" x14ac:dyDescent="0.45">
      <c r="A2292" t="s">
        <v>1020</v>
      </c>
      <c r="B2292" t="s">
        <v>11</v>
      </c>
      <c r="C2292" t="s">
        <v>705</v>
      </c>
      <c r="D2292" t="s">
        <v>1311</v>
      </c>
      <c r="E2292">
        <v>429741</v>
      </c>
      <c r="F2292">
        <v>460622</v>
      </c>
      <c r="G2292">
        <v>460043</v>
      </c>
      <c r="H2292">
        <v>579</v>
      </c>
      <c r="I2292">
        <v>2024</v>
      </c>
      <c r="J2292">
        <v>7</v>
      </c>
      <c r="K2292">
        <f>allFYsTable[[#This Row],[Actual]]-allFYsTable[[#This Row],[OriginalBudget]]</f>
        <v>30302</v>
      </c>
      <c r="L2292" s="11">
        <f>allFYsTable[[#This Row],[DiffAmount]]/allFYsTable[[#This Row],[OriginalBudget]]</f>
        <v>7.0512238767071328E-2</v>
      </c>
    </row>
    <row r="2293" spans="1:12" x14ac:dyDescent="0.45">
      <c r="A2293" t="s">
        <v>1020</v>
      </c>
      <c r="B2293" t="s">
        <v>11</v>
      </c>
      <c r="C2293" t="s">
        <v>706</v>
      </c>
      <c r="D2293" t="s">
        <v>1312</v>
      </c>
      <c r="E2293">
        <v>20404</v>
      </c>
      <c r="F2293">
        <v>18431</v>
      </c>
      <c r="G2293">
        <v>18262</v>
      </c>
      <c r="H2293">
        <v>169</v>
      </c>
      <c r="I2293">
        <v>2024</v>
      </c>
      <c r="J2293">
        <v>8</v>
      </c>
      <c r="K2293">
        <f>allFYsTable[[#This Row],[Actual]]-allFYsTable[[#This Row],[OriginalBudget]]</f>
        <v>-2142</v>
      </c>
      <c r="L2293" s="11">
        <f>allFYsTable[[#This Row],[DiffAmount]]/allFYsTable[[#This Row],[OriginalBudget]]</f>
        <v>-0.10497941580082337</v>
      </c>
    </row>
    <row r="2294" spans="1:12" x14ac:dyDescent="0.45">
      <c r="A2294" t="s">
        <v>1020</v>
      </c>
      <c r="B2294" t="s">
        <v>11</v>
      </c>
      <c r="C2294" t="s">
        <v>707</v>
      </c>
      <c r="D2294" t="s">
        <v>1313</v>
      </c>
      <c r="E2294">
        <v>16722</v>
      </c>
      <c r="F2294">
        <v>17165</v>
      </c>
      <c r="G2294">
        <v>16719</v>
      </c>
      <c r="H2294">
        <v>446</v>
      </c>
      <c r="I2294">
        <v>2024</v>
      </c>
      <c r="J2294">
        <v>9</v>
      </c>
      <c r="K2294">
        <f>allFYsTable[[#This Row],[Actual]]-allFYsTable[[#This Row],[OriginalBudget]]</f>
        <v>-3</v>
      </c>
      <c r="L2294" s="11">
        <f>allFYsTable[[#This Row],[DiffAmount]]/allFYsTable[[#This Row],[OriginalBudget]]</f>
        <v>-1.794043774668102E-4</v>
      </c>
    </row>
    <row r="2295" spans="1:12" x14ac:dyDescent="0.45">
      <c r="A2295" t="s">
        <v>1020</v>
      </c>
      <c r="B2295" t="s">
        <v>11</v>
      </c>
      <c r="C2295" t="s">
        <v>708</v>
      </c>
      <c r="D2295" t="s">
        <v>1314</v>
      </c>
      <c r="E2295">
        <v>1807</v>
      </c>
      <c r="F2295">
        <v>1807</v>
      </c>
      <c r="G2295">
        <v>1575</v>
      </c>
      <c r="H2295">
        <v>232</v>
      </c>
      <c r="I2295">
        <v>2024</v>
      </c>
      <c r="J2295">
        <v>10</v>
      </c>
      <c r="K2295">
        <f>allFYsTable[[#This Row],[Actual]]-allFYsTable[[#This Row],[OriginalBudget]]</f>
        <v>-232</v>
      </c>
      <c r="L2295" s="11">
        <f>allFYsTable[[#This Row],[DiffAmount]]/allFYsTable[[#This Row],[OriginalBudget]]</f>
        <v>-0.12838959601549529</v>
      </c>
    </row>
    <row r="2296" spans="1:12" x14ac:dyDescent="0.45">
      <c r="A2296" t="s">
        <v>1020</v>
      </c>
      <c r="B2296" t="s">
        <v>11</v>
      </c>
      <c r="C2296" t="s">
        <v>709</v>
      </c>
      <c r="D2296" t="s">
        <v>1315</v>
      </c>
      <c r="E2296">
        <v>1264</v>
      </c>
      <c r="F2296">
        <v>1264</v>
      </c>
      <c r="G2296">
        <v>1191</v>
      </c>
      <c r="H2296">
        <v>73</v>
      </c>
      <c r="I2296">
        <v>2024</v>
      </c>
      <c r="J2296">
        <v>11</v>
      </c>
      <c r="K2296">
        <f>allFYsTable[[#This Row],[Actual]]-allFYsTable[[#This Row],[OriginalBudget]]</f>
        <v>-73</v>
      </c>
      <c r="L2296" s="11">
        <f>allFYsTable[[#This Row],[DiffAmount]]/allFYsTable[[#This Row],[OriginalBudget]]</f>
        <v>-5.7753164556962028E-2</v>
      </c>
    </row>
    <row r="2297" spans="1:12" x14ac:dyDescent="0.45">
      <c r="A2297" t="s">
        <v>1020</v>
      </c>
      <c r="B2297" t="s">
        <v>11</v>
      </c>
      <c r="C2297" t="s">
        <v>710</v>
      </c>
      <c r="D2297" t="s">
        <v>1316</v>
      </c>
      <c r="E2297">
        <v>1104</v>
      </c>
      <c r="F2297">
        <v>1091</v>
      </c>
      <c r="G2297">
        <v>1084</v>
      </c>
      <c r="H2297">
        <v>7</v>
      </c>
      <c r="I2297">
        <v>2024</v>
      </c>
      <c r="J2297">
        <v>12</v>
      </c>
      <c r="K2297">
        <f>allFYsTable[[#This Row],[Actual]]-allFYsTable[[#This Row],[OriginalBudget]]</f>
        <v>-20</v>
      </c>
      <c r="L2297" s="11">
        <f>allFYsTable[[#This Row],[DiffAmount]]/allFYsTable[[#This Row],[OriginalBudget]]</f>
        <v>-1.8115942028985508E-2</v>
      </c>
    </row>
    <row r="2298" spans="1:12" x14ac:dyDescent="0.45">
      <c r="A2298" t="s">
        <v>1020</v>
      </c>
      <c r="B2298" t="s">
        <v>11</v>
      </c>
      <c r="C2298" t="s">
        <v>711</v>
      </c>
      <c r="D2298" t="s">
        <v>1317</v>
      </c>
      <c r="E2298">
        <v>2532</v>
      </c>
      <c r="F2298">
        <v>2886</v>
      </c>
      <c r="G2298">
        <v>2198</v>
      </c>
      <c r="H2298">
        <v>688</v>
      </c>
      <c r="I2298">
        <v>2024</v>
      </c>
      <c r="J2298">
        <v>13</v>
      </c>
      <c r="K2298">
        <f>allFYsTable[[#This Row],[Actual]]-allFYsTable[[#This Row],[OriginalBudget]]</f>
        <v>-334</v>
      </c>
      <c r="L2298" s="11">
        <f>allFYsTable[[#This Row],[DiffAmount]]/allFYsTable[[#This Row],[OriginalBudget]]</f>
        <v>-0.13191153238546605</v>
      </c>
    </row>
    <row r="2299" spans="1:12" x14ac:dyDescent="0.45">
      <c r="A2299" t="s">
        <v>1020</v>
      </c>
      <c r="B2299" t="s">
        <v>11</v>
      </c>
      <c r="C2299" t="s">
        <v>712</v>
      </c>
      <c r="D2299" t="s">
        <v>248</v>
      </c>
      <c r="E2299">
        <v>7847</v>
      </c>
      <c r="F2299">
        <v>7647</v>
      </c>
      <c r="G2299">
        <v>7333</v>
      </c>
      <c r="H2299">
        <v>314</v>
      </c>
      <c r="I2299">
        <v>2024</v>
      </c>
      <c r="J2299">
        <v>14</v>
      </c>
      <c r="K2299">
        <f>allFYsTable[[#This Row],[Actual]]-allFYsTable[[#This Row],[OriginalBudget]]</f>
        <v>-514</v>
      </c>
      <c r="L2299" s="11">
        <f>allFYsTable[[#This Row],[DiffAmount]]/allFYsTable[[#This Row],[OriginalBudget]]</f>
        <v>-6.5502739900598961E-2</v>
      </c>
    </row>
    <row r="2300" spans="1:12" x14ac:dyDescent="0.45">
      <c r="A2300" t="s">
        <v>1020</v>
      </c>
      <c r="B2300" t="s">
        <v>11</v>
      </c>
      <c r="C2300" t="s">
        <v>713</v>
      </c>
      <c r="D2300" t="s">
        <v>1318</v>
      </c>
      <c r="E2300">
        <v>27598</v>
      </c>
      <c r="F2300">
        <v>29057</v>
      </c>
      <c r="G2300">
        <v>28968</v>
      </c>
      <c r="H2300">
        <v>89</v>
      </c>
      <c r="I2300">
        <v>2024</v>
      </c>
      <c r="J2300">
        <v>15</v>
      </c>
      <c r="K2300">
        <f>allFYsTable[[#This Row],[Actual]]-allFYsTable[[#This Row],[OriginalBudget]]</f>
        <v>1370</v>
      </c>
      <c r="L2300" s="11">
        <f>allFYsTable[[#This Row],[DiffAmount]]/allFYsTable[[#This Row],[OriginalBudget]]</f>
        <v>4.9641278353503876E-2</v>
      </c>
    </row>
    <row r="2301" spans="1:12" x14ac:dyDescent="0.45">
      <c r="A2301" t="s">
        <v>1020</v>
      </c>
      <c r="B2301" t="s">
        <v>11</v>
      </c>
      <c r="C2301" t="s">
        <v>714</v>
      </c>
      <c r="D2301" t="s">
        <v>1323</v>
      </c>
      <c r="E2301">
        <v>1467</v>
      </c>
      <c r="F2301">
        <v>1387</v>
      </c>
      <c r="G2301">
        <v>1386</v>
      </c>
      <c r="H2301">
        <v>1</v>
      </c>
      <c r="I2301">
        <v>2024</v>
      </c>
      <c r="J2301">
        <v>16</v>
      </c>
      <c r="K2301">
        <f>allFYsTable[[#This Row],[Actual]]-allFYsTable[[#This Row],[OriginalBudget]]</f>
        <v>-81</v>
      </c>
      <c r="L2301" s="11">
        <f>allFYsTable[[#This Row],[DiffAmount]]/allFYsTable[[#This Row],[OriginalBudget]]</f>
        <v>-5.5214723926380369E-2</v>
      </c>
    </row>
    <row r="2302" spans="1:12" x14ac:dyDescent="0.45">
      <c r="A2302" t="s">
        <v>1020</v>
      </c>
      <c r="B2302" t="s">
        <v>11</v>
      </c>
      <c r="C2302" t="s">
        <v>715</v>
      </c>
      <c r="D2302" t="s">
        <v>1319</v>
      </c>
      <c r="E2302">
        <v>2531</v>
      </c>
      <c r="F2302">
        <v>2366</v>
      </c>
      <c r="G2302">
        <v>2331</v>
      </c>
      <c r="H2302">
        <v>35</v>
      </c>
      <c r="I2302">
        <v>2024</v>
      </c>
      <c r="J2302">
        <v>17</v>
      </c>
      <c r="K2302">
        <f>allFYsTable[[#This Row],[Actual]]-allFYsTable[[#This Row],[OriginalBudget]]</f>
        <v>-200</v>
      </c>
      <c r="L2302" s="11">
        <f>allFYsTable[[#This Row],[DiffAmount]]/allFYsTable[[#This Row],[OriginalBudget]]</f>
        <v>-7.9020150138285269E-2</v>
      </c>
    </row>
    <row r="2303" spans="1:12" x14ac:dyDescent="0.45">
      <c r="A2303" t="s">
        <v>1020</v>
      </c>
      <c r="B2303" t="s">
        <v>11</v>
      </c>
      <c r="C2303" t="s">
        <v>716</v>
      </c>
      <c r="D2303" t="s">
        <v>1320</v>
      </c>
      <c r="E2303">
        <v>32076</v>
      </c>
      <c r="F2303">
        <v>31475</v>
      </c>
      <c r="G2303">
        <v>31438</v>
      </c>
      <c r="H2303">
        <v>37</v>
      </c>
      <c r="I2303">
        <v>2024</v>
      </c>
      <c r="J2303">
        <v>18</v>
      </c>
      <c r="K2303">
        <f>allFYsTable[[#This Row],[Actual]]-allFYsTable[[#This Row],[OriginalBudget]]</f>
        <v>-638</v>
      </c>
      <c r="L2303" s="11">
        <f>allFYsTable[[#This Row],[DiffAmount]]/allFYsTable[[#This Row],[OriginalBudget]]</f>
        <v>-1.9890260631001373E-2</v>
      </c>
    </row>
    <row r="2304" spans="1:12" x14ac:dyDescent="0.45">
      <c r="A2304" t="s">
        <v>1020</v>
      </c>
      <c r="B2304" t="s">
        <v>11</v>
      </c>
      <c r="C2304" t="s">
        <v>717</v>
      </c>
      <c r="D2304" t="s">
        <v>1321</v>
      </c>
      <c r="E2304">
        <v>3313</v>
      </c>
      <c r="F2304">
        <v>3052</v>
      </c>
      <c r="G2304">
        <v>2545</v>
      </c>
      <c r="H2304">
        <v>507</v>
      </c>
      <c r="I2304">
        <v>2024</v>
      </c>
      <c r="J2304">
        <v>19</v>
      </c>
      <c r="K2304">
        <f>allFYsTable[[#This Row],[Actual]]-allFYsTable[[#This Row],[OriginalBudget]]</f>
        <v>-768</v>
      </c>
      <c r="L2304" s="11">
        <f>allFYsTable[[#This Row],[DiffAmount]]/allFYsTable[[#This Row],[OriginalBudget]]</f>
        <v>-0.23181406580138847</v>
      </c>
    </row>
    <row r="2305" spans="1:12" x14ac:dyDescent="0.45">
      <c r="A2305" t="s">
        <v>1020</v>
      </c>
      <c r="B2305" t="s">
        <v>11</v>
      </c>
      <c r="C2305" t="s">
        <v>718</v>
      </c>
      <c r="D2305" t="s">
        <v>1322</v>
      </c>
      <c r="E2305">
        <v>4219</v>
      </c>
      <c r="F2305">
        <v>4219</v>
      </c>
      <c r="G2305">
        <v>4214</v>
      </c>
      <c r="H2305">
        <v>5</v>
      </c>
      <c r="I2305">
        <v>2024</v>
      </c>
      <c r="J2305">
        <v>20</v>
      </c>
      <c r="K2305">
        <f>allFYsTable[[#This Row],[Actual]]-allFYsTable[[#This Row],[OriginalBudget]]</f>
        <v>-5</v>
      </c>
      <c r="L2305" s="11">
        <f>allFYsTable[[#This Row],[DiffAmount]]/allFYsTable[[#This Row],[OriginalBudget]]</f>
        <v>-1.1851149561507466E-3</v>
      </c>
    </row>
    <row r="2306" spans="1:12" x14ac:dyDescent="0.45">
      <c r="A2306" t="s">
        <v>1020</v>
      </c>
      <c r="B2306" t="s">
        <v>11</v>
      </c>
      <c r="C2306" t="s">
        <v>719</v>
      </c>
      <c r="D2306" t="s">
        <v>1324</v>
      </c>
      <c r="E2306">
        <v>96767</v>
      </c>
      <c r="F2306">
        <v>93397</v>
      </c>
      <c r="G2306">
        <v>92253</v>
      </c>
      <c r="H2306">
        <v>1144</v>
      </c>
      <c r="I2306">
        <v>2024</v>
      </c>
      <c r="J2306">
        <v>21</v>
      </c>
      <c r="K2306">
        <f>allFYsTable[[#This Row],[Actual]]-allFYsTable[[#This Row],[OriginalBudget]]</f>
        <v>-4514</v>
      </c>
      <c r="L2306" s="11">
        <f>allFYsTable[[#This Row],[DiffAmount]]/allFYsTable[[#This Row],[OriginalBudget]]</f>
        <v>-4.6648134177973893E-2</v>
      </c>
    </row>
    <row r="2307" spans="1:12" x14ac:dyDescent="0.45">
      <c r="A2307" t="s">
        <v>1020</v>
      </c>
      <c r="B2307" t="s">
        <v>11</v>
      </c>
      <c r="C2307" t="s">
        <v>720</v>
      </c>
      <c r="D2307" t="s">
        <v>1325</v>
      </c>
      <c r="E2307">
        <v>172986</v>
      </c>
      <c r="F2307">
        <v>176180</v>
      </c>
      <c r="G2307">
        <v>176144</v>
      </c>
      <c r="H2307">
        <v>36</v>
      </c>
      <c r="I2307">
        <v>2024</v>
      </c>
      <c r="J2307">
        <v>22</v>
      </c>
      <c r="K2307">
        <f>allFYsTable[[#This Row],[Actual]]-allFYsTable[[#This Row],[OriginalBudget]]</f>
        <v>3158</v>
      </c>
      <c r="L2307" s="11">
        <f>allFYsTable[[#This Row],[DiffAmount]]/allFYsTable[[#This Row],[OriginalBudget]]</f>
        <v>1.8255812609112874E-2</v>
      </c>
    </row>
    <row r="2308" spans="1:12" x14ac:dyDescent="0.45">
      <c r="A2308" t="s">
        <v>1020</v>
      </c>
      <c r="B2308" t="s">
        <v>11</v>
      </c>
      <c r="C2308" t="s">
        <v>721</v>
      </c>
      <c r="D2308" t="s">
        <v>1326</v>
      </c>
      <c r="E2308">
        <v>77820</v>
      </c>
      <c r="F2308">
        <v>76011</v>
      </c>
      <c r="G2308">
        <v>75597</v>
      </c>
      <c r="H2308">
        <v>414</v>
      </c>
      <c r="I2308">
        <v>2024</v>
      </c>
      <c r="J2308">
        <v>23</v>
      </c>
      <c r="K2308">
        <f>allFYsTable[[#This Row],[Actual]]-allFYsTable[[#This Row],[OriginalBudget]]</f>
        <v>-2223</v>
      </c>
      <c r="L2308" s="11">
        <f>allFYsTable[[#This Row],[DiffAmount]]/allFYsTable[[#This Row],[OriginalBudget]]</f>
        <v>-2.8565921356977639E-2</v>
      </c>
    </row>
    <row r="2309" spans="1:12" x14ac:dyDescent="0.45">
      <c r="A2309" t="s">
        <v>1020</v>
      </c>
      <c r="B2309" t="s">
        <v>11</v>
      </c>
      <c r="C2309" t="s">
        <v>722</v>
      </c>
      <c r="D2309" t="s">
        <v>1327</v>
      </c>
      <c r="E2309">
        <v>12231</v>
      </c>
      <c r="F2309">
        <v>10321</v>
      </c>
      <c r="G2309">
        <v>9786</v>
      </c>
      <c r="H2309">
        <v>535</v>
      </c>
      <c r="I2309">
        <v>2024</v>
      </c>
      <c r="J2309">
        <v>24</v>
      </c>
      <c r="K2309">
        <f>allFYsTable[[#This Row],[Actual]]-allFYsTable[[#This Row],[OriginalBudget]]</f>
        <v>-2445</v>
      </c>
      <c r="L2309" s="11">
        <f>allFYsTable[[#This Row],[DiffAmount]]/allFYsTable[[#This Row],[OriginalBudget]]</f>
        <v>-0.1999018886436105</v>
      </c>
    </row>
    <row r="2310" spans="1:12" x14ac:dyDescent="0.45">
      <c r="A2310" t="s">
        <v>1020</v>
      </c>
      <c r="B2310" t="s">
        <v>11</v>
      </c>
      <c r="C2310" t="s">
        <v>723</v>
      </c>
      <c r="D2310" t="s">
        <v>1328</v>
      </c>
      <c r="E2310">
        <v>7348</v>
      </c>
      <c r="F2310">
        <v>7348</v>
      </c>
      <c r="G2310">
        <v>6985</v>
      </c>
      <c r="H2310">
        <v>363</v>
      </c>
      <c r="I2310">
        <v>2024</v>
      </c>
      <c r="J2310">
        <v>25</v>
      </c>
      <c r="K2310">
        <f>allFYsTable[[#This Row],[Actual]]-allFYsTable[[#This Row],[OriginalBudget]]</f>
        <v>-363</v>
      </c>
      <c r="L2310" s="11">
        <f>allFYsTable[[#This Row],[DiffAmount]]/allFYsTable[[#This Row],[OriginalBudget]]</f>
        <v>-4.940119760479042E-2</v>
      </c>
    </row>
    <row r="2311" spans="1:12" x14ac:dyDescent="0.45">
      <c r="A2311" t="s">
        <v>1020</v>
      </c>
      <c r="B2311" t="s">
        <v>11</v>
      </c>
      <c r="C2311" t="s">
        <v>724</v>
      </c>
      <c r="D2311" t="s">
        <v>1329</v>
      </c>
      <c r="E2311">
        <v>22104</v>
      </c>
      <c r="F2311">
        <v>19969</v>
      </c>
      <c r="G2311">
        <v>17555</v>
      </c>
      <c r="H2311">
        <v>2414</v>
      </c>
      <c r="I2311">
        <v>2024</v>
      </c>
      <c r="J2311">
        <v>26</v>
      </c>
      <c r="K2311">
        <f>allFYsTable[[#This Row],[Actual]]-allFYsTable[[#This Row],[OriginalBudget]]</f>
        <v>-4549</v>
      </c>
      <c r="L2311" s="11">
        <f>allFYsTable[[#This Row],[DiffAmount]]/allFYsTable[[#This Row],[OriginalBudget]]</f>
        <v>-0.20579985522982266</v>
      </c>
    </row>
    <row r="2312" spans="1:12" x14ac:dyDescent="0.45">
      <c r="A2312" t="s">
        <v>1020</v>
      </c>
      <c r="B2312" t="s">
        <v>11</v>
      </c>
      <c r="C2312" t="s">
        <v>725</v>
      </c>
      <c r="D2312" t="s">
        <v>1330</v>
      </c>
      <c r="E2312">
        <v>4432</v>
      </c>
      <c r="F2312">
        <v>4657</v>
      </c>
      <c r="G2312">
        <v>4599</v>
      </c>
      <c r="H2312">
        <v>58</v>
      </c>
      <c r="I2312">
        <v>2024</v>
      </c>
      <c r="J2312">
        <v>27</v>
      </c>
      <c r="K2312">
        <f>allFYsTable[[#This Row],[Actual]]-allFYsTable[[#This Row],[OriginalBudget]]</f>
        <v>167</v>
      </c>
      <c r="L2312" s="11">
        <f>allFYsTable[[#This Row],[DiffAmount]]/allFYsTable[[#This Row],[OriginalBudget]]</f>
        <v>3.7680505415162456E-2</v>
      </c>
    </row>
    <row r="2313" spans="1:12" x14ac:dyDescent="0.45">
      <c r="A2313" t="s">
        <v>1020</v>
      </c>
      <c r="B2313" t="s">
        <v>11</v>
      </c>
      <c r="C2313" t="s">
        <v>726</v>
      </c>
      <c r="D2313" t="s">
        <v>1331</v>
      </c>
      <c r="E2313">
        <v>3692</v>
      </c>
      <c r="F2313">
        <v>3563</v>
      </c>
      <c r="G2313">
        <v>3351</v>
      </c>
      <c r="H2313">
        <v>212</v>
      </c>
      <c r="I2313">
        <v>2024</v>
      </c>
      <c r="J2313">
        <v>28</v>
      </c>
      <c r="K2313">
        <f>allFYsTable[[#This Row],[Actual]]-allFYsTable[[#This Row],[OriginalBudget]]</f>
        <v>-341</v>
      </c>
      <c r="L2313" s="11">
        <f>allFYsTable[[#This Row],[DiffAmount]]/allFYsTable[[#This Row],[OriginalBudget]]</f>
        <v>-9.2361863488624046E-2</v>
      </c>
    </row>
    <row r="2314" spans="1:12" x14ac:dyDescent="0.45">
      <c r="A2314" t="s">
        <v>1020</v>
      </c>
      <c r="B2314" t="s">
        <v>11</v>
      </c>
      <c r="C2314" t="s">
        <v>727</v>
      </c>
      <c r="D2314" t="s">
        <v>1332</v>
      </c>
      <c r="E2314">
        <v>1179</v>
      </c>
      <c r="F2314">
        <v>1179</v>
      </c>
      <c r="G2314">
        <v>997</v>
      </c>
      <c r="H2314">
        <v>182</v>
      </c>
      <c r="I2314">
        <v>2024</v>
      </c>
      <c r="J2314">
        <v>29</v>
      </c>
      <c r="K2314">
        <f>allFYsTable[[#This Row],[Actual]]-allFYsTable[[#This Row],[OriginalBudget]]</f>
        <v>-182</v>
      </c>
      <c r="L2314" s="11">
        <f>allFYsTable[[#This Row],[DiffAmount]]/allFYsTable[[#This Row],[OriginalBudget]]</f>
        <v>-0.15436810856658184</v>
      </c>
    </row>
    <row r="2315" spans="1:12" x14ac:dyDescent="0.45">
      <c r="A2315" t="s">
        <v>1020</v>
      </c>
      <c r="B2315" t="s">
        <v>11</v>
      </c>
      <c r="C2315" t="s">
        <v>728</v>
      </c>
      <c r="D2315" t="s">
        <v>1333</v>
      </c>
      <c r="E2315">
        <v>1554</v>
      </c>
      <c r="F2315">
        <v>1604</v>
      </c>
      <c r="G2315">
        <v>1381</v>
      </c>
      <c r="H2315">
        <v>223</v>
      </c>
      <c r="I2315">
        <v>2024</v>
      </c>
      <c r="J2315">
        <v>30</v>
      </c>
      <c r="K2315">
        <f>allFYsTable[[#This Row],[Actual]]-allFYsTable[[#This Row],[OriginalBudget]]</f>
        <v>-173</v>
      </c>
      <c r="L2315" s="11">
        <f>allFYsTable[[#This Row],[DiffAmount]]/allFYsTable[[#This Row],[OriginalBudget]]</f>
        <v>-0.11132561132561132</v>
      </c>
    </row>
    <row r="2316" spans="1:12" x14ac:dyDescent="0.45">
      <c r="A2316" t="s">
        <v>1020</v>
      </c>
      <c r="B2316" t="s">
        <v>11</v>
      </c>
      <c r="C2316" t="s">
        <v>729</v>
      </c>
      <c r="D2316" t="s">
        <v>1334</v>
      </c>
      <c r="E2316">
        <v>6326</v>
      </c>
      <c r="F2316">
        <v>6326</v>
      </c>
      <c r="G2316">
        <v>6254</v>
      </c>
      <c r="H2316">
        <v>72</v>
      </c>
      <c r="I2316">
        <v>2024</v>
      </c>
      <c r="J2316">
        <v>31</v>
      </c>
      <c r="K2316">
        <f>allFYsTable[[#This Row],[Actual]]-allFYsTable[[#This Row],[OriginalBudget]]</f>
        <v>-72</v>
      </c>
      <c r="L2316" s="11">
        <f>allFYsTable[[#This Row],[DiffAmount]]/allFYsTable[[#This Row],[OriginalBudget]]</f>
        <v>-1.138159974707556E-2</v>
      </c>
    </row>
    <row r="2317" spans="1:12" x14ac:dyDescent="0.45">
      <c r="A2317" t="s">
        <v>1020</v>
      </c>
      <c r="B2317" t="s">
        <v>11</v>
      </c>
      <c r="C2317" t="s">
        <v>730</v>
      </c>
      <c r="D2317" t="s">
        <v>1335</v>
      </c>
      <c r="E2317">
        <v>1437</v>
      </c>
      <c r="F2317">
        <v>1432</v>
      </c>
      <c r="G2317">
        <v>1287</v>
      </c>
      <c r="H2317">
        <v>145</v>
      </c>
      <c r="I2317">
        <v>2024</v>
      </c>
      <c r="J2317">
        <v>32</v>
      </c>
      <c r="K2317">
        <f>allFYsTable[[#This Row],[Actual]]-allFYsTable[[#This Row],[OriginalBudget]]</f>
        <v>-150</v>
      </c>
      <c r="L2317" s="11">
        <f>allFYsTable[[#This Row],[DiffAmount]]/allFYsTable[[#This Row],[OriginalBudget]]</f>
        <v>-0.10438413361169102</v>
      </c>
    </row>
    <row r="2318" spans="1:12" x14ac:dyDescent="0.45">
      <c r="A2318" t="s">
        <v>1020</v>
      </c>
      <c r="B2318" t="s">
        <v>11</v>
      </c>
      <c r="C2318" t="s">
        <v>731</v>
      </c>
      <c r="D2318" t="s">
        <v>1336</v>
      </c>
      <c r="E2318">
        <v>267</v>
      </c>
      <c r="F2318">
        <v>295</v>
      </c>
      <c r="G2318">
        <v>295</v>
      </c>
      <c r="H2318">
        <v>0</v>
      </c>
      <c r="I2318">
        <v>2024</v>
      </c>
      <c r="J2318">
        <v>33</v>
      </c>
      <c r="K2318">
        <f>allFYsTable[[#This Row],[Actual]]-allFYsTable[[#This Row],[OriginalBudget]]</f>
        <v>28</v>
      </c>
      <c r="L2318" s="11">
        <f>allFYsTable[[#This Row],[DiffAmount]]/allFYsTable[[#This Row],[OriginalBudget]]</f>
        <v>0.10486891385767791</v>
      </c>
    </row>
    <row r="2319" spans="1:12" x14ac:dyDescent="0.45">
      <c r="A2319" t="s">
        <v>1020</v>
      </c>
      <c r="B2319" t="s">
        <v>11</v>
      </c>
      <c r="C2319" t="s">
        <v>732</v>
      </c>
      <c r="D2319" t="s">
        <v>1337</v>
      </c>
      <c r="E2319">
        <v>400</v>
      </c>
      <c r="F2319">
        <v>742</v>
      </c>
      <c r="G2319">
        <v>742</v>
      </c>
      <c r="H2319">
        <v>0</v>
      </c>
      <c r="I2319">
        <v>2024</v>
      </c>
      <c r="J2319">
        <v>34</v>
      </c>
      <c r="K2319">
        <f>allFYsTable[[#This Row],[Actual]]-allFYsTable[[#This Row],[OriginalBudget]]</f>
        <v>342</v>
      </c>
      <c r="L2319" s="11">
        <f>allFYsTable[[#This Row],[DiffAmount]]/allFYsTable[[#This Row],[OriginalBudget]]</f>
        <v>0.85499999999999998</v>
      </c>
    </row>
    <row r="2320" spans="1:12" x14ac:dyDescent="0.45">
      <c r="A2320" t="s">
        <v>1020</v>
      </c>
      <c r="B2320" t="s">
        <v>11</v>
      </c>
      <c r="C2320" t="s">
        <v>733</v>
      </c>
      <c r="D2320" t="s">
        <v>1338</v>
      </c>
      <c r="E2320">
        <v>65</v>
      </c>
      <c r="F2320">
        <v>65</v>
      </c>
      <c r="G2320">
        <v>54</v>
      </c>
      <c r="H2320">
        <v>11</v>
      </c>
      <c r="I2320">
        <v>2024</v>
      </c>
      <c r="J2320">
        <v>35</v>
      </c>
      <c r="K2320">
        <f>allFYsTable[[#This Row],[Actual]]-allFYsTable[[#This Row],[OriginalBudget]]</f>
        <v>-11</v>
      </c>
      <c r="L2320" s="11">
        <f>allFYsTable[[#This Row],[DiffAmount]]/allFYsTable[[#This Row],[OriginalBudget]]</f>
        <v>-0.16923076923076924</v>
      </c>
    </row>
    <row r="2321" spans="1:12" x14ac:dyDescent="0.45">
      <c r="A2321" t="s">
        <v>1020</v>
      </c>
      <c r="B2321" t="s">
        <v>11</v>
      </c>
      <c r="C2321" t="s">
        <v>865</v>
      </c>
      <c r="D2321" t="s">
        <v>1339</v>
      </c>
      <c r="E2321">
        <v>0</v>
      </c>
      <c r="F2321">
        <v>6819</v>
      </c>
      <c r="G2321">
        <v>6783</v>
      </c>
      <c r="H2321">
        <v>36</v>
      </c>
      <c r="I2321">
        <v>2024</v>
      </c>
      <c r="J2321">
        <v>36</v>
      </c>
      <c r="K2321">
        <f>allFYsTable[[#This Row],[Actual]]-allFYsTable[[#This Row],[OriginalBudget]]</f>
        <v>6783</v>
      </c>
      <c r="L2321" s="11" t="e">
        <f>allFYsTable[[#This Row],[DiffAmount]]/allFYsTable[[#This Row],[OriginalBudget]]</f>
        <v>#DIV/0!</v>
      </c>
    </row>
    <row r="2322" spans="1:12" x14ac:dyDescent="0.45">
      <c r="A2322" t="s">
        <v>1020</v>
      </c>
      <c r="B2322" t="s">
        <v>129</v>
      </c>
      <c r="C2322" t="s">
        <v>734</v>
      </c>
      <c r="D2322" t="s">
        <v>1340</v>
      </c>
      <c r="E2322">
        <v>4530</v>
      </c>
      <c r="F2322">
        <v>4530</v>
      </c>
      <c r="G2322">
        <v>4530</v>
      </c>
      <c r="H2322">
        <v>0</v>
      </c>
      <c r="I2322">
        <v>2024</v>
      </c>
      <c r="J2322">
        <v>37</v>
      </c>
      <c r="K2322">
        <f>allFYsTable[[#This Row],[Actual]]-allFYsTable[[#This Row],[OriginalBudget]]</f>
        <v>0</v>
      </c>
      <c r="L2322" s="11">
        <f>allFYsTable[[#This Row],[DiffAmount]]/allFYsTable[[#This Row],[OriginalBudget]]</f>
        <v>0</v>
      </c>
    </row>
    <row r="2323" spans="1:12" x14ac:dyDescent="0.45">
      <c r="A2323" t="s">
        <v>1020</v>
      </c>
      <c r="B2323" t="s">
        <v>129</v>
      </c>
      <c r="C2323" t="s">
        <v>736</v>
      </c>
      <c r="D2323" t="s">
        <v>1341</v>
      </c>
      <c r="E2323">
        <v>50077</v>
      </c>
      <c r="F2323">
        <v>41103</v>
      </c>
      <c r="G2323">
        <v>41103</v>
      </c>
      <c r="H2323">
        <v>0</v>
      </c>
      <c r="I2323">
        <v>2024</v>
      </c>
      <c r="J2323">
        <v>38</v>
      </c>
      <c r="K2323">
        <f>allFYsTable[[#This Row],[Actual]]-allFYsTable[[#This Row],[OriginalBudget]]</f>
        <v>-8974</v>
      </c>
      <c r="L2323" s="11">
        <f>allFYsTable[[#This Row],[DiffAmount]]/allFYsTable[[#This Row],[OriginalBudget]]</f>
        <v>-0.17920402580026759</v>
      </c>
    </row>
    <row r="2324" spans="1:12" x14ac:dyDescent="0.45">
      <c r="A2324" t="s">
        <v>1020</v>
      </c>
      <c r="B2324" t="s">
        <v>129</v>
      </c>
      <c r="C2324" t="s">
        <v>737</v>
      </c>
      <c r="D2324" t="s">
        <v>1342</v>
      </c>
      <c r="E2324">
        <v>27160</v>
      </c>
      <c r="F2324">
        <v>27937</v>
      </c>
      <c r="G2324">
        <v>27714</v>
      </c>
      <c r="H2324">
        <v>223</v>
      </c>
      <c r="I2324">
        <v>2024</v>
      </c>
      <c r="J2324">
        <v>39</v>
      </c>
      <c r="K2324">
        <f>allFYsTable[[#This Row],[Actual]]-allFYsTable[[#This Row],[OriginalBudget]]</f>
        <v>554</v>
      </c>
      <c r="L2324" s="11">
        <f>allFYsTable[[#This Row],[DiffAmount]]/allFYsTable[[#This Row],[OriginalBudget]]</f>
        <v>2.0397643593519883E-2</v>
      </c>
    </row>
    <row r="2325" spans="1:12" x14ac:dyDescent="0.45">
      <c r="A2325" t="s">
        <v>1020</v>
      </c>
      <c r="B2325" t="s">
        <v>129</v>
      </c>
      <c r="C2325" t="s">
        <v>738</v>
      </c>
      <c r="D2325" t="s">
        <v>1343</v>
      </c>
      <c r="E2325">
        <v>23339</v>
      </c>
      <c r="F2325">
        <v>22715</v>
      </c>
      <c r="G2325">
        <v>22636</v>
      </c>
      <c r="H2325">
        <v>79</v>
      </c>
      <c r="I2325">
        <v>2024</v>
      </c>
      <c r="J2325">
        <v>40</v>
      </c>
      <c r="K2325">
        <f>allFYsTable[[#This Row],[Actual]]-allFYsTable[[#This Row],[OriginalBudget]]</f>
        <v>-703</v>
      </c>
      <c r="L2325" s="11">
        <f>allFYsTable[[#This Row],[DiffAmount]]/allFYsTable[[#This Row],[OriginalBudget]]</f>
        <v>-3.0121256266335317E-2</v>
      </c>
    </row>
    <row r="2326" spans="1:12" x14ac:dyDescent="0.45">
      <c r="A2326" t="s">
        <v>1020</v>
      </c>
      <c r="B2326" t="s">
        <v>129</v>
      </c>
      <c r="C2326" t="s">
        <v>739</v>
      </c>
      <c r="D2326" t="s">
        <v>1344</v>
      </c>
      <c r="E2326">
        <v>186371</v>
      </c>
      <c r="F2326">
        <v>196391</v>
      </c>
      <c r="G2326">
        <v>195767</v>
      </c>
      <c r="H2326">
        <v>624</v>
      </c>
      <c r="I2326">
        <v>2024</v>
      </c>
      <c r="J2326">
        <v>41</v>
      </c>
      <c r="K2326">
        <f>allFYsTable[[#This Row],[Actual]]-allFYsTable[[#This Row],[OriginalBudget]]</f>
        <v>9396</v>
      </c>
      <c r="L2326" s="11">
        <f>allFYsTable[[#This Row],[DiffAmount]]/allFYsTable[[#This Row],[OriginalBudget]]</f>
        <v>5.0415568945812388E-2</v>
      </c>
    </row>
    <row r="2327" spans="1:12" x14ac:dyDescent="0.45">
      <c r="A2327" t="s">
        <v>1020</v>
      </c>
      <c r="B2327" t="s">
        <v>129</v>
      </c>
      <c r="C2327" t="s">
        <v>740</v>
      </c>
      <c r="D2327" t="s">
        <v>1345</v>
      </c>
      <c r="E2327">
        <v>0</v>
      </c>
      <c r="F2327">
        <v>191289</v>
      </c>
      <c r="G2327">
        <v>191289</v>
      </c>
      <c r="H2327">
        <v>0</v>
      </c>
      <c r="I2327">
        <v>2024</v>
      </c>
      <c r="J2327">
        <v>42</v>
      </c>
      <c r="K2327">
        <f>allFYsTable[[#This Row],[Actual]]-allFYsTable[[#This Row],[OriginalBudget]]</f>
        <v>191289</v>
      </c>
      <c r="L2327" s="11" t="e">
        <f>allFYsTable[[#This Row],[DiffAmount]]/allFYsTable[[#This Row],[OriginalBudget]]</f>
        <v>#DIV/0!</v>
      </c>
    </row>
    <row r="2328" spans="1:12" x14ac:dyDescent="0.45">
      <c r="A2328" t="s">
        <v>1020</v>
      </c>
      <c r="B2328" t="s">
        <v>129</v>
      </c>
      <c r="C2328" t="s">
        <v>741</v>
      </c>
      <c r="D2328" t="s">
        <v>1346</v>
      </c>
      <c r="E2328">
        <v>3269</v>
      </c>
      <c r="F2328">
        <v>6244</v>
      </c>
      <c r="G2328">
        <v>5617</v>
      </c>
      <c r="H2328">
        <v>627</v>
      </c>
      <c r="I2328">
        <v>2024</v>
      </c>
      <c r="J2328">
        <v>43</v>
      </c>
      <c r="K2328">
        <f>allFYsTable[[#This Row],[Actual]]-allFYsTable[[#This Row],[OriginalBudget]]</f>
        <v>2348</v>
      </c>
      <c r="L2328" s="11">
        <f>allFYsTable[[#This Row],[DiffAmount]]/allFYsTable[[#This Row],[OriginalBudget]]</f>
        <v>0.71826246558580609</v>
      </c>
    </row>
    <row r="2329" spans="1:12" x14ac:dyDescent="0.45">
      <c r="A2329" t="s">
        <v>1020</v>
      </c>
      <c r="B2329" t="s">
        <v>129</v>
      </c>
      <c r="C2329" t="s">
        <v>742</v>
      </c>
      <c r="D2329" t="s">
        <v>1347</v>
      </c>
      <c r="E2329">
        <v>13227</v>
      </c>
      <c r="F2329">
        <v>12620</v>
      </c>
      <c r="G2329">
        <v>12548</v>
      </c>
      <c r="H2329">
        <v>72</v>
      </c>
      <c r="I2329">
        <v>2024</v>
      </c>
      <c r="J2329">
        <v>44</v>
      </c>
      <c r="K2329">
        <f>allFYsTable[[#This Row],[Actual]]-allFYsTable[[#This Row],[OriginalBudget]]</f>
        <v>-679</v>
      </c>
      <c r="L2329" s="11">
        <f>allFYsTable[[#This Row],[DiffAmount]]/allFYsTable[[#This Row],[OriginalBudget]]</f>
        <v>-5.1334391774400849E-2</v>
      </c>
    </row>
    <row r="2330" spans="1:12" ht="26.45" customHeight="1" x14ac:dyDescent="0.45">
      <c r="A2330" t="s">
        <v>1020</v>
      </c>
      <c r="B2330" t="s">
        <v>129</v>
      </c>
      <c r="C2330" t="s">
        <v>743</v>
      </c>
      <c r="D2330" s="1" t="s">
        <v>1348</v>
      </c>
      <c r="E2330">
        <v>38972</v>
      </c>
      <c r="F2330">
        <v>86208</v>
      </c>
      <c r="G2330">
        <v>86208</v>
      </c>
      <c r="H2330">
        <v>0</v>
      </c>
      <c r="I2330">
        <v>2024</v>
      </c>
      <c r="J2330">
        <v>45</v>
      </c>
      <c r="K2330">
        <f>allFYsTable[[#This Row],[Actual]]-allFYsTable[[#This Row],[OriginalBudget]]</f>
        <v>47236</v>
      </c>
      <c r="L2330" s="11">
        <f>allFYsTable[[#This Row],[DiffAmount]]/allFYsTable[[#This Row],[OriginalBudget]]</f>
        <v>1.2120496766909576</v>
      </c>
    </row>
    <row r="2331" spans="1:12" x14ac:dyDescent="0.45">
      <c r="A2331" t="s">
        <v>1020</v>
      </c>
      <c r="B2331" t="s">
        <v>129</v>
      </c>
      <c r="C2331" t="s">
        <v>839</v>
      </c>
      <c r="D2331" t="s">
        <v>1305</v>
      </c>
      <c r="E2331">
        <v>3341</v>
      </c>
      <c r="F2331">
        <v>3731</v>
      </c>
      <c r="G2331">
        <v>3698</v>
      </c>
      <c r="H2331">
        <v>33</v>
      </c>
      <c r="I2331">
        <v>2024</v>
      </c>
      <c r="J2331">
        <v>46</v>
      </c>
      <c r="K2331">
        <f>allFYsTable[[#This Row],[Actual]]-allFYsTable[[#This Row],[OriginalBudget]]</f>
        <v>357</v>
      </c>
      <c r="L2331" s="11">
        <f>allFYsTable[[#This Row],[DiffAmount]]/allFYsTable[[#This Row],[OriginalBudget]]</f>
        <v>0.10685423525890451</v>
      </c>
    </row>
    <row r="2332" spans="1:12" x14ac:dyDescent="0.45">
      <c r="A2332" t="s">
        <v>1020</v>
      </c>
      <c r="B2332" t="s">
        <v>129</v>
      </c>
      <c r="C2332" t="s">
        <v>744</v>
      </c>
      <c r="D2332" t="s">
        <v>496</v>
      </c>
      <c r="E2332">
        <v>4085</v>
      </c>
      <c r="F2332">
        <v>4072</v>
      </c>
      <c r="G2332">
        <v>3997</v>
      </c>
      <c r="H2332">
        <v>75</v>
      </c>
      <c r="I2332">
        <v>2024</v>
      </c>
      <c r="J2332">
        <v>47</v>
      </c>
      <c r="K2332">
        <f>allFYsTable[[#This Row],[Actual]]-allFYsTable[[#This Row],[OriginalBudget]]</f>
        <v>-88</v>
      </c>
      <c r="L2332" s="11">
        <f>allFYsTable[[#This Row],[DiffAmount]]/allFYsTable[[#This Row],[OriginalBudget]]</f>
        <v>-2.1542227662178701E-2</v>
      </c>
    </row>
    <row r="2333" spans="1:12" x14ac:dyDescent="0.45">
      <c r="A2333" t="s">
        <v>1020</v>
      </c>
      <c r="B2333" t="s">
        <v>129</v>
      </c>
      <c r="C2333" t="s">
        <v>745</v>
      </c>
      <c r="D2333" t="s">
        <v>1304</v>
      </c>
      <c r="E2333">
        <v>2057</v>
      </c>
      <c r="F2333">
        <v>1888</v>
      </c>
      <c r="G2333">
        <v>1796</v>
      </c>
      <c r="H2333">
        <v>92</v>
      </c>
      <c r="I2333">
        <v>2024</v>
      </c>
      <c r="J2333">
        <v>48</v>
      </c>
      <c r="K2333">
        <f>allFYsTable[[#This Row],[Actual]]-allFYsTable[[#This Row],[OriginalBudget]]</f>
        <v>-261</v>
      </c>
      <c r="L2333" s="11">
        <f>allFYsTable[[#This Row],[DiffAmount]]/allFYsTable[[#This Row],[OriginalBudget]]</f>
        <v>-0.12688381137579</v>
      </c>
    </row>
    <row r="2334" spans="1:12" x14ac:dyDescent="0.45">
      <c r="A2334" t="s">
        <v>1020</v>
      </c>
      <c r="B2334" t="s">
        <v>129</v>
      </c>
      <c r="C2334" t="s">
        <v>735</v>
      </c>
      <c r="D2334" t="s">
        <v>1303</v>
      </c>
      <c r="E2334">
        <v>1377</v>
      </c>
      <c r="F2334">
        <v>1366</v>
      </c>
      <c r="G2334">
        <v>1361</v>
      </c>
      <c r="H2334">
        <v>5</v>
      </c>
      <c r="I2334">
        <v>2024</v>
      </c>
      <c r="J2334">
        <v>49</v>
      </c>
      <c r="K2334">
        <f>allFYsTable[[#This Row],[Actual]]-allFYsTable[[#This Row],[OriginalBudget]]</f>
        <v>-16</v>
      </c>
      <c r="L2334" s="11">
        <f>allFYsTable[[#This Row],[DiffAmount]]/allFYsTable[[#This Row],[OriginalBudget]]</f>
        <v>-1.1619462599854757E-2</v>
      </c>
    </row>
    <row r="2335" spans="1:12" x14ac:dyDescent="0.45">
      <c r="A2335" t="s">
        <v>1020</v>
      </c>
      <c r="B2335" t="s">
        <v>129</v>
      </c>
      <c r="C2335" t="s">
        <v>866</v>
      </c>
      <c r="D2335" t="s">
        <v>1302</v>
      </c>
      <c r="E2335">
        <v>0</v>
      </c>
      <c r="F2335">
        <v>0</v>
      </c>
      <c r="G2335">
        <v>0</v>
      </c>
      <c r="H2335">
        <v>0</v>
      </c>
      <c r="I2335">
        <v>2024</v>
      </c>
      <c r="J2335">
        <v>50</v>
      </c>
      <c r="K2335">
        <f>allFYsTable[[#This Row],[Actual]]-allFYsTable[[#This Row],[OriginalBudget]]</f>
        <v>0</v>
      </c>
      <c r="L2335" s="11" t="e">
        <f>allFYsTable[[#This Row],[DiffAmount]]/allFYsTable[[#This Row],[OriginalBudget]]</f>
        <v>#DIV/0!</v>
      </c>
    </row>
    <row r="2336" spans="1:12" x14ac:dyDescent="0.45">
      <c r="A2336" t="s">
        <v>1020</v>
      </c>
      <c r="B2336" t="s">
        <v>6</v>
      </c>
      <c r="C2336" t="s">
        <v>746</v>
      </c>
      <c r="D2336" t="s">
        <v>1301</v>
      </c>
      <c r="E2336">
        <v>376</v>
      </c>
      <c r="F2336">
        <v>644</v>
      </c>
      <c r="G2336">
        <v>644</v>
      </c>
      <c r="H2336">
        <v>0</v>
      </c>
      <c r="I2336">
        <v>2024</v>
      </c>
      <c r="J2336">
        <v>51</v>
      </c>
      <c r="K2336">
        <f>allFYsTable[[#This Row],[Actual]]-allFYsTable[[#This Row],[OriginalBudget]]</f>
        <v>268</v>
      </c>
      <c r="L2336" s="11">
        <f>allFYsTable[[#This Row],[DiffAmount]]/allFYsTable[[#This Row],[OriginalBudget]]</f>
        <v>0.71276595744680848</v>
      </c>
    </row>
    <row r="2337" spans="1:12" x14ac:dyDescent="0.45">
      <c r="A2337" t="s">
        <v>1020</v>
      </c>
      <c r="B2337" t="s">
        <v>6</v>
      </c>
      <c r="C2337" t="s">
        <v>747</v>
      </c>
      <c r="D2337" t="s">
        <v>1300</v>
      </c>
      <c r="E2337">
        <v>1183</v>
      </c>
      <c r="F2337">
        <v>1273</v>
      </c>
      <c r="G2337">
        <v>1224</v>
      </c>
      <c r="H2337">
        <v>49</v>
      </c>
      <c r="I2337">
        <v>2024</v>
      </c>
      <c r="J2337">
        <v>52</v>
      </c>
      <c r="K2337">
        <f>allFYsTable[[#This Row],[Actual]]-allFYsTable[[#This Row],[OriginalBudget]]</f>
        <v>41</v>
      </c>
      <c r="L2337" s="11">
        <f>allFYsTable[[#This Row],[DiffAmount]]/allFYsTable[[#This Row],[OriginalBudget]]</f>
        <v>3.4657650042265425E-2</v>
      </c>
    </row>
    <row r="2338" spans="1:12" x14ac:dyDescent="0.45">
      <c r="A2338" t="s">
        <v>1020</v>
      </c>
      <c r="B2338" t="s">
        <v>6</v>
      </c>
      <c r="C2338" t="s">
        <v>748</v>
      </c>
      <c r="D2338" t="s">
        <v>1349</v>
      </c>
      <c r="E2338">
        <v>890</v>
      </c>
      <c r="F2338">
        <v>855</v>
      </c>
      <c r="G2338">
        <v>832</v>
      </c>
      <c r="H2338">
        <v>23</v>
      </c>
      <c r="I2338">
        <v>2024</v>
      </c>
      <c r="J2338">
        <v>53</v>
      </c>
      <c r="K2338">
        <f>allFYsTable[[#This Row],[Actual]]-allFYsTable[[#This Row],[OriginalBudget]]</f>
        <v>-58</v>
      </c>
      <c r="L2338" s="11">
        <f>allFYsTable[[#This Row],[DiffAmount]]/allFYsTable[[#This Row],[OriginalBudget]]</f>
        <v>-6.5168539325842698E-2</v>
      </c>
    </row>
    <row r="2339" spans="1:12" x14ac:dyDescent="0.45">
      <c r="A2339" t="s">
        <v>1020</v>
      </c>
      <c r="B2339" t="s">
        <v>6</v>
      </c>
      <c r="C2339" t="s">
        <v>749</v>
      </c>
      <c r="D2339" t="s">
        <v>1350</v>
      </c>
      <c r="E2339">
        <v>2277</v>
      </c>
      <c r="F2339">
        <v>1931</v>
      </c>
      <c r="G2339">
        <v>1688</v>
      </c>
      <c r="H2339">
        <v>243</v>
      </c>
      <c r="I2339">
        <v>2024</v>
      </c>
      <c r="J2339">
        <v>54</v>
      </c>
      <c r="K2339">
        <f>allFYsTable[[#This Row],[Actual]]-allFYsTable[[#This Row],[OriginalBudget]]</f>
        <v>-589</v>
      </c>
      <c r="L2339" s="11">
        <f>allFYsTable[[#This Row],[DiffAmount]]/allFYsTable[[#This Row],[OriginalBudget]]</f>
        <v>-0.25867369345630215</v>
      </c>
    </row>
    <row r="2340" spans="1:12" x14ac:dyDescent="0.45">
      <c r="A2340" t="s">
        <v>1020</v>
      </c>
      <c r="B2340" t="s">
        <v>6</v>
      </c>
      <c r="C2340" t="s">
        <v>750</v>
      </c>
      <c r="D2340" t="s">
        <v>1351</v>
      </c>
      <c r="E2340">
        <v>180091</v>
      </c>
      <c r="F2340">
        <v>185367</v>
      </c>
      <c r="G2340">
        <v>184867</v>
      </c>
      <c r="H2340">
        <v>500</v>
      </c>
      <c r="I2340">
        <v>2024</v>
      </c>
      <c r="J2340">
        <v>55</v>
      </c>
      <c r="K2340">
        <f>allFYsTable[[#This Row],[Actual]]-allFYsTable[[#This Row],[OriginalBudget]]</f>
        <v>4776</v>
      </c>
      <c r="L2340" s="11">
        <f>allFYsTable[[#This Row],[DiffAmount]]/allFYsTable[[#This Row],[OriginalBudget]]</f>
        <v>2.6519926037392207E-2</v>
      </c>
    </row>
    <row r="2341" spans="1:12" x14ac:dyDescent="0.45">
      <c r="A2341" t="s">
        <v>1020</v>
      </c>
      <c r="B2341" t="s">
        <v>6</v>
      </c>
      <c r="C2341" t="s">
        <v>751</v>
      </c>
      <c r="D2341" t="s">
        <v>1352</v>
      </c>
      <c r="E2341">
        <v>32705</v>
      </c>
      <c r="F2341">
        <v>31744</v>
      </c>
      <c r="G2341">
        <v>30315</v>
      </c>
      <c r="H2341">
        <v>1429</v>
      </c>
      <c r="I2341">
        <v>2024</v>
      </c>
      <c r="J2341">
        <v>56</v>
      </c>
      <c r="K2341">
        <f>allFYsTable[[#This Row],[Actual]]-allFYsTable[[#This Row],[OriginalBudget]]</f>
        <v>-2390</v>
      </c>
      <c r="L2341" s="11">
        <f>allFYsTable[[#This Row],[DiffAmount]]/allFYsTable[[#This Row],[OriginalBudget]]</f>
        <v>-7.3077511083932123E-2</v>
      </c>
    </row>
    <row r="2342" spans="1:12" x14ac:dyDescent="0.45">
      <c r="A2342" t="s">
        <v>1020</v>
      </c>
      <c r="B2342" t="s">
        <v>6</v>
      </c>
      <c r="C2342" t="s">
        <v>752</v>
      </c>
      <c r="D2342" t="s">
        <v>1353</v>
      </c>
      <c r="E2342">
        <v>86909</v>
      </c>
      <c r="F2342">
        <v>93909</v>
      </c>
      <c r="G2342">
        <v>93175</v>
      </c>
      <c r="H2342">
        <v>734</v>
      </c>
      <c r="I2342">
        <v>2024</v>
      </c>
      <c r="J2342">
        <v>57</v>
      </c>
      <c r="K2342">
        <f>allFYsTable[[#This Row],[Actual]]-allFYsTable[[#This Row],[OriginalBudget]]</f>
        <v>6266</v>
      </c>
      <c r="L2342" s="11">
        <f>allFYsTable[[#This Row],[DiffAmount]]/allFYsTable[[#This Row],[OriginalBudget]]</f>
        <v>7.2098401776570897E-2</v>
      </c>
    </row>
    <row r="2343" spans="1:12" x14ac:dyDescent="0.45">
      <c r="A2343" t="s">
        <v>1020</v>
      </c>
      <c r="B2343" t="s">
        <v>6</v>
      </c>
      <c r="C2343" t="s">
        <v>753</v>
      </c>
      <c r="D2343" t="s">
        <v>1299</v>
      </c>
      <c r="E2343">
        <v>5392</v>
      </c>
      <c r="F2343">
        <v>6161</v>
      </c>
      <c r="G2343">
        <v>6072</v>
      </c>
      <c r="H2343">
        <v>89</v>
      </c>
      <c r="I2343">
        <v>2024</v>
      </c>
      <c r="J2343">
        <v>58</v>
      </c>
      <c r="K2343">
        <f>allFYsTable[[#This Row],[Actual]]-allFYsTable[[#This Row],[OriginalBudget]]</f>
        <v>680</v>
      </c>
      <c r="L2343" s="11">
        <f>allFYsTable[[#This Row],[DiffAmount]]/allFYsTable[[#This Row],[OriginalBudget]]</f>
        <v>0.12611275964391691</v>
      </c>
    </row>
    <row r="2344" spans="1:12" x14ac:dyDescent="0.45">
      <c r="A2344" t="s">
        <v>1020</v>
      </c>
      <c r="B2344" t="s">
        <v>6</v>
      </c>
      <c r="C2344" t="s">
        <v>754</v>
      </c>
      <c r="D2344" t="s">
        <v>1298</v>
      </c>
      <c r="E2344">
        <v>1612</v>
      </c>
      <c r="F2344">
        <v>1542</v>
      </c>
      <c r="G2344">
        <v>1539</v>
      </c>
      <c r="H2344">
        <v>3</v>
      </c>
      <c r="I2344">
        <v>2024</v>
      </c>
      <c r="J2344">
        <v>59</v>
      </c>
      <c r="K2344">
        <f>allFYsTable[[#This Row],[Actual]]-allFYsTable[[#This Row],[OriginalBudget]]</f>
        <v>-73</v>
      </c>
      <c r="L2344" s="11">
        <f>allFYsTable[[#This Row],[DiffAmount]]/allFYsTable[[#This Row],[OriginalBudget]]</f>
        <v>-4.5285359801488831E-2</v>
      </c>
    </row>
    <row r="2345" spans="1:12" x14ac:dyDescent="0.45">
      <c r="A2345" t="s">
        <v>1020</v>
      </c>
      <c r="B2345" t="s">
        <v>6</v>
      </c>
      <c r="C2345" t="s">
        <v>755</v>
      </c>
      <c r="D2345" t="s">
        <v>1354</v>
      </c>
      <c r="E2345">
        <v>260117</v>
      </c>
      <c r="F2345">
        <v>276381</v>
      </c>
      <c r="G2345">
        <v>273960</v>
      </c>
      <c r="H2345">
        <v>2421</v>
      </c>
      <c r="I2345">
        <v>2024</v>
      </c>
      <c r="J2345">
        <v>60</v>
      </c>
      <c r="K2345">
        <f>allFYsTable[[#This Row],[Actual]]-allFYsTable[[#This Row],[OriginalBudget]]</f>
        <v>13843</v>
      </c>
      <c r="L2345" s="11">
        <f>allFYsTable[[#This Row],[DiffAmount]]/allFYsTable[[#This Row],[OriginalBudget]]</f>
        <v>5.3218359430563938E-2</v>
      </c>
    </row>
    <row r="2346" spans="1:12" x14ac:dyDescent="0.45">
      <c r="A2346" t="s">
        <v>1020</v>
      </c>
      <c r="B2346" t="s">
        <v>6</v>
      </c>
      <c r="C2346" t="s">
        <v>756</v>
      </c>
      <c r="D2346" t="s">
        <v>1355</v>
      </c>
      <c r="E2346">
        <v>6147</v>
      </c>
      <c r="F2346">
        <v>6192</v>
      </c>
      <c r="G2346">
        <v>6184</v>
      </c>
      <c r="H2346">
        <v>8</v>
      </c>
      <c r="I2346">
        <v>2024</v>
      </c>
      <c r="J2346">
        <v>61</v>
      </c>
      <c r="K2346">
        <f>allFYsTable[[#This Row],[Actual]]-allFYsTable[[#This Row],[OriginalBudget]]</f>
        <v>37</v>
      </c>
      <c r="L2346" s="11">
        <f>allFYsTable[[#This Row],[DiffAmount]]/allFYsTable[[#This Row],[OriginalBudget]]</f>
        <v>6.0191963559459898E-3</v>
      </c>
    </row>
    <row r="2347" spans="1:12" x14ac:dyDescent="0.45">
      <c r="A2347" t="s">
        <v>1020</v>
      </c>
      <c r="B2347" t="s">
        <v>6</v>
      </c>
      <c r="C2347" t="s">
        <v>757</v>
      </c>
      <c r="D2347" t="s">
        <v>1297</v>
      </c>
      <c r="E2347">
        <v>37</v>
      </c>
      <c r="F2347">
        <v>56</v>
      </c>
      <c r="G2347">
        <v>27</v>
      </c>
      <c r="H2347">
        <v>29</v>
      </c>
      <c r="I2347">
        <v>2024</v>
      </c>
      <c r="J2347">
        <v>62</v>
      </c>
      <c r="K2347">
        <f>allFYsTable[[#This Row],[Actual]]-allFYsTable[[#This Row],[OriginalBudget]]</f>
        <v>-10</v>
      </c>
      <c r="L2347" s="11">
        <f>allFYsTable[[#This Row],[DiffAmount]]/allFYsTable[[#This Row],[OriginalBudget]]</f>
        <v>-0.27027027027027029</v>
      </c>
    </row>
    <row r="2348" spans="1:12" x14ac:dyDescent="0.45">
      <c r="A2348" t="s">
        <v>1020</v>
      </c>
      <c r="B2348" t="s">
        <v>6</v>
      </c>
      <c r="C2348" t="s">
        <v>758</v>
      </c>
      <c r="D2348" t="s">
        <v>1356</v>
      </c>
      <c r="E2348">
        <v>486013</v>
      </c>
      <c r="F2348">
        <v>609118</v>
      </c>
      <c r="G2348">
        <v>607752</v>
      </c>
      <c r="H2348">
        <v>1366</v>
      </c>
      <c r="I2348">
        <v>2024</v>
      </c>
      <c r="J2348">
        <v>63</v>
      </c>
      <c r="K2348">
        <f>allFYsTable[[#This Row],[Actual]]-allFYsTable[[#This Row],[OriginalBudget]]</f>
        <v>121739</v>
      </c>
      <c r="L2348" s="11">
        <f>allFYsTable[[#This Row],[DiffAmount]]/allFYsTable[[#This Row],[OriginalBudget]]</f>
        <v>0.25048506932942122</v>
      </c>
    </row>
    <row r="2349" spans="1:12" x14ac:dyDescent="0.45">
      <c r="A2349" t="s">
        <v>1020</v>
      </c>
      <c r="B2349" t="s">
        <v>6</v>
      </c>
      <c r="C2349" t="s">
        <v>759</v>
      </c>
      <c r="D2349" t="s">
        <v>1357</v>
      </c>
      <c r="E2349">
        <v>12025</v>
      </c>
      <c r="F2349">
        <v>11000</v>
      </c>
      <c r="G2349">
        <v>10862</v>
      </c>
      <c r="H2349">
        <v>138</v>
      </c>
      <c r="I2349">
        <v>2024</v>
      </c>
      <c r="J2349">
        <v>64</v>
      </c>
      <c r="K2349">
        <f>allFYsTable[[#This Row],[Actual]]-allFYsTable[[#This Row],[OriginalBudget]]</f>
        <v>-1163</v>
      </c>
      <c r="L2349" s="11">
        <f>allFYsTable[[#This Row],[DiffAmount]]/allFYsTable[[#This Row],[OriginalBudget]]</f>
        <v>-9.6715176715176709E-2</v>
      </c>
    </row>
    <row r="2350" spans="1:12" x14ac:dyDescent="0.45">
      <c r="A2350" t="s">
        <v>1020</v>
      </c>
      <c r="B2350" t="s">
        <v>6</v>
      </c>
      <c r="C2350" t="s">
        <v>760</v>
      </c>
      <c r="D2350" t="s">
        <v>1358</v>
      </c>
      <c r="E2350">
        <v>8909</v>
      </c>
      <c r="F2350">
        <v>8082</v>
      </c>
      <c r="G2350">
        <v>7555</v>
      </c>
      <c r="H2350">
        <v>527</v>
      </c>
      <c r="I2350">
        <v>2024</v>
      </c>
      <c r="J2350">
        <v>65</v>
      </c>
      <c r="K2350">
        <f>allFYsTable[[#This Row],[Actual]]-allFYsTable[[#This Row],[OriginalBudget]]</f>
        <v>-1354</v>
      </c>
      <c r="L2350" s="11">
        <f>allFYsTable[[#This Row],[DiffAmount]]/allFYsTable[[#This Row],[OriginalBudget]]</f>
        <v>-0.15198114266472107</v>
      </c>
    </row>
    <row r="2351" spans="1:12" x14ac:dyDescent="0.45">
      <c r="A2351" t="s">
        <v>1020</v>
      </c>
      <c r="B2351" t="s">
        <v>6</v>
      </c>
      <c r="C2351" t="s">
        <v>761</v>
      </c>
      <c r="D2351" t="s">
        <v>1359</v>
      </c>
      <c r="E2351">
        <v>18107</v>
      </c>
      <c r="F2351">
        <v>14919</v>
      </c>
      <c r="G2351">
        <v>13338</v>
      </c>
      <c r="H2351">
        <v>1581</v>
      </c>
      <c r="I2351">
        <v>2024</v>
      </c>
      <c r="J2351">
        <v>66</v>
      </c>
      <c r="K2351">
        <f>allFYsTable[[#This Row],[Actual]]-allFYsTable[[#This Row],[OriginalBudget]]</f>
        <v>-4769</v>
      </c>
      <c r="L2351" s="11">
        <f>allFYsTable[[#This Row],[DiffAmount]]/allFYsTable[[#This Row],[OriginalBudget]]</f>
        <v>-0.26337880377754458</v>
      </c>
    </row>
    <row r="2352" spans="1:12" x14ac:dyDescent="0.45">
      <c r="A2352" t="s">
        <v>1020</v>
      </c>
      <c r="B2352" t="s">
        <v>6</v>
      </c>
      <c r="C2352" t="s">
        <v>762</v>
      </c>
      <c r="D2352" t="s">
        <v>1360</v>
      </c>
      <c r="E2352">
        <v>3313</v>
      </c>
      <c r="F2352">
        <v>2804</v>
      </c>
      <c r="G2352">
        <v>2716</v>
      </c>
      <c r="H2352">
        <v>88</v>
      </c>
      <c r="I2352">
        <v>2024</v>
      </c>
      <c r="J2352">
        <v>67</v>
      </c>
      <c r="K2352">
        <f>allFYsTable[[#This Row],[Actual]]-allFYsTable[[#This Row],[OriginalBudget]]</f>
        <v>-597</v>
      </c>
      <c r="L2352" s="11">
        <f>allFYsTable[[#This Row],[DiffAmount]]/allFYsTable[[#This Row],[OriginalBudget]]</f>
        <v>-0.18019921521279808</v>
      </c>
    </row>
    <row r="2353" spans="1:12" x14ac:dyDescent="0.45">
      <c r="A2353" t="s">
        <v>1020</v>
      </c>
      <c r="B2353" t="s">
        <v>6</v>
      </c>
      <c r="C2353" t="s">
        <v>763</v>
      </c>
      <c r="D2353" t="s">
        <v>1361</v>
      </c>
      <c r="E2353">
        <v>2263</v>
      </c>
      <c r="F2353">
        <v>2063</v>
      </c>
      <c r="G2353">
        <v>1712</v>
      </c>
      <c r="H2353">
        <v>351</v>
      </c>
      <c r="I2353">
        <v>2024</v>
      </c>
      <c r="J2353">
        <v>68</v>
      </c>
      <c r="K2353">
        <f>allFYsTable[[#This Row],[Actual]]-allFYsTable[[#This Row],[OriginalBudget]]</f>
        <v>-551</v>
      </c>
      <c r="L2353" s="11">
        <f>allFYsTable[[#This Row],[DiffAmount]]/allFYsTable[[#This Row],[OriginalBudget]]</f>
        <v>-0.24348210340256296</v>
      </c>
    </row>
    <row r="2354" spans="1:12" x14ac:dyDescent="0.45">
      <c r="A2354" t="s">
        <v>1020</v>
      </c>
      <c r="B2354" t="s">
        <v>6</v>
      </c>
      <c r="C2354" t="s">
        <v>764</v>
      </c>
      <c r="D2354" t="s">
        <v>1362</v>
      </c>
      <c r="E2354">
        <v>14637</v>
      </c>
      <c r="F2354">
        <v>16008</v>
      </c>
      <c r="G2354">
        <v>15895</v>
      </c>
      <c r="H2354">
        <v>113</v>
      </c>
      <c r="I2354">
        <v>2024</v>
      </c>
      <c r="J2354">
        <v>69</v>
      </c>
      <c r="K2354">
        <f>allFYsTable[[#This Row],[Actual]]-allFYsTable[[#This Row],[OriginalBudget]]</f>
        <v>1258</v>
      </c>
      <c r="L2354" s="11">
        <f>allFYsTable[[#This Row],[DiffAmount]]/allFYsTable[[#This Row],[OriginalBudget]]</f>
        <v>8.5946573751451802E-2</v>
      </c>
    </row>
    <row r="2355" spans="1:12" x14ac:dyDescent="0.45">
      <c r="A2355" t="s">
        <v>1020</v>
      </c>
      <c r="B2355" t="s">
        <v>6</v>
      </c>
      <c r="C2355" t="s">
        <v>765</v>
      </c>
      <c r="D2355" t="s">
        <v>1296</v>
      </c>
      <c r="E2355">
        <v>7169</v>
      </c>
      <c r="F2355">
        <v>7034</v>
      </c>
      <c r="G2355">
        <v>6282</v>
      </c>
      <c r="H2355">
        <v>752</v>
      </c>
      <c r="I2355">
        <v>2024</v>
      </c>
      <c r="J2355">
        <v>70</v>
      </c>
      <c r="K2355">
        <f>allFYsTable[[#This Row],[Actual]]-allFYsTable[[#This Row],[OriginalBudget]]</f>
        <v>-887</v>
      </c>
      <c r="L2355" s="11">
        <f>allFYsTable[[#This Row],[DiffAmount]]/allFYsTable[[#This Row],[OriginalBudget]]</f>
        <v>-0.12372715859952574</v>
      </c>
    </row>
    <row r="2356" spans="1:12" x14ac:dyDescent="0.45">
      <c r="A2356" t="s">
        <v>1020</v>
      </c>
      <c r="B2356" t="s">
        <v>6</v>
      </c>
      <c r="C2356" t="s">
        <v>766</v>
      </c>
      <c r="D2356" t="s">
        <v>1363</v>
      </c>
      <c r="E2356">
        <v>45109</v>
      </c>
      <c r="F2356">
        <v>40663</v>
      </c>
      <c r="G2356">
        <v>40643</v>
      </c>
      <c r="H2356">
        <v>20</v>
      </c>
      <c r="I2356">
        <v>2024</v>
      </c>
      <c r="J2356">
        <v>71</v>
      </c>
      <c r="K2356">
        <f>allFYsTable[[#This Row],[Actual]]-allFYsTable[[#This Row],[OriginalBudget]]</f>
        <v>-4466</v>
      </c>
      <c r="L2356" s="11">
        <f>allFYsTable[[#This Row],[DiffAmount]]/allFYsTable[[#This Row],[OriginalBudget]]</f>
        <v>-9.9004633221751751E-2</v>
      </c>
    </row>
    <row r="2357" spans="1:12" x14ac:dyDescent="0.45">
      <c r="A2357" t="s">
        <v>1020</v>
      </c>
      <c r="B2357" t="s">
        <v>6</v>
      </c>
      <c r="C2357" t="s">
        <v>767</v>
      </c>
      <c r="D2357" t="s">
        <v>1295</v>
      </c>
      <c r="E2357">
        <v>87762</v>
      </c>
      <c r="F2357">
        <v>86898</v>
      </c>
      <c r="G2357">
        <v>84090</v>
      </c>
      <c r="H2357">
        <v>2808</v>
      </c>
      <c r="I2357">
        <v>2024</v>
      </c>
      <c r="J2357">
        <v>72</v>
      </c>
      <c r="K2357">
        <f>allFYsTable[[#This Row],[Actual]]-allFYsTable[[#This Row],[OriginalBudget]]</f>
        <v>-3672</v>
      </c>
      <c r="L2357" s="11">
        <f>allFYsTable[[#This Row],[DiffAmount]]/allFYsTable[[#This Row],[OriginalBudget]]</f>
        <v>-4.1840432077664594E-2</v>
      </c>
    </row>
    <row r="2358" spans="1:12" x14ac:dyDescent="0.45">
      <c r="A2358" t="s">
        <v>1020</v>
      </c>
      <c r="B2358" t="s">
        <v>6</v>
      </c>
      <c r="C2358" t="s">
        <v>768</v>
      </c>
      <c r="D2358" t="s">
        <v>1294</v>
      </c>
      <c r="E2358">
        <v>79883</v>
      </c>
      <c r="F2358">
        <v>79883</v>
      </c>
      <c r="G2358">
        <v>79883</v>
      </c>
      <c r="H2358">
        <v>0</v>
      </c>
      <c r="I2358">
        <v>2024</v>
      </c>
      <c r="J2358">
        <v>73</v>
      </c>
      <c r="K2358">
        <f>allFYsTable[[#This Row],[Actual]]-allFYsTable[[#This Row],[OriginalBudget]]</f>
        <v>0</v>
      </c>
      <c r="L2358" s="11">
        <f>allFYsTable[[#This Row],[DiffAmount]]/allFYsTable[[#This Row],[OriginalBudget]]</f>
        <v>0</v>
      </c>
    </row>
    <row r="2359" spans="1:12" x14ac:dyDescent="0.45">
      <c r="A2359" t="s">
        <v>1020</v>
      </c>
      <c r="B2359" t="s">
        <v>6</v>
      </c>
      <c r="C2359" t="s">
        <v>867</v>
      </c>
      <c r="D2359" t="s">
        <v>1364</v>
      </c>
      <c r="E2359">
        <v>0</v>
      </c>
      <c r="F2359">
        <v>3011</v>
      </c>
      <c r="G2359">
        <v>3011</v>
      </c>
      <c r="H2359">
        <v>0</v>
      </c>
      <c r="I2359">
        <v>2024</v>
      </c>
      <c r="J2359">
        <v>74</v>
      </c>
      <c r="K2359">
        <f>allFYsTable[[#This Row],[Actual]]-allFYsTable[[#This Row],[OriginalBudget]]</f>
        <v>3011</v>
      </c>
      <c r="L2359" s="11" t="e">
        <f>allFYsTable[[#This Row],[DiffAmount]]/allFYsTable[[#This Row],[OriginalBudget]]</f>
        <v>#DIV/0!</v>
      </c>
    </row>
    <row r="2360" spans="1:12" x14ac:dyDescent="0.45">
      <c r="A2360" t="s">
        <v>1020</v>
      </c>
      <c r="B2360" t="s">
        <v>7</v>
      </c>
      <c r="C2360" t="s">
        <v>769</v>
      </c>
      <c r="D2360" t="s">
        <v>1365</v>
      </c>
      <c r="E2360">
        <v>74451</v>
      </c>
      <c r="F2360">
        <v>78817</v>
      </c>
      <c r="G2360">
        <v>76669</v>
      </c>
      <c r="H2360">
        <v>2148</v>
      </c>
      <c r="I2360">
        <v>2024</v>
      </c>
      <c r="J2360">
        <v>75</v>
      </c>
      <c r="K2360">
        <f>allFYsTable[[#This Row],[Actual]]-allFYsTable[[#This Row],[OriginalBudget]]</f>
        <v>2218</v>
      </c>
      <c r="L2360" s="11">
        <f>allFYsTable[[#This Row],[DiffAmount]]/allFYsTable[[#This Row],[OriginalBudget]]</f>
        <v>2.9791406428389143E-2</v>
      </c>
    </row>
    <row r="2361" spans="1:12" x14ac:dyDescent="0.45">
      <c r="A2361" t="s">
        <v>1020</v>
      </c>
      <c r="B2361" t="s">
        <v>7</v>
      </c>
      <c r="C2361" t="s">
        <v>770</v>
      </c>
      <c r="D2361" t="s">
        <v>1366</v>
      </c>
      <c r="E2361">
        <v>79916</v>
      </c>
      <c r="F2361">
        <v>76953</v>
      </c>
      <c r="G2361">
        <v>75842</v>
      </c>
      <c r="H2361">
        <v>1111</v>
      </c>
      <c r="I2361">
        <v>2024</v>
      </c>
      <c r="J2361">
        <v>76</v>
      </c>
      <c r="K2361">
        <f>allFYsTable[[#This Row],[Actual]]-allFYsTable[[#This Row],[OriginalBudget]]</f>
        <v>-4074</v>
      </c>
      <c r="L2361" s="11">
        <f>allFYsTable[[#This Row],[DiffAmount]]/allFYsTable[[#This Row],[OriginalBudget]]</f>
        <v>-5.0978527453826521E-2</v>
      </c>
    </row>
    <row r="2362" spans="1:12" x14ac:dyDescent="0.45">
      <c r="A2362" t="s">
        <v>1020</v>
      </c>
      <c r="B2362" t="s">
        <v>7</v>
      </c>
      <c r="C2362" t="s">
        <v>771</v>
      </c>
      <c r="D2362" t="s">
        <v>1293</v>
      </c>
      <c r="E2362">
        <v>0</v>
      </c>
      <c r="F2362">
        <v>0</v>
      </c>
      <c r="G2362">
        <v>0</v>
      </c>
      <c r="H2362">
        <v>0</v>
      </c>
      <c r="I2362">
        <v>2024</v>
      </c>
      <c r="J2362">
        <v>77</v>
      </c>
      <c r="K2362">
        <f>allFYsTable[[#This Row],[Actual]]-allFYsTable[[#This Row],[OriginalBudget]]</f>
        <v>0</v>
      </c>
      <c r="L2362" s="11" t="e">
        <f>allFYsTable[[#This Row],[DiffAmount]]/allFYsTable[[#This Row],[OriginalBudget]]</f>
        <v>#DIV/0!</v>
      </c>
    </row>
    <row r="2363" spans="1:12" x14ac:dyDescent="0.45">
      <c r="A2363" t="s">
        <v>1020</v>
      </c>
      <c r="B2363" t="s">
        <v>7</v>
      </c>
      <c r="C2363" t="s">
        <v>772</v>
      </c>
      <c r="D2363" t="s">
        <v>1292</v>
      </c>
      <c r="E2363">
        <v>1188706</v>
      </c>
      <c r="F2363">
        <v>781382</v>
      </c>
      <c r="G2363">
        <v>779003</v>
      </c>
      <c r="H2363">
        <v>2379</v>
      </c>
      <c r="I2363">
        <v>2024</v>
      </c>
      <c r="J2363">
        <v>78</v>
      </c>
      <c r="K2363">
        <f>allFYsTable[[#This Row],[Actual]]-allFYsTable[[#This Row],[OriginalBudget]]</f>
        <v>-409703</v>
      </c>
      <c r="L2363" s="11">
        <f>allFYsTable[[#This Row],[DiffAmount]]/allFYsTable[[#This Row],[OriginalBudget]]</f>
        <v>-0.3446630201244042</v>
      </c>
    </row>
    <row r="2364" spans="1:12" x14ac:dyDescent="0.45">
      <c r="A2364" t="s">
        <v>1020</v>
      </c>
      <c r="B2364" t="s">
        <v>7</v>
      </c>
      <c r="C2364" t="s">
        <v>869</v>
      </c>
      <c r="D2364" t="s">
        <v>1291</v>
      </c>
      <c r="E2364">
        <v>0</v>
      </c>
      <c r="F2364">
        <v>470918</v>
      </c>
      <c r="G2364">
        <v>470918</v>
      </c>
      <c r="H2364">
        <v>0</v>
      </c>
      <c r="I2364">
        <v>2024</v>
      </c>
      <c r="J2364">
        <v>79</v>
      </c>
      <c r="K2364">
        <f>allFYsTable[[#This Row],[Actual]]-allFYsTable[[#This Row],[OriginalBudget]]</f>
        <v>470918</v>
      </c>
      <c r="L2364" s="11" t="e">
        <f>allFYsTable[[#This Row],[DiffAmount]]/allFYsTable[[#This Row],[OriginalBudget]]</f>
        <v>#DIV/0!</v>
      </c>
    </row>
    <row r="2365" spans="1:12" x14ac:dyDescent="0.45">
      <c r="A2365" t="s">
        <v>1020</v>
      </c>
      <c r="B2365" t="s">
        <v>7</v>
      </c>
      <c r="C2365" t="s">
        <v>773</v>
      </c>
      <c r="D2365" t="s">
        <v>1367</v>
      </c>
      <c r="E2365">
        <v>1174868</v>
      </c>
      <c r="F2365">
        <v>1225910</v>
      </c>
      <c r="G2365">
        <v>1210043</v>
      </c>
      <c r="H2365">
        <v>15867</v>
      </c>
      <c r="I2365">
        <v>2024</v>
      </c>
      <c r="J2365">
        <v>80</v>
      </c>
      <c r="K2365">
        <f>allFYsTable[[#This Row],[Actual]]-allFYsTable[[#This Row],[OriginalBudget]]</f>
        <v>35175</v>
      </c>
      <c r="L2365" s="11">
        <f>allFYsTable[[#This Row],[DiffAmount]]/allFYsTable[[#This Row],[OriginalBudget]]</f>
        <v>2.9939533632714482E-2</v>
      </c>
    </row>
    <row r="2366" spans="1:12" x14ac:dyDescent="0.45">
      <c r="A2366" t="s">
        <v>1020</v>
      </c>
      <c r="B2366" t="s">
        <v>7</v>
      </c>
      <c r="C2366" t="s">
        <v>870</v>
      </c>
      <c r="D2366" t="s">
        <v>1290</v>
      </c>
      <c r="E2366">
        <v>0</v>
      </c>
      <c r="F2366">
        <v>7629</v>
      </c>
      <c r="G2366">
        <v>7629</v>
      </c>
      <c r="H2366">
        <v>0</v>
      </c>
      <c r="I2366">
        <v>2024</v>
      </c>
      <c r="J2366">
        <v>81</v>
      </c>
      <c r="K2366">
        <f>allFYsTable[[#This Row],[Actual]]-allFYsTable[[#This Row],[OriginalBudget]]</f>
        <v>7629</v>
      </c>
      <c r="L2366" s="11" t="e">
        <f>allFYsTable[[#This Row],[DiffAmount]]/allFYsTable[[#This Row],[OriginalBudget]]</f>
        <v>#DIV/0!</v>
      </c>
    </row>
    <row r="2367" spans="1:12" x14ac:dyDescent="0.45">
      <c r="A2367" t="s">
        <v>1020</v>
      </c>
      <c r="B2367" t="s">
        <v>7</v>
      </c>
      <c r="C2367" t="s">
        <v>774</v>
      </c>
      <c r="D2367" t="s">
        <v>1368</v>
      </c>
      <c r="E2367">
        <v>74192</v>
      </c>
      <c r="F2367">
        <v>75061</v>
      </c>
      <c r="G2367">
        <v>74640</v>
      </c>
      <c r="H2367">
        <v>421</v>
      </c>
      <c r="I2367">
        <v>2024</v>
      </c>
      <c r="J2367">
        <v>82</v>
      </c>
      <c r="K2367">
        <f>allFYsTable[[#This Row],[Actual]]-allFYsTable[[#This Row],[OriginalBudget]]</f>
        <v>448</v>
      </c>
      <c r="L2367" s="11">
        <f>allFYsTable[[#This Row],[DiffAmount]]/allFYsTable[[#This Row],[OriginalBudget]]</f>
        <v>6.038386888074186E-3</v>
      </c>
    </row>
    <row r="2368" spans="1:12" x14ac:dyDescent="0.45">
      <c r="A2368" t="s">
        <v>1020</v>
      </c>
      <c r="B2368" t="s">
        <v>7</v>
      </c>
      <c r="C2368" t="s">
        <v>776</v>
      </c>
      <c r="D2368" t="s">
        <v>1289</v>
      </c>
      <c r="E2368">
        <v>1422</v>
      </c>
      <c r="F2368">
        <v>1342</v>
      </c>
      <c r="G2368">
        <v>1339</v>
      </c>
      <c r="H2368">
        <v>3</v>
      </c>
      <c r="I2368">
        <v>2024</v>
      </c>
      <c r="J2368">
        <v>83</v>
      </c>
      <c r="K2368">
        <f>allFYsTable[[#This Row],[Actual]]-allFYsTable[[#This Row],[OriginalBudget]]</f>
        <v>-83</v>
      </c>
      <c r="L2368" s="11">
        <f>allFYsTable[[#This Row],[DiffAmount]]/allFYsTable[[#This Row],[OriginalBudget]]</f>
        <v>-5.8368495077355836E-2</v>
      </c>
    </row>
    <row r="2369" spans="1:12" x14ac:dyDescent="0.45">
      <c r="A2369" t="s">
        <v>1020</v>
      </c>
      <c r="B2369" t="s">
        <v>7</v>
      </c>
      <c r="C2369" t="s">
        <v>777</v>
      </c>
      <c r="D2369" t="s">
        <v>1288</v>
      </c>
      <c r="E2369">
        <v>50172</v>
      </c>
      <c r="F2369">
        <v>50072</v>
      </c>
      <c r="G2369">
        <v>49941</v>
      </c>
      <c r="H2369">
        <v>131</v>
      </c>
      <c r="I2369">
        <v>2024</v>
      </c>
      <c r="J2369">
        <v>84</v>
      </c>
      <c r="K2369">
        <f>allFYsTable[[#This Row],[Actual]]-allFYsTable[[#This Row],[OriginalBudget]]</f>
        <v>-231</v>
      </c>
      <c r="L2369" s="11">
        <f>allFYsTable[[#This Row],[DiffAmount]]/allFYsTable[[#This Row],[OriginalBudget]]</f>
        <v>-4.6041616838077013E-3</v>
      </c>
    </row>
    <row r="2370" spans="1:12" x14ac:dyDescent="0.45">
      <c r="A2370" t="s">
        <v>1020</v>
      </c>
      <c r="B2370" t="s">
        <v>7</v>
      </c>
      <c r="C2370" t="s">
        <v>778</v>
      </c>
      <c r="D2370" t="s">
        <v>1287</v>
      </c>
      <c r="E2370">
        <v>30078</v>
      </c>
      <c r="F2370">
        <v>29057</v>
      </c>
      <c r="G2370">
        <v>29057</v>
      </c>
      <c r="H2370">
        <v>0</v>
      </c>
      <c r="I2370">
        <v>2024</v>
      </c>
      <c r="J2370">
        <v>85</v>
      </c>
      <c r="K2370">
        <f>allFYsTable[[#This Row],[Actual]]-allFYsTable[[#This Row],[OriginalBudget]]</f>
        <v>-1021</v>
      </c>
      <c r="L2370" s="11">
        <f>allFYsTable[[#This Row],[DiffAmount]]/allFYsTable[[#This Row],[OriginalBudget]]</f>
        <v>-3.3945076135381343E-2</v>
      </c>
    </row>
    <row r="2371" spans="1:12" x14ac:dyDescent="0.45">
      <c r="A2371" t="s">
        <v>1020</v>
      </c>
      <c r="B2371" t="s">
        <v>7</v>
      </c>
      <c r="C2371" t="s">
        <v>779</v>
      </c>
      <c r="D2371" t="s">
        <v>1369</v>
      </c>
      <c r="E2371">
        <v>264101</v>
      </c>
      <c r="F2371">
        <v>283579</v>
      </c>
      <c r="G2371">
        <v>283557</v>
      </c>
      <c r="H2371">
        <v>22</v>
      </c>
      <c r="I2371">
        <v>2024</v>
      </c>
      <c r="J2371">
        <v>86</v>
      </c>
      <c r="K2371">
        <f>allFYsTable[[#This Row],[Actual]]-allFYsTable[[#This Row],[OriginalBudget]]</f>
        <v>19456</v>
      </c>
      <c r="L2371" s="11">
        <f>allFYsTable[[#This Row],[DiffAmount]]/allFYsTable[[#This Row],[OriginalBudget]]</f>
        <v>7.3668785805430501E-2</v>
      </c>
    </row>
    <row r="2372" spans="1:12" x14ac:dyDescent="0.45">
      <c r="A2372" t="s">
        <v>1020</v>
      </c>
      <c r="B2372" t="s">
        <v>7</v>
      </c>
      <c r="C2372" t="s">
        <v>780</v>
      </c>
      <c r="D2372" t="s">
        <v>1286</v>
      </c>
      <c r="E2372">
        <v>107423</v>
      </c>
      <c r="F2372">
        <v>119956</v>
      </c>
      <c r="G2372">
        <v>119885</v>
      </c>
      <c r="H2372">
        <v>71</v>
      </c>
      <c r="I2372">
        <v>2024</v>
      </c>
      <c r="J2372">
        <v>87</v>
      </c>
      <c r="K2372">
        <f>allFYsTable[[#This Row],[Actual]]-allFYsTable[[#This Row],[OriginalBudget]]</f>
        <v>12462</v>
      </c>
      <c r="L2372" s="11">
        <f>allFYsTable[[#This Row],[DiffAmount]]/allFYsTable[[#This Row],[OriginalBudget]]</f>
        <v>0.11600867598186608</v>
      </c>
    </row>
    <row r="2373" spans="1:12" x14ac:dyDescent="0.45">
      <c r="A2373" t="s">
        <v>1020</v>
      </c>
      <c r="B2373" t="s">
        <v>7</v>
      </c>
      <c r="C2373" t="s">
        <v>781</v>
      </c>
      <c r="D2373" t="s">
        <v>1285</v>
      </c>
      <c r="E2373">
        <v>2956</v>
      </c>
      <c r="F2373">
        <v>2699</v>
      </c>
      <c r="G2373">
        <v>2699</v>
      </c>
      <c r="H2373">
        <v>0</v>
      </c>
      <c r="I2373">
        <v>2024</v>
      </c>
      <c r="J2373">
        <v>88</v>
      </c>
      <c r="K2373">
        <f>allFYsTable[[#This Row],[Actual]]-allFYsTable[[#This Row],[OriginalBudget]]</f>
        <v>-257</v>
      </c>
      <c r="L2373" s="11">
        <f>allFYsTable[[#This Row],[DiffAmount]]/allFYsTable[[#This Row],[OriginalBudget]]</f>
        <v>-8.6941813261163736E-2</v>
      </c>
    </row>
    <row r="2374" spans="1:12" x14ac:dyDescent="0.45">
      <c r="A2374" t="s">
        <v>1020</v>
      </c>
      <c r="B2374" t="s">
        <v>7</v>
      </c>
      <c r="C2374" t="s">
        <v>782</v>
      </c>
      <c r="D2374" t="s">
        <v>1284</v>
      </c>
      <c r="E2374">
        <v>50224</v>
      </c>
      <c r="F2374">
        <v>50224</v>
      </c>
      <c r="G2374">
        <v>49996</v>
      </c>
      <c r="H2374">
        <v>228</v>
      </c>
      <c r="I2374">
        <v>2024</v>
      </c>
      <c r="J2374">
        <v>89</v>
      </c>
      <c r="K2374">
        <f>allFYsTable[[#This Row],[Actual]]-allFYsTable[[#This Row],[OriginalBudget]]</f>
        <v>-228</v>
      </c>
      <c r="L2374" s="11">
        <f>allFYsTable[[#This Row],[DiffAmount]]/allFYsTable[[#This Row],[OriginalBudget]]</f>
        <v>-4.5396623128384833E-3</v>
      </c>
    </row>
    <row r="2375" spans="1:12" x14ac:dyDescent="0.45">
      <c r="A2375" t="s">
        <v>1020</v>
      </c>
      <c r="B2375" t="s">
        <v>7</v>
      </c>
      <c r="C2375" t="s">
        <v>783</v>
      </c>
      <c r="D2375" t="s">
        <v>1283</v>
      </c>
      <c r="E2375">
        <v>5480</v>
      </c>
      <c r="F2375">
        <v>4990</v>
      </c>
      <c r="G2375">
        <v>3732</v>
      </c>
      <c r="H2375">
        <v>1258</v>
      </c>
      <c r="I2375">
        <v>2024</v>
      </c>
      <c r="J2375">
        <v>90</v>
      </c>
      <c r="K2375">
        <f>allFYsTable[[#This Row],[Actual]]-allFYsTable[[#This Row],[OriginalBudget]]</f>
        <v>-1748</v>
      </c>
      <c r="L2375" s="11">
        <f>allFYsTable[[#This Row],[DiffAmount]]/allFYsTable[[#This Row],[OriginalBudget]]</f>
        <v>-0.31897810218978101</v>
      </c>
    </row>
    <row r="2376" spans="1:12" x14ac:dyDescent="0.45">
      <c r="A2376" t="s">
        <v>1020</v>
      </c>
      <c r="B2376" t="s">
        <v>7</v>
      </c>
      <c r="C2376" t="s">
        <v>784</v>
      </c>
      <c r="D2376" t="s">
        <v>1282</v>
      </c>
      <c r="E2376">
        <v>103980</v>
      </c>
      <c r="F2376">
        <v>101463</v>
      </c>
      <c r="G2376">
        <v>101463</v>
      </c>
      <c r="H2376">
        <v>0</v>
      </c>
      <c r="I2376">
        <v>2024</v>
      </c>
      <c r="J2376">
        <v>91</v>
      </c>
      <c r="K2376">
        <f>allFYsTable[[#This Row],[Actual]]-allFYsTable[[#This Row],[OriginalBudget]]</f>
        <v>-2517</v>
      </c>
      <c r="L2376" s="11">
        <f>allFYsTable[[#This Row],[DiffAmount]]/allFYsTable[[#This Row],[OriginalBudget]]</f>
        <v>-2.4206578188113097E-2</v>
      </c>
    </row>
    <row r="2377" spans="1:12" x14ac:dyDescent="0.45">
      <c r="A2377" t="s">
        <v>1020</v>
      </c>
      <c r="B2377" t="s">
        <v>8</v>
      </c>
      <c r="C2377" t="s">
        <v>785</v>
      </c>
      <c r="D2377" t="s">
        <v>1370</v>
      </c>
      <c r="E2377">
        <v>166322</v>
      </c>
      <c r="F2377">
        <v>163906</v>
      </c>
      <c r="G2377">
        <v>163548</v>
      </c>
      <c r="H2377">
        <v>358</v>
      </c>
      <c r="I2377">
        <v>2024</v>
      </c>
      <c r="J2377">
        <v>92</v>
      </c>
      <c r="K2377">
        <f>allFYsTable[[#This Row],[Actual]]-allFYsTable[[#This Row],[OriginalBudget]]</f>
        <v>-2774</v>
      </c>
      <c r="L2377" s="11">
        <f>allFYsTable[[#This Row],[DiffAmount]]/allFYsTable[[#This Row],[OriginalBudget]]</f>
        <v>-1.6678491119635406E-2</v>
      </c>
    </row>
    <row r="2378" spans="1:12" x14ac:dyDescent="0.45">
      <c r="A2378" t="s">
        <v>1020</v>
      </c>
      <c r="B2378" t="s">
        <v>8</v>
      </c>
      <c r="C2378" t="s">
        <v>823</v>
      </c>
      <c r="D2378" t="s">
        <v>1281</v>
      </c>
      <c r="E2378">
        <v>0</v>
      </c>
      <c r="F2378">
        <v>0</v>
      </c>
      <c r="G2378">
        <v>0</v>
      </c>
      <c r="H2378">
        <v>0</v>
      </c>
      <c r="I2378">
        <v>2024</v>
      </c>
      <c r="J2378">
        <v>93</v>
      </c>
      <c r="K2378">
        <f>allFYsTable[[#This Row],[Actual]]-allFYsTable[[#This Row],[OriginalBudget]]</f>
        <v>0</v>
      </c>
      <c r="L2378" s="11" t="e">
        <f>allFYsTable[[#This Row],[DiffAmount]]/allFYsTable[[#This Row],[OriginalBudget]]</f>
        <v>#DIV/0!</v>
      </c>
    </row>
    <row r="2379" spans="1:12" x14ac:dyDescent="0.45">
      <c r="A2379" t="s">
        <v>1020</v>
      </c>
      <c r="B2379" t="s">
        <v>8</v>
      </c>
      <c r="C2379" t="s">
        <v>786</v>
      </c>
      <c r="D2379" t="s">
        <v>1280</v>
      </c>
      <c r="E2379">
        <v>49482</v>
      </c>
      <c r="F2379">
        <v>48086</v>
      </c>
      <c r="G2379">
        <v>46639</v>
      </c>
      <c r="H2379">
        <v>1447</v>
      </c>
      <c r="I2379">
        <v>2024</v>
      </c>
      <c r="J2379">
        <v>94</v>
      </c>
      <c r="K2379">
        <f>allFYsTable[[#This Row],[Actual]]-allFYsTable[[#This Row],[OriginalBudget]]</f>
        <v>-2843</v>
      </c>
      <c r="L2379" s="11">
        <f>allFYsTable[[#This Row],[DiffAmount]]/allFYsTable[[#This Row],[OriginalBudget]]</f>
        <v>-5.7455236247524355E-2</v>
      </c>
    </row>
    <row r="2380" spans="1:12" x14ac:dyDescent="0.45">
      <c r="A2380" t="s">
        <v>1020</v>
      </c>
      <c r="B2380" t="s">
        <v>8</v>
      </c>
      <c r="C2380" t="s">
        <v>787</v>
      </c>
      <c r="D2380" t="s">
        <v>1371</v>
      </c>
      <c r="E2380">
        <v>308739</v>
      </c>
      <c r="F2380">
        <v>318888</v>
      </c>
      <c r="G2380">
        <v>318739</v>
      </c>
      <c r="H2380">
        <v>149</v>
      </c>
      <c r="I2380">
        <v>2024</v>
      </c>
      <c r="J2380">
        <v>95</v>
      </c>
      <c r="K2380">
        <f>allFYsTable[[#This Row],[Actual]]-allFYsTable[[#This Row],[OriginalBudget]]</f>
        <v>10000</v>
      </c>
      <c r="L2380" s="11">
        <f>allFYsTable[[#This Row],[DiffAmount]]/allFYsTable[[#This Row],[OriginalBudget]]</f>
        <v>3.2389817936833376E-2</v>
      </c>
    </row>
    <row r="2381" spans="1:12" x14ac:dyDescent="0.45">
      <c r="A2381" t="s">
        <v>1020</v>
      </c>
      <c r="B2381" t="s">
        <v>8</v>
      </c>
      <c r="C2381" t="s">
        <v>788</v>
      </c>
      <c r="D2381" t="s">
        <v>1279</v>
      </c>
      <c r="E2381">
        <v>91020</v>
      </c>
      <c r="F2381">
        <v>92469</v>
      </c>
      <c r="G2381">
        <v>92399</v>
      </c>
      <c r="H2381">
        <v>70</v>
      </c>
      <c r="I2381">
        <v>2024</v>
      </c>
      <c r="J2381">
        <v>96</v>
      </c>
      <c r="K2381">
        <f>allFYsTable[[#This Row],[Actual]]-allFYsTable[[#This Row],[OriginalBudget]]</f>
        <v>1379</v>
      </c>
      <c r="L2381" s="11">
        <f>allFYsTable[[#This Row],[DiffAmount]]/allFYsTable[[#This Row],[OriginalBudget]]</f>
        <v>1.5150516370028564E-2</v>
      </c>
    </row>
    <row r="2382" spans="1:12" x14ac:dyDescent="0.45">
      <c r="A2382" t="s">
        <v>1020</v>
      </c>
      <c r="B2382" t="s">
        <v>8</v>
      </c>
      <c r="C2382" t="s">
        <v>789</v>
      </c>
      <c r="D2382" t="s">
        <v>1278</v>
      </c>
      <c r="E2382">
        <v>1102846</v>
      </c>
      <c r="F2382">
        <v>1165653</v>
      </c>
      <c r="G2382">
        <v>1164645</v>
      </c>
      <c r="H2382">
        <v>1008</v>
      </c>
      <c r="I2382">
        <v>2024</v>
      </c>
      <c r="J2382">
        <v>97</v>
      </c>
      <c r="K2382">
        <f>allFYsTable[[#This Row],[Actual]]-allFYsTable[[#This Row],[OriginalBudget]]</f>
        <v>61799</v>
      </c>
      <c r="L2382" s="11">
        <f>allFYsTable[[#This Row],[DiffAmount]]/allFYsTable[[#This Row],[OriginalBudget]]</f>
        <v>5.6035928860421129E-2</v>
      </c>
    </row>
    <row r="2383" spans="1:12" x14ac:dyDescent="0.45">
      <c r="A2383" t="s">
        <v>1020</v>
      </c>
      <c r="B2383" t="s">
        <v>8</v>
      </c>
      <c r="C2383" t="s">
        <v>790</v>
      </c>
      <c r="D2383" t="s">
        <v>1372</v>
      </c>
      <c r="E2383">
        <v>571203</v>
      </c>
      <c r="F2383">
        <v>713017</v>
      </c>
      <c r="G2383">
        <v>711017</v>
      </c>
      <c r="H2383">
        <v>2000</v>
      </c>
      <c r="I2383">
        <v>2024</v>
      </c>
      <c r="J2383">
        <v>98</v>
      </c>
      <c r="K2383">
        <f>allFYsTable[[#This Row],[Actual]]-allFYsTable[[#This Row],[OriginalBudget]]</f>
        <v>139814</v>
      </c>
      <c r="L2383" s="11">
        <f>allFYsTable[[#This Row],[DiffAmount]]/allFYsTable[[#This Row],[OriginalBudget]]</f>
        <v>0.24477112340096252</v>
      </c>
    </row>
    <row r="2384" spans="1:12" x14ac:dyDescent="0.45">
      <c r="A2384" t="s">
        <v>1020</v>
      </c>
      <c r="B2384" t="s">
        <v>8</v>
      </c>
      <c r="C2384" t="s">
        <v>791</v>
      </c>
      <c r="D2384" t="s">
        <v>1373</v>
      </c>
      <c r="E2384">
        <v>143048</v>
      </c>
      <c r="F2384">
        <v>140539</v>
      </c>
      <c r="G2384">
        <v>140253</v>
      </c>
      <c r="H2384">
        <v>286</v>
      </c>
      <c r="I2384">
        <v>2024</v>
      </c>
      <c r="J2384">
        <v>99</v>
      </c>
      <c r="K2384">
        <f>allFYsTable[[#This Row],[Actual]]-allFYsTable[[#This Row],[OriginalBudget]]</f>
        <v>-2795</v>
      </c>
      <c r="L2384" s="11">
        <f>allFYsTable[[#This Row],[DiffAmount]]/allFYsTable[[#This Row],[OriginalBudget]]</f>
        <v>-1.9538896034897377E-2</v>
      </c>
    </row>
    <row r="2385" spans="1:12" x14ac:dyDescent="0.45">
      <c r="A2385" t="s">
        <v>1020</v>
      </c>
      <c r="B2385" t="s">
        <v>8</v>
      </c>
      <c r="C2385" t="s">
        <v>792</v>
      </c>
      <c r="D2385" t="s">
        <v>1277</v>
      </c>
      <c r="E2385">
        <v>15000</v>
      </c>
      <c r="F2385">
        <v>22000</v>
      </c>
      <c r="G2385">
        <v>22000</v>
      </c>
      <c r="H2385">
        <v>0</v>
      </c>
      <c r="I2385">
        <v>2024</v>
      </c>
      <c r="J2385">
        <v>100</v>
      </c>
      <c r="K2385">
        <f>allFYsTable[[#This Row],[Actual]]-allFYsTable[[#This Row],[OriginalBudget]]</f>
        <v>7000</v>
      </c>
      <c r="L2385" s="11">
        <f>allFYsTable[[#This Row],[DiffAmount]]/allFYsTable[[#This Row],[OriginalBudget]]</f>
        <v>0.46666666666666667</v>
      </c>
    </row>
    <row r="2386" spans="1:12" x14ac:dyDescent="0.45">
      <c r="A2386" t="s">
        <v>1020</v>
      </c>
      <c r="B2386" t="s">
        <v>8</v>
      </c>
      <c r="C2386" t="s">
        <v>793</v>
      </c>
      <c r="D2386" t="s">
        <v>1276</v>
      </c>
      <c r="E2386">
        <v>2478</v>
      </c>
      <c r="F2386">
        <v>2237</v>
      </c>
      <c r="G2386">
        <v>2092</v>
      </c>
      <c r="H2386">
        <v>145</v>
      </c>
      <c r="I2386">
        <v>2024</v>
      </c>
      <c r="J2386">
        <v>101</v>
      </c>
      <c r="K2386">
        <f>allFYsTable[[#This Row],[Actual]]-allFYsTable[[#This Row],[OriginalBudget]]</f>
        <v>-386</v>
      </c>
      <c r="L2386" s="11">
        <f>allFYsTable[[#This Row],[DiffAmount]]/allFYsTable[[#This Row],[OriginalBudget]]</f>
        <v>-0.15577078288942695</v>
      </c>
    </row>
    <row r="2387" spans="1:12" x14ac:dyDescent="0.45">
      <c r="A2387" t="s">
        <v>1020</v>
      </c>
      <c r="B2387" t="s">
        <v>8</v>
      </c>
      <c r="C2387" t="s">
        <v>794</v>
      </c>
      <c r="D2387" t="s">
        <v>1275</v>
      </c>
      <c r="E2387">
        <v>1162</v>
      </c>
      <c r="F2387">
        <v>717</v>
      </c>
      <c r="G2387">
        <v>579</v>
      </c>
      <c r="H2387">
        <v>138</v>
      </c>
      <c r="I2387">
        <v>2024</v>
      </c>
      <c r="J2387">
        <v>102</v>
      </c>
      <c r="K2387">
        <f>allFYsTable[[#This Row],[Actual]]-allFYsTable[[#This Row],[OriginalBudget]]</f>
        <v>-583</v>
      </c>
      <c r="L2387" s="11">
        <f>allFYsTable[[#This Row],[DiffAmount]]/allFYsTable[[#This Row],[OriginalBudget]]</f>
        <v>-0.50172117039586916</v>
      </c>
    </row>
    <row r="2388" spans="1:12" x14ac:dyDescent="0.45">
      <c r="A2388" t="s">
        <v>1020</v>
      </c>
      <c r="B2388" t="s">
        <v>9</v>
      </c>
      <c r="C2388" t="s">
        <v>795</v>
      </c>
      <c r="D2388" t="s">
        <v>1274</v>
      </c>
      <c r="E2388">
        <v>1639</v>
      </c>
      <c r="F2388">
        <v>1205</v>
      </c>
      <c r="G2388">
        <v>1190</v>
      </c>
      <c r="H2388">
        <v>15</v>
      </c>
      <c r="I2388">
        <v>2024</v>
      </c>
      <c r="J2388">
        <v>103</v>
      </c>
      <c r="K2388">
        <f>allFYsTable[[#This Row],[Actual]]-allFYsTable[[#This Row],[OriginalBudget]]</f>
        <v>-449</v>
      </c>
      <c r="L2388" s="11">
        <f>allFYsTable[[#This Row],[DiffAmount]]/allFYsTable[[#This Row],[OriginalBudget]]</f>
        <v>-0.27394752898108604</v>
      </c>
    </row>
    <row r="2389" spans="1:12" x14ac:dyDescent="0.45">
      <c r="A2389" t="s">
        <v>1020</v>
      </c>
      <c r="B2389" t="s">
        <v>9</v>
      </c>
      <c r="C2389" t="s">
        <v>796</v>
      </c>
      <c r="D2389" t="s">
        <v>1374</v>
      </c>
      <c r="E2389">
        <v>46433</v>
      </c>
      <c r="F2389">
        <v>44732</v>
      </c>
      <c r="G2389">
        <v>44229</v>
      </c>
      <c r="H2389">
        <v>503</v>
      </c>
      <c r="I2389">
        <v>2024</v>
      </c>
      <c r="J2389">
        <v>104</v>
      </c>
      <c r="K2389">
        <f>allFYsTable[[#This Row],[Actual]]-allFYsTable[[#This Row],[OriginalBudget]]</f>
        <v>-2204</v>
      </c>
      <c r="L2389" s="11">
        <f>allFYsTable[[#This Row],[DiffAmount]]/allFYsTable[[#This Row],[OriginalBudget]]</f>
        <v>-4.7466241681562681E-2</v>
      </c>
    </row>
    <row r="2390" spans="1:12" x14ac:dyDescent="0.45">
      <c r="A2390" t="s">
        <v>1020</v>
      </c>
      <c r="B2390" t="s">
        <v>9</v>
      </c>
      <c r="C2390" t="s">
        <v>797</v>
      </c>
      <c r="D2390" t="s">
        <v>1375</v>
      </c>
      <c r="E2390">
        <v>10654</v>
      </c>
      <c r="F2390">
        <v>8672</v>
      </c>
      <c r="G2390">
        <v>8653</v>
      </c>
      <c r="H2390">
        <v>19</v>
      </c>
      <c r="I2390">
        <v>2024</v>
      </c>
      <c r="J2390">
        <v>105</v>
      </c>
      <c r="K2390">
        <f>allFYsTable[[#This Row],[Actual]]-allFYsTable[[#This Row],[OriginalBudget]]</f>
        <v>-2001</v>
      </c>
      <c r="L2390" s="11">
        <f>allFYsTable[[#This Row],[DiffAmount]]/allFYsTable[[#This Row],[OriginalBudget]]</f>
        <v>-0.1878167824291346</v>
      </c>
    </row>
    <row r="2391" spans="1:12" x14ac:dyDescent="0.45">
      <c r="A2391" t="s">
        <v>1020</v>
      </c>
      <c r="B2391" t="s">
        <v>9</v>
      </c>
      <c r="C2391" t="s">
        <v>798</v>
      </c>
      <c r="D2391" t="s">
        <v>1376</v>
      </c>
      <c r="E2391">
        <v>28371</v>
      </c>
      <c r="F2391">
        <v>40927</v>
      </c>
      <c r="G2391">
        <v>40654</v>
      </c>
      <c r="H2391">
        <v>273</v>
      </c>
      <c r="I2391">
        <v>2024</v>
      </c>
      <c r="J2391">
        <v>106</v>
      </c>
      <c r="K2391">
        <f>allFYsTable[[#This Row],[Actual]]-allFYsTable[[#This Row],[OriginalBudget]]</f>
        <v>12283</v>
      </c>
      <c r="L2391" s="11">
        <f>allFYsTable[[#This Row],[DiffAmount]]/allFYsTable[[#This Row],[OriginalBudget]]</f>
        <v>0.43294208875259949</v>
      </c>
    </row>
    <row r="2392" spans="1:12" x14ac:dyDescent="0.45">
      <c r="A2392" t="s">
        <v>1020</v>
      </c>
      <c r="B2392" t="s">
        <v>9</v>
      </c>
      <c r="C2392" t="s">
        <v>799</v>
      </c>
      <c r="D2392" t="s">
        <v>1273</v>
      </c>
      <c r="E2392">
        <v>13311</v>
      </c>
      <c r="F2392">
        <v>9739</v>
      </c>
      <c r="G2392">
        <v>9457</v>
      </c>
      <c r="H2392">
        <v>282</v>
      </c>
      <c r="I2392">
        <v>2024</v>
      </c>
      <c r="J2392">
        <v>107</v>
      </c>
      <c r="K2392">
        <f>allFYsTable[[#This Row],[Actual]]-allFYsTable[[#This Row],[OriginalBudget]]</f>
        <v>-3854</v>
      </c>
      <c r="L2392" s="11">
        <f>allFYsTable[[#This Row],[DiffAmount]]/allFYsTable[[#This Row],[OriginalBudget]]</f>
        <v>-0.28953497107655324</v>
      </c>
    </row>
    <row r="2393" spans="1:12" x14ac:dyDescent="0.45">
      <c r="A2393" t="s">
        <v>1020</v>
      </c>
      <c r="B2393" t="s">
        <v>9</v>
      </c>
      <c r="C2393" t="s">
        <v>800</v>
      </c>
      <c r="D2393" t="s">
        <v>1377</v>
      </c>
      <c r="E2393">
        <v>1765</v>
      </c>
      <c r="F2393">
        <v>745</v>
      </c>
      <c r="G2393">
        <v>717</v>
      </c>
      <c r="H2393">
        <v>28</v>
      </c>
      <c r="I2393">
        <v>2024</v>
      </c>
      <c r="J2393">
        <v>108</v>
      </c>
      <c r="K2393">
        <f>allFYsTable[[#This Row],[Actual]]-allFYsTable[[#This Row],[OriginalBudget]]</f>
        <v>-1048</v>
      </c>
      <c r="L2393" s="11">
        <f>allFYsTable[[#This Row],[DiffAmount]]/allFYsTable[[#This Row],[OriginalBudget]]</f>
        <v>-0.59376770538243628</v>
      </c>
    </row>
    <row r="2394" spans="1:12" x14ac:dyDescent="0.45">
      <c r="A2394" t="s">
        <v>1020</v>
      </c>
      <c r="B2394" t="s">
        <v>9</v>
      </c>
      <c r="C2394" t="s">
        <v>801</v>
      </c>
      <c r="D2394" t="s">
        <v>1378</v>
      </c>
      <c r="E2394">
        <v>58235</v>
      </c>
      <c r="F2394">
        <v>57722</v>
      </c>
      <c r="G2394">
        <v>52390</v>
      </c>
      <c r="H2394">
        <v>5332</v>
      </c>
      <c r="I2394">
        <v>2024</v>
      </c>
      <c r="J2394">
        <v>109</v>
      </c>
      <c r="K2394">
        <f>allFYsTable[[#This Row],[Actual]]-allFYsTable[[#This Row],[OriginalBudget]]</f>
        <v>-5845</v>
      </c>
      <c r="L2394" s="11">
        <f>allFYsTable[[#This Row],[DiffAmount]]/allFYsTable[[#This Row],[OriginalBudget]]</f>
        <v>-0.10036919378380699</v>
      </c>
    </row>
    <row r="2395" spans="1:12" x14ac:dyDescent="0.45">
      <c r="A2395" t="s">
        <v>1020</v>
      </c>
      <c r="B2395" t="s">
        <v>9</v>
      </c>
      <c r="C2395" t="s">
        <v>802</v>
      </c>
      <c r="D2395" t="s">
        <v>1379</v>
      </c>
      <c r="E2395">
        <v>171960</v>
      </c>
      <c r="F2395">
        <v>174823</v>
      </c>
      <c r="G2395">
        <v>174810</v>
      </c>
      <c r="H2395">
        <v>13</v>
      </c>
      <c r="I2395">
        <v>2024</v>
      </c>
      <c r="J2395">
        <v>110</v>
      </c>
      <c r="K2395">
        <f>allFYsTable[[#This Row],[Actual]]-allFYsTable[[#This Row],[OriginalBudget]]</f>
        <v>2850</v>
      </c>
      <c r="L2395" s="11">
        <f>allFYsTable[[#This Row],[DiffAmount]]/allFYsTable[[#This Row],[OriginalBudget]]</f>
        <v>1.6573621772505234E-2</v>
      </c>
    </row>
    <row r="2396" spans="1:12" x14ac:dyDescent="0.45">
      <c r="A2396" t="s">
        <v>1020</v>
      </c>
      <c r="B2396" t="s">
        <v>9</v>
      </c>
      <c r="C2396" t="s">
        <v>803</v>
      </c>
      <c r="D2396" t="s">
        <v>1380</v>
      </c>
      <c r="E2396">
        <v>156416</v>
      </c>
      <c r="F2396">
        <v>154446</v>
      </c>
      <c r="G2396">
        <v>154160</v>
      </c>
      <c r="H2396">
        <v>286</v>
      </c>
      <c r="I2396">
        <v>2024</v>
      </c>
      <c r="J2396">
        <v>111</v>
      </c>
      <c r="K2396">
        <f>allFYsTable[[#This Row],[Actual]]-allFYsTable[[#This Row],[OriginalBudget]]</f>
        <v>-2256</v>
      </c>
      <c r="L2396" s="11">
        <f>allFYsTable[[#This Row],[DiffAmount]]/allFYsTable[[#This Row],[OriginalBudget]]</f>
        <v>-1.4423076923076924E-2</v>
      </c>
    </row>
    <row r="2397" spans="1:12" x14ac:dyDescent="0.45">
      <c r="A2397" t="s">
        <v>1020</v>
      </c>
      <c r="B2397" t="s">
        <v>9</v>
      </c>
      <c r="C2397" t="s">
        <v>804</v>
      </c>
      <c r="D2397" t="s">
        <v>1381</v>
      </c>
      <c r="E2397">
        <v>1399</v>
      </c>
      <c r="F2397">
        <v>1399</v>
      </c>
      <c r="G2397">
        <v>1392</v>
      </c>
      <c r="H2397">
        <v>7</v>
      </c>
      <c r="I2397">
        <v>2024</v>
      </c>
      <c r="J2397">
        <v>112</v>
      </c>
      <c r="K2397">
        <f>allFYsTable[[#This Row],[Actual]]-allFYsTable[[#This Row],[OriginalBudget]]</f>
        <v>-7</v>
      </c>
      <c r="L2397" s="11">
        <f>allFYsTable[[#This Row],[DiffAmount]]/allFYsTable[[#This Row],[OriginalBudget]]</f>
        <v>-5.003573981415297E-3</v>
      </c>
    </row>
    <row r="2398" spans="1:12" x14ac:dyDescent="0.45">
      <c r="A2398" t="s">
        <v>1020</v>
      </c>
      <c r="B2398" t="s">
        <v>9</v>
      </c>
      <c r="C2398" t="s">
        <v>805</v>
      </c>
      <c r="D2398" t="s">
        <v>1272</v>
      </c>
      <c r="E2398">
        <v>1026</v>
      </c>
      <c r="F2398">
        <v>893</v>
      </c>
      <c r="G2398">
        <v>879</v>
      </c>
      <c r="H2398">
        <v>14</v>
      </c>
      <c r="I2398">
        <v>2024</v>
      </c>
      <c r="J2398">
        <v>113</v>
      </c>
      <c r="K2398">
        <f>allFYsTable[[#This Row],[Actual]]-allFYsTable[[#This Row],[OriginalBudget]]</f>
        <v>-147</v>
      </c>
      <c r="L2398" s="11">
        <f>allFYsTable[[#This Row],[DiffAmount]]/allFYsTable[[#This Row],[OriginalBudget]]</f>
        <v>-0.14327485380116958</v>
      </c>
    </row>
    <row r="2399" spans="1:12" x14ac:dyDescent="0.45">
      <c r="A2399" t="s">
        <v>1020</v>
      </c>
      <c r="B2399" t="s">
        <v>9</v>
      </c>
      <c r="C2399" t="s">
        <v>806</v>
      </c>
      <c r="D2399" t="s">
        <v>1382</v>
      </c>
      <c r="E2399">
        <v>0</v>
      </c>
      <c r="F2399">
        <v>0</v>
      </c>
      <c r="G2399">
        <v>0</v>
      </c>
      <c r="H2399">
        <v>0</v>
      </c>
      <c r="I2399">
        <v>2024</v>
      </c>
      <c r="J2399">
        <v>114</v>
      </c>
      <c r="K2399">
        <f>allFYsTable[[#This Row],[Actual]]-allFYsTable[[#This Row],[OriginalBudget]]</f>
        <v>0</v>
      </c>
      <c r="L2399" s="11" t="e">
        <f>allFYsTable[[#This Row],[DiffAmount]]/allFYsTable[[#This Row],[OriginalBudget]]</f>
        <v>#DIV/0!</v>
      </c>
    </row>
    <row r="2400" spans="1:12" x14ac:dyDescent="0.45">
      <c r="A2400" t="s">
        <v>1020</v>
      </c>
      <c r="B2400" t="s">
        <v>9</v>
      </c>
      <c r="C2400" t="s">
        <v>808</v>
      </c>
      <c r="D2400" t="s">
        <v>1271</v>
      </c>
      <c r="E2400">
        <v>170</v>
      </c>
      <c r="F2400">
        <v>170</v>
      </c>
      <c r="G2400">
        <v>170</v>
      </c>
      <c r="H2400">
        <v>0</v>
      </c>
      <c r="I2400">
        <v>2024</v>
      </c>
      <c r="J2400">
        <v>115</v>
      </c>
      <c r="K2400">
        <f>allFYsTable[[#This Row],[Actual]]-allFYsTable[[#This Row],[OriginalBudget]]</f>
        <v>0</v>
      </c>
      <c r="L2400" s="11">
        <f>allFYsTable[[#This Row],[DiffAmount]]/allFYsTable[[#This Row],[OriginalBudget]]</f>
        <v>0</v>
      </c>
    </row>
    <row r="2401" spans="1:12" x14ac:dyDescent="0.45">
      <c r="A2401" t="s">
        <v>1020</v>
      </c>
      <c r="B2401" t="s">
        <v>9</v>
      </c>
      <c r="C2401" t="s">
        <v>807</v>
      </c>
      <c r="D2401" t="s">
        <v>1270</v>
      </c>
      <c r="E2401">
        <v>473042</v>
      </c>
      <c r="F2401">
        <v>474768</v>
      </c>
      <c r="G2401">
        <v>474768</v>
      </c>
      <c r="H2401">
        <v>0</v>
      </c>
      <c r="I2401">
        <v>2024</v>
      </c>
      <c r="J2401">
        <v>116</v>
      </c>
      <c r="K2401">
        <f>allFYsTable[[#This Row],[Actual]]-allFYsTable[[#This Row],[OriginalBudget]]</f>
        <v>1726</v>
      </c>
      <c r="L2401" s="11">
        <f>allFYsTable[[#This Row],[DiffAmount]]/allFYsTable[[#This Row],[OriginalBudget]]</f>
        <v>3.64872463755861E-3</v>
      </c>
    </row>
    <row r="2402" spans="1:12" x14ac:dyDescent="0.45">
      <c r="A2402" t="s">
        <v>1020</v>
      </c>
      <c r="B2402" t="s">
        <v>10</v>
      </c>
      <c r="C2402" t="s">
        <v>775</v>
      </c>
      <c r="D2402" t="s">
        <v>1269</v>
      </c>
      <c r="E2402">
        <v>1110929</v>
      </c>
      <c r="F2402">
        <v>1007141</v>
      </c>
      <c r="G2402">
        <v>1006399</v>
      </c>
      <c r="H2402">
        <v>742</v>
      </c>
      <c r="I2402">
        <v>2024</v>
      </c>
      <c r="J2402">
        <v>117</v>
      </c>
      <c r="K2402">
        <f>allFYsTable[[#This Row],[Actual]]-allFYsTable[[#This Row],[OriginalBudget]]</f>
        <v>-104530</v>
      </c>
      <c r="L2402" s="11">
        <f>allFYsTable[[#This Row],[DiffAmount]]/allFYsTable[[#This Row],[OriginalBudget]]</f>
        <v>-9.4092421747924482E-2</v>
      </c>
    </row>
    <row r="2403" spans="1:12" x14ac:dyDescent="0.45">
      <c r="A2403" t="s">
        <v>1020</v>
      </c>
      <c r="B2403" t="s">
        <v>10</v>
      </c>
      <c r="C2403" t="s">
        <v>817</v>
      </c>
      <c r="D2403" t="s">
        <v>1268</v>
      </c>
      <c r="E2403">
        <v>11000</v>
      </c>
      <c r="F2403">
        <v>5031</v>
      </c>
      <c r="G2403">
        <v>4114</v>
      </c>
      <c r="H2403">
        <v>917</v>
      </c>
      <c r="I2403">
        <v>2024</v>
      </c>
      <c r="J2403">
        <v>118</v>
      </c>
      <c r="K2403">
        <f>allFYsTable[[#This Row],[Actual]]-allFYsTable[[#This Row],[OriginalBudget]]</f>
        <v>-6886</v>
      </c>
      <c r="L2403" s="11">
        <f>allFYsTable[[#This Row],[DiffAmount]]/allFYsTable[[#This Row],[OriginalBudget]]</f>
        <v>-0.626</v>
      </c>
    </row>
    <row r="2404" spans="1:12" x14ac:dyDescent="0.45">
      <c r="A2404" t="s">
        <v>1020</v>
      </c>
      <c r="B2404" t="s">
        <v>10</v>
      </c>
      <c r="C2404" t="s">
        <v>818</v>
      </c>
      <c r="D2404" t="s">
        <v>1267</v>
      </c>
      <c r="E2404">
        <v>7500</v>
      </c>
      <c r="F2404">
        <v>4479</v>
      </c>
      <c r="G2404">
        <v>4008</v>
      </c>
      <c r="H2404">
        <v>471</v>
      </c>
      <c r="I2404">
        <v>2024</v>
      </c>
      <c r="J2404">
        <v>119</v>
      </c>
      <c r="K2404">
        <f>allFYsTable[[#This Row],[Actual]]-allFYsTable[[#This Row],[OriginalBudget]]</f>
        <v>-3492</v>
      </c>
      <c r="L2404" s="11">
        <f>allFYsTable[[#This Row],[DiffAmount]]/allFYsTable[[#This Row],[OriginalBudget]]</f>
        <v>-0.46560000000000001</v>
      </c>
    </row>
    <row r="2405" spans="1:12" x14ac:dyDescent="0.45">
      <c r="A2405" t="s">
        <v>1020</v>
      </c>
      <c r="B2405" t="s">
        <v>10</v>
      </c>
      <c r="C2405" t="s">
        <v>819</v>
      </c>
      <c r="D2405" t="s">
        <v>1266</v>
      </c>
      <c r="E2405">
        <v>21025</v>
      </c>
      <c r="F2405">
        <v>21025</v>
      </c>
      <c r="G2405">
        <v>21023</v>
      </c>
      <c r="H2405">
        <v>2</v>
      </c>
      <c r="I2405">
        <v>2024</v>
      </c>
      <c r="J2405">
        <v>120</v>
      </c>
      <c r="K2405">
        <f>allFYsTable[[#This Row],[Actual]]-allFYsTable[[#This Row],[OriginalBudget]]</f>
        <v>-2</v>
      </c>
      <c r="L2405" s="11">
        <f>allFYsTable[[#This Row],[DiffAmount]]/allFYsTable[[#This Row],[OriginalBudget]]</f>
        <v>-9.5124851367419739E-5</v>
      </c>
    </row>
    <row r="2406" spans="1:12" x14ac:dyDescent="0.45">
      <c r="A2406" t="s">
        <v>1020</v>
      </c>
      <c r="B2406" t="s">
        <v>10</v>
      </c>
      <c r="C2406" t="s">
        <v>814</v>
      </c>
      <c r="D2406" t="s">
        <v>1265</v>
      </c>
      <c r="E2406">
        <v>5034</v>
      </c>
      <c r="F2406">
        <v>5571</v>
      </c>
      <c r="G2406">
        <v>4576</v>
      </c>
      <c r="H2406">
        <v>995</v>
      </c>
      <c r="I2406">
        <v>2024</v>
      </c>
      <c r="J2406">
        <v>121</v>
      </c>
      <c r="K2406">
        <f>allFYsTable[[#This Row],[Actual]]-allFYsTable[[#This Row],[OriginalBudget]]</f>
        <v>-458</v>
      </c>
      <c r="L2406" s="11">
        <f>allFYsTable[[#This Row],[DiffAmount]]/allFYsTable[[#This Row],[OriginalBudget]]</f>
        <v>-9.098132697655939E-2</v>
      </c>
    </row>
    <row r="2407" spans="1:12" x14ac:dyDescent="0.45">
      <c r="A2407" t="s">
        <v>1020</v>
      </c>
      <c r="B2407" t="s">
        <v>10</v>
      </c>
      <c r="C2407" t="s">
        <v>811</v>
      </c>
      <c r="D2407" t="s">
        <v>1264</v>
      </c>
      <c r="E2407">
        <v>72700</v>
      </c>
      <c r="F2407">
        <v>72700</v>
      </c>
      <c r="G2407">
        <v>72700</v>
      </c>
      <c r="H2407">
        <v>0</v>
      </c>
      <c r="I2407">
        <v>2024</v>
      </c>
      <c r="J2407">
        <v>122</v>
      </c>
      <c r="K2407">
        <f>allFYsTable[[#This Row],[Actual]]-allFYsTable[[#This Row],[OriginalBudget]]</f>
        <v>0</v>
      </c>
      <c r="L2407" s="11">
        <f>allFYsTable[[#This Row],[DiffAmount]]/allFYsTable[[#This Row],[OriginalBudget]]</f>
        <v>0</v>
      </c>
    </row>
    <row r="2408" spans="1:12" x14ac:dyDescent="0.45">
      <c r="A2408" t="s">
        <v>1020</v>
      </c>
      <c r="B2408" t="s">
        <v>10</v>
      </c>
      <c r="C2408" t="s">
        <v>829</v>
      </c>
      <c r="D2408" t="s">
        <v>1263</v>
      </c>
      <c r="E2408">
        <v>2263</v>
      </c>
      <c r="F2408">
        <v>2263</v>
      </c>
      <c r="G2408">
        <v>2253</v>
      </c>
      <c r="H2408">
        <v>10</v>
      </c>
      <c r="I2408">
        <v>2024</v>
      </c>
      <c r="J2408">
        <v>123</v>
      </c>
      <c r="K2408">
        <f>allFYsTable[[#This Row],[Actual]]-allFYsTable[[#This Row],[OriginalBudget]]</f>
        <v>-10</v>
      </c>
      <c r="L2408" s="11">
        <f>allFYsTable[[#This Row],[DiffAmount]]/allFYsTable[[#This Row],[OriginalBudget]]</f>
        <v>-4.4189129474149361E-3</v>
      </c>
    </row>
    <row r="2409" spans="1:12" x14ac:dyDescent="0.45">
      <c r="A2409" t="s">
        <v>1020</v>
      </c>
      <c r="B2409" t="s">
        <v>10</v>
      </c>
      <c r="C2409" t="s">
        <v>810</v>
      </c>
      <c r="D2409" t="s">
        <v>1262</v>
      </c>
      <c r="E2409">
        <v>173720</v>
      </c>
      <c r="F2409">
        <v>222597</v>
      </c>
      <c r="G2409">
        <v>222597</v>
      </c>
      <c r="H2409">
        <v>0</v>
      </c>
      <c r="I2409">
        <v>2024</v>
      </c>
      <c r="J2409">
        <v>124</v>
      </c>
      <c r="K2409">
        <f>allFYsTable[[#This Row],[Actual]]-allFYsTable[[#This Row],[OriginalBudget]]</f>
        <v>48877</v>
      </c>
      <c r="L2409" s="11">
        <f>allFYsTable[[#This Row],[DiffAmount]]/allFYsTable[[#This Row],[OriginalBudget]]</f>
        <v>0.28135505411006217</v>
      </c>
    </row>
    <row r="2410" spans="1:12" x14ac:dyDescent="0.45">
      <c r="A2410" t="s">
        <v>1020</v>
      </c>
      <c r="B2410" t="s">
        <v>10</v>
      </c>
      <c r="C2410" t="s">
        <v>813</v>
      </c>
      <c r="D2410" t="s">
        <v>1261</v>
      </c>
      <c r="E2410">
        <v>22830</v>
      </c>
      <c r="F2410">
        <v>22830</v>
      </c>
      <c r="G2410">
        <v>21680</v>
      </c>
      <c r="H2410">
        <v>1150</v>
      </c>
      <c r="I2410">
        <v>2024</v>
      </c>
      <c r="J2410">
        <v>125</v>
      </c>
      <c r="K2410">
        <f>allFYsTable[[#This Row],[Actual]]-allFYsTable[[#This Row],[OriginalBudget]]</f>
        <v>-1150</v>
      </c>
      <c r="L2410" s="11">
        <f>allFYsTable[[#This Row],[DiffAmount]]/allFYsTable[[#This Row],[OriginalBudget]]</f>
        <v>-5.0372317126587823E-2</v>
      </c>
    </row>
    <row r="2411" spans="1:12" x14ac:dyDescent="0.45">
      <c r="A2411" t="s">
        <v>1020</v>
      </c>
      <c r="B2411" t="s">
        <v>10</v>
      </c>
      <c r="C2411" t="s">
        <v>812</v>
      </c>
      <c r="D2411" t="s">
        <v>1260</v>
      </c>
      <c r="E2411">
        <v>0</v>
      </c>
      <c r="F2411">
        <v>25592</v>
      </c>
      <c r="G2411">
        <v>25592</v>
      </c>
      <c r="H2411">
        <v>0</v>
      </c>
      <c r="I2411">
        <v>2024</v>
      </c>
      <c r="J2411">
        <v>126</v>
      </c>
      <c r="K2411">
        <f>allFYsTable[[#This Row],[Actual]]-allFYsTable[[#This Row],[OriginalBudget]]</f>
        <v>25592</v>
      </c>
      <c r="L2411" s="11" t="e">
        <f>allFYsTable[[#This Row],[DiffAmount]]/allFYsTable[[#This Row],[OriginalBudget]]</f>
        <v>#DIV/0!</v>
      </c>
    </row>
    <row r="2412" spans="1:12" x14ac:dyDescent="0.45">
      <c r="A2412" t="s">
        <v>1020</v>
      </c>
      <c r="B2412" t="s">
        <v>10</v>
      </c>
      <c r="C2412" t="s">
        <v>821</v>
      </c>
      <c r="D2412" t="s">
        <v>1259</v>
      </c>
      <c r="E2412">
        <v>206455</v>
      </c>
      <c r="F2412">
        <v>62345</v>
      </c>
      <c r="G2412">
        <v>0</v>
      </c>
      <c r="H2412">
        <v>62345</v>
      </c>
      <c r="I2412">
        <v>2024</v>
      </c>
      <c r="J2412">
        <v>127</v>
      </c>
      <c r="K2412">
        <f>allFYsTable[[#This Row],[Actual]]-allFYsTable[[#This Row],[OriginalBudget]]</f>
        <v>-206455</v>
      </c>
      <c r="L2412" s="11">
        <f>allFYsTable[[#This Row],[DiffAmount]]/allFYsTable[[#This Row],[OriginalBudget]]</f>
        <v>-1</v>
      </c>
    </row>
    <row r="2413" spans="1:12" x14ac:dyDescent="0.45">
      <c r="A2413" t="s">
        <v>1020</v>
      </c>
      <c r="B2413" t="s">
        <v>10</v>
      </c>
      <c r="C2413" t="s">
        <v>847</v>
      </c>
      <c r="D2413" t="s">
        <v>1258</v>
      </c>
      <c r="E2413">
        <v>0</v>
      </c>
      <c r="F2413">
        <v>14388</v>
      </c>
      <c r="G2413">
        <v>14388</v>
      </c>
      <c r="H2413">
        <v>0</v>
      </c>
      <c r="I2413">
        <v>2024</v>
      </c>
      <c r="J2413">
        <v>128</v>
      </c>
      <c r="K2413">
        <f>allFYsTable[[#This Row],[Actual]]-allFYsTable[[#This Row],[OriginalBudget]]</f>
        <v>14388</v>
      </c>
      <c r="L2413" s="11" t="e">
        <f>allFYsTable[[#This Row],[DiffAmount]]/allFYsTable[[#This Row],[OriginalBudget]]</f>
        <v>#DIV/0!</v>
      </c>
    </row>
    <row r="2414" spans="1:12" x14ac:dyDescent="0.45">
      <c r="A2414" t="s">
        <v>1020</v>
      </c>
      <c r="B2414" t="s">
        <v>10</v>
      </c>
      <c r="C2414" t="s">
        <v>816</v>
      </c>
      <c r="D2414" t="s">
        <v>1257</v>
      </c>
      <c r="E2414">
        <v>297391</v>
      </c>
      <c r="F2414">
        <v>206779</v>
      </c>
      <c r="G2414">
        <v>206779</v>
      </c>
      <c r="H2414">
        <v>0</v>
      </c>
      <c r="I2414">
        <v>2024</v>
      </c>
      <c r="J2414">
        <v>129</v>
      </c>
      <c r="K2414">
        <f>allFYsTable[[#This Row],[Actual]]-allFYsTable[[#This Row],[OriginalBudget]]</f>
        <v>-90612</v>
      </c>
      <c r="L2414" s="11">
        <f>allFYsTable[[#This Row],[DiffAmount]]/allFYsTable[[#This Row],[OriginalBudget]]</f>
        <v>-0.30468978550124248</v>
      </c>
    </row>
    <row r="2415" spans="1:12" x14ac:dyDescent="0.45">
      <c r="A2415" t="s">
        <v>1020</v>
      </c>
      <c r="B2415" t="s">
        <v>10</v>
      </c>
      <c r="C2415" t="s">
        <v>820</v>
      </c>
      <c r="D2415" t="s">
        <v>1256</v>
      </c>
      <c r="E2415">
        <v>0</v>
      </c>
      <c r="F2415">
        <v>0</v>
      </c>
      <c r="G2415">
        <v>0</v>
      </c>
      <c r="H2415">
        <v>0</v>
      </c>
      <c r="I2415">
        <v>2024</v>
      </c>
      <c r="J2415">
        <v>130</v>
      </c>
      <c r="K2415">
        <f>allFYsTable[[#This Row],[Actual]]-allFYsTable[[#This Row],[OriginalBudget]]</f>
        <v>0</v>
      </c>
      <c r="L2415" s="11" t="e">
        <f>allFYsTable[[#This Row],[DiffAmount]]/allFYsTable[[#This Row],[OriginalBudget]]</f>
        <v>#DIV/0!</v>
      </c>
    </row>
    <row r="2416" spans="1:12" x14ac:dyDescent="0.45">
      <c r="A2416" t="s">
        <v>1020</v>
      </c>
      <c r="B2416" t="s">
        <v>10</v>
      </c>
      <c r="C2416" t="s">
        <v>809</v>
      </c>
      <c r="D2416" t="s">
        <v>1255</v>
      </c>
      <c r="E2416">
        <v>8815</v>
      </c>
      <c r="F2416">
        <v>8815</v>
      </c>
      <c r="G2416">
        <v>8815</v>
      </c>
      <c r="H2416">
        <v>0</v>
      </c>
      <c r="I2416">
        <v>2024</v>
      </c>
      <c r="J2416">
        <v>131</v>
      </c>
      <c r="K2416">
        <f>allFYsTable[[#This Row],[Actual]]-allFYsTable[[#This Row],[OriginalBudget]]</f>
        <v>0</v>
      </c>
      <c r="L2416" s="11">
        <f>allFYsTable[[#This Row],[DiffAmount]]/allFYsTable[[#This Row],[OriginalBudget]]</f>
        <v>0</v>
      </c>
    </row>
    <row r="2417" spans="1:12" s="7" customFormat="1" x14ac:dyDescent="0.45">
      <c r="A2417" t="s">
        <v>1020</v>
      </c>
      <c r="B2417" t="s">
        <v>10</v>
      </c>
      <c r="C2417" t="s">
        <v>815</v>
      </c>
      <c r="D2417" t="s">
        <v>1254</v>
      </c>
      <c r="E2417">
        <v>7892</v>
      </c>
      <c r="F2417">
        <v>100</v>
      </c>
      <c r="G2417">
        <v>0</v>
      </c>
      <c r="H2417">
        <v>100</v>
      </c>
      <c r="I2417">
        <v>2024</v>
      </c>
      <c r="J2417">
        <v>132</v>
      </c>
      <c r="K2417">
        <f>allFYsTable[[#This Row],[Actual]]-allFYsTable[[#This Row],[OriginalBudget]]</f>
        <v>-7892</v>
      </c>
      <c r="L2417" s="11">
        <f>allFYsTable[[#This Row],[DiffAmount]]/allFYsTable[[#This Row],[OriginalBudget]]</f>
        <v>-1</v>
      </c>
    </row>
    <row r="2418" spans="1:12" x14ac:dyDescent="0.45">
      <c r="A2418" t="s">
        <v>1393</v>
      </c>
      <c r="B2418" t="s">
        <v>11</v>
      </c>
      <c r="C2418" t="s">
        <v>699</v>
      </c>
      <c r="D2418" t="s">
        <v>119</v>
      </c>
      <c r="E2418">
        <v>14561</v>
      </c>
      <c r="F2418">
        <v>14809</v>
      </c>
      <c r="G2418">
        <v>14703</v>
      </c>
      <c r="H2418">
        <v>106</v>
      </c>
      <c r="I2418">
        <v>2025</v>
      </c>
      <c r="J2418">
        <v>1</v>
      </c>
      <c r="K2418">
        <f>allFYsTable[[#This Row],[Actual]]-allFYsTable[[#This Row],[OriginalBudget]]</f>
        <v>142</v>
      </c>
      <c r="L2418" s="11">
        <f>allFYsTable[[#This Row],[DiffAmount]]/allFYsTable[[#This Row],[OriginalBudget]]</f>
        <v>9.7520774672069221E-3</v>
      </c>
    </row>
    <row r="2419" spans="1:12" x14ac:dyDescent="0.45">
      <c r="A2419" t="s">
        <v>1393</v>
      </c>
      <c r="B2419" t="s">
        <v>11</v>
      </c>
      <c r="C2419" t="s">
        <v>700</v>
      </c>
      <c r="D2419" t="s">
        <v>128</v>
      </c>
      <c r="E2419">
        <v>3938</v>
      </c>
      <c r="F2419">
        <v>3795</v>
      </c>
      <c r="G2419">
        <v>3733</v>
      </c>
      <c r="H2419">
        <v>62</v>
      </c>
      <c r="I2419">
        <v>2025</v>
      </c>
      <c r="J2419">
        <v>2</v>
      </c>
      <c r="K2419">
        <f>allFYsTable[[#This Row],[Actual]]-allFYsTable[[#This Row],[OriginalBudget]]</f>
        <v>-205</v>
      </c>
      <c r="L2419" s="11">
        <f>allFYsTable[[#This Row],[DiffAmount]]/allFYsTable[[#This Row],[OriginalBudget]]</f>
        <v>-5.2056881665820211E-2</v>
      </c>
    </row>
    <row r="2420" spans="1:12" x14ac:dyDescent="0.45">
      <c r="A2420" t="s">
        <v>1393</v>
      </c>
      <c r="B2420" t="s">
        <v>11</v>
      </c>
      <c r="C2420" t="s">
        <v>701</v>
      </c>
      <c r="D2420" t="s">
        <v>106</v>
      </c>
      <c r="E2420">
        <v>10522</v>
      </c>
      <c r="F2420">
        <v>9347</v>
      </c>
      <c r="G2420">
        <v>8943</v>
      </c>
      <c r="H2420">
        <v>404</v>
      </c>
      <c r="I2420">
        <v>2025</v>
      </c>
      <c r="J2420">
        <v>3</v>
      </c>
      <c r="K2420">
        <f>allFYsTable[[#This Row],[Actual]]-allFYsTable[[#This Row],[OriginalBudget]]</f>
        <v>-1579</v>
      </c>
      <c r="L2420" s="11">
        <f>allFYsTable[[#This Row],[DiffAmount]]/allFYsTable[[#This Row],[OriginalBudget]]</f>
        <v>-0.15006652727618325</v>
      </c>
    </row>
    <row r="2421" spans="1:12" x14ac:dyDescent="0.45">
      <c r="A2421" t="s">
        <v>1393</v>
      </c>
      <c r="B2421" t="s">
        <v>11</v>
      </c>
      <c r="C2421" t="s">
        <v>702</v>
      </c>
      <c r="D2421" t="s">
        <v>112</v>
      </c>
      <c r="E2421">
        <v>1973</v>
      </c>
      <c r="F2421">
        <v>1944</v>
      </c>
      <c r="G2421">
        <v>1893</v>
      </c>
      <c r="H2421">
        <v>51</v>
      </c>
      <c r="I2421">
        <v>2025</v>
      </c>
      <c r="J2421">
        <v>4</v>
      </c>
      <c r="K2421">
        <f>allFYsTable[[#This Row],[Actual]]-allFYsTable[[#This Row],[OriginalBudget]]</f>
        <v>-80</v>
      </c>
      <c r="L2421" s="11">
        <f>allFYsTable[[#This Row],[DiffAmount]]/allFYsTable[[#This Row],[OriginalBudget]]</f>
        <v>-4.0547389761784083E-2</v>
      </c>
    </row>
    <row r="2422" spans="1:12" x14ac:dyDescent="0.45">
      <c r="A2422" t="s">
        <v>1393</v>
      </c>
      <c r="B2422" t="s">
        <v>11</v>
      </c>
      <c r="C2422" t="s">
        <v>703</v>
      </c>
      <c r="D2422" t="s">
        <v>96</v>
      </c>
      <c r="E2422">
        <v>37223</v>
      </c>
      <c r="F2422">
        <v>33323</v>
      </c>
      <c r="G2422">
        <v>33323</v>
      </c>
      <c r="H2422">
        <v>0</v>
      </c>
      <c r="I2422">
        <v>2025</v>
      </c>
      <c r="J2422">
        <v>5</v>
      </c>
      <c r="K2422">
        <f>allFYsTable[[#This Row],[Actual]]-allFYsTable[[#This Row],[OriginalBudget]]</f>
        <v>-3900</v>
      </c>
      <c r="L2422" s="11">
        <f>allFYsTable[[#This Row],[DiffAmount]]/allFYsTable[[#This Row],[OriginalBudget]]</f>
        <v>-0.10477393009698305</v>
      </c>
    </row>
    <row r="2423" spans="1:12" x14ac:dyDescent="0.45">
      <c r="A2423" t="s">
        <v>1393</v>
      </c>
      <c r="B2423" t="s">
        <v>11</v>
      </c>
      <c r="C2423" t="s">
        <v>704</v>
      </c>
      <c r="D2423" t="s">
        <v>887</v>
      </c>
      <c r="E2423">
        <v>13142</v>
      </c>
      <c r="F2423">
        <v>12770</v>
      </c>
      <c r="G2423">
        <v>12473</v>
      </c>
      <c r="H2423">
        <v>297</v>
      </c>
      <c r="I2423">
        <v>2025</v>
      </c>
      <c r="J2423">
        <v>6</v>
      </c>
      <c r="K2423">
        <f>allFYsTable[[#This Row],[Actual]]-allFYsTable[[#This Row],[OriginalBudget]]</f>
        <v>-669</v>
      </c>
      <c r="L2423" s="11">
        <f>allFYsTable[[#This Row],[DiffAmount]]/allFYsTable[[#This Row],[OriginalBudget]]</f>
        <v>-5.0905493836554558E-2</v>
      </c>
    </row>
    <row r="2424" spans="1:12" x14ac:dyDescent="0.45">
      <c r="A2424" t="s">
        <v>1393</v>
      </c>
      <c r="B2424" t="s">
        <v>11</v>
      </c>
      <c r="C2424" t="s">
        <v>705</v>
      </c>
      <c r="D2424" t="s">
        <v>110</v>
      </c>
      <c r="E2424">
        <v>405002</v>
      </c>
      <c r="F2424">
        <v>452918</v>
      </c>
      <c r="G2424">
        <v>449608</v>
      </c>
      <c r="H2424">
        <v>3310</v>
      </c>
      <c r="I2424">
        <v>2025</v>
      </c>
      <c r="J2424">
        <v>7</v>
      </c>
      <c r="K2424">
        <f>allFYsTable[[#This Row],[Actual]]-allFYsTable[[#This Row],[OriginalBudget]]</f>
        <v>44606</v>
      </c>
      <c r="L2424" s="11">
        <f>allFYsTable[[#This Row],[DiffAmount]]/allFYsTable[[#This Row],[OriginalBudget]]</f>
        <v>0.11013772771492486</v>
      </c>
    </row>
    <row r="2425" spans="1:12" x14ac:dyDescent="0.45">
      <c r="A2425" t="s">
        <v>1393</v>
      </c>
      <c r="B2425" t="s">
        <v>11</v>
      </c>
      <c r="C2425" t="s">
        <v>706</v>
      </c>
      <c r="D2425" t="s">
        <v>1419</v>
      </c>
      <c r="E2425">
        <v>18906</v>
      </c>
      <c r="F2425">
        <v>17387</v>
      </c>
      <c r="G2425">
        <v>17387</v>
      </c>
      <c r="H2425">
        <v>0</v>
      </c>
      <c r="I2425">
        <v>2025</v>
      </c>
      <c r="J2425">
        <v>8</v>
      </c>
      <c r="K2425">
        <f>allFYsTable[[#This Row],[Actual]]-allFYsTable[[#This Row],[OriginalBudget]]</f>
        <v>-1519</v>
      </c>
      <c r="L2425" s="11">
        <f>allFYsTable[[#This Row],[DiffAmount]]/allFYsTable[[#This Row],[OriginalBudget]]</f>
        <v>-8.0344864064318205E-2</v>
      </c>
    </row>
    <row r="2426" spans="1:12" x14ac:dyDescent="0.45">
      <c r="A2426" t="s">
        <v>1393</v>
      </c>
      <c r="B2426" t="s">
        <v>11</v>
      </c>
      <c r="C2426" t="s">
        <v>707</v>
      </c>
      <c r="D2426" t="s">
        <v>101</v>
      </c>
      <c r="E2426">
        <v>17483</v>
      </c>
      <c r="F2426">
        <v>18289</v>
      </c>
      <c r="G2426">
        <v>17248</v>
      </c>
      <c r="H2426">
        <v>1041</v>
      </c>
      <c r="I2426">
        <v>2025</v>
      </c>
      <c r="J2426">
        <v>9</v>
      </c>
      <c r="K2426">
        <f>allFYsTable[[#This Row],[Actual]]-allFYsTable[[#This Row],[OriginalBudget]]</f>
        <v>-235</v>
      </c>
      <c r="L2426" s="11">
        <f>allFYsTable[[#This Row],[DiffAmount]]/allFYsTable[[#This Row],[OriginalBudget]]</f>
        <v>-1.3441629011039295E-2</v>
      </c>
    </row>
    <row r="2427" spans="1:12" x14ac:dyDescent="0.45">
      <c r="A2427" t="s">
        <v>1393</v>
      </c>
      <c r="B2427" t="s">
        <v>11</v>
      </c>
      <c r="C2427" t="s">
        <v>822</v>
      </c>
      <c r="D2427" t="s">
        <v>159</v>
      </c>
      <c r="E2427">
        <v>0</v>
      </c>
      <c r="F2427">
        <v>0</v>
      </c>
      <c r="G2427">
        <v>0</v>
      </c>
      <c r="H2427">
        <v>0</v>
      </c>
      <c r="I2427">
        <v>2025</v>
      </c>
      <c r="J2427">
        <v>10</v>
      </c>
      <c r="K2427">
        <f>allFYsTable[[#This Row],[Actual]]-allFYsTable[[#This Row],[OriginalBudget]]</f>
        <v>0</v>
      </c>
      <c r="L2427" s="11" t="e">
        <f>allFYsTable[[#This Row],[DiffAmount]]/allFYsTable[[#This Row],[OriginalBudget]]</f>
        <v>#DIV/0!</v>
      </c>
    </row>
    <row r="2428" spans="1:12" x14ac:dyDescent="0.45">
      <c r="A2428" t="s">
        <v>1393</v>
      </c>
      <c r="B2428" t="s">
        <v>11</v>
      </c>
      <c r="C2428" t="s">
        <v>708</v>
      </c>
      <c r="D2428" t="s">
        <v>1418</v>
      </c>
      <c r="E2428">
        <v>1835</v>
      </c>
      <c r="F2428">
        <v>1718</v>
      </c>
      <c r="G2428">
        <v>1704</v>
      </c>
      <c r="H2428">
        <v>14</v>
      </c>
      <c r="I2428">
        <v>2025</v>
      </c>
      <c r="J2428">
        <v>11</v>
      </c>
      <c r="K2428">
        <f>allFYsTable[[#This Row],[Actual]]-allFYsTable[[#This Row],[OriginalBudget]]</f>
        <v>-131</v>
      </c>
      <c r="L2428" s="11">
        <f>allFYsTable[[#This Row],[DiffAmount]]/allFYsTable[[#This Row],[OriginalBudget]]</f>
        <v>-7.1389645776566757E-2</v>
      </c>
    </row>
    <row r="2429" spans="1:12" x14ac:dyDescent="0.45">
      <c r="A2429" t="s">
        <v>1393</v>
      </c>
      <c r="B2429" t="s">
        <v>11</v>
      </c>
      <c r="C2429" t="s">
        <v>709</v>
      </c>
      <c r="D2429" t="s">
        <v>127</v>
      </c>
      <c r="E2429">
        <v>1097</v>
      </c>
      <c r="F2429">
        <v>1097</v>
      </c>
      <c r="G2429">
        <v>1097</v>
      </c>
      <c r="H2429">
        <v>0</v>
      </c>
      <c r="I2429">
        <v>2025</v>
      </c>
      <c r="J2429">
        <v>12</v>
      </c>
      <c r="K2429">
        <f>allFYsTable[[#This Row],[Actual]]-allFYsTable[[#This Row],[OriginalBudget]]</f>
        <v>0</v>
      </c>
      <c r="L2429" s="11">
        <f>allFYsTable[[#This Row],[DiffAmount]]/allFYsTable[[#This Row],[OriginalBudget]]</f>
        <v>0</v>
      </c>
    </row>
    <row r="2430" spans="1:12" x14ac:dyDescent="0.45">
      <c r="A2430" t="s">
        <v>1393</v>
      </c>
      <c r="B2430" t="s">
        <v>11</v>
      </c>
      <c r="C2430" t="s">
        <v>711</v>
      </c>
      <c r="D2430" t="s">
        <v>100</v>
      </c>
      <c r="E2430">
        <v>2532</v>
      </c>
      <c r="F2430">
        <v>2684</v>
      </c>
      <c r="G2430">
        <v>2682</v>
      </c>
      <c r="H2430">
        <v>2</v>
      </c>
      <c r="I2430">
        <v>2025</v>
      </c>
      <c r="J2430">
        <v>13</v>
      </c>
      <c r="K2430">
        <f>allFYsTable[[#This Row],[Actual]]-allFYsTable[[#This Row],[OriginalBudget]]</f>
        <v>150</v>
      </c>
      <c r="L2430" s="11">
        <f>allFYsTable[[#This Row],[DiffAmount]]/allFYsTable[[#This Row],[OriginalBudget]]</f>
        <v>5.9241706161137442E-2</v>
      </c>
    </row>
    <row r="2431" spans="1:12" x14ac:dyDescent="0.45">
      <c r="A2431" t="s">
        <v>1393</v>
      </c>
      <c r="B2431" t="s">
        <v>11</v>
      </c>
      <c r="C2431" t="s">
        <v>712</v>
      </c>
      <c r="D2431" t="s">
        <v>120</v>
      </c>
      <c r="E2431">
        <v>7840</v>
      </c>
      <c r="F2431">
        <v>5279</v>
      </c>
      <c r="G2431">
        <v>5093</v>
      </c>
      <c r="H2431">
        <v>186</v>
      </c>
      <c r="I2431">
        <v>2025</v>
      </c>
      <c r="J2431">
        <v>14</v>
      </c>
      <c r="K2431">
        <f>allFYsTable[[#This Row],[Actual]]-allFYsTable[[#This Row],[OriginalBudget]]</f>
        <v>-2747</v>
      </c>
      <c r="L2431" s="11">
        <f>allFYsTable[[#This Row],[DiffAmount]]/allFYsTable[[#This Row],[OriginalBudget]]</f>
        <v>-0.35038265306122451</v>
      </c>
    </row>
    <row r="2432" spans="1:12" x14ac:dyDescent="0.45">
      <c r="A2432" t="s">
        <v>1393</v>
      </c>
      <c r="B2432" t="s">
        <v>11</v>
      </c>
      <c r="C2432" t="s">
        <v>713</v>
      </c>
      <c r="D2432" t="s">
        <v>111</v>
      </c>
      <c r="E2432">
        <v>27612</v>
      </c>
      <c r="F2432">
        <v>25146</v>
      </c>
      <c r="G2432">
        <v>24249</v>
      </c>
      <c r="H2432">
        <v>897</v>
      </c>
      <c r="I2432">
        <v>2025</v>
      </c>
      <c r="J2432">
        <v>15</v>
      </c>
      <c r="K2432">
        <f>allFYsTable[[#This Row],[Actual]]-allFYsTable[[#This Row],[OriginalBudget]]</f>
        <v>-3363</v>
      </c>
      <c r="L2432" s="11">
        <f>allFYsTable[[#This Row],[DiffAmount]]/allFYsTable[[#This Row],[OriginalBudget]]</f>
        <v>-0.12179487179487179</v>
      </c>
    </row>
    <row r="2433" spans="1:12" x14ac:dyDescent="0.45">
      <c r="A2433" t="s">
        <v>1393</v>
      </c>
      <c r="B2433" t="s">
        <v>11</v>
      </c>
      <c r="C2433" t="s">
        <v>714</v>
      </c>
      <c r="D2433" t="s">
        <v>116</v>
      </c>
      <c r="E2433">
        <v>1426</v>
      </c>
      <c r="F2433">
        <v>1319</v>
      </c>
      <c r="G2433">
        <v>1319</v>
      </c>
      <c r="H2433">
        <v>0</v>
      </c>
      <c r="I2433">
        <v>2025</v>
      </c>
      <c r="J2433">
        <v>16</v>
      </c>
      <c r="K2433">
        <f>allFYsTable[[#This Row],[Actual]]-allFYsTable[[#This Row],[OriginalBudget]]</f>
        <v>-107</v>
      </c>
      <c r="L2433" s="11">
        <f>allFYsTable[[#This Row],[DiffAmount]]/allFYsTable[[#This Row],[OriginalBudget]]</f>
        <v>-7.5035063113604486E-2</v>
      </c>
    </row>
    <row r="2434" spans="1:12" x14ac:dyDescent="0.45">
      <c r="A2434" t="s">
        <v>1393</v>
      </c>
      <c r="B2434" t="s">
        <v>11</v>
      </c>
      <c r="C2434" t="s">
        <v>715</v>
      </c>
      <c r="D2434" t="s">
        <v>126</v>
      </c>
      <c r="E2434">
        <v>2540</v>
      </c>
      <c r="F2434">
        <v>2396</v>
      </c>
      <c r="G2434">
        <v>2395</v>
      </c>
      <c r="H2434">
        <v>1</v>
      </c>
      <c r="I2434">
        <v>2025</v>
      </c>
      <c r="J2434">
        <v>17</v>
      </c>
      <c r="K2434">
        <f>allFYsTable[[#This Row],[Actual]]-allFYsTable[[#This Row],[OriginalBudget]]</f>
        <v>-145</v>
      </c>
      <c r="L2434" s="11">
        <f>allFYsTable[[#This Row],[DiffAmount]]/allFYsTable[[#This Row],[OriginalBudget]]</f>
        <v>-5.7086614173228349E-2</v>
      </c>
    </row>
    <row r="2435" spans="1:12" x14ac:dyDescent="0.45">
      <c r="A2435" t="s">
        <v>1393</v>
      </c>
      <c r="B2435" t="s">
        <v>11</v>
      </c>
      <c r="C2435" t="s">
        <v>716</v>
      </c>
      <c r="D2435" t="s">
        <v>109</v>
      </c>
      <c r="E2435">
        <v>31459</v>
      </c>
      <c r="F2435">
        <v>31309</v>
      </c>
      <c r="G2435">
        <v>30894</v>
      </c>
      <c r="H2435">
        <v>415</v>
      </c>
      <c r="I2435">
        <v>2025</v>
      </c>
      <c r="J2435">
        <v>18</v>
      </c>
      <c r="K2435">
        <f>allFYsTable[[#This Row],[Actual]]-allFYsTable[[#This Row],[OriginalBudget]]</f>
        <v>-565</v>
      </c>
      <c r="L2435" s="11">
        <f>allFYsTable[[#This Row],[DiffAmount]]/allFYsTable[[#This Row],[OriginalBudget]]</f>
        <v>-1.7959884293842779E-2</v>
      </c>
    </row>
    <row r="2436" spans="1:12" x14ac:dyDescent="0.45">
      <c r="A2436" t="s">
        <v>1393</v>
      </c>
      <c r="B2436" t="s">
        <v>11</v>
      </c>
      <c r="C2436" t="s">
        <v>717</v>
      </c>
      <c r="D2436" t="s">
        <v>888</v>
      </c>
      <c r="E2436">
        <v>3657</v>
      </c>
      <c r="F2436">
        <v>3074</v>
      </c>
      <c r="G2436">
        <v>2898</v>
      </c>
      <c r="H2436">
        <v>176</v>
      </c>
      <c r="I2436">
        <v>2025</v>
      </c>
      <c r="J2436">
        <v>19</v>
      </c>
      <c r="K2436">
        <f>allFYsTable[[#This Row],[Actual]]-allFYsTable[[#This Row],[OriginalBudget]]</f>
        <v>-759</v>
      </c>
      <c r="L2436" s="11">
        <f>allFYsTable[[#This Row],[DiffAmount]]/allFYsTable[[#This Row],[OriginalBudget]]</f>
        <v>-0.20754716981132076</v>
      </c>
    </row>
    <row r="2437" spans="1:12" x14ac:dyDescent="0.45">
      <c r="A2437" t="s">
        <v>1393</v>
      </c>
      <c r="B2437" t="s">
        <v>11</v>
      </c>
      <c r="C2437" t="s">
        <v>1395</v>
      </c>
      <c r="D2437" t="s">
        <v>1396</v>
      </c>
      <c r="E2437">
        <v>2294</v>
      </c>
      <c r="F2437">
        <v>7294</v>
      </c>
      <c r="G2437">
        <v>7181</v>
      </c>
      <c r="H2437">
        <v>113</v>
      </c>
      <c r="I2437">
        <v>2025</v>
      </c>
      <c r="J2437">
        <v>20</v>
      </c>
      <c r="K2437">
        <f>allFYsTable[[#This Row],[Actual]]-allFYsTable[[#This Row],[OriginalBudget]]</f>
        <v>4887</v>
      </c>
      <c r="L2437" s="11">
        <f>allFYsTable[[#This Row],[DiffAmount]]/allFYsTable[[#This Row],[OriginalBudget]]</f>
        <v>2.1303400174367915</v>
      </c>
    </row>
    <row r="2438" spans="1:12" x14ac:dyDescent="0.45">
      <c r="A2438" t="s">
        <v>1393</v>
      </c>
      <c r="B2438" t="s">
        <v>11</v>
      </c>
      <c r="C2438" t="s">
        <v>718</v>
      </c>
      <c r="D2438" t="s">
        <v>115</v>
      </c>
      <c r="E2438">
        <v>4677</v>
      </c>
      <c r="F2438">
        <v>4582</v>
      </c>
      <c r="G2438">
        <v>4463</v>
      </c>
      <c r="H2438">
        <v>119</v>
      </c>
      <c r="I2438">
        <v>2025</v>
      </c>
      <c r="J2438">
        <v>21</v>
      </c>
      <c r="K2438">
        <f>allFYsTable[[#This Row],[Actual]]-allFYsTable[[#This Row],[OriginalBudget]]</f>
        <v>-214</v>
      </c>
      <c r="L2438" s="11">
        <f>allFYsTable[[#This Row],[DiffAmount]]/allFYsTable[[#This Row],[OriginalBudget]]</f>
        <v>-4.575582638443447E-2</v>
      </c>
    </row>
    <row r="2439" spans="1:12" x14ac:dyDescent="0.45">
      <c r="A2439" t="s">
        <v>1393</v>
      </c>
      <c r="B2439" t="s">
        <v>11</v>
      </c>
      <c r="C2439" t="s">
        <v>719</v>
      </c>
      <c r="D2439" t="s">
        <v>114</v>
      </c>
      <c r="E2439">
        <v>99416</v>
      </c>
      <c r="F2439">
        <v>97428</v>
      </c>
      <c r="G2439">
        <v>93321</v>
      </c>
      <c r="H2439">
        <v>4107</v>
      </c>
      <c r="I2439">
        <v>2025</v>
      </c>
      <c r="J2439">
        <v>22</v>
      </c>
      <c r="K2439">
        <f>allFYsTable[[#This Row],[Actual]]-allFYsTable[[#This Row],[OriginalBudget]]</f>
        <v>-6095</v>
      </c>
      <c r="L2439" s="11">
        <f>allFYsTable[[#This Row],[DiffAmount]]/allFYsTable[[#This Row],[OriginalBudget]]</f>
        <v>-6.1308038947453125E-2</v>
      </c>
    </row>
    <row r="2440" spans="1:12" x14ac:dyDescent="0.45">
      <c r="A2440" t="s">
        <v>1393</v>
      </c>
      <c r="B2440" t="s">
        <v>11</v>
      </c>
      <c r="C2440" t="s">
        <v>720</v>
      </c>
      <c r="D2440" t="s">
        <v>113</v>
      </c>
      <c r="E2440">
        <v>175987</v>
      </c>
      <c r="F2440">
        <v>175387</v>
      </c>
      <c r="G2440">
        <v>175306</v>
      </c>
      <c r="H2440">
        <v>81</v>
      </c>
      <c r="I2440">
        <v>2025</v>
      </c>
      <c r="J2440">
        <v>23</v>
      </c>
      <c r="K2440">
        <f>allFYsTable[[#This Row],[Actual]]-allFYsTable[[#This Row],[OriginalBudget]]</f>
        <v>-681</v>
      </c>
      <c r="L2440" s="11">
        <f>allFYsTable[[#This Row],[DiffAmount]]/allFYsTable[[#This Row],[OriginalBudget]]</f>
        <v>-3.8696040048412667E-3</v>
      </c>
    </row>
    <row r="2441" spans="1:12" x14ac:dyDescent="0.45">
      <c r="A2441" t="s">
        <v>1393</v>
      </c>
      <c r="B2441" t="s">
        <v>11</v>
      </c>
      <c r="C2441" t="s">
        <v>721</v>
      </c>
      <c r="D2441" t="s">
        <v>118</v>
      </c>
      <c r="E2441">
        <v>91106</v>
      </c>
      <c r="F2441">
        <v>88544</v>
      </c>
      <c r="G2441">
        <v>87515</v>
      </c>
      <c r="H2441">
        <v>1029</v>
      </c>
      <c r="I2441">
        <v>2025</v>
      </c>
      <c r="J2441">
        <v>24</v>
      </c>
      <c r="K2441">
        <f>allFYsTable[[#This Row],[Actual]]-allFYsTable[[#This Row],[OriginalBudget]]</f>
        <v>-3591</v>
      </c>
      <c r="L2441" s="11">
        <f>allFYsTable[[#This Row],[DiffAmount]]/allFYsTable[[#This Row],[OriginalBudget]]</f>
        <v>-3.9415625754615505E-2</v>
      </c>
    </row>
    <row r="2442" spans="1:12" x14ac:dyDescent="0.45">
      <c r="A2442" t="s">
        <v>1393</v>
      </c>
      <c r="B2442" t="s">
        <v>11</v>
      </c>
      <c r="C2442" t="s">
        <v>722</v>
      </c>
      <c r="D2442" t="s">
        <v>107</v>
      </c>
      <c r="E2442">
        <v>10344</v>
      </c>
      <c r="F2442">
        <v>8286</v>
      </c>
      <c r="G2442">
        <v>7767</v>
      </c>
      <c r="H2442">
        <v>519</v>
      </c>
      <c r="I2442">
        <v>2025</v>
      </c>
      <c r="J2442">
        <v>25</v>
      </c>
      <c r="K2442">
        <f>allFYsTable[[#This Row],[Actual]]-allFYsTable[[#This Row],[OriginalBudget]]</f>
        <v>-2577</v>
      </c>
      <c r="L2442" s="11">
        <f>allFYsTable[[#This Row],[DiffAmount]]/allFYsTable[[#This Row],[OriginalBudget]]</f>
        <v>-0.24912993039443154</v>
      </c>
    </row>
    <row r="2443" spans="1:12" x14ac:dyDescent="0.45">
      <c r="A2443" t="s">
        <v>1393</v>
      </c>
      <c r="B2443" t="s">
        <v>11</v>
      </c>
      <c r="C2443" t="s">
        <v>723</v>
      </c>
      <c r="D2443" t="s">
        <v>98</v>
      </c>
      <c r="E2443">
        <v>7967</v>
      </c>
      <c r="F2443">
        <v>7095</v>
      </c>
      <c r="G2443">
        <v>7095</v>
      </c>
      <c r="H2443">
        <v>0</v>
      </c>
      <c r="I2443">
        <v>2025</v>
      </c>
      <c r="J2443">
        <v>26</v>
      </c>
      <c r="K2443">
        <f>allFYsTable[[#This Row],[Actual]]-allFYsTable[[#This Row],[OriginalBudget]]</f>
        <v>-872</v>
      </c>
      <c r="L2443" s="11">
        <f>allFYsTable[[#This Row],[DiffAmount]]/allFYsTable[[#This Row],[OriginalBudget]]</f>
        <v>-0.10945148738546505</v>
      </c>
    </row>
    <row r="2444" spans="1:12" x14ac:dyDescent="0.45">
      <c r="A2444" t="s">
        <v>1393</v>
      </c>
      <c r="B2444" t="s">
        <v>11</v>
      </c>
      <c r="C2444" t="s">
        <v>724</v>
      </c>
      <c r="D2444" t="s">
        <v>105</v>
      </c>
      <c r="E2444">
        <v>19497</v>
      </c>
      <c r="F2444">
        <v>17638</v>
      </c>
      <c r="G2444">
        <v>17003</v>
      </c>
      <c r="H2444">
        <v>635</v>
      </c>
      <c r="I2444">
        <v>2025</v>
      </c>
      <c r="J2444">
        <v>27</v>
      </c>
      <c r="K2444">
        <f>allFYsTable[[#This Row],[Actual]]-allFYsTable[[#This Row],[OriginalBudget]]</f>
        <v>-2494</v>
      </c>
      <c r="L2444" s="11">
        <f>allFYsTable[[#This Row],[DiffAmount]]/allFYsTable[[#This Row],[OriginalBudget]]</f>
        <v>-0.12791711545365952</v>
      </c>
    </row>
    <row r="2445" spans="1:12" x14ac:dyDescent="0.45">
      <c r="A2445" t="s">
        <v>1393</v>
      </c>
      <c r="B2445" t="s">
        <v>11</v>
      </c>
      <c r="C2445" t="s">
        <v>725</v>
      </c>
      <c r="D2445" t="s">
        <v>104</v>
      </c>
      <c r="E2445">
        <v>4334</v>
      </c>
      <c r="F2445">
        <v>4241</v>
      </c>
      <c r="G2445">
        <v>4239</v>
      </c>
      <c r="H2445">
        <v>2</v>
      </c>
      <c r="I2445">
        <v>2025</v>
      </c>
      <c r="J2445">
        <v>28</v>
      </c>
      <c r="K2445">
        <f>allFYsTable[[#This Row],[Actual]]-allFYsTable[[#This Row],[OriginalBudget]]</f>
        <v>-95</v>
      </c>
      <c r="L2445" s="11">
        <f>allFYsTable[[#This Row],[DiffAmount]]/allFYsTable[[#This Row],[OriginalBudget]]</f>
        <v>-2.1919704660821413E-2</v>
      </c>
    </row>
    <row r="2446" spans="1:12" x14ac:dyDescent="0.45">
      <c r="A2446" t="s">
        <v>1393</v>
      </c>
      <c r="B2446" t="s">
        <v>11</v>
      </c>
      <c r="C2446" t="s">
        <v>726</v>
      </c>
      <c r="D2446" t="s">
        <v>103</v>
      </c>
      <c r="E2446">
        <v>1394</v>
      </c>
      <c r="F2446">
        <v>1394</v>
      </c>
      <c r="G2446">
        <v>1262</v>
      </c>
      <c r="H2446">
        <v>132</v>
      </c>
      <c r="I2446">
        <v>2025</v>
      </c>
      <c r="J2446">
        <v>29</v>
      </c>
      <c r="K2446">
        <f>allFYsTable[[#This Row],[Actual]]-allFYsTable[[#This Row],[OriginalBudget]]</f>
        <v>-132</v>
      </c>
      <c r="L2446" s="11">
        <f>allFYsTable[[#This Row],[DiffAmount]]/allFYsTable[[#This Row],[OriginalBudget]]</f>
        <v>-9.4691535150645628E-2</v>
      </c>
    </row>
    <row r="2447" spans="1:12" x14ac:dyDescent="0.45">
      <c r="A2447" t="s">
        <v>1393</v>
      </c>
      <c r="B2447" t="s">
        <v>11</v>
      </c>
      <c r="C2447" t="s">
        <v>727</v>
      </c>
      <c r="D2447" t="s">
        <v>1417</v>
      </c>
      <c r="E2447">
        <v>1180</v>
      </c>
      <c r="F2447">
        <v>1180</v>
      </c>
      <c r="G2447">
        <v>952</v>
      </c>
      <c r="H2447">
        <v>228</v>
      </c>
      <c r="I2447">
        <v>2025</v>
      </c>
      <c r="J2447">
        <v>30</v>
      </c>
      <c r="K2447">
        <f>allFYsTable[[#This Row],[Actual]]-allFYsTable[[#This Row],[OriginalBudget]]</f>
        <v>-228</v>
      </c>
      <c r="L2447" s="11">
        <f>allFYsTable[[#This Row],[DiffAmount]]/allFYsTable[[#This Row],[OriginalBudget]]</f>
        <v>-0.19322033898305085</v>
      </c>
    </row>
    <row r="2448" spans="1:12" x14ac:dyDescent="0.45">
      <c r="A2448" t="s">
        <v>1393</v>
      </c>
      <c r="B2448" t="s">
        <v>11</v>
      </c>
      <c r="C2448" t="s">
        <v>728</v>
      </c>
      <c r="D2448" t="s">
        <v>121</v>
      </c>
      <c r="E2448">
        <v>1562</v>
      </c>
      <c r="F2448">
        <v>1369</v>
      </c>
      <c r="G2448">
        <v>1150</v>
      </c>
      <c r="H2448">
        <v>219</v>
      </c>
      <c r="I2448">
        <v>2025</v>
      </c>
      <c r="J2448">
        <v>31</v>
      </c>
      <c r="K2448">
        <f>allFYsTable[[#This Row],[Actual]]-allFYsTable[[#This Row],[OriginalBudget]]</f>
        <v>-412</v>
      </c>
      <c r="L2448" s="11">
        <f>allFYsTable[[#This Row],[DiffAmount]]/allFYsTable[[#This Row],[OriginalBudget]]</f>
        <v>-0.26376440460947503</v>
      </c>
    </row>
    <row r="2449" spans="1:12" x14ac:dyDescent="0.45">
      <c r="A2449" t="s">
        <v>1393</v>
      </c>
      <c r="B2449" t="s">
        <v>11</v>
      </c>
      <c r="C2449" t="s">
        <v>729</v>
      </c>
      <c r="D2449" t="s">
        <v>123</v>
      </c>
      <c r="E2449">
        <v>6362</v>
      </c>
      <c r="F2449">
        <v>6103</v>
      </c>
      <c r="G2449">
        <v>6007</v>
      </c>
      <c r="H2449">
        <v>96</v>
      </c>
      <c r="I2449">
        <v>2025</v>
      </c>
      <c r="J2449">
        <v>32</v>
      </c>
      <c r="K2449">
        <f>allFYsTable[[#This Row],[Actual]]-allFYsTable[[#This Row],[OriginalBudget]]</f>
        <v>-355</v>
      </c>
      <c r="L2449" s="11">
        <f>allFYsTable[[#This Row],[DiffAmount]]/allFYsTable[[#This Row],[OriginalBudget]]</f>
        <v>-5.5800062873310283E-2</v>
      </c>
    </row>
    <row r="2450" spans="1:12" x14ac:dyDescent="0.45">
      <c r="A2450" t="s">
        <v>1393</v>
      </c>
      <c r="B2450" t="s">
        <v>11</v>
      </c>
      <c r="C2450" t="s">
        <v>730</v>
      </c>
      <c r="D2450" t="s">
        <v>125</v>
      </c>
      <c r="E2450">
        <v>1421</v>
      </c>
      <c r="F2450">
        <v>1231</v>
      </c>
      <c r="G2450">
        <v>1203</v>
      </c>
      <c r="H2450">
        <v>28</v>
      </c>
      <c r="I2450">
        <v>2025</v>
      </c>
      <c r="J2450">
        <v>33</v>
      </c>
      <c r="K2450">
        <f>allFYsTable[[#This Row],[Actual]]-allFYsTable[[#This Row],[OriginalBudget]]</f>
        <v>-218</v>
      </c>
      <c r="L2450" s="11">
        <f>allFYsTable[[#This Row],[DiffAmount]]/allFYsTable[[#This Row],[OriginalBudget]]</f>
        <v>-0.15341308937368051</v>
      </c>
    </row>
    <row r="2451" spans="1:12" x14ac:dyDescent="0.45">
      <c r="A2451" t="s">
        <v>1393</v>
      </c>
      <c r="B2451" t="s">
        <v>11</v>
      </c>
      <c r="C2451" t="s">
        <v>731</v>
      </c>
      <c r="D2451" t="s">
        <v>99</v>
      </c>
      <c r="E2451">
        <v>267</v>
      </c>
      <c r="F2451">
        <v>267</v>
      </c>
      <c r="G2451">
        <v>236</v>
      </c>
      <c r="H2451">
        <v>31</v>
      </c>
      <c r="I2451">
        <v>2025</v>
      </c>
      <c r="J2451">
        <v>34</v>
      </c>
      <c r="K2451">
        <f>allFYsTable[[#This Row],[Actual]]-allFYsTable[[#This Row],[OriginalBudget]]</f>
        <v>-31</v>
      </c>
      <c r="L2451" s="11">
        <f>allFYsTable[[#This Row],[DiffAmount]]/allFYsTable[[#This Row],[OriginalBudget]]</f>
        <v>-0.11610486891385768</v>
      </c>
    </row>
    <row r="2452" spans="1:12" x14ac:dyDescent="0.45">
      <c r="A2452" t="s">
        <v>1393</v>
      </c>
      <c r="B2452" t="s">
        <v>11</v>
      </c>
      <c r="C2452" t="s">
        <v>732</v>
      </c>
      <c r="D2452" t="s">
        <v>313</v>
      </c>
      <c r="E2452">
        <v>0</v>
      </c>
      <c r="F2452">
        <v>53</v>
      </c>
      <c r="G2452">
        <v>49</v>
      </c>
      <c r="H2452">
        <v>4</v>
      </c>
      <c r="I2452">
        <v>2025</v>
      </c>
      <c r="J2452">
        <v>35</v>
      </c>
      <c r="K2452">
        <f>allFYsTable[[#This Row],[Actual]]-allFYsTable[[#This Row],[OriginalBudget]]</f>
        <v>49</v>
      </c>
      <c r="L2452" s="11" t="e">
        <f>allFYsTable[[#This Row],[DiffAmount]]/allFYsTable[[#This Row],[OriginalBudget]]</f>
        <v>#DIV/0!</v>
      </c>
    </row>
    <row r="2453" spans="1:12" x14ac:dyDescent="0.45">
      <c r="A2453" t="s">
        <v>1393</v>
      </c>
      <c r="B2453" t="s">
        <v>11</v>
      </c>
      <c r="C2453" t="s">
        <v>733</v>
      </c>
      <c r="D2453" t="s">
        <v>117</v>
      </c>
      <c r="E2453">
        <v>65</v>
      </c>
      <c r="F2453">
        <v>65</v>
      </c>
      <c r="G2453">
        <v>58</v>
      </c>
      <c r="H2453">
        <v>7</v>
      </c>
      <c r="I2453">
        <v>2025</v>
      </c>
      <c r="J2453">
        <v>36</v>
      </c>
      <c r="K2453">
        <f>allFYsTable[[#This Row],[Actual]]-allFYsTable[[#This Row],[OriginalBudget]]</f>
        <v>-7</v>
      </c>
      <c r="L2453" s="11">
        <f>allFYsTable[[#This Row],[DiffAmount]]/allFYsTable[[#This Row],[OriginalBudget]]</f>
        <v>-0.1076923076923077</v>
      </c>
    </row>
    <row r="2454" spans="1:12" x14ac:dyDescent="0.45">
      <c r="A2454" t="s">
        <v>1393</v>
      </c>
      <c r="B2454" t="s">
        <v>11</v>
      </c>
      <c r="C2454" t="s">
        <v>819</v>
      </c>
      <c r="D2454" t="s">
        <v>894</v>
      </c>
      <c r="E2454">
        <v>21025</v>
      </c>
      <c r="F2454">
        <v>40303</v>
      </c>
      <c r="G2454">
        <v>40222</v>
      </c>
      <c r="H2454">
        <v>81</v>
      </c>
      <c r="I2454">
        <v>2025</v>
      </c>
      <c r="J2454">
        <v>37</v>
      </c>
      <c r="K2454">
        <f>allFYsTable[[#This Row],[Actual]]-allFYsTable[[#This Row],[OriginalBudget]]</f>
        <v>19197</v>
      </c>
      <c r="L2454" s="11">
        <f>allFYsTable[[#This Row],[DiffAmount]]/allFYsTable[[#This Row],[OriginalBudget]]</f>
        <v>0.91305588585017838</v>
      </c>
    </row>
    <row r="2455" spans="1:12" x14ac:dyDescent="0.45">
      <c r="A2455" t="s">
        <v>1393</v>
      </c>
      <c r="B2455" t="s">
        <v>11</v>
      </c>
      <c r="C2455" t="s">
        <v>814</v>
      </c>
      <c r="D2455" t="s">
        <v>895</v>
      </c>
      <c r="E2455">
        <v>5516</v>
      </c>
      <c r="F2455">
        <v>5516</v>
      </c>
      <c r="G2455">
        <v>5355</v>
      </c>
      <c r="H2455">
        <v>161</v>
      </c>
      <c r="I2455">
        <v>2025</v>
      </c>
      <c r="J2455">
        <v>38</v>
      </c>
      <c r="K2455">
        <f>allFYsTable[[#This Row],[Actual]]-allFYsTable[[#This Row],[OriginalBudget]]</f>
        <v>-161</v>
      </c>
      <c r="L2455" s="11">
        <f>allFYsTable[[#This Row],[DiffAmount]]/allFYsTable[[#This Row],[OriginalBudget]]</f>
        <v>-2.9187817258883249E-2</v>
      </c>
    </row>
    <row r="2456" spans="1:12" x14ac:dyDescent="0.45">
      <c r="A2456" t="s">
        <v>1393</v>
      </c>
      <c r="B2456" t="s">
        <v>11</v>
      </c>
      <c r="C2456" t="s">
        <v>810</v>
      </c>
      <c r="D2456" t="s">
        <v>88</v>
      </c>
      <c r="E2456">
        <v>199943</v>
      </c>
      <c r="F2456">
        <v>208836</v>
      </c>
      <c r="G2456">
        <v>208836</v>
      </c>
      <c r="H2456">
        <v>0</v>
      </c>
      <c r="I2456">
        <v>2025</v>
      </c>
      <c r="J2456">
        <v>39</v>
      </c>
      <c r="K2456">
        <f>allFYsTable[[#This Row],[Actual]]-allFYsTable[[#This Row],[OriginalBudget]]</f>
        <v>8893</v>
      </c>
      <c r="L2456" s="11">
        <f>allFYsTable[[#This Row],[DiffAmount]]/allFYsTable[[#This Row],[OriginalBudget]]</f>
        <v>4.4477676137699242E-2</v>
      </c>
    </row>
    <row r="2457" spans="1:12" x14ac:dyDescent="0.45">
      <c r="A2457" t="s">
        <v>1393</v>
      </c>
      <c r="B2457" t="s">
        <v>11</v>
      </c>
      <c r="C2457" t="s">
        <v>812</v>
      </c>
      <c r="D2457" t="s">
        <v>90</v>
      </c>
      <c r="E2457">
        <v>0</v>
      </c>
      <c r="F2457">
        <v>15000</v>
      </c>
      <c r="G2457">
        <v>7355</v>
      </c>
      <c r="H2457">
        <v>7645</v>
      </c>
      <c r="I2457">
        <v>2025</v>
      </c>
      <c r="J2457">
        <v>40</v>
      </c>
      <c r="K2457">
        <f>allFYsTable[[#This Row],[Actual]]-allFYsTable[[#This Row],[OriginalBudget]]</f>
        <v>7355</v>
      </c>
      <c r="L2457" s="11" t="e">
        <f>allFYsTable[[#This Row],[DiffAmount]]/allFYsTable[[#This Row],[OriginalBudget]]</f>
        <v>#DIV/0!</v>
      </c>
    </row>
    <row r="2458" spans="1:12" x14ac:dyDescent="0.45">
      <c r="A2458" t="s">
        <v>1393</v>
      </c>
      <c r="B2458" t="s">
        <v>11</v>
      </c>
      <c r="C2458" t="s">
        <v>821</v>
      </c>
      <c r="D2458" t="s">
        <v>897</v>
      </c>
      <c r="E2458">
        <v>103249</v>
      </c>
      <c r="F2458">
        <v>0</v>
      </c>
      <c r="G2458">
        <v>0</v>
      </c>
      <c r="H2458">
        <v>0</v>
      </c>
      <c r="I2458">
        <v>2025</v>
      </c>
      <c r="J2458">
        <v>41</v>
      </c>
      <c r="K2458">
        <f>allFYsTable[[#This Row],[Actual]]-allFYsTable[[#This Row],[OriginalBudget]]</f>
        <v>-103249</v>
      </c>
      <c r="L2458" s="11">
        <f>allFYsTable[[#This Row],[DiffAmount]]/allFYsTable[[#This Row],[OriginalBudget]]</f>
        <v>-1</v>
      </c>
    </row>
    <row r="2459" spans="1:12" x14ac:dyDescent="0.45">
      <c r="A2459" t="s">
        <v>1393</v>
      </c>
      <c r="B2459" t="s">
        <v>11</v>
      </c>
      <c r="C2459" t="s">
        <v>815</v>
      </c>
      <c r="D2459" t="s">
        <v>899</v>
      </c>
      <c r="E2459">
        <v>8484</v>
      </c>
      <c r="F2459">
        <v>0</v>
      </c>
      <c r="G2459">
        <v>0</v>
      </c>
      <c r="H2459">
        <v>0</v>
      </c>
      <c r="I2459">
        <v>2025</v>
      </c>
      <c r="J2459">
        <v>42</v>
      </c>
      <c r="K2459">
        <f>allFYsTable[[#This Row],[Actual]]-allFYsTable[[#This Row],[OriginalBudget]]</f>
        <v>-8484</v>
      </c>
      <c r="L2459" s="11">
        <f>allFYsTable[[#This Row],[DiffAmount]]/allFYsTable[[#This Row],[OriginalBudget]]</f>
        <v>-1</v>
      </c>
    </row>
    <row r="2460" spans="1:12" x14ac:dyDescent="0.45">
      <c r="A2460" t="s">
        <v>1393</v>
      </c>
      <c r="B2460" t="s">
        <v>129</v>
      </c>
      <c r="C2460" t="s">
        <v>734</v>
      </c>
      <c r="D2460" t="s">
        <v>12</v>
      </c>
      <c r="E2460">
        <v>2600</v>
      </c>
      <c r="F2460">
        <v>2600</v>
      </c>
      <c r="G2460">
        <v>2600</v>
      </c>
      <c r="H2460">
        <v>0</v>
      </c>
      <c r="I2460">
        <v>2025</v>
      </c>
      <c r="J2460">
        <v>43</v>
      </c>
      <c r="K2460">
        <f>allFYsTable[[#This Row],[Actual]]-allFYsTable[[#This Row],[OriginalBudget]]</f>
        <v>0</v>
      </c>
      <c r="L2460" s="11">
        <f>allFYsTable[[#This Row],[DiffAmount]]/allFYsTable[[#This Row],[OriginalBudget]]</f>
        <v>0</v>
      </c>
    </row>
    <row r="2461" spans="1:12" x14ac:dyDescent="0.45">
      <c r="A2461" t="s">
        <v>1393</v>
      </c>
      <c r="B2461" t="s">
        <v>129</v>
      </c>
      <c r="C2461" t="s">
        <v>736</v>
      </c>
      <c r="D2461" t="s">
        <v>20</v>
      </c>
      <c r="E2461">
        <v>47201</v>
      </c>
      <c r="F2461">
        <v>45229</v>
      </c>
      <c r="G2461">
        <v>45229</v>
      </c>
      <c r="H2461">
        <v>0</v>
      </c>
      <c r="I2461">
        <v>2025</v>
      </c>
      <c r="J2461">
        <v>44</v>
      </c>
      <c r="K2461">
        <f>allFYsTable[[#This Row],[Actual]]-allFYsTable[[#This Row],[OriginalBudget]]</f>
        <v>-1972</v>
      </c>
      <c r="L2461" s="11">
        <f>allFYsTable[[#This Row],[DiffAmount]]/allFYsTable[[#This Row],[OriginalBudget]]</f>
        <v>-4.1778775873392515E-2</v>
      </c>
    </row>
    <row r="2462" spans="1:12" x14ac:dyDescent="0.45">
      <c r="A2462" t="s">
        <v>1393</v>
      </c>
      <c r="B2462" t="s">
        <v>129</v>
      </c>
      <c r="C2462" t="s">
        <v>737</v>
      </c>
      <c r="D2462" t="s">
        <v>21</v>
      </c>
      <c r="E2462">
        <v>53989</v>
      </c>
      <c r="F2462">
        <v>51124</v>
      </c>
      <c r="G2462">
        <v>48842</v>
      </c>
      <c r="H2462">
        <v>2282</v>
      </c>
      <c r="I2462">
        <v>2025</v>
      </c>
      <c r="J2462">
        <v>45</v>
      </c>
      <c r="K2462">
        <f>allFYsTable[[#This Row],[Actual]]-allFYsTable[[#This Row],[OriginalBudget]]</f>
        <v>-5147</v>
      </c>
      <c r="L2462" s="11">
        <f>allFYsTable[[#This Row],[DiffAmount]]/allFYsTable[[#This Row],[OriginalBudget]]</f>
        <v>-9.5334234751523458E-2</v>
      </c>
    </row>
    <row r="2463" spans="1:12" x14ac:dyDescent="0.45">
      <c r="A2463" t="s">
        <v>1393</v>
      </c>
      <c r="B2463" t="s">
        <v>129</v>
      </c>
      <c r="C2463" t="s">
        <v>738</v>
      </c>
      <c r="D2463" t="s">
        <v>22</v>
      </c>
      <c r="E2463">
        <v>24112</v>
      </c>
      <c r="F2463">
        <v>22891</v>
      </c>
      <c r="G2463">
        <v>22883</v>
      </c>
      <c r="H2463">
        <v>8</v>
      </c>
      <c r="I2463">
        <v>2025</v>
      </c>
      <c r="J2463">
        <v>46</v>
      </c>
      <c r="K2463">
        <f>allFYsTable[[#This Row],[Actual]]-allFYsTable[[#This Row],[OriginalBudget]]</f>
        <v>-1229</v>
      </c>
      <c r="L2463" s="11">
        <f>allFYsTable[[#This Row],[DiffAmount]]/allFYsTable[[#This Row],[OriginalBudget]]</f>
        <v>-5.0970471134704709E-2</v>
      </c>
    </row>
    <row r="2464" spans="1:12" x14ac:dyDescent="0.45">
      <c r="A2464" t="s">
        <v>1393</v>
      </c>
      <c r="B2464" t="s">
        <v>129</v>
      </c>
      <c r="C2464" t="s">
        <v>739</v>
      </c>
      <c r="D2464" t="s">
        <v>23</v>
      </c>
      <c r="E2464">
        <v>187770</v>
      </c>
      <c r="F2464">
        <v>187770</v>
      </c>
      <c r="G2464">
        <v>187770</v>
      </c>
      <c r="H2464">
        <v>0</v>
      </c>
      <c r="I2464">
        <v>2025</v>
      </c>
      <c r="J2464">
        <v>47</v>
      </c>
      <c r="K2464">
        <f>allFYsTable[[#This Row],[Actual]]-allFYsTable[[#This Row],[OriginalBudget]]</f>
        <v>0</v>
      </c>
      <c r="L2464" s="11">
        <f>allFYsTable[[#This Row],[DiffAmount]]/allFYsTable[[#This Row],[OriginalBudget]]</f>
        <v>0</v>
      </c>
    </row>
    <row r="2465" spans="1:12" x14ac:dyDescent="0.45">
      <c r="A2465" t="s">
        <v>1393</v>
      </c>
      <c r="B2465" t="s">
        <v>129</v>
      </c>
      <c r="C2465" t="s">
        <v>740</v>
      </c>
      <c r="D2465" t="s">
        <v>24</v>
      </c>
      <c r="E2465">
        <v>21000</v>
      </c>
      <c r="F2465">
        <v>0</v>
      </c>
      <c r="G2465">
        <v>0</v>
      </c>
      <c r="H2465">
        <v>0</v>
      </c>
      <c r="I2465">
        <v>2025</v>
      </c>
      <c r="J2465">
        <v>48</v>
      </c>
      <c r="K2465">
        <f>allFYsTable[[#This Row],[Actual]]-allFYsTable[[#This Row],[OriginalBudget]]</f>
        <v>-21000</v>
      </c>
      <c r="L2465" s="11">
        <f>allFYsTable[[#This Row],[DiffAmount]]/allFYsTable[[#This Row],[OriginalBudget]]</f>
        <v>-1</v>
      </c>
    </row>
    <row r="2466" spans="1:12" x14ac:dyDescent="0.45">
      <c r="A2466" t="s">
        <v>1393</v>
      </c>
      <c r="B2466" t="s">
        <v>129</v>
      </c>
      <c r="C2466" t="s">
        <v>741</v>
      </c>
      <c r="D2466" t="s">
        <v>1423</v>
      </c>
      <c r="E2466">
        <v>7571</v>
      </c>
      <c r="F2466">
        <v>6579</v>
      </c>
      <c r="G2466">
        <v>6068</v>
      </c>
      <c r="H2466">
        <v>511</v>
      </c>
      <c r="I2466">
        <v>2025</v>
      </c>
      <c r="J2466">
        <v>49</v>
      </c>
      <c r="K2466">
        <f>allFYsTable[[#This Row],[Actual]]-allFYsTable[[#This Row],[OriginalBudget]]</f>
        <v>-1503</v>
      </c>
      <c r="L2466" s="11">
        <f>allFYsTable[[#This Row],[DiffAmount]]/allFYsTable[[#This Row],[OriginalBudget]]</f>
        <v>-0.1985206709813763</v>
      </c>
    </row>
    <row r="2467" spans="1:12" x14ac:dyDescent="0.45">
      <c r="A2467" t="s">
        <v>1393</v>
      </c>
      <c r="B2467" t="s">
        <v>129</v>
      </c>
      <c r="C2467" t="s">
        <v>742</v>
      </c>
      <c r="D2467" t="s">
        <v>26</v>
      </c>
      <c r="E2467">
        <v>14434</v>
      </c>
      <c r="F2467">
        <v>14359</v>
      </c>
      <c r="G2467">
        <v>14282</v>
      </c>
      <c r="H2467">
        <v>77</v>
      </c>
      <c r="I2467">
        <v>2025</v>
      </c>
      <c r="J2467">
        <v>50</v>
      </c>
      <c r="K2467">
        <f>allFYsTable[[#This Row],[Actual]]-allFYsTable[[#This Row],[OriginalBudget]]</f>
        <v>-152</v>
      </c>
      <c r="L2467" s="11">
        <f>allFYsTable[[#This Row],[DiffAmount]]/allFYsTable[[#This Row],[OriginalBudget]]</f>
        <v>-1.0530691423028959E-2</v>
      </c>
    </row>
    <row r="2468" spans="1:12" x14ac:dyDescent="0.45">
      <c r="A2468" t="s">
        <v>1393</v>
      </c>
      <c r="B2468" t="s">
        <v>129</v>
      </c>
      <c r="C2468" t="s">
        <v>743</v>
      </c>
      <c r="D2468" t="s">
        <v>27</v>
      </c>
      <c r="E2468">
        <v>41632</v>
      </c>
      <c r="F2468">
        <v>36483</v>
      </c>
      <c r="G2468">
        <v>35392</v>
      </c>
      <c r="H2468">
        <v>1091</v>
      </c>
      <c r="I2468">
        <v>2025</v>
      </c>
      <c r="J2468">
        <v>51</v>
      </c>
      <c r="K2468">
        <f>allFYsTable[[#This Row],[Actual]]-allFYsTable[[#This Row],[OriginalBudget]]</f>
        <v>-6240</v>
      </c>
      <c r="L2468" s="11">
        <f>allFYsTable[[#This Row],[DiffAmount]]/allFYsTable[[#This Row],[OriginalBudget]]</f>
        <v>-0.1498847040737894</v>
      </c>
    </row>
    <row r="2469" spans="1:12" x14ac:dyDescent="0.45">
      <c r="A2469" t="s">
        <v>1393</v>
      </c>
      <c r="B2469" t="s">
        <v>129</v>
      </c>
      <c r="C2469" t="s">
        <v>839</v>
      </c>
      <c r="D2469" t="s">
        <v>28</v>
      </c>
      <c r="E2469">
        <v>3506</v>
      </c>
      <c r="F2469">
        <v>3937</v>
      </c>
      <c r="G2469">
        <v>3862</v>
      </c>
      <c r="H2469">
        <v>75</v>
      </c>
      <c r="I2469">
        <v>2025</v>
      </c>
      <c r="J2469">
        <v>52</v>
      </c>
      <c r="K2469">
        <f>allFYsTable[[#This Row],[Actual]]-allFYsTable[[#This Row],[OriginalBudget]]</f>
        <v>356</v>
      </c>
      <c r="L2469" s="11">
        <f>allFYsTable[[#This Row],[DiffAmount]]/allFYsTable[[#This Row],[OriginalBudget]]</f>
        <v>0.10154021677124929</v>
      </c>
    </row>
    <row r="2470" spans="1:12" x14ac:dyDescent="0.45">
      <c r="A2470" t="s">
        <v>1393</v>
      </c>
      <c r="B2470" t="s">
        <v>129</v>
      </c>
      <c r="C2470" t="s">
        <v>744</v>
      </c>
      <c r="D2470" t="s">
        <v>29</v>
      </c>
      <c r="E2470">
        <v>4286</v>
      </c>
      <c r="F2470">
        <v>4069</v>
      </c>
      <c r="G2470">
        <v>3982</v>
      </c>
      <c r="H2470">
        <v>87</v>
      </c>
      <c r="I2470">
        <v>2025</v>
      </c>
      <c r="J2470">
        <v>53</v>
      </c>
      <c r="K2470">
        <f>allFYsTable[[#This Row],[Actual]]-allFYsTable[[#This Row],[OriginalBudget]]</f>
        <v>-304</v>
      </c>
      <c r="L2470" s="11">
        <f>allFYsTable[[#This Row],[DiffAmount]]/allFYsTable[[#This Row],[OriginalBudget]]</f>
        <v>-7.0928604759682684E-2</v>
      </c>
    </row>
    <row r="2471" spans="1:12" x14ac:dyDescent="0.45">
      <c r="A2471" t="s">
        <v>1393</v>
      </c>
      <c r="B2471" t="s">
        <v>129</v>
      </c>
      <c r="C2471" t="s">
        <v>745</v>
      </c>
      <c r="D2471" t="s">
        <v>30</v>
      </c>
      <c r="E2471">
        <v>2020</v>
      </c>
      <c r="F2471">
        <v>2023</v>
      </c>
      <c r="G2471">
        <v>2008</v>
      </c>
      <c r="H2471">
        <v>15</v>
      </c>
      <c r="I2471">
        <v>2025</v>
      </c>
      <c r="J2471">
        <v>54</v>
      </c>
      <c r="K2471">
        <f>allFYsTable[[#This Row],[Actual]]-allFYsTable[[#This Row],[OriginalBudget]]</f>
        <v>-12</v>
      </c>
      <c r="L2471" s="11">
        <f>allFYsTable[[#This Row],[DiffAmount]]/allFYsTable[[#This Row],[OriginalBudget]]</f>
        <v>-5.9405940594059407E-3</v>
      </c>
    </row>
    <row r="2472" spans="1:12" x14ac:dyDescent="0.45">
      <c r="A2472" t="s">
        <v>1393</v>
      </c>
      <c r="B2472" t="s">
        <v>129</v>
      </c>
      <c r="C2472" t="s">
        <v>735</v>
      </c>
      <c r="D2472" t="s">
        <v>31</v>
      </c>
      <c r="E2472">
        <v>1363</v>
      </c>
      <c r="F2472">
        <v>1354</v>
      </c>
      <c r="G2472">
        <v>1352</v>
      </c>
      <c r="H2472">
        <v>2</v>
      </c>
      <c r="I2472">
        <v>2025</v>
      </c>
      <c r="J2472">
        <v>55</v>
      </c>
      <c r="K2472">
        <f>allFYsTable[[#This Row],[Actual]]-allFYsTable[[#This Row],[OriginalBudget]]</f>
        <v>-11</v>
      </c>
      <c r="L2472" s="11">
        <f>allFYsTable[[#This Row],[DiffAmount]]/allFYsTable[[#This Row],[OriginalBudget]]</f>
        <v>-8.0704328686720464E-3</v>
      </c>
    </row>
    <row r="2473" spans="1:12" x14ac:dyDescent="0.45">
      <c r="A2473" t="s">
        <v>1393</v>
      </c>
      <c r="B2473" t="s">
        <v>129</v>
      </c>
      <c r="C2473" t="s">
        <v>740</v>
      </c>
      <c r="D2473" t="s">
        <v>1413</v>
      </c>
      <c r="E2473">
        <v>0</v>
      </c>
      <c r="F2473">
        <v>0</v>
      </c>
      <c r="G2473">
        <v>0</v>
      </c>
      <c r="H2473">
        <v>0</v>
      </c>
      <c r="I2473">
        <v>2025</v>
      </c>
      <c r="J2473">
        <v>56</v>
      </c>
      <c r="K2473">
        <f>allFYsTable[[#This Row],[Actual]]-allFYsTable[[#This Row],[OriginalBudget]]</f>
        <v>0</v>
      </c>
      <c r="L2473" s="11" t="e">
        <f>allFYsTable[[#This Row],[DiffAmount]]/allFYsTable[[#This Row],[OriginalBudget]]</f>
        <v>#DIV/0!</v>
      </c>
    </row>
    <row r="2474" spans="1:12" x14ac:dyDescent="0.45">
      <c r="A2474" t="s">
        <v>1393</v>
      </c>
      <c r="B2474" t="s">
        <v>6</v>
      </c>
      <c r="C2474" t="s">
        <v>746</v>
      </c>
      <c r="D2474" t="s">
        <v>32</v>
      </c>
      <c r="E2474">
        <v>376</v>
      </c>
      <c r="F2474">
        <v>388</v>
      </c>
      <c r="G2474">
        <v>388</v>
      </c>
      <c r="H2474">
        <v>0</v>
      </c>
      <c r="I2474">
        <v>2025</v>
      </c>
      <c r="J2474">
        <v>57</v>
      </c>
      <c r="K2474">
        <f>allFYsTable[[#This Row],[Actual]]-allFYsTable[[#This Row],[OriginalBudget]]</f>
        <v>12</v>
      </c>
      <c r="L2474" s="11">
        <f>allFYsTable[[#This Row],[DiffAmount]]/allFYsTable[[#This Row],[OriginalBudget]]</f>
        <v>3.1914893617021274E-2</v>
      </c>
    </row>
    <row r="2475" spans="1:12" x14ac:dyDescent="0.45">
      <c r="A2475" t="s">
        <v>1393</v>
      </c>
      <c r="B2475" t="s">
        <v>6</v>
      </c>
      <c r="C2475" t="s">
        <v>747</v>
      </c>
      <c r="D2475" t="s">
        <v>33</v>
      </c>
      <c r="E2475">
        <v>1289</v>
      </c>
      <c r="F2475">
        <v>1120</v>
      </c>
      <c r="G2475">
        <v>1081</v>
      </c>
      <c r="H2475">
        <v>39</v>
      </c>
      <c r="I2475">
        <v>2025</v>
      </c>
      <c r="J2475">
        <v>58</v>
      </c>
      <c r="K2475">
        <f>allFYsTable[[#This Row],[Actual]]-allFYsTable[[#This Row],[OriginalBudget]]</f>
        <v>-208</v>
      </c>
      <c r="L2475" s="11">
        <f>allFYsTable[[#This Row],[DiffAmount]]/allFYsTable[[#This Row],[OriginalBudget]]</f>
        <v>-0.16136539953452289</v>
      </c>
    </row>
    <row r="2476" spans="1:12" x14ac:dyDescent="0.45">
      <c r="A2476" t="s">
        <v>1393</v>
      </c>
      <c r="B2476" t="s">
        <v>6</v>
      </c>
      <c r="C2476" t="s">
        <v>748</v>
      </c>
      <c r="D2476" t="s">
        <v>34</v>
      </c>
      <c r="E2476">
        <v>890</v>
      </c>
      <c r="F2476">
        <v>738</v>
      </c>
      <c r="G2476">
        <v>654</v>
      </c>
      <c r="H2476">
        <v>84</v>
      </c>
      <c r="I2476">
        <v>2025</v>
      </c>
      <c r="J2476">
        <v>59</v>
      </c>
      <c r="K2476">
        <f>allFYsTable[[#This Row],[Actual]]-allFYsTable[[#This Row],[OriginalBudget]]</f>
        <v>-236</v>
      </c>
      <c r="L2476" s="11">
        <f>allFYsTable[[#This Row],[DiffAmount]]/allFYsTable[[#This Row],[OriginalBudget]]</f>
        <v>-0.26516853932584272</v>
      </c>
    </row>
    <row r="2477" spans="1:12" x14ac:dyDescent="0.45">
      <c r="A2477" t="s">
        <v>1393</v>
      </c>
      <c r="B2477" t="s">
        <v>6</v>
      </c>
      <c r="C2477" t="s">
        <v>749</v>
      </c>
      <c r="D2477" t="s">
        <v>35</v>
      </c>
      <c r="E2477">
        <v>2057</v>
      </c>
      <c r="F2477">
        <v>1817</v>
      </c>
      <c r="G2477">
        <v>1614</v>
      </c>
      <c r="H2477">
        <v>203</v>
      </c>
      <c r="I2477">
        <v>2025</v>
      </c>
      <c r="J2477">
        <v>60</v>
      </c>
      <c r="K2477">
        <f>allFYsTable[[#This Row],[Actual]]-allFYsTable[[#This Row],[OriginalBudget]]</f>
        <v>-443</v>
      </c>
      <c r="L2477" s="11">
        <f>allFYsTable[[#This Row],[DiffAmount]]/allFYsTable[[#This Row],[OriginalBudget]]</f>
        <v>-0.21536217792902285</v>
      </c>
    </row>
    <row r="2478" spans="1:12" x14ac:dyDescent="0.45">
      <c r="A2478" t="s">
        <v>1393</v>
      </c>
      <c r="B2478" t="s">
        <v>6</v>
      </c>
      <c r="C2478" t="s">
        <v>750</v>
      </c>
      <c r="D2478" t="s">
        <v>36</v>
      </c>
      <c r="E2478">
        <v>203229</v>
      </c>
      <c r="F2478">
        <v>212859</v>
      </c>
      <c r="G2478">
        <v>205566</v>
      </c>
      <c r="H2478">
        <v>7293</v>
      </c>
      <c r="I2478">
        <v>2025</v>
      </c>
      <c r="J2478">
        <v>61</v>
      </c>
      <c r="K2478">
        <f>allFYsTable[[#This Row],[Actual]]-allFYsTable[[#This Row],[OriginalBudget]]</f>
        <v>2337</v>
      </c>
      <c r="L2478" s="11">
        <f>allFYsTable[[#This Row],[DiffAmount]]/allFYsTable[[#This Row],[OriginalBudget]]</f>
        <v>1.1499343105560722E-2</v>
      </c>
    </row>
    <row r="2479" spans="1:12" x14ac:dyDescent="0.45">
      <c r="A2479" t="s">
        <v>1393</v>
      </c>
      <c r="B2479" t="s">
        <v>6</v>
      </c>
      <c r="C2479" t="s">
        <v>751</v>
      </c>
      <c r="D2479" t="s">
        <v>37</v>
      </c>
      <c r="E2479">
        <v>34674</v>
      </c>
      <c r="F2479">
        <v>34120</v>
      </c>
      <c r="G2479">
        <v>31718</v>
      </c>
      <c r="H2479">
        <v>2402</v>
      </c>
      <c r="I2479">
        <v>2025</v>
      </c>
      <c r="J2479">
        <v>62</v>
      </c>
      <c r="K2479">
        <f>allFYsTable[[#This Row],[Actual]]-allFYsTable[[#This Row],[OriginalBudget]]</f>
        <v>-2956</v>
      </c>
      <c r="L2479" s="11">
        <f>allFYsTable[[#This Row],[DiffAmount]]/allFYsTable[[#This Row],[OriginalBudget]]</f>
        <v>-8.5251196862202228E-2</v>
      </c>
    </row>
    <row r="2480" spans="1:12" x14ac:dyDescent="0.45">
      <c r="A2480" t="s">
        <v>1393</v>
      </c>
      <c r="B2480" t="s">
        <v>6</v>
      </c>
      <c r="C2480" t="s">
        <v>752</v>
      </c>
      <c r="D2480" t="s">
        <v>38</v>
      </c>
      <c r="E2480">
        <v>92740</v>
      </c>
      <c r="F2480">
        <v>104521</v>
      </c>
      <c r="G2480">
        <v>100722</v>
      </c>
      <c r="H2480">
        <v>3799</v>
      </c>
      <c r="I2480">
        <v>2025</v>
      </c>
      <c r="J2480">
        <v>63</v>
      </c>
      <c r="K2480">
        <f>allFYsTable[[#This Row],[Actual]]-allFYsTable[[#This Row],[OriginalBudget]]</f>
        <v>7982</v>
      </c>
      <c r="L2480" s="11">
        <f>allFYsTable[[#This Row],[DiffAmount]]/allFYsTable[[#This Row],[OriginalBudget]]</f>
        <v>8.6068578822514563E-2</v>
      </c>
    </row>
    <row r="2481" spans="1:12" x14ac:dyDescent="0.45">
      <c r="A2481" t="s">
        <v>1393</v>
      </c>
      <c r="B2481" t="s">
        <v>6</v>
      </c>
      <c r="C2481" t="s">
        <v>753</v>
      </c>
      <c r="D2481" t="s">
        <v>134</v>
      </c>
      <c r="E2481">
        <v>5860</v>
      </c>
      <c r="F2481">
        <v>5906</v>
      </c>
      <c r="G2481">
        <v>5804</v>
      </c>
      <c r="H2481">
        <v>102</v>
      </c>
      <c r="I2481">
        <v>2025</v>
      </c>
      <c r="J2481">
        <v>64</v>
      </c>
      <c r="K2481">
        <f>allFYsTable[[#This Row],[Actual]]-allFYsTable[[#This Row],[OriginalBudget]]</f>
        <v>-56</v>
      </c>
      <c r="L2481" s="11">
        <f>allFYsTable[[#This Row],[DiffAmount]]/allFYsTable[[#This Row],[OriginalBudget]]</f>
        <v>-9.5563139931740607E-3</v>
      </c>
    </row>
    <row r="2482" spans="1:12" x14ac:dyDescent="0.45">
      <c r="A2482" t="s">
        <v>1393</v>
      </c>
      <c r="B2482" t="s">
        <v>6</v>
      </c>
      <c r="C2482" t="s">
        <v>754</v>
      </c>
      <c r="D2482" t="s">
        <v>40</v>
      </c>
      <c r="E2482">
        <v>1793</v>
      </c>
      <c r="F2482">
        <v>1592</v>
      </c>
      <c r="G2482">
        <v>1445</v>
      </c>
      <c r="H2482">
        <v>147</v>
      </c>
      <c r="I2482">
        <v>2025</v>
      </c>
      <c r="J2482">
        <v>65</v>
      </c>
      <c r="K2482">
        <f>allFYsTable[[#This Row],[Actual]]-allFYsTable[[#This Row],[OriginalBudget]]</f>
        <v>-348</v>
      </c>
      <c r="L2482" s="11">
        <f>allFYsTable[[#This Row],[DiffAmount]]/allFYsTable[[#This Row],[OriginalBudget]]</f>
        <v>-0.19408812046848856</v>
      </c>
    </row>
    <row r="2483" spans="1:12" x14ac:dyDescent="0.45">
      <c r="A2483" t="s">
        <v>1393</v>
      </c>
      <c r="B2483" t="s">
        <v>6</v>
      </c>
      <c r="C2483" t="s">
        <v>755</v>
      </c>
      <c r="D2483" t="s">
        <v>41</v>
      </c>
      <c r="E2483">
        <v>300371</v>
      </c>
      <c r="F2483">
        <v>148071</v>
      </c>
      <c r="G2483">
        <v>146443</v>
      </c>
      <c r="H2483">
        <v>1628</v>
      </c>
      <c r="I2483">
        <v>2025</v>
      </c>
      <c r="J2483">
        <v>66</v>
      </c>
      <c r="K2483">
        <f>allFYsTable[[#This Row],[Actual]]-allFYsTable[[#This Row],[OriginalBudget]]</f>
        <v>-153928</v>
      </c>
      <c r="L2483" s="11">
        <f>allFYsTable[[#This Row],[DiffAmount]]/allFYsTable[[#This Row],[OriginalBudget]]</f>
        <v>-0.51245959163834054</v>
      </c>
    </row>
    <row r="2484" spans="1:12" x14ac:dyDescent="0.45">
      <c r="A2484" t="s">
        <v>1393</v>
      </c>
      <c r="B2484" t="s">
        <v>6</v>
      </c>
      <c r="C2484" t="s">
        <v>756</v>
      </c>
      <c r="D2484" t="s">
        <v>42</v>
      </c>
      <c r="E2484">
        <v>6180</v>
      </c>
      <c r="F2484">
        <v>11064</v>
      </c>
      <c r="G2484">
        <v>10414</v>
      </c>
      <c r="H2484">
        <v>650</v>
      </c>
      <c r="I2484">
        <v>2025</v>
      </c>
      <c r="J2484">
        <v>67</v>
      </c>
      <c r="K2484">
        <f>allFYsTable[[#This Row],[Actual]]-allFYsTable[[#This Row],[OriginalBudget]]</f>
        <v>4234</v>
      </c>
      <c r="L2484" s="11">
        <f>allFYsTable[[#This Row],[DiffAmount]]/allFYsTable[[#This Row],[OriginalBudget]]</f>
        <v>0.68511326860841426</v>
      </c>
    </row>
    <row r="2485" spans="1:12" x14ac:dyDescent="0.45">
      <c r="A2485" t="s">
        <v>1393</v>
      </c>
      <c r="B2485" t="s">
        <v>6</v>
      </c>
      <c r="C2485" t="s">
        <v>757</v>
      </c>
      <c r="D2485" t="s">
        <v>43</v>
      </c>
      <c r="E2485">
        <v>37</v>
      </c>
      <c r="F2485">
        <v>62</v>
      </c>
      <c r="G2485">
        <v>50</v>
      </c>
      <c r="H2485">
        <v>12</v>
      </c>
      <c r="I2485">
        <v>2025</v>
      </c>
      <c r="J2485">
        <v>68</v>
      </c>
      <c r="K2485">
        <f>allFYsTable[[#This Row],[Actual]]-allFYsTable[[#This Row],[OriginalBudget]]</f>
        <v>13</v>
      </c>
      <c r="L2485" s="11">
        <f>allFYsTable[[#This Row],[DiffAmount]]/allFYsTable[[#This Row],[OriginalBudget]]</f>
        <v>0.35135135135135137</v>
      </c>
    </row>
    <row r="2486" spans="1:12" x14ac:dyDescent="0.45">
      <c r="A2486" t="s">
        <v>1393</v>
      </c>
      <c r="B2486" t="s">
        <v>6</v>
      </c>
      <c r="C2486" t="s">
        <v>758</v>
      </c>
      <c r="D2486" t="s">
        <v>44</v>
      </c>
      <c r="E2486">
        <v>561636</v>
      </c>
      <c r="F2486">
        <v>642925</v>
      </c>
      <c r="G2486">
        <v>642796</v>
      </c>
      <c r="H2486">
        <v>129</v>
      </c>
      <c r="I2486">
        <v>2025</v>
      </c>
      <c r="J2486">
        <v>69</v>
      </c>
      <c r="K2486">
        <f>allFYsTable[[#This Row],[Actual]]-allFYsTable[[#This Row],[OriginalBudget]]</f>
        <v>81160</v>
      </c>
      <c r="L2486" s="11">
        <f>allFYsTable[[#This Row],[DiffAmount]]/allFYsTable[[#This Row],[OriginalBudget]]</f>
        <v>0.14450640628449743</v>
      </c>
    </row>
    <row r="2487" spans="1:12" x14ac:dyDescent="0.45">
      <c r="A2487" t="s">
        <v>1393</v>
      </c>
      <c r="B2487" t="s">
        <v>6</v>
      </c>
      <c r="C2487" t="s">
        <v>759</v>
      </c>
      <c r="D2487" t="s">
        <v>133</v>
      </c>
      <c r="E2487">
        <v>11759</v>
      </c>
      <c r="F2487">
        <v>11707</v>
      </c>
      <c r="G2487">
        <v>11126</v>
      </c>
      <c r="H2487">
        <v>581</v>
      </c>
      <c r="I2487">
        <v>2025</v>
      </c>
      <c r="J2487">
        <v>70</v>
      </c>
      <c r="K2487">
        <f>allFYsTable[[#This Row],[Actual]]-allFYsTable[[#This Row],[OriginalBudget]]</f>
        <v>-633</v>
      </c>
      <c r="L2487" s="11">
        <f>allFYsTable[[#This Row],[DiffAmount]]/allFYsTable[[#This Row],[OriginalBudget]]</f>
        <v>-5.3831108087422398E-2</v>
      </c>
    </row>
    <row r="2488" spans="1:12" x14ac:dyDescent="0.45">
      <c r="A2488" t="s">
        <v>1393</v>
      </c>
      <c r="B2488" t="s">
        <v>6</v>
      </c>
      <c r="C2488" t="s">
        <v>760</v>
      </c>
      <c r="D2488" t="s">
        <v>46</v>
      </c>
      <c r="E2488">
        <v>9555</v>
      </c>
      <c r="F2488">
        <v>8348</v>
      </c>
      <c r="G2488">
        <v>8082</v>
      </c>
      <c r="H2488">
        <v>266</v>
      </c>
      <c r="I2488">
        <v>2025</v>
      </c>
      <c r="J2488">
        <v>71</v>
      </c>
      <c r="K2488">
        <f>allFYsTable[[#This Row],[Actual]]-allFYsTable[[#This Row],[OriginalBudget]]</f>
        <v>-1473</v>
      </c>
      <c r="L2488" s="11">
        <f>allFYsTable[[#This Row],[DiffAmount]]/allFYsTable[[#This Row],[OriginalBudget]]</f>
        <v>-0.15416012558869702</v>
      </c>
    </row>
    <row r="2489" spans="1:12" x14ac:dyDescent="0.45">
      <c r="A2489" t="s">
        <v>1393</v>
      </c>
      <c r="B2489" t="s">
        <v>6</v>
      </c>
      <c r="C2489" t="s">
        <v>761</v>
      </c>
      <c r="D2489" t="s">
        <v>47</v>
      </c>
      <c r="E2489">
        <v>25714</v>
      </c>
      <c r="F2489">
        <v>22195</v>
      </c>
      <c r="G2489">
        <v>18295</v>
      </c>
      <c r="H2489">
        <v>3900</v>
      </c>
      <c r="I2489">
        <v>2025</v>
      </c>
      <c r="J2489">
        <v>72</v>
      </c>
      <c r="K2489">
        <f>allFYsTable[[#This Row],[Actual]]-allFYsTable[[#This Row],[OriginalBudget]]</f>
        <v>-7419</v>
      </c>
      <c r="L2489" s="11">
        <f>allFYsTable[[#This Row],[DiffAmount]]/allFYsTable[[#This Row],[OriginalBudget]]</f>
        <v>-0.28851987244302713</v>
      </c>
    </row>
    <row r="2490" spans="1:12" x14ac:dyDescent="0.45">
      <c r="A2490" t="s">
        <v>1393</v>
      </c>
      <c r="B2490" t="s">
        <v>6</v>
      </c>
      <c r="C2490" t="s">
        <v>762</v>
      </c>
      <c r="D2490" t="s">
        <v>48</v>
      </c>
      <c r="E2490">
        <v>3309</v>
      </c>
      <c r="F2490">
        <v>3072</v>
      </c>
      <c r="G2490">
        <v>2677</v>
      </c>
      <c r="H2490">
        <v>395</v>
      </c>
      <c r="I2490">
        <v>2025</v>
      </c>
      <c r="J2490">
        <v>73</v>
      </c>
      <c r="K2490">
        <f>allFYsTable[[#This Row],[Actual]]-allFYsTable[[#This Row],[OriginalBudget]]</f>
        <v>-632</v>
      </c>
      <c r="L2490" s="11">
        <f>allFYsTable[[#This Row],[DiffAmount]]/allFYsTable[[#This Row],[OriginalBudget]]</f>
        <v>-0.1909942580840133</v>
      </c>
    </row>
    <row r="2491" spans="1:12" x14ac:dyDescent="0.45">
      <c r="A2491" t="s">
        <v>1393</v>
      </c>
      <c r="B2491" t="s">
        <v>6</v>
      </c>
      <c r="C2491" t="s">
        <v>763</v>
      </c>
      <c r="D2491" t="s">
        <v>49</v>
      </c>
      <c r="E2491">
        <v>2917</v>
      </c>
      <c r="F2491">
        <v>2383</v>
      </c>
      <c r="G2491">
        <v>2133</v>
      </c>
      <c r="H2491">
        <v>250</v>
      </c>
      <c r="I2491">
        <v>2025</v>
      </c>
      <c r="J2491">
        <v>74</v>
      </c>
      <c r="K2491">
        <f>allFYsTable[[#This Row],[Actual]]-allFYsTable[[#This Row],[OriginalBudget]]</f>
        <v>-784</v>
      </c>
      <c r="L2491" s="11">
        <f>allFYsTable[[#This Row],[DiffAmount]]/allFYsTable[[#This Row],[OriginalBudget]]</f>
        <v>-0.26876928351045593</v>
      </c>
    </row>
    <row r="2492" spans="1:12" x14ac:dyDescent="0.45">
      <c r="A2492" t="s">
        <v>1393</v>
      </c>
      <c r="B2492" t="s">
        <v>6</v>
      </c>
      <c r="C2492" t="s">
        <v>764</v>
      </c>
      <c r="D2492" t="s">
        <v>50</v>
      </c>
      <c r="E2492">
        <v>15383</v>
      </c>
      <c r="F2492">
        <v>15329</v>
      </c>
      <c r="G2492">
        <v>14926</v>
      </c>
      <c r="H2492">
        <v>403</v>
      </c>
      <c r="I2492">
        <v>2025</v>
      </c>
      <c r="J2492">
        <v>75</v>
      </c>
      <c r="K2492">
        <f>allFYsTable[[#This Row],[Actual]]-allFYsTable[[#This Row],[OriginalBudget]]</f>
        <v>-457</v>
      </c>
      <c r="L2492" s="11">
        <f>allFYsTable[[#This Row],[DiffAmount]]/allFYsTable[[#This Row],[OriginalBudget]]</f>
        <v>-2.9708119352532016E-2</v>
      </c>
    </row>
    <row r="2493" spans="1:12" x14ac:dyDescent="0.45">
      <c r="A2493" t="s">
        <v>1393</v>
      </c>
      <c r="B2493" t="s">
        <v>6</v>
      </c>
      <c r="C2493" t="s">
        <v>765</v>
      </c>
      <c r="D2493" t="s">
        <v>51</v>
      </c>
      <c r="E2493">
        <v>16549</v>
      </c>
      <c r="F2493">
        <v>14370</v>
      </c>
      <c r="G2493">
        <v>14023</v>
      </c>
      <c r="H2493">
        <v>347</v>
      </c>
      <c r="I2493">
        <v>2025</v>
      </c>
      <c r="J2493">
        <v>76</v>
      </c>
      <c r="K2493">
        <f>allFYsTable[[#This Row],[Actual]]-allFYsTable[[#This Row],[OriginalBudget]]</f>
        <v>-2526</v>
      </c>
      <c r="L2493" s="11">
        <f>allFYsTable[[#This Row],[DiffAmount]]/allFYsTable[[#This Row],[OriginalBudget]]</f>
        <v>-0.1526376216085564</v>
      </c>
    </row>
    <row r="2494" spans="1:12" x14ac:dyDescent="0.45">
      <c r="A2494" t="s">
        <v>1393</v>
      </c>
      <c r="B2494" t="s">
        <v>6</v>
      </c>
      <c r="C2494" t="s">
        <v>766</v>
      </c>
      <c r="D2494" t="s">
        <v>52</v>
      </c>
      <c r="E2494">
        <v>46953</v>
      </c>
      <c r="F2494">
        <v>35604</v>
      </c>
      <c r="G2494">
        <v>34830</v>
      </c>
      <c r="H2494">
        <v>774</v>
      </c>
      <c r="I2494">
        <v>2025</v>
      </c>
      <c r="J2494">
        <v>77</v>
      </c>
      <c r="K2494">
        <f>allFYsTable[[#This Row],[Actual]]-allFYsTable[[#This Row],[OriginalBudget]]</f>
        <v>-12123</v>
      </c>
      <c r="L2494" s="11">
        <f>allFYsTable[[#This Row],[DiffAmount]]/allFYsTable[[#This Row],[OriginalBudget]]</f>
        <v>-0.25819436457734329</v>
      </c>
    </row>
    <row r="2495" spans="1:12" x14ac:dyDescent="0.45">
      <c r="A2495" t="s">
        <v>1393</v>
      </c>
      <c r="B2495" t="s">
        <v>6</v>
      </c>
      <c r="C2495" t="s">
        <v>767</v>
      </c>
      <c r="D2495" t="s">
        <v>53</v>
      </c>
      <c r="E2495">
        <v>92378</v>
      </c>
      <c r="F2495">
        <v>89933</v>
      </c>
      <c r="G2495">
        <v>87592</v>
      </c>
      <c r="H2495">
        <v>2341</v>
      </c>
      <c r="I2495">
        <v>2025</v>
      </c>
      <c r="J2495">
        <v>78</v>
      </c>
      <c r="K2495">
        <f>allFYsTable[[#This Row],[Actual]]-allFYsTable[[#This Row],[OriginalBudget]]</f>
        <v>-4786</v>
      </c>
      <c r="L2495" s="11">
        <f>allFYsTable[[#This Row],[DiffAmount]]/allFYsTable[[#This Row],[OriginalBudget]]</f>
        <v>-5.1808872242308776E-2</v>
      </c>
    </row>
    <row r="2496" spans="1:12" x14ac:dyDescent="0.45">
      <c r="A2496" t="s">
        <v>1393</v>
      </c>
      <c r="B2496" t="s">
        <v>6</v>
      </c>
      <c r="C2496" t="s">
        <v>768</v>
      </c>
      <c r="D2496" t="s">
        <v>1416</v>
      </c>
      <c r="E2496">
        <v>143454</v>
      </c>
      <c r="F2496">
        <v>143454</v>
      </c>
      <c r="G2496">
        <v>143454</v>
      </c>
      <c r="H2496">
        <v>0</v>
      </c>
      <c r="I2496">
        <v>2025</v>
      </c>
      <c r="J2496">
        <v>79</v>
      </c>
      <c r="K2496">
        <f>allFYsTable[[#This Row],[Actual]]-allFYsTable[[#This Row],[OriginalBudget]]</f>
        <v>0</v>
      </c>
      <c r="L2496" s="11">
        <f>allFYsTable[[#This Row],[DiffAmount]]/allFYsTable[[#This Row],[OriginalBudget]]</f>
        <v>0</v>
      </c>
    </row>
    <row r="2497" spans="1:12" x14ac:dyDescent="0.45">
      <c r="A2497" t="s">
        <v>1393</v>
      </c>
      <c r="B2497" t="s">
        <v>136</v>
      </c>
      <c r="C2497" t="s">
        <v>769</v>
      </c>
      <c r="D2497" t="s">
        <v>55</v>
      </c>
      <c r="E2497">
        <v>70918</v>
      </c>
      <c r="F2497">
        <v>69725</v>
      </c>
      <c r="G2497">
        <v>67402</v>
      </c>
      <c r="H2497">
        <v>2323</v>
      </c>
      <c r="I2497">
        <v>2025</v>
      </c>
      <c r="J2497">
        <v>80</v>
      </c>
      <c r="K2497">
        <f>allFYsTable[[#This Row],[Actual]]-allFYsTable[[#This Row],[OriginalBudget]]</f>
        <v>-3516</v>
      </c>
      <c r="L2497" s="11">
        <f>allFYsTable[[#This Row],[DiffAmount]]/allFYsTable[[#This Row],[OriginalBudget]]</f>
        <v>-4.9578386305310355E-2</v>
      </c>
    </row>
    <row r="2498" spans="1:12" x14ac:dyDescent="0.45">
      <c r="A2498" t="s">
        <v>1393</v>
      </c>
      <c r="B2498" t="s">
        <v>136</v>
      </c>
      <c r="C2498" t="s">
        <v>770</v>
      </c>
      <c r="D2498" t="s">
        <v>56</v>
      </c>
      <c r="E2498">
        <v>77424</v>
      </c>
      <c r="F2498">
        <v>72136</v>
      </c>
      <c r="G2498">
        <v>70795</v>
      </c>
      <c r="H2498">
        <v>1341</v>
      </c>
      <c r="I2498">
        <v>2025</v>
      </c>
      <c r="J2498">
        <v>81</v>
      </c>
      <c r="K2498">
        <f>allFYsTable[[#This Row],[Actual]]-allFYsTable[[#This Row],[OriginalBudget]]</f>
        <v>-6629</v>
      </c>
      <c r="L2498" s="11">
        <f>allFYsTable[[#This Row],[DiffAmount]]/allFYsTable[[#This Row],[OriginalBudget]]</f>
        <v>-8.5619446166563334E-2</v>
      </c>
    </row>
    <row r="2499" spans="1:12" x14ac:dyDescent="0.45">
      <c r="A2499" t="s">
        <v>1393</v>
      </c>
      <c r="B2499" t="s">
        <v>136</v>
      </c>
      <c r="C2499" t="s">
        <v>771</v>
      </c>
      <c r="D2499" t="s">
        <v>142</v>
      </c>
      <c r="E2499">
        <v>2150</v>
      </c>
      <c r="F2499">
        <v>2150</v>
      </c>
      <c r="G2499">
        <v>2150</v>
      </c>
      <c r="H2499">
        <v>0</v>
      </c>
      <c r="I2499">
        <v>2025</v>
      </c>
      <c r="J2499">
        <v>82</v>
      </c>
      <c r="K2499">
        <f>allFYsTable[[#This Row],[Actual]]-allFYsTable[[#This Row],[OriginalBudget]]</f>
        <v>0</v>
      </c>
      <c r="L2499" s="11">
        <f>allFYsTable[[#This Row],[DiffAmount]]/allFYsTable[[#This Row],[OriginalBudget]]</f>
        <v>0</v>
      </c>
    </row>
    <row r="2500" spans="1:12" x14ac:dyDescent="0.45">
      <c r="A2500" t="s">
        <v>1393</v>
      </c>
      <c r="B2500" t="s">
        <v>136</v>
      </c>
      <c r="C2500" t="s">
        <v>772</v>
      </c>
      <c r="D2500" t="s">
        <v>58</v>
      </c>
      <c r="E2500">
        <v>1354438</v>
      </c>
      <c r="F2500">
        <v>904579</v>
      </c>
      <c r="G2500">
        <v>904416</v>
      </c>
      <c r="H2500">
        <v>163</v>
      </c>
      <c r="I2500">
        <v>2025</v>
      </c>
      <c r="J2500">
        <v>83</v>
      </c>
      <c r="K2500">
        <f>allFYsTable[[#This Row],[Actual]]-allFYsTable[[#This Row],[OriginalBudget]]</f>
        <v>-450022</v>
      </c>
      <c r="L2500" s="11">
        <f>allFYsTable[[#This Row],[DiffAmount]]/allFYsTable[[#This Row],[OriginalBudget]]</f>
        <v>-0.33225736430903446</v>
      </c>
    </row>
    <row r="2501" spans="1:12" x14ac:dyDescent="0.45">
      <c r="A2501" t="s">
        <v>1393</v>
      </c>
      <c r="B2501" t="s">
        <v>136</v>
      </c>
      <c r="C2501" t="s">
        <v>869</v>
      </c>
      <c r="D2501" t="s">
        <v>1421</v>
      </c>
      <c r="E2501">
        <v>0</v>
      </c>
      <c r="F2501">
        <v>486762</v>
      </c>
      <c r="G2501">
        <v>486762</v>
      </c>
      <c r="H2501">
        <v>0</v>
      </c>
      <c r="I2501">
        <v>2025</v>
      </c>
      <c r="J2501">
        <v>84</v>
      </c>
      <c r="K2501">
        <f>allFYsTable[[#This Row],[Actual]]-allFYsTable[[#This Row],[OriginalBudget]]</f>
        <v>486762</v>
      </c>
      <c r="L2501" s="11" t="e">
        <f>allFYsTable[[#This Row],[DiffAmount]]/allFYsTable[[#This Row],[OriginalBudget]]</f>
        <v>#DIV/0!</v>
      </c>
    </row>
    <row r="2502" spans="1:12" x14ac:dyDescent="0.45">
      <c r="A2502" t="s">
        <v>1393</v>
      </c>
      <c r="B2502" t="s">
        <v>136</v>
      </c>
      <c r="C2502" t="s">
        <v>773</v>
      </c>
      <c r="D2502" t="s">
        <v>60</v>
      </c>
      <c r="E2502">
        <v>1358413</v>
      </c>
      <c r="F2502">
        <v>1382809</v>
      </c>
      <c r="G2502">
        <v>1358675</v>
      </c>
      <c r="H2502">
        <v>24134</v>
      </c>
      <c r="I2502">
        <v>2025</v>
      </c>
      <c r="J2502">
        <v>85</v>
      </c>
      <c r="K2502">
        <f>allFYsTable[[#This Row],[Actual]]-allFYsTable[[#This Row],[OriginalBudget]]</f>
        <v>262</v>
      </c>
      <c r="L2502" s="11">
        <f>allFYsTable[[#This Row],[DiffAmount]]/allFYsTable[[#This Row],[OriginalBudget]]</f>
        <v>1.9287212357361127E-4</v>
      </c>
    </row>
    <row r="2503" spans="1:12" x14ac:dyDescent="0.45">
      <c r="A2503" t="s">
        <v>1393</v>
      </c>
      <c r="B2503" t="s">
        <v>136</v>
      </c>
      <c r="C2503" t="s">
        <v>870</v>
      </c>
      <c r="D2503" t="s">
        <v>1420</v>
      </c>
      <c r="E2503">
        <v>0</v>
      </c>
      <c r="F2503">
        <v>8621</v>
      </c>
      <c r="G2503">
        <v>8621</v>
      </c>
      <c r="H2503">
        <v>0</v>
      </c>
      <c r="I2503">
        <v>2025</v>
      </c>
      <c r="J2503">
        <v>86</v>
      </c>
      <c r="K2503">
        <f>allFYsTable[[#This Row],[Actual]]-allFYsTable[[#This Row],[OriginalBudget]]</f>
        <v>8621</v>
      </c>
      <c r="L2503" s="11" t="e">
        <f>allFYsTable[[#This Row],[DiffAmount]]/allFYsTable[[#This Row],[OriginalBudget]]</f>
        <v>#DIV/0!</v>
      </c>
    </row>
    <row r="2504" spans="1:12" x14ac:dyDescent="0.45">
      <c r="A2504" t="s">
        <v>1393</v>
      </c>
      <c r="B2504" t="s">
        <v>136</v>
      </c>
      <c r="C2504" t="s">
        <v>774</v>
      </c>
      <c r="D2504" t="s">
        <v>62</v>
      </c>
      <c r="E2504">
        <v>75842</v>
      </c>
      <c r="F2504">
        <v>75148</v>
      </c>
      <c r="G2504">
        <v>73955</v>
      </c>
      <c r="H2504">
        <v>1193</v>
      </c>
      <c r="I2504">
        <v>2025</v>
      </c>
      <c r="J2504">
        <v>87</v>
      </c>
      <c r="K2504">
        <f>allFYsTable[[#This Row],[Actual]]-allFYsTable[[#This Row],[OriginalBudget]]</f>
        <v>-1887</v>
      </c>
      <c r="L2504" s="11">
        <f>allFYsTable[[#This Row],[DiffAmount]]/allFYsTable[[#This Row],[OriginalBudget]]</f>
        <v>-2.4880672978033279E-2</v>
      </c>
    </row>
    <row r="2505" spans="1:12" x14ac:dyDescent="0.45">
      <c r="A2505" t="s">
        <v>1393</v>
      </c>
      <c r="B2505" t="s">
        <v>136</v>
      </c>
      <c r="C2505" t="s">
        <v>776</v>
      </c>
      <c r="D2505" t="s">
        <v>63</v>
      </c>
      <c r="E2505">
        <v>1488</v>
      </c>
      <c r="F2505">
        <v>1488</v>
      </c>
      <c r="G2505">
        <v>1486</v>
      </c>
      <c r="H2505">
        <v>2</v>
      </c>
      <c r="I2505">
        <v>2025</v>
      </c>
      <c r="J2505">
        <v>88</v>
      </c>
      <c r="K2505">
        <f>allFYsTable[[#This Row],[Actual]]-allFYsTable[[#This Row],[OriginalBudget]]</f>
        <v>-2</v>
      </c>
      <c r="L2505" s="11">
        <f>allFYsTable[[#This Row],[DiffAmount]]/allFYsTable[[#This Row],[OriginalBudget]]</f>
        <v>-1.3440860215053765E-3</v>
      </c>
    </row>
    <row r="2506" spans="1:12" x14ac:dyDescent="0.45">
      <c r="A2506" t="s">
        <v>1393</v>
      </c>
      <c r="B2506" t="s">
        <v>136</v>
      </c>
      <c r="C2506" t="s">
        <v>777</v>
      </c>
      <c r="D2506" t="s">
        <v>64</v>
      </c>
      <c r="E2506">
        <v>50172</v>
      </c>
      <c r="F2506">
        <v>58172</v>
      </c>
      <c r="G2506">
        <v>58154</v>
      </c>
      <c r="H2506">
        <v>18</v>
      </c>
      <c r="I2506">
        <v>2025</v>
      </c>
      <c r="J2506">
        <v>89</v>
      </c>
      <c r="K2506">
        <f>allFYsTable[[#This Row],[Actual]]-allFYsTable[[#This Row],[OriginalBudget]]</f>
        <v>7982</v>
      </c>
      <c r="L2506" s="11">
        <f>allFYsTable[[#This Row],[DiffAmount]]/allFYsTable[[#This Row],[OriginalBudget]]</f>
        <v>0.15909272103962369</v>
      </c>
    </row>
    <row r="2507" spans="1:12" x14ac:dyDescent="0.45">
      <c r="A2507" t="s">
        <v>1393</v>
      </c>
      <c r="B2507" t="s">
        <v>136</v>
      </c>
      <c r="C2507" t="s">
        <v>778</v>
      </c>
      <c r="D2507" t="s">
        <v>65</v>
      </c>
      <c r="E2507">
        <v>36799</v>
      </c>
      <c r="F2507">
        <v>35864</v>
      </c>
      <c r="G2507">
        <v>35509</v>
      </c>
      <c r="H2507">
        <v>355</v>
      </c>
      <c r="I2507">
        <v>2025</v>
      </c>
      <c r="J2507">
        <v>90</v>
      </c>
      <c r="K2507">
        <f>allFYsTable[[#This Row],[Actual]]-allFYsTable[[#This Row],[OriginalBudget]]</f>
        <v>-1290</v>
      </c>
      <c r="L2507" s="11">
        <f>allFYsTable[[#This Row],[DiffAmount]]/allFYsTable[[#This Row],[OriginalBudget]]</f>
        <v>-3.5055300415772164E-2</v>
      </c>
    </row>
    <row r="2508" spans="1:12" x14ac:dyDescent="0.45">
      <c r="A2508" t="s">
        <v>1393</v>
      </c>
      <c r="B2508" t="s">
        <v>136</v>
      </c>
      <c r="C2508" t="s">
        <v>779</v>
      </c>
      <c r="D2508" t="s">
        <v>141</v>
      </c>
      <c r="E2508">
        <v>260803</v>
      </c>
      <c r="F2508">
        <v>256186</v>
      </c>
      <c r="G2508">
        <v>255607</v>
      </c>
      <c r="H2508">
        <v>579</v>
      </c>
      <c r="I2508">
        <v>2025</v>
      </c>
      <c r="J2508">
        <v>91</v>
      </c>
      <c r="K2508">
        <f>allFYsTable[[#This Row],[Actual]]-allFYsTable[[#This Row],[OriginalBudget]]</f>
        <v>-5196</v>
      </c>
      <c r="L2508" s="11">
        <f>allFYsTable[[#This Row],[DiffAmount]]/allFYsTable[[#This Row],[OriginalBudget]]</f>
        <v>-1.9923083706859201E-2</v>
      </c>
    </row>
    <row r="2509" spans="1:12" x14ac:dyDescent="0.45">
      <c r="A2509" t="s">
        <v>1393</v>
      </c>
      <c r="B2509" t="s">
        <v>136</v>
      </c>
      <c r="C2509" t="s">
        <v>780</v>
      </c>
      <c r="D2509" t="s">
        <v>143</v>
      </c>
      <c r="E2509">
        <v>120760</v>
      </c>
      <c r="F2509">
        <v>137830</v>
      </c>
      <c r="G2509">
        <v>137343</v>
      </c>
      <c r="H2509">
        <v>487</v>
      </c>
      <c r="I2509">
        <v>2025</v>
      </c>
      <c r="J2509">
        <v>92</v>
      </c>
      <c r="K2509">
        <f>allFYsTable[[#This Row],[Actual]]-allFYsTable[[#This Row],[OriginalBudget]]</f>
        <v>16583</v>
      </c>
      <c r="L2509" s="11">
        <f>allFYsTable[[#This Row],[DiffAmount]]/allFYsTable[[#This Row],[OriginalBudget]]</f>
        <v>0.13732196091421001</v>
      </c>
    </row>
    <row r="2510" spans="1:12" x14ac:dyDescent="0.45">
      <c r="A2510" t="s">
        <v>1393</v>
      </c>
      <c r="B2510" t="s">
        <v>136</v>
      </c>
      <c r="C2510" t="s">
        <v>781</v>
      </c>
      <c r="D2510" t="s">
        <v>68</v>
      </c>
      <c r="E2510">
        <v>3747</v>
      </c>
      <c r="F2510">
        <v>3700</v>
      </c>
      <c r="G2510">
        <v>3696</v>
      </c>
      <c r="H2510">
        <v>4</v>
      </c>
      <c r="I2510">
        <v>2025</v>
      </c>
      <c r="J2510">
        <v>93</v>
      </c>
      <c r="K2510">
        <f>allFYsTable[[#This Row],[Actual]]-allFYsTable[[#This Row],[OriginalBudget]]</f>
        <v>-51</v>
      </c>
      <c r="L2510" s="11">
        <f>allFYsTable[[#This Row],[DiffAmount]]/allFYsTable[[#This Row],[OriginalBudget]]</f>
        <v>-1.3610888710968775E-2</v>
      </c>
    </row>
    <row r="2511" spans="1:12" x14ac:dyDescent="0.45">
      <c r="A2511" t="s">
        <v>1393</v>
      </c>
      <c r="B2511" t="s">
        <v>136</v>
      </c>
      <c r="C2511" t="s">
        <v>782</v>
      </c>
      <c r="D2511" t="s">
        <v>1415</v>
      </c>
      <c r="E2511">
        <v>80981</v>
      </c>
      <c r="F2511">
        <v>80981</v>
      </c>
      <c r="G2511">
        <v>80609</v>
      </c>
      <c r="H2511">
        <v>372</v>
      </c>
      <c r="I2511">
        <v>2025</v>
      </c>
      <c r="J2511">
        <v>94</v>
      </c>
      <c r="K2511">
        <f>allFYsTable[[#This Row],[Actual]]-allFYsTable[[#This Row],[OriginalBudget]]</f>
        <v>-372</v>
      </c>
      <c r="L2511" s="11">
        <f>allFYsTable[[#This Row],[DiffAmount]]/allFYsTable[[#This Row],[OriginalBudget]]</f>
        <v>-4.5936701201516406E-3</v>
      </c>
    </row>
    <row r="2512" spans="1:12" x14ac:dyDescent="0.45">
      <c r="A2512" t="s">
        <v>1393</v>
      </c>
      <c r="B2512" t="s">
        <v>136</v>
      </c>
      <c r="C2512" t="s">
        <v>783</v>
      </c>
      <c r="D2512" t="s">
        <v>70</v>
      </c>
      <c r="E2512">
        <v>5480</v>
      </c>
      <c r="F2512">
        <v>5480</v>
      </c>
      <c r="G2512">
        <v>4733</v>
      </c>
      <c r="H2512">
        <v>747</v>
      </c>
      <c r="I2512">
        <v>2025</v>
      </c>
      <c r="J2512">
        <v>95</v>
      </c>
      <c r="K2512">
        <f>allFYsTable[[#This Row],[Actual]]-allFYsTable[[#This Row],[OriginalBudget]]</f>
        <v>-747</v>
      </c>
      <c r="L2512" s="11">
        <f>allFYsTable[[#This Row],[DiffAmount]]/allFYsTable[[#This Row],[OriginalBudget]]</f>
        <v>-0.13631386861313868</v>
      </c>
    </row>
    <row r="2513" spans="1:12" x14ac:dyDescent="0.45">
      <c r="A2513" t="s">
        <v>1393</v>
      </c>
      <c r="B2513" t="s">
        <v>136</v>
      </c>
      <c r="C2513" t="s">
        <v>784</v>
      </c>
      <c r="D2513" t="s">
        <v>889</v>
      </c>
      <c r="E2513">
        <v>102152</v>
      </c>
      <c r="F2513">
        <v>101109</v>
      </c>
      <c r="G2513">
        <v>101109</v>
      </c>
      <c r="H2513">
        <v>0</v>
      </c>
      <c r="I2513">
        <v>2025</v>
      </c>
      <c r="J2513">
        <v>96</v>
      </c>
      <c r="K2513">
        <f>allFYsTable[[#This Row],[Actual]]-allFYsTable[[#This Row],[OriginalBudget]]</f>
        <v>-1043</v>
      </c>
      <c r="L2513" s="11">
        <f>allFYsTable[[#This Row],[DiffAmount]]/allFYsTable[[#This Row],[OriginalBudget]]</f>
        <v>-1.0210274884485865E-2</v>
      </c>
    </row>
    <row r="2514" spans="1:12" x14ac:dyDescent="0.45">
      <c r="A2514" t="s">
        <v>1393</v>
      </c>
      <c r="B2514" t="s">
        <v>14</v>
      </c>
      <c r="C2514" t="s">
        <v>785</v>
      </c>
      <c r="D2514" t="s">
        <v>147</v>
      </c>
      <c r="E2514">
        <v>173682</v>
      </c>
      <c r="F2514">
        <v>169504</v>
      </c>
      <c r="G2514">
        <v>169064</v>
      </c>
      <c r="H2514">
        <v>440</v>
      </c>
      <c r="I2514">
        <v>2025</v>
      </c>
      <c r="J2514">
        <v>97</v>
      </c>
      <c r="K2514">
        <f>allFYsTable[[#This Row],[Actual]]-allFYsTable[[#This Row],[OriginalBudget]]</f>
        <v>-4618</v>
      </c>
      <c r="L2514" s="11">
        <f>allFYsTable[[#This Row],[DiffAmount]]/allFYsTable[[#This Row],[OriginalBudget]]</f>
        <v>-2.6588823251689871E-2</v>
      </c>
    </row>
    <row r="2515" spans="1:12" x14ac:dyDescent="0.45">
      <c r="A2515" t="s">
        <v>1393</v>
      </c>
      <c r="B2515" t="s">
        <v>14</v>
      </c>
      <c r="C2515" t="s">
        <v>786</v>
      </c>
      <c r="D2515" t="s">
        <v>146</v>
      </c>
      <c r="E2515">
        <v>48588</v>
      </c>
      <c r="F2515">
        <v>48079</v>
      </c>
      <c r="G2515">
        <v>45953</v>
      </c>
      <c r="H2515">
        <v>2126</v>
      </c>
      <c r="I2515">
        <v>2025</v>
      </c>
      <c r="J2515">
        <v>98</v>
      </c>
      <c r="K2515">
        <f>allFYsTable[[#This Row],[Actual]]-allFYsTable[[#This Row],[OriginalBudget]]</f>
        <v>-2635</v>
      </c>
      <c r="L2515" s="11">
        <f>allFYsTable[[#This Row],[DiffAmount]]/allFYsTable[[#This Row],[OriginalBudget]]</f>
        <v>-5.4231497489091958E-2</v>
      </c>
    </row>
    <row r="2516" spans="1:12" x14ac:dyDescent="0.45">
      <c r="A2516" t="s">
        <v>1393</v>
      </c>
      <c r="B2516" t="s">
        <v>14</v>
      </c>
      <c r="C2516" t="s">
        <v>787</v>
      </c>
      <c r="D2516" t="s">
        <v>148</v>
      </c>
      <c r="E2516">
        <v>296752</v>
      </c>
      <c r="F2516">
        <v>330686</v>
      </c>
      <c r="G2516">
        <v>330190</v>
      </c>
      <c r="H2516">
        <v>496</v>
      </c>
      <c r="I2516">
        <v>2025</v>
      </c>
      <c r="J2516">
        <v>99</v>
      </c>
      <c r="K2516">
        <f>allFYsTable[[#This Row],[Actual]]-allFYsTable[[#This Row],[OriginalBudget]]</f>
        <v>33438</v>
      </c>
      <c r="L2516" s="11">
        <f>allFYsTable[[#This Row],[DiffAmount]]/allFYsTable[[#This Row],[OriginalBudget]]</f>
        <v>0.11267994823960749</v>
      </c>
    </row>
    <row r="2517" spans="1:12" x14ac:dyDescent="0.45">
      <c r="A2517" t="s">
        <v>1393</v>
      </c>
      <c r="B2517" t="s">
        <v>14</v>
      </c>
      <c r="C2517" t="s">
        <v>788</v>
      </c>
      <c r="D2517" t="s">
        <v>145</v>
      </c>
      <c r="E2517">
        <v>92329</v>
      </c>
      <c r="F2517">
        <v>93626</v>
      </c>
      <c r="G2517">
        <v>93293</v>
      </c>
      <c r="H2517">
        <v>333</v>
      </c>
      <c r="I2517">
        <v>2025</v>
      </c>
      <c r="J2517">
        <v>100</v>
      </c>
      <c r="K2517">
        <f>allFYsTable[[#This Row],[Actual]]-allFYsTable[[#This Row],[OriginalBudget]]</f>
        <v>964</v>
      </c>
      <c r="L2517" s="11">
        <f>allFYsTable[[#This Row],[DiffAmount]]/allFYsTable[[#This Row],[OriginalBudget]]</f>
        <v>1.0440923220223332E-2</v>
      </c>
    </row>
    <row r="2518" spans="1:12" x14ac:dyDescent="0.45">
      <c r="A2518" t="s">
        <v>1393</v>
      </c>
      <c r="B2518" t="s">
        <v>14</v>
      </c>
      <c r="C2518" t="s">
        <v>789</v>
      </c>
      <c r="D2518" t="s">
        <v>150</v>
      </c>
      <c r="E2518">
        <v>1283520</v>
      </c>
      <c r="F2518">
        <v>1293459</v>
      </c>
      <c r="G2518">
        <v>1287183</v>
      </c>
      <c r="H2518">
        <v>6276</v>
      </c>
      <c r="I2518">
        <v>2025</v>
      </c>
      <c r="J2518">
        <v>101</v>
      </c>
      <c r="K2518">
        <f>allFYsTable[[#This Row],[Actual]]-allFYsTable[[#This Row],[OriginalBudget]]</f>
        <v>3663</v>
      </c>
      <c r="L2518" s="11">
        <f>allFYsTable[[#This Row],[DiffAmount]]/allFYsTable[[#This Row],[OriginalBudget]]</f>
        <v>2.8538706058339565E-3</v>
      </c>
    </row>
    <row r="2519" spans="1:12" x14ac:dyDescent="0.45">
      <c r="A2519" t="s">
        <v>1393</v>
      </c>
      <c r="B2519" t="s">
        <v>14</v>
      </c>
      <c r="C2519" t="s">
        <v>790</v>
      </c>
      <c r="D2519" t="s">
        <v>144</v>
      </c>
      <c r="E2519">
        <v>680127</v>
      </c>
      <c r="F2519">
        <v>733570</v>
      </c>
      <c r="G2519">
        <v>733077</v>
      </c>
      <c r="H2519">
        <v>493</v>
      </c>
      <c r="I2519">
        <v>2025</v>
      </c>
      <c r="J2519">
        <v>102</v>
      </c>
      <c r="K2519">
        <f>allFYsTable[[#This Row],[Actual]]-allFYsTable[[#This Row],[OriginalBudget]]</f>
        <v>52950</v>
      </c>
      <c r="L2519" s="11">
        <f>allFYsTable[[#This Row],[DiffAmount]]/allFYsTable[[#This Row],[OriginalBudget]]</f>
        <v>7.7853106846221362E-2</v>
      </c>
    </row>
    <row r="2520" spans="1:12" x14ac:dyDescent="0.45">
      <c r="A2520" t="s">
        <v>1393</v>
      </c>
      <c r="B2520" t="s">
        <v>14</v>
      </c>
      <c r="C2520" t="s">
        <v>791</v>
      </c>
      <c r="D2520" t="s">
        <v>149</v>
      </c>
      <c r="E2520">
        <v>142523</v>
      </c>
      <c r="F2520">
        <v>143316</v>
      </c>
      <c r="G2520">
        <v>143304</v>
      </c>
      <c r="H2520">
        <v>12</v>
      </c>
      <c r="I2520">
        <v>2025</v>
      </c>
      <c r="J2520">
        <v>103</v>
      </c>
      <c r="K2520">
        <f>allFYsTable[[#This Row],[Actual]]-allFYsTable[[#This Row],[OriginalBudget]]</f>
        <v>781</v>
      </c>
      <c r="L2520" s="11">
        <f>allFYsTable[[#This Row],[DiffAmount]]/allFYsTable[[#This Row],[OriginalBudget]]</f>
        <v>5.4798172926475023E-3</v>
      </c>
    </row>
    <row r="2521" spans="1:12" x14ac:dyDescent="0.45">
      <c r="A2521" t="s">
        <v>1393</v>
      </c>
      <c r="B2521" t="s">
        <v>14</v>
      </c>
      <c r="C2521" t="s">
        <v>792</v>
      </c>
      <c r="D2521" t="s">
        <v>152</v>
      </c>
      <c r="E2521">
        <v>17200</v>
      </c>
      <c r="F2521">
        <v>26000</v>
      </c>
      <c r="G2521">
        <v>26000</v>
      </c>
      <c r="H2521">
        <v>0</v>
      </c>
      <c r="I2521">
        <v>2025</v>
      </c>
      <c r="J2521">
        <v>104</v>
      </c>
      <c r="K2521">
        <f>allFYsTable[[#This Row],[Actual]]-allFYsTable[[#This Row],[OriginalBudget]]</f>
        <v>8800</v>
      </c>
      <c r="L2521" s="11">
        <f>allFYsTable[[#This Row],[DiffAmount]]/allFYsTable[[#This Row],[OriginalBudget]]</f>
        <v>0.51162790697674421</v>
      </c>
    </row>
    <row r="2522" spans="1:12" x14ac:dyDescent="0.45">
      <c r="A2522" t="s">
        <v>1393</v>
      </c>
      <c r="B2522" t="s">
        <v>14</v>
      </c>
      <c r="C2522" t="s">
        <v>793</v>
      </c>
      <c r="D2522" t="s">
        <v>151</v>
      </c>
      <c r="E2522">
        <v>2451</v>
      </c>
      <c r="F2522">
        <v>2402</v>
      </c>
      <c r="G2522">
        <v>1816</v>
      </c>
      <c r="H2522">
        <v>586</v>
      </c>
      <c r="I2522">
        <v>2025</v>
      </c>
      <c r="J2522">
        <v>105</v>
      </c>
      <c r="K2522">
        <f>allFYsTable[[#This Row],[Actual]]-allFYsTable[[#This Row],[OriginalBudget]]</f>
        <v>-635</v>
      </c>
      <c r="L2522" s="11">
        <f>allFYsTable[[#This Row],[DiffAmount]]/allFYsTable[[#This Row],[OriginalBudget]]</f>
        <v>-0.25907792737658097</v>
      </c>
    </row>
    <row r="2523" spans="1:12" x14ac:dyDescent="0.45">
      <c r="A2523" t="s">
        <v>1393</v>
      </c>
      <c r="B2523" t="s">
        <v>14</v>
      </c>
      <c r="C2523" t="s">
        <v>794</v>
      </c>
      <c r="D2523" t="s">
        <v>890</v>
      </c>
      <c r="E2523">
        <v>1247</v>
      </c>
      <c r="F2523">
        <v>1247</v>
      </c>
      <c r="G2523">
        <v>849</v>
      </c>
      <c r="H2523">
        <v>398</v>
      </c>
      <c r="I2523">
        <v>2025</v>
      </c>
      <c r="J2523">
        <v>106</v>
      </c>
      <c r="K2523">
        <f>allFYsTable[[#This Row],[Actual]]-allFYsTable[[#This Row],[OriginalBudget]]</f>
        <v>-398</v>
      </c>
      <c r="L2523" s="11">
        <f>allFYsTable[[#This Row],[DiffAmount]]/allFYsTable[[#This Row],[OriginalBudget]]</f>
        <v>-0.31916599839615079</v>
      </c>
    </row>
    <row r="2524" spans="1:12" x14ac:dyDescent="0.45">
      <c r="A2524" t="s">
        <v>1393</v>
      </c>
      <c r="B2524" t="s">
        <v>14</v>
      </c>
      <c r="C2524" t="s">
        <v>710</v>
      </c>
      <c r="D2524" t="s">
        <v>1424</v>
      </c>
      <c r="E2524">
        <v>1722</v>
      </c>
      <c r="F2524">
        <v>1688</v>
      </c>
      <c r="G2524">
        <v>1646</v>
      </c>
      <c r="H2524">
        <v>42</v>
      </c>
      <c r="I2524">
        <v>2025</v>
      </c>
      <c r="J2524">
        <v>107</v>
      </c>
      <c r="K2524">
        <f>allFYsTable[[#This Row],[Actual]]-allFYsTable[[#This Row],[OriginalBudget]]</f>
        <v>-76</v>
      </c>
      <c r="L2524" s="11">
        <f>allFYsTable[[#This Row],[DiffAmount]]/allFYsTable[[#This Row],[OriginalBudget]]</f>
        <v>-4.4134727061556328E-2</v>
      </c>
    </row>
    <row r="2525" spans="1:12" x14ac:dyDescent="0.45">
      <c r="A2525" t="s">
        <v>1393</v>
      </c>
      <c r="B2525" t="s">
        <v>14</v>
      </c>
      <c r="C2525" t="s">
        <v>811</v>
      </c>
      <c r="D2525" t="s">
        <v>638</v>
      </c>
      <c r="E2525">
        <v>63900</v>
      </c>
      <c r="F2525">
        <v>63900</v>
      </c>
      <c r="G2525">
        <v>63900</v>
      </c>
      <c r="H2525">
        <v>0</v>
      </c>
      <c r="I2525">
        <v>2025</v>
      </c>
      <c r="J2525">
        <v>108</v>
      </c>
      <c r="K2525">
        <f>allFYsTable[[#This Row],[Actual]]-allFYsTable[[#This Row],[OriginalBudget]]</f>
        <v>0</v>
      </c>
      <c r="L2525" s="11">
        <f>allFYsTable[[#This Row],[DiffAmount]]/allFYsTable[[#This Row],[OriginalBudget]]</f>
        <v>0</v>
      </c>
    </row>
    <row r="2526" spans="1:12" x14ac:dyDescent="0.45">
      <c r="A2526" t="s">
        <v>1393</v>
      </c>
      <c r="B2526" t="s">
        <v>9</v>
      </c>
      <c r="C2526" t="s">
        <v>795</v>
      </c>
      <c r="D2526" t="s">
        <v>72</v>
      </c>
      <c r="E2526">
        <v>1371</v>
      </c>
      <c r="F2526">
        <v>1369</v>
      </c>
      <c r="G2526">
        <v>744</v>
      </c>
      <c r="H2526">
        <v>625</v>
      </c>
      <c r="I2526">
        <v>2025</v>
      </c>
      <c r="J2526">
        <v>109</v>
      </c>
      <c r="K2526">
        <f>allFYsTable[[#This Row],[Actual]]-allFYsTable[[#This Row],[OriginalBudget]]</f>
        <v>-627</v>
      </c>
      <c r="L2526" s="11">
        <f>allFYsTable[[#This Row],[DiffAmount]]/allFYsTable[[#This Row],[OriginalBudget]]</f>
        <v>-0.45733041575492339</v>
      </c>
    </row>
    <row r="2527" spans="1:12" x14ac:dyDescent="0.45">
      <c r="A2527" t="s">
        <v>1393</v>
      </c>
      <c r="B2527" t="s">
        <v>9</v>
      </c>
      <c r="C2527" t="s">
        <v>796</v>
      </c>
      <c r="D2527" t="s">
        <v>891</v>
      </c>
      <c r="E2527">
        <v>48894</v>
      </c>
      <c r="F2527">
        <v>44791</v>
      </c>
      <c r="G2527">
        <v>43963</v>
      </c>
      <c r="H2527">
        <v>828</v>
      </c>
      <c r="I2527">
        <v>2025</v>
      </c>
      <c r="J2527">
        <v>110</v>
      </c>
      <c r="K2527">
        <f>allFYsTable[[#This Row],[Actual]]-allFYsTable[[#This Row],[OriginalBudget]]</f>
        <v>-4931</v>
      </c>
      <c r="L2527" s="11">
        <f>allFYsTable[[#This Row],[DiffAmount]]/allFYsTable[[#This Row],[OriginalBudget]]</f>
        <v>-0.10085082014153066</v>
      </c>
    </row>
    <row r="2528" spans="1:12" x14ac:dyDescent="0.45">
      <c r="A2528" t="s">
        <v>1393</v>
      </c>
      <c r="B2528" t="s">
        <v>9</v>
      </c>
      <c r="C2528" t="s">
        <v>797</v>
      </c>
      <c r="D2528" t="s">
        <v>892</v>
      </c>
      <c r="E2528">
        <v>13486</v>
      </c>
      <c r="F2528">
        <v>13211</v>
      </c>
      <c r="G2528">
        <v>12605</v>
      </c>
      <c r="H2528">
        <v>606</v>
      </c>
      <c r="I2528">
        <v>2025</v>
      </c>
      <c r="J2528">
        <v>111</v>
      </c>
      <c r="K2528">
        <f>allFYsTable[[#This Row],[Actual]]-allFYsTable[[#This Row],[OriginalBudget]]</f>
        <v>-881</v>
      </c>
      <c r="L2528" s="11">
        <f>allFYsTable[[#This Row],[DiffAmount]]/allFYsTable[[#This Row],[OriginalBudget]]</f>
        <v>-6.5327005783775774E-2</v>
      </c>
    </row>
    <row r="2529" spans="1:12" x14ac:dyDescent="0.45">
      <c r="A2529" t="s">
        <v>1393</v>
      </c>
      <c r="B2529" t="s">
        <v>9</v>
      </c>
      <c r="C2529" t="s">
        <v>798</v>
      </c>
      <c r="D2529" t="s">
        <v>74</v>
      </c>
      <c r="E2529">
        <v>27305</v>
      </c>
      <c r="F2529">
        <v>26820</v>
      </c>
      <c r="G2529">
        <v>26728</v>
      </c>
      <c r="H2529">
        <v>92</v>
      </c>
      <c r="I2529">
        <v>2025</v>
      </c>
      <c r="J2529">
        <v>112</v>
      </c>
      <c r="K2529">
        <f>allFYsTable[[#This Row],[Actual]]-allFYsTable[[#This Row],[OriginalBudget]]</f>
        <v>-577</v>
      </c>
      <c r="L2529" s="11">
        <f>allFYsTable[[#This Row],[DiffAmount]]/allFYsTable[[#This Row],[OriginalBudget]]</f>
        <v>-2.1131660867972898E-2</v>
      </c>
    </row>
    <row r="2530" spans="1:12" x14ac:dyDescent="0.45">
      <c r="A2530" t="s">
        <v>1393</v>
      </c>
      <c r="B2530" t="s">
        <v>9</v>
      </c>
      <c r="C2530" t="s">
        <v>799</v>
      </c>
      <c r="D2530" t="s">
        <v>75</v>
      </c>
      <c r="E2530">
        <v>10101</v>
      </c>
      <c r="F2530">
        <v>6213</v>
      </c>
      <c r="G2530">
        <v>4977</v>
      </c>
      <c r="H2530">
        <v>1236</v>
      </c>
      <c r="I2530">
        <v>2025</v>
      </c>
      <c r="J2530">
        <v>113</v>
      </c>
      <c r="K2530">
        <f>allFYsTable[[#This Row],[Actual]]-allFYsTable[[#This Row],[OriginalBudget]]</f>
        <v>-5124</v>
      </c>
      <c r="L2530" s="11">
        <f>allFYsTable[[#This Row],[DiffAmount]]/allFYsTable[[#This Row],[OriginalBudget]]</f>
        <v>-0.5072765072765073</v>
      </c>
    </row>
    <row r="2531" spans="1:12" x14ac:dyDescent="0.45">
      <c r="A2531" t="s">
        <v>1393</v>
      </c>
      <c r="B2531" t="s">
        <v>9</v>
      </c>
      <c r="C2531" t="s">
        <v>800</v>
      </c>
      <c r="D2531" t="s">
        <v>76</v>
      </c>
      <c r="E2531">
        <v>296</v>
      </c>
      <c r="F2531">
        <v>0</v>
      </c>
      <c r="G2531">
        <v>0</v>
      </c>
      <c r="H2531">
        <v>0</v>
      </c>
      <c r="I2531">
        <v>2025</v>
      </c>
      <c r="J2531">
        <v>114</v>
      </c>
      <c r="K2531">
        <f>allFYsTable[[#This Row],[Actual]]-allFYsTable[[#This Row],[OriginalBudget]]</f>
        <v>-296</v>
      </c>
      <c r="L2531" s="11">
        <f>allFYsTable[[#This Row],[DiffAmount]]/allFYsTable[[#This Row],[OriginalBudget]]</f>
        <v>-1</v>
      </c>
    </row>
    <row r="2532" spans="1:12" x14ac:dyDescent="0.45">
      <c r="A2532" t="s">
        <v>1393</v>
      </c>
      <c r="B2532" t="s">
        <v>9</v>
      </c>
      <c r="C2532" t="s">
        <v>801</v>
      </c>
      <c r="D2532" t="s">
        <v>77</v>
      </c>
      <c r="E2532">
        <v>61771</v>
      </c>
      <c r="F2532">
        <v>59174</v>
      </c>
      <c r="G2532">
        <v>56745</v>
      </c>
      <c r="H2532">
        <v>2429</v>
      </c>
      <c r="I2532">
        <v>2025</v>
      </c>
      <c r="J2532">
        <v>115</v>
      </c>
      <c r="K2532">
        <f>allFYsTable[[#This Row],[Actual]]-allFYsTable[[#This Row],[OriginalBudget]]</f>
        <v>-5026</v>
      </c>
      <c r="L2532" s="11">
        <f>allFYsTable[[#This Row],[DiffAmount]]/allFYsTable[[#This Row],[OriginalBudget]]</f>
        <v>-8.1365041848116423E-2</v>
      </c>
    </row>
    <row r="2533" spans="1:12" x14ac:dyDescent="0.45">
      <c r="A2533" t="s">
        <v>1393</v>
      </c>
      <c r="B2533" t="s">
        <v>9</v>
      </c>
      <c r="C2533" t="s">
        <v>802</v>
      </c>
      <c r="D2533" t="s">
        <v>78</v>
      </c>
      <c r="E2533">
        <v>172843</v>
      </c>
      <c r="F2533">
        <v>189738</v>
      </c>
      <c r="G2533">
        <v>189033</v>
      </c>
      <c r="H2533">
        <v>705</v>
      </c>
      <c r="I2533">
        <v>2025</v>
      </c>
      <c r="J2533">
        <v>116</v>
      </c>
      <c r="K2533">
        <f>allFYsTable[[#This Row],[Actual]]-allFYsTable[[#This Row],[OriginalBudget]]</f>
        <v>16190</v>
      </c>
      <c r="L2533" s="11">
        <f>allFYsTable[[#This Row],[DiffAmount]]/allFYsTable[[#This Row],[OriginalBudget]]</f>
        <v>9.3668820837407352E-2</v>
      </c>
    </row>
    <row r="2534" spans="1:12" x14ac:dyDescent="0.45">
      <c r="A2534" t="s">
        <v>1393</v>
      </c>
      <c r="B2534" t="s">
        <v>9</v>
      </c>
      <c r="C2534" t="s">
        <v>803</v>
      </c>
      <c r="D2534" t="s">
        <v>79</v>
      </c>
      <c r="E2534">
        <v>134198</v>
      </c>
      <c r="F2534">
        <v>154550</v>
      </c>
      <c r="G2534">
        <v>145938</v>
      </c>
      <c r="H2534">
        <v>8612</v>
      </c>
      <c r="I2534">
        <v>2025</v>
      </c>
      <c r="J2534">
        <v>117</v>
      </c>
      <c r="K2534">
        <f>allFYsTable[[#This Row],[Actual]]-allFYsTable[[#This Row],[OriginalBudget]]</f>
        <v>11740</v>
      </c>
      <c r="L2534" s="11">
        <f>allFYsTable[[#This Row],[DiffAmount]]/allFYsTable[[#This Row],[OriginalBudget]]</f>
        <v>8.7482674853574569E-2</v>
      </c>
    </row>
    <row r="2535" spans="1:12" x14ac:dyDescent="0.45">
      <c r="A2535" t="s">
        <v>1393</v>
      </c>
      <c r="B2535" t="s">
        <v>9</v>
      </c>
      <c r="C2535" t="s">
        <v>804</v>
      </c>
      <c r="D2535" t="s">
        <v>893</v>
      </c>
      <c r="E2535">
        <v>1350</v>
      </c>
      <c r="F2535">
        <v>1320</v>
      </c>
      <c r="G2535">
        <v>1090</v>
      </c>
      <c r="H2535">
        <v>230</v>
      </c>
      <c r="I2535">
        <v>2025</v>
      </c>
      <c r="J2535">
        <v>118</v>
      </c>
      <c r="K2535">
        <f>allFYsTable[[#This Row],[Actual]]-allFYsTable[[#This Row],[OriginalBudget]]</f>
        <v>-260</v>
      </c>
      <c r="L2535" s="11">
        <f>allFYsTable[[#This Row],[DiffAmount]]/allFYsTable[[#This Row],[OriginalBudget]]</f>
        <v>-0.19259259259259259</v>
      </c>
    </row>
    <row r="2536" spans="1:12" x14ac:dyDescent="0.45">
      <c r="A2536" t="s">
        <v>1393</v>
      </c>
      <c r="B2536" t="s">
        <v>9</v>
      </c>
      <c r="C2536" t="s">
        <v>805</v>
      </c>
      <c r="D2536" t="s">
        <v>1414</v>
      </c>
      <c r="E2536">
        <v>1026</v>
      </c>
      <c r="F2536">
        <v>909</v>
      </c>
      <c r="G2536">
        <v>882</v>
      </c>
      <c r="H2536">
        <v>27</v>
      </c>
      <c r="I2536">
        <v>2025</v>
      </c>
      <c r="J2536">
        <v>119</v>
      </c>
      <c r="K2536">
        <f>allFYsTable[[#This Row],[Actual]]-allFYsTable[[#This Row],[OriginalBudget]]</f>
        <v>-144</v>
      </c>
      <c r="L2536" s="11">
        <f>allFYsTable[[#This Row],[DiffAmount]]/allFYsTable[[#This Row],[OriginalBudget]]</f>
        <v>-0.14035087719298245</v>
      </c>
    </row>
    <row r="2537" spans="1:12" x14ac:dyDescent="0.45">
      <c r="A2537" t="s">
        <v>1393</v>
      </c>
      <c r="B2537" t="s">
        <v>9</v>
      </c>
      <c r="C2537" t="s">
        <v>806</v>
      </c>
      <c r="D2537" t="s">
        <v>82</v>
      </c>
      <c r="E2537">
        <v>0</v>
      </c>
      <c r="F2537">
        <v>0</v>
      </c>
      <c r="G2537">
        <v>0</v>
      </c>
      <c r="H2537">
        <v>0</v>
      </c>
      <c r="I2537">
        <v>2025</v>
      </c>
      <c r="J2537">
        <v>120</v>
      </c>
      <c r="K2537">
        <f>allFYsTable[[#This Row],[Actual]]-allFYsTable[[#This Row],[OriginalBudget]]</f>
        <v>0</v>
      </c>
      <c r="L2537" s="11" t="e">
        <f>allFYsTable[[#This Row],[DiffAmount]]/allFYsTable[[#This Row],[OriginalBudget]]</f>
        <v>#DIV/0!</v>
      </c>
    </row>
    <row r="2538" spans="1:12" x14ac:dyDescent="0.45">
      <c r="A2538" t="s">
        <v>1393</v>
      </c>
      <c r="B2538" t="s">
        <v>9</v>
      </c>
      <c r="C2538" t="s">
        <v>808</v>
      </c>
      <c r="D2538" t="s">
        <v>676</v>
      </c>
      <c r="E2538">
        <v>178</v>
      </c>
      <c r="F2538">
        <v>178</v>
      </c>
      <c r="G2538">
        <v>178</v>
      </c>
      <c r="H2538">
        <v>0</v>
      </c>
      <c r="I2538">
        <v>2025</v>
      </c>
      <c r="J2538">
        <v>121</v>
      </c>
      <c r="K2538">
        <f>allFYsTable[[#This Row],[Actual]]-allFYsTable[[#This Row],[OriginalBudget]]</f>
        <v>0</v>
      </c>
      <c r="L2538" s="11">
        <f>allFYsTable[[#This Row],[DiffAmount]]/allFYsTable[[#This Row],[OriginalBudget]]</f>
        <v>0</v>
      </c>
    </row>
    <row r="2539" spans="1:12" x14ac:dyDescent="0.45">
      <c r="A2539" t="s">
        <v>1393</v>
      </c>
      <c r="B2539" t="s">
        <v>9</v>
      </c>
      <c r="C2539" t="s">
        <v>807</v>
      </c>
      <c r="D2539" t="s">
        <v>17</v>
      </c>
      <c r="E2539">
        <v>686917</v>
      </c>
      <c r="F2539">
        <v>689724</v>
      </c>
      <c r="G2539">
        <v>688645</v>
      </c>
      <c r="H2539">
        <v>1079</v>
      </c>
      <c r="I2539">
        <v>2025</v>
      </c>
      <c r="J2539">
        <v>122</v>
      </c>
      <c r="K2539">
        <f>allFYsTable[[#This Row],[Actual]]-allFYsTable[[#This Row],[OriginalBudget]]</f>
        <v>1728</v>
      </c>
      <c r="L2539" s="11">
        <f>allFYsTable[[#This Row],[DiffAmount]]/allFYsTable[[#This Row],[OriginalBudget]]</f>
        <v>2.5155877638783145E-3</v>
      </c>
    </row>
    <row r="2540" spans="1:12" x14ac:dyDescent="0.45">
      <c r="A2540" t="s">
        <v>1393</v>
      </c>
      <c r="B2540" t="s">
        <v>158</v>
      </c>
      <c r="C2540" t="s">
        <v>775</v>
      </c>
      <c r="D2540" t="s">
        <v>18</v>
      </c>
      <c r="E2540">
        <v>1229364</v>
      </c>
      <c r="F2540">
        <v>1052666</v>
      </c>
      <c r="G2540">
        <v>1052598</v>
      </c>
      <c r="H2540">
        <v>68</v>
      </c>
      <c r="I2540">
        <v>2025</v>
      </c>
      <c r="J2540">
        <v>123</v>
      </c>
      <c r="K2540">
        <f>allFYsTable[[#This Row],[Actual]]-allFYsTable[[#This Row],[OriginalBudget]]</f>
        <v>-176766</v>
      </c>
      <c r="L2540" s="11">
        <f>allFYsTable[[#This Row],[DiffAmount]]/allFYsTable[[#This Row],[OriginalBudget]]</f>
        <v>-0.14378654328579657</v>
      </c>
    </row>
    <row r="2541" spans="1:12" x14ac:dyDescent="0.45">
      <c r="A2541" t="s">
        <v>1393</v>
      </c>
      <c r="B2541" t="s">
        <v>158</v>
      </c>
      <c r="C2541" t="s">
        <v>829</v>
      </c>
      <c r="D2541" t="s">
        <v>87</v>
      </c>
      <c r="E2541">
        <v>2257</v>
      </c>
      <c r="F2541">
        <v>2257</v>
      </c>
      <c r="G2541">
        <v>2247</v>
      </c>
      <c r="H2541">
        <v>10</v>
      </c>
      <c r="I2541">
        <v>2025</v>
      </c>
      <c r="J2541">
        <v>124</v>
      </c>
      <c r="K2541">
        <f>allFYsTable[[#This Row],[Actual]]-allFYsTable[[#This Row],[OriginalBudget]]</f>
        <v>-10</v>
      </c>
      <c r="L2541" s="11">
        <f>allFYsTable[[#This Row],[DiffAmount]]/allFYsTable[[#This Row],[OriginalBudget]]</f>
        <v>-4.4306601683650861E-3</v>
      </c>
    </row>
    <row r="2542" spans="1:12" x14ac:dyDescent="0.45">
      <c r="A2542" t="s">
        <v>1393</v>
      </c>
      <c r="B2542" t="s">
        <v>158</v>
      </c>
      <c r="C2542" t="s">
        <v>817</v>
      </c>
      <c r="D2542" t="s">
        <v>158</v>
      </c>
      <c r="E2542">
        <v>11000</v>
      </c>
      <c r="F2542">
        <v>11000</v>
      </c>
      <c r="G2542">
        <v>10244</v>
      </c>
      <c r="H2542">
        <v>756</v>
      </c>
      <c r="I2542">
        <v>2025</v>
      </c>
      <c r="J2542">
        <v>125</v>
      </c>
      <c r="K2542">
        <f>allFYsTable[[#This Row],[Actual]]-allFYsTable[[#This Row],[OriginalBudget]]</f>
        <v>-756</v>
      </c>
      <c r="L2542" s="11">
        <f>allFYsTable[[#This Row],[DiffAmount]]/allFYsTable[[#This Row],[OriginalBudget]]</f>
        <v>-6.8727272727272734E-2</v>
      </c>
    </row>
    <row r="2543" spans="1:12" x14ac:dyDescent="0.45">
      <c r="A2543" t="s">
        <v>1393</v>
      </c>
      <c r="B2543" t="s">
        <v>158</v>
      </c>
      <c r="C2543" t="s">
        <v>818</v>
      </c>
      <c r="D2543" t="s">
        <v>83</v>
      </c>
      <c r="E2543">
        <v>7500</v>
      </c>
      <c r="F2543">
        <v>14500</v>
      </c>
      <c r="G2543">
        <v>14411</v>
      </c>
      <c r="H2543">
        <v>89</v>
      </c>
      <c r="I2543">
        <v>2025</v>
      </c>
      <c r="J2543">
        <v>126</v>
      </c>
      <c r="K2543">
        <f>allFYsTable[[#This Row],[Actual]]-allFYsTable[[#This Row],[OriginalBudget]]</f>
        <v>6911</v>
      </c>
      <c r="L2543" s="11">
        <f>allFYsTable[[#This Row],[DiffAmount]]/allFYsTable[[#This Row],[OriginalBudget]]</f>
        <v>0.92146666666666666</v>
      </c>
    </row>
    <row r="2544" spans="1:12" x14ac:dyDescent="0.45">
      <c r="A2544" t="s">
        <v>1393</v>
      </c>
      <c r="B2544" t="s">
        <v>1398</v>
      </c>
      <c r="C2544" t="s">
        <v>813</v>
      </c>
      <c r="D2544" t="s">
        <v>896</v>
      </c>
      <c r="E2544">
        <v>19847</v>
      </c>
      <c r="F2544">
        <v>23261</v>
      </c>
      <c r="G2544">
        <v>23261</v>
      </c>
      <c r="H2544">
        <v>0</v>
      </c>
      <c r="I2544">
        <v>2025</v>
      </c>
      <c r="J2544">
        <v>127</v>
      </c>
      <c r="K2544">
        <f>allFYsTable[[#This Row],[Actual]]-allFYsTable[[#This Row],[OriginalBudget]]</f>
        <v>3414</v>
      </c>
      <c r="L2544" s="11">
        <f>allFYsTable[[#This Row],[DiffAmount]]/allFYsTable[[#This Row],[OriginalBudget]]</f>
        <v>0.17201592180178366</v>
      </c>
    </row>
    <row r="2545" spans="1:12" x14ac:dyDescent="0.45">
      <c r="A2545" t="s">
        <v>1393</v>
      </c>
      <c r="B2545" t="s">
        <v>1398</v>
      </c>
      <c r="C2545" t="s">
        <v>816</v>
      </c>
      <c r="D2545" t="s">
        <v>93</v>
      </c>
      <c r="E2545">
        <v>204851</v>
      </c>
      <c r="F2545">
        <v>208751</v>
      </c>
      <c r="G2545">
        <v>208751</v>
      </c>
      <c r="H2545">
        <v>0</v>
      </c>
      <c r="I2545">
        <v>2025</v>
      </c>
      <c r="J2545">
        <v>128</v>
      </c>
      <c r="K2545">
        <f>allFYsTable[[#This Row],[Actual]]-allFYsTable[[#This Row],[OriginalBudget]]</f>
        <v>3900</v>
      </c>
      <c r="L2545" s="11">
        <f>allFYsTable[[#This Row],[DiffAmount]]/allFYsTable[[#This Row],[OriginalBudget]]</f>
        <v>1.9038227785073053E-2</v>
      </c>
    </row>
  </sheetData>
  <phoneticPr fontId="6"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View By Unit</vt:lpstr>
      <vt:lpstr>DropDownNameList</vt:lpstr>
      <vt:lpstr>SummaryTable</vt:lpstr>
      <vt:lpstr>NamedFields</vt:lpstr>
      <vt:lpstr>NameCoding</vt:lpstr>
      <vt:lpstr>allFYs</vt:lpstr>
      <vt:lpstr>NotFound</vt:lpstr>
      <vt:lpstr>NotFoundAllYears</vt:lpstr>
      <vt:lpstr>ZeroBudgetNoSpending</vt:lpstr>
      <vt:lpstr>ZeroBudgetWithSpending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2025-11-13T21:32:13Z</dcterms:created>
  <dcterms:modified xsi:type="dcterms:W3CDTF">2026-03-16T15:52:22Z</dcterms:modified>
  <cp:category/>
  <cp:contentStatus/>
</cp:coreProperties>
</file>